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tinghuanliu/Desktop/Corporate Finance/Advanced Valuation/Project/Final_Project_Tinghuan&amp;Junhao/"/>
    </mc:Choice>
  </mc:AlternateContent>
  <xr:revisionPtr revIDLastSave="0" documentId="13_ncr:1_{44C70B97-A5E9-2E41-B768-6C241BA62D13}" xr6:coauthVersionLast="47" xr6:coauthVersionMax="47" xr10:uidLastSave="{00000000-0000-0000-0000-000000000000}"/>
  <bookViews>
    <workbookView xWindow="0" yWindow="500" windowWidth="33600" windowHeight="19260" activeTab="2" xr2:uid="{00000000-000D-0000-FFFF-FFFF00000000}"/>
  </bookViews>
  <sheets>
    <sheet name="Final results" sheetId="10" r:id="rId1"/>
    <sheet name="DCF  SULZER" sheetId="8" r:id="rId2"/>
    <sheet name="DCF  OC" sheetId="4" r:id="rId3"/>
    <sheet name="Multiple OERL" sheetId="6" r:id="rId4"/>
    <sheet name="Multiple SUN" sheetId="7" r:id="rId5"/>
    <sheet name="comps for SUN" sheetId="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21" i="7" l="1"/>
  <c r="E96" i="8"/>
  <c r="J106" i="8"/>
  <c r="J107" i="8" s="1"/>
  <c r="J104" i="8"/>
  <c r="J103" i="8" s="1"/>
  <c r="L102" i="8"/>
  <c r="K102" i="8" s="1"/>
  <c r="N102" i="8"/>
  <c r="O102" i="8" s="1"/>
  <c r="E96" i="4"/>
  <c r="H112" i="4"/>
  <c r="H111" i="4"/>
  <c r="H108" i="4"/>
  <c r="H109" i="4"/>
  <c r="K76" i="4"/>
  <c r="O75" i="8"/>
  <c r="O76" i="8"/>
  <c r="O74" i="8" s="1"/>
  <c r="O78" i="8" s="1"/>
  <c r="N28" i="4"/>
  <c r="AY50" i="7"/>
  <c r="M52" i="8"/>
  <c r="K90" i="8"/>
  <c r="AQ49" i="7"/>
  <c r="AV50" i="7" s="1"/>
  <c r="AV51" i="7" s="1"/>
  <c r="AV54" i="7" s="1"/>
  <c r="AR49" i="7"/>
  <c r="AV64" i="7" s="1"/>
  <c r="AV65" i="7" s="1"/>
  <c r="AV68" i="7" s="1"/>
  <c r="AO49" i="7"/>
  <c r="AV11" i="7" s="1"/>
  <c r="AV12" i="7" s="1"/>
  <c r="AV18" i="7" s="1"/>
  <c r="AV21" i="7" s="1"/>
  <c r="AQ48" i="7"/>
  <c r="AR48" i="7"/>
  <c r="AY64" i="7" s="1"/>
  <c r="AY65" i="7" s="1"/>
  <c r="AY68" i="7" s="1"/>
  <c r="AO48" i="7"/>
  <c r="AY11" i="7" s="1"/>
  <c r="AY12" i="7" s="1"/>
  <c r="AY18" i="7" s="1"/>
  <c r="AY21" i="7" s="1"/>
  <c r="AO45" i="7"/>
  <c r="AW11" i="7" s="1"/>
  <c r="AW12" i="7" s="1"/>
  <c r="AW18" i="7" s="1"/>
  <c r="AW21" i="7" s="1"/>
  <c r="AQ46" i="7"/>
  <c r="AX50" i="7" s="1"/>
  <c r="AX51" i="7" s="1"/>
  <c r="AX54" i="7" s="1"/>
  <c r="AR46" i="7"/>
  <c r="AX64" i="7" s="1"/>
  <c r="AX65" i="7" s="1"/>
  <c r="AX68" i="7" s="1"/>
  <c r="AQ45" i="7"/>
  <c r="AW50" i="7" s="1"/>
  <c r="AW51" i="7" s="1"/>
  <c r="AW54" i="7" s="1"/>
  <c r="AR45" i="7"/>
  <c r="AW64" i="7" s="1"/>
  <c r="AW65" i="7" s="1"/>
  <c r="AW68" i="7" s="1"/>
  <c r="AO46" i="7"/>
  <c r="AX11" i="7" s="1"/>
  <c r="AX12" i="7" s="1"/>
  <c r="AX18" i="7" s="1"/>
  <c r="AX21" i="7" s="1"/>
  <c r="O28" i="4"/>
  <c r="O17" i="4"/>
  <c r="O14" i="4"/>
  <c r="O11" i="4"/>
  <c r="O28" i="8"/>
  <c r="O17" i="8"/>
  <c r="O14" i="8"/>
  <c r="O11" i="8"/>
  <c r="E79" i="4"/>
  <c r="E111" i="4" s="1"/>
  <c r="E110" i="4" s="1"/>
  <c r="D42" i="4" s="1"/>
  <c r="E84" i="4"/>
  <c r="E74" i="4"/>
  <c r="AN63" i="6"/>
  <c r="I28" i="4"/>
  <c r="J28" i="4"/>
  <c r="K28" i="4"/>
  <c r="L28" i="4"/>
  <c r="M28" i="4"/>
  <c r="H28" i="4"/>
  <c r="I28" i="8"/>
  <c r="J28" i="8"/>
  <c r="K28" i="8"/>
  <c r="L28" i="8"/>
  <c r="M28" i="8"/>
  <c r="N28" i="8"/>
  <c r="H28" i="8"/>
  <c r="H24" i="8"/>
  <c r="I24" i="8"/>
  <c r="J24" i="8"/>
  <c r="K24" i="8"/>
  <c r="L24" i="8"/>
  <c r="M24" i="8"/>
  <c r="N24" i="8"/>
  <c r="I41" i="8"/>
  <c r="E113" i="8"/>
  <c r="E112" i="8"/>
  <c r="E90" i="8"/>
  <c r="I52" i="8" s="1"/>
  <c r="E87" i="8"/>
  <c r="E85" i="8"/>
  <c r="E83" i="8"/>
  <c r="E79" i="8"/>
  <c r="E111" i="8" s="1"/>
  <c r="J43" i="8"/>
  <c r="K43" i="8" s="1"/>
  <c r="L43" i="8" s="1"/>
  <c r="M43" i="8" s="1"/>
  <c r="N43" i="8" s="1"/>
  <c r="K41" i="8"/>
  <c r="J41" i="8"/>
  <c r="H41" i="8"/>
  <c r="J30" i="8"/>
  <c r="K30" i="8" s="1"/>
  <c r="L30" i="8" s="1"/>
  <c r="M30" i="8" s="1"/>
  <c r="N30" i="8" s="1"/>
  <c r="N17" i="8"/>
  <c r="M17" i="8"/>
  <c r="M18" i="8" s="1"/>
  <c r="K15" i="8"/>
  <c r="N14" i="8"/>
  <c r="N15" i="8" s="1"/>
  <c r="M14" i="8"/>
  <c r="M15" i="8" s="1"/>
  <c r="L14" i="8"/>
  <c r="L17" i="8" s="1"/>
  <c r="L20" i="8" s="1"/>
  <c r="K14" i="8"/>
  <c r="K17" i="8" s="1"/>
  <c r="J14" i="8"/>
  <c r="J17" i="8" s="1"/>
  <c r="I14" i="8"/>
  <c r="I17" i="8" s="1"/>
  <c r="H14" i="8"/>
  <c r="H17" i="8" s="1"/>
  <c r="J10" i="8"/>
  <c r="K10" i="8" s="1"/>
  <c r="L10" i="8" s="1"/>
  <c r="M10" i="8" s="1"/>
  <c r="I10" i="8"/>
  <c r="E10" i="8"/>
  <c r="D10" i="8"/>
  <c r="AY51" i="7"/>
  <c r="AY54" i="7" s="1"/>
  <c r="AU49" i="6"/>
  <c r="AP64" i="6"/>
  <c r="AU50" i="6" s="1"/>
  <c r="AQ64" i="6"/>
  <c r="AU64" i="6" s="1"/>
  <c r="AU65" i="6" s="1"/>
  <c r="AU68" i="6" s="1"/>
  <c r="AP63" i="6"/>
  <c r="AX50" i="6" s="1"/>
  <c r="AX51" i="6" s="1"/>
  <c r="AX54" i="6" s="1"/>
  <c r="AQ63" i="6"/>
  <c r="AX64" i="6" s="1"/>
  <c r="AX65" i="6" s="1"/>
  <c r="AX68" i="6" s="1"/>
  <c r="AN64" i="6"/>
  <c r="AU11" i="6" s="1"/>
  <c r="AU12" i="6" s="1"/>
  <c r="AU18" i="6" s="1"/>
  <c r="AU21" i="6" s="1"/>
  <c r="AX11" i="6"/>
  <c r="AX12" i="6" s="1"/>
  <c r="AX18" i="6" s="1"/>
  <c r="AX21" i="6" s="1"/>
  <c r="AP61" i="6"/>
  <c r="AW50" i="6" s="1"/>
  <c r="AW51" i="6" s="1"/>
  <c r="AW54" i="6" s="1"/>
  <c r="AQ61" i="6"/>
  <c r="AW64" i="6" s="1"/>
  <c r="AW65" i="6" s="1"/>
  <c r="AW68" i="6" s="1"/>
  <c r="AN61" i="6"/>
  <c r="AW11" i="6" s="1"/>
  <c r="AW12" i="6" s="1"/>
  <c r="AW18" i="6" s="1"/>
  <c r="AW21" i="6" s="1"/>
  <c r="AP60" i="6"/>
  <c r="AV50" i="6" s="1"/>
  <c r="AV51" i="6" s="1"/>
  <c r="AV54" i="6" s="1"/>
  <c r="AQ60" i="6"/>
  <c r="AV64" i="6" s="1"/>
  <c r="AV65" i="6" s="1"/>
  <c r="AV68" i="6" s="1"/>
  <c r="AN60" i="6"/>
  <c r="AV11" i="6" s="1"/>
  <c r="AV12" i="6" s="1"/>
  <c r="AV18" i="6" s="1"/>
  <c r="AV21" i="6" s="1"/>
  <c r="AQ22" i="7"/>
  <c r="AQ40" i="7"/>
  <c r="AR40" i="7"/>
  <c r="AQ39" i="7"/>
  <c r="AR39" i="7"/>
  <c r="AO40" i="7"/>
  <c r="AO39" i="7"/>
  <c r="AP9" i="7"/>
  <c r="AP10" i="7"/>
  <c r="AP46" i="7" s="1"/>
  <c r="AX29" i="7" s="1"/>
  <c r="AX30" i="7" s="1"/>
  <c r="AX36" i="7" s="1"/>
  <c r="AX39" i="7" s="1"/>
  <c r="AP11" i="7"/>
  <c r="AP12" i="7"/>
  <c r="AP13" i="7"/>
  <c r="AP14" i="7"/>
  <c r="AP15" i="7"/>
  <c r="AP16" i="7"/>
  <c r="AP48" i="7" s="1"/>
  <c r="AY29" i="7" s="1"/>
  <c r="AY30" i="7" s="1"/>
  <c r="AY36" i="7" s="1"/>
  <c r="AY39" i="7" s="1"/>
  <c r="AP17" i="7"/>
  <c r="AP18" i="7"/>
  <c r="AP19" i="7"/>
  <c r="AQ21" i="7"/>
  <c r="AR21" i="7"/>
  <c r="AO22" i="7"/>
  <c r="AR22" i="7"/>
  <c r="AP27" i="7"/>
  <c r="AP28" i="7"/>
  <c r="AP29" i="7"/>
  <c r="AP30" i="7"/>
  <c r="AP31" i="7"/>
  <c r="AP32" i="7"/>
  <c r="AP33" i="7"/>
  <c r="AP34" i="7"/>
  <c r="AP35" i="7"/>
  <c r="AP36" i="7"/>
  <c r="AP37" i="7"/>
  <c r="AO8" i="6"/>
  <c r="AO9" i="6"/>
  <c r="AO10" i="6"/>
  <c r="AO11" i="6"/>
  <c r="AO12" i="6"/>
  <c r="AO13" i="6"/>
  <c r="AO15" i="6"/>
  <c r="AN17" i="6"/>
  <c r="AP17" i="6"/>
  <c r="AQ17" i="6"/>
  <c r="AN18" i="6"/>
  <c r="AP18" i="6"/>
  <c r="AQ18" i="6"/>
  <c r="AO24" i="6"/>
  <c r="AO25" i="6"/>
  <c r="AO27" i="6"/>
  <c r="AO28" i="6"/>
  <c r="AO29" i="6"/>
  <c r="AO30" i="6"/>
  <c r="AO31" i="6"/>
  <c r="AO32" i="6"/>
  <c r="AO33" i="6"/>
  <c r="AO34" i="6"/>
  <c r="AN36" i="6"/>
  <c r="AP36" i="6"/>
  <c r="AQ36" i="6"/>
  <c r="AN37" i="6"/>
  <c r="AP37" i="6"/>
  <c r="AQ37" i="6"/>
  <c r="AO41" i="6"/>
  <c r="AO42" i="6"/>
  <c r="AO43" i="6"/>
  <c r="AO44" i="6"/>
  <c r="AO45" i="6"/>
  <c r="AO46" i="6"/>
  <c r="AO47" i="6"/>
  <c r="AO48" i="6"/>
  <c r="AO49" i="6"/>
  <c r="AO50" i="6"/>
  <c r="AO51" i="6"/>
  <c r="AN53" i="6"/>
  <c r="AP53" i="6"/>
  <c r="AQ53" i="6"/>
  <c r="AN54" i="6"/>
  <c r="AP54" i="6"/>
  <c r="AQ54" i="6"/>
  <c r="E113" i="4"/>
  <c r="E112" i="4"/>
  <c r="E90" i="4"/>
  <c r="E87" i="4"/>
  <c r="E83" i="4"/>
  <c r="J43" i="4"/>
  <c r="K43" i="4" s="1"/>
  <c r="L43" i="4" s="1"/>
  <c r="M43" i="4" s="1"/>
  <c r="N43" i="4" s="1"/>
  <c r="M41" i="4"/>
  <c r="L41" i="4"/>
  <c r="K41" i="4"/>
  <c r="J41" i="4"/>
  <c r="I41" i="4"/>
  <c r="H41" i="4"/>
  <c r="N39" i="4"/>
  <c r="N41" i="4" s="1"/>
  <c r="J30" i="4"/>
  <c r="K30" i="4" s="1"/>
  <c r="L30" i="4" s="1"/>
  <c r="M30" i="4" s="1"/>
  <c r="N30" i="4" s="1"/>
  <c r="N14" i="4"/>
  <c r="N17" i="4" s="1"/>
  <c r="M14" i="4"/>
  <c r="M17" i="4" s="1"/>
  <c r="L14" i="4"/>
  <c r="L15" i="4" s="1"/>
  <c r="K14" i="4"/>
  <c r="K17" i="4" s="1"/>
  <c r="K20" i="4" s="1"/>
  <c r="J14" i="4"/>
  <c r="J17" i="4" s="1"/>
  <c r="I14" i="4"/>
  <c r="I17" i="4" s="1"/>
  <c r="H14" i="4"/>
  <c r="H17" i="4" s="1"/>
  <c r="I10" i="4"/>
  <c r="J10" i="4" s="1"/>
  <c r="K10" i="4" s="1"/>
  <c r="L10" i="4" s="1"/>
  <c r="M10" i="4" s="1"/>
  <c r="E10" i="4"/>
  <c r="D10" i="4" s="1"/>
  <c r="AP45" i="7" l="1"/>
  <c r="AW29" i="7" s="1"/>
  <c r="AW30" i="7" s="1"/>
  <c r="AW36" i="7" s="1"/>
  <c r="AW39" i="7" s="1"/>
  <c r="AP49" i="7"/>
  <c r="AV29" i="7" s="1"/>
  <c r="AV30" i="7" s="1"/>
  <c r="AV36" i="7" s="1"/>
  <c r="AV39" i="7" s="1"/>
  <c r="AO60" i="6"/>
  <c r="AV29" i="6" s="1"/>
  <c r="AV30" i="6" s="1"/>
  <c r="AV36" i="6" s="1"/>
  <c r="AV39" i="6" s="1"/>
  <c r="E110" i="8"/>
  <c r="E84" i="8"/>
  <c r="E74" i="8"/>
  <c r="H15" i="8"/>
  <c r="I15" i="8"/>
  <c r="J15" i="8"/>
  <c r="L15" i="8"/>
  <c r="M41" i="8"/>
  <c r="N41" i="8"/>
  <c r="L41" i="8"/>
  <c r="H20" i="8"/>
  <c r="H18" i="8"/>
  <c r="J18" i="8"/>
  <c r="J20" i="8"/>
  <c r="K20" i="8"/>
  <c r="K18" i="8"/>
  <c r="L21" i="8"/>
  <c r="I20" i="8"/>
  <c r="I18" i="8"/>
  <c r="M20" i="8"/>
  <c r="N20" i="8"/>
  <c r="L18" i="8"/>
  <c r="N18" i="8"/>
  <c r="AO17" i="6"/>
  <c r="AU51" i="6"/>
  <c r="AU54" i="6" s="1"/>
  <c r="AO61" i="6"/>
  <c r="AW29" i="6" s="1"/>
  <c r="AW30" i="6" s="1"/>
  <c r="AW36" i="6" s="1"/>
  <c r="AW39" i="6" s="1"/>
  <c r="AO63" i="6"/>
  <c r="AX29" i="6" s="1"/>
  <c r="AX30" i="6" s="1"/>
  <c r="AX36" i="6" s="1"/>
  <c r="AX39" i="6" s="1"/>
  <c r="AO64" i="6"/>
  <c r="AU29" i="6" s="1"/>
  <c r="AU30" i="6" s="1"/>
  <c r="AU36" i="6" s="1"/>
  <c r="AU39" i="6" s="1"/>
  <c r="AO18" i="6"/>
  <c r="AO36" i="6"/>
  <c r="AO54" i="6"/>
  <c r="AO37" i="6"/>
  <c r="AP40" i="7"/>
  <c r="AP22" i="7"/>
  <c r="AP39" i="7"/>
  <c r="AP21" i="7"/>
  <c r="AO53" i="6"/>
  <c r="J15" i="4"/>
  <c r="K15" i="4"/>
  <c r="L17" i="4"/>
  <c r="L18" i="4" s="1"/>
  <c r="L20" i="4"/>
  <c r="L21" i="4" s="1"/>
  <c r="E85" i="4"/>
  <c r="D29" i="4" s="1"/>
  <c r="H15" i="4"/>
  <c r="I15" i="4"/>
  <c r="M20" i="4"/>
  <c r="M18" i="4"/>
  <c r="K24" i="4"/>
  <c r="K21" i="4"/>
  <c r="H18" i="4"/>
  <c r="H20" i="4"/>
  <c r="M52" i="4"/>
  <c r="J20" i="4"/>
  <c r="J18" i="4"/>
  <c r="K92" i="4"/>
  <c r="N18" i="4"/>
  <c r="N20" i="4"/>
  <c r="I20" i="4"/>
  <c r="I18" i="4"/>
  <c r="O76" i="4"/>
  <c r="L24" i="4"/>
  <c r="M15" i="4"/>
  <c r="I52" i="4"/>
  <c r="N15" i="4"/>
  <c r="K18" i="4"/>
  <c r="D42" i="8" l="1"/>
  <c r="M44" i="8" s="1"/>
  <c r="M45" i="8" s="1"/>
  <c r="D29" i="8"/>
  <c r="K76" i="8"/>
  <c r="K31" i="8"/>
  <c r="N31" i="8"/>
  <c r="L31" i="8"/>
  <c r="L32" i="8" s="1"/>
  <c r="I31" i="8"/>
  <c r="I32" i="8" s="1"/>
  <c r="J31" i="8"/>
  <c r="K86" i="8"/>
  <c r="H21" i="8"/>
  <c r="J44" i="8"/>
  <c r="J45" i="8" s="1"/>
  <c r="L44" i="8"/>
  <c r="L45" i="8" s="1"/>
  <c r="I44" i="8"/>
  <c r="I45" i="8" s="1"/>
  <c r="N44" i="8"/>
  <c r="N45" i="8" s="1"/>
  <c r="K44" i="8"/>
  <c r="K45" i="8" s="1"/>
  <c r="K77" i="8"/>
  <c r="N21" i="8"/>
  <c r="J21" i="8"/>
  <c r="I21" i="8"/>
  <c r="M21" i="8"/>
  <c r="K21" i="8"/>
  <c r="O75" i="4"/>
  <c r="O74" i="4" s="1"/>
  <c r="K86" i="4" s="1"/>
  <c r="M31" i="4"/>
  <c r="L31" i="4"/>
  <c r="L32" i="4" s="1"/>
  <c r="J31" i="4"/>
  <c r="K31" i="4"/>
  <c r="K32" i="4" s="1"/>
  <c r="I31" i="4"/>
  <c r="N31" i="4"/>
  <c r="L44" i="4"/>
  <c r="L45" i="4" s="1"/>
  <c r="J44" i="4"/>
  <c r="J45" i="4" s="1"/>
  <c r="I44" i="4"/>
  <c r="I45" i="4" s="1"/>
  <c r="N44" i="4"/>
  <c r="N45" i="4" s="1"/>
  <c r="M44" i="4"/>
  <c r="M45" i="4" s="1"/>
  <c r="K44" i="4"/>
  <c r="K45" i="4" s="1"/>
  <c r="H24" i="4"/>
  <c r="H21" i="4"/>
  <c r="I24" i="4"/>
  <c r="I21" i="4"/>
  <c r="N21" i="4"/>
  <c r="N24" i="4"/>
  <c r="M21" i="4"/>
  <c r="M24" i="4"/>
  <c r="J21" i="4"/>
  <c r="J24" i="4"/>
  <c r="J32" i="4" l="1"/>
  <c r="M31" i="8"/>
  <c r="M32" i="8" s="1"/>
  <c r="K32" i="8"/>
  <c r="J32" i="8"/>
  <c r="H46" i="8"/>
  <c r="E53" i="8" s="1"/>
  <c r="K74" i="8"/>
  <c r="N32" i="8"/>
  <c r="E57" i="8"/>
  <c r="M32" i="4"/>
  <c r="I32" i="4"/>
  <c r="K77" i="4"/>
  <c r="K74" i="4" s="1"/>
  <c r="K79" i="4" s="1"/>
  <c r="N32" i="4"/>
  <c r="H46" i="4"/>
  <c r="E53" i="4" s="1"/>
  <c r="O78" i="4"/>
  <c r="E57" i="4" s="1"/>
  <c r="H33" i="8" l="1"/>
  <c r="E52" i="8" s="1"/>
  <c r="E51" i="8" s="1"/>
  <c r="H33" i="4"/>
  <c r="K79" i="8"/>
  <c r="E56" i="8" s="1"/>
  <c r="K85" i="8"/>
  <c r="K84" i="8" s="1"/>
  <c r="K91" i="8" s="1"/>
  <c r="K85" i="4"/>
  <c r="K84" i="4" s="1"/>
  <c r="K93" i="4" s="1"/>
  <c r="E56" i="4"/>
  <c r="E52" i="4" l="1"/>
  <c r="E51" i="4" s="1"/>
  <c r="E55" i="8"/>
  <c r="E60" i="8" s="1"/>
  <c r="E58" i="8" s="1"/>
  <c r="E55" i="4"/>
  <c r="E60" i="4" l="1"/>
  <c r="I51" i="4" s="1"/>
  <c r="M51" i="8"/>
  <c r="M53" i="8" s="1"/>
  <c r="I51" i="8"/>
  <c r="E58" i="4" l="1"/>
  <c r="M51" i="4"/>
  <c r="M53" i="4" s="1"/>
  <c r="I57" i="4"/>
  <c r="I60" i="4" s="1"/>
  <c r="H107" i="4" s="1"/>
  <c r="I57" i="8"/>
  <c r="I60" i="8" s="1"/>
  <c r="J102" i="8" s="1"/>
</calcChain>
</file>

<file path=xl/sharedStrings.xml><?xml version="1.0" encoding="utf-8"?>
<sst xmlns="http://schemas.openxmlformats.org/spreadsheetml/2006/main" count="775" uniqueCount="253">
  <si>
    <t>Estimated Tax Rate(%)</t>
  </si>
  <si>
    <t>Interest payment</t>
  </si>
  <si>
    <t>Unlevered Free Cash Flow</t>
  </si>
  <si>
    <t>Equity Value</t>
  </si>
  <si>
    <t>``</t>
  </si>
  <si>
    <t>OC Oerlikon</t>
  </si>
  <si>
    <t>DCF Analysis Output Page</t>
  </si>
  <si>
    <t>(chf in millions, fiscal year ending December 31)</t>
  </si>
  <si>
    <t>Unlevered Firm Value</t>
  </si>
  <si>
    <t>Mid-year Convention</t>
  </si>
  <si>
    <t>Y</t>
  </si>
  <si>
    <t>Historical Period</t>
  </si>
  <si>
    <t>CAGR</t>
  </si>
  <si>
    <t>Current</t>
  </si>
  <si>
    <t>Projection Period</t>
  </si>
  <si>
    <t>('18 - '20)</t>
  </si>
  <si>
    <t>Sales</t>
  </si>
  <si>
    <t>% growth</t>
  </si>
  <si>
    <t>Less: Cost of Goods Sold</t>
  </si>
  <si>
    <t>Gross Profit</t>
  </si>
  <si>
    <t>% margin</t>
  </si>
  <si>
    <t>Less: SG&amp;A</t>
  </si>
  <si>
    <t>EBITDA</t>
  </si>
  <si>
    <t>Less: Depreciation &amp; Amortization</t>
  </si>
  <si>
    <t>EBIT</t>
  </si>
  <si>
    <t>Tax</t>
  </si>
  <si>
    <t>EBIAT</t>
  </si>
  <si>
    <t>Plus: Depreciation &amp; Amortization</t>
  </si>
  <si>
    <t>Less: Capital Expenditures</t>
  </si>
  <si>
    <t>Less: Inc./(Dec.) in Net Working Capital</t>
  </si>
  <si>
    <t>All equity finance cost of equity</t>
  </si>
  <si>
    <t>Discount Period</t>
  </si>
  <si>
    <t>Discount Factor</t>
  </si>
  <si>
    <t>Present Value of Free Cash Flow</t>
  </si>
  <si>
    <t>Cumulative Present Value of Free Cash Flow</t>
  </si>
  <si>
    <t>Tax Sheild</t>
  </si>
  <si>
    <t>Tax rate</t>
  </si>
  <si>
    <t>Discounted rate of tax sheild</t>
  </si>
  <si>
    <t xml:space="preserve">Present Value of Tax sheild </t>
  </si>
  <si>
    <t xml:space="preserve">Cumulative Present Value of Tax sheild </t>
  </si>
  <si>
    <t>Enterprise Value</t>
  </si>
  <si>
    <t>Implied Equity Value and Share Price</t>
  </si>
  <si>
    <t>Implied Exit Multiple</t>
  </si>
  <si>
    <t>Cumulative Present Value</t>
  </si>
  <si>
    <t>Terminal Year Enterprice Value</t>
  </si>
  <si>
    <t>Cumulative Present Value of FCF</t>
  </si>
  <si>
    <t>Less: Total Debt</t>
  </si>
  <si>
    <t>of unlevered firm</t>
  </si>
  <si>
    <t>Cumulative Present Value of TS</t>
  </si>
  <si>
    <t>Less: Preferred Stock</t>
  </si>
  <si>
    <t>of tax sheild</t>
  </si>
  <si>
    <t>Less: Noncontrolling Interest</t>
  </si>
  <si>
    <t>Present Value of Terminal Value</t>
  </si>
  <si>
    <t>Plus: Cash and Cash Equivalents</t>
  </si>
  <si>
    <t>Terminal Year EBITDA</t>
  </si>
  <si>
    <t>Implied EV/EBITDA</t>
  </si>
  <si>
    <t>of Tax shield</t>
  </si>
  <si>
    <t>Implied Equity Value</t>
  </si>
  <si>
    <t>% of Enterprise Value</t>
  </si>
  <si>
    <t>Enterprise Value (APV)</t>
  </si>
  <si>
    <t>Implied Share Price</t>
  </si>
  <si>
    <t>LTM EBITDA</t>
  </si>
  <si>
    <t>Cost of capital on unlevered firm</t>
  </si>
  <si>
    <t>Terminal Value of unlevered firm</t>
  </si>
  <si>
    <t>Assumption</t>
  </si>
  <si>
    <t>Maximum debt advantage</t>
  </si>
  <si>
    <t>risk of tax sheild equal to debt</t>
  </si>
  <si>
    <t>Cash flow growth rate</t>
  </si>
  <si>
    <t>Beta of unlevered firm</t>
  </si>
  <si>
    <t>Beta of equity</t>
  </si>
  <si>
    <t>Beta of debt</t>
  </si>
  <si>
    <t>Terminal year cash flow</t>
  </si>
  <si>
    <t>Equity asset ratio</t>
  </si>
  <si>
    <t>Debt asset ratio</t>
  </si>
  <si>
    <t>Terminal Value of Tax shield</t>
  </si>
  <si>
    <t>risk free rate</t>
  </si>
  <si>
    <t>Tax shield growth rate</t>
  </si>
  <si>
    <t>market risk premium</t>
  </si>
  <si>
    <t>Market Capitalization</t>
  </si>
  <si>
    <t>Number of share</t>
  </si>
  <si>
    <t>Current price</t>
  </si>
  <si>
    <t>Debt</t>
  </si>
  <si>
    <t>Terminal year Tax shield</t>
  </si>
  <si>
    <t>Short Term Debt</t>
  </si>
  <si>
    <t>Long Term Debt</t>
  </si>
  <si>
    <t>Present Value of TV Tax Shield</t>
  </si>
  <si>
    <t>Sensitivity Analysis</t>
  </si>
  <si>
    <t>Cost of debt</t>
  </si>
  <si>
    <t>beta of debt</t>
  </si>
  <si>
    <t>Business line 1: Other Machinery &amp; Equipment</t>
  </si>
  <si>
    <t>Name</t>
  </si>
  <si>
    <t>Ticker</t>
  </si>
  <si>
    <t>ROE</t>
  </si>
  <si>
    <t>--</t>
  </si>
  <si>
    <t>PIOVAN SPA</t>
  </si>
  <si>
    <t>KRONES AG</t>
  </si>
  <si>
    <t>VALMET OYJ</t>
  </si>
  <si>
    <t>Median</t>
  </si>
  <si>
    <t>Average</t>
  </si>
  <si>
    <t xml:space="preserve"> </t>
  </si>
  <si>
    <t>Business line 2: Specialty Chemicals</t>
  </si>
  <si>
    <t>ATOTECH LTD</t>
  </si>
  <si>
    <t>COVESTRO AG</t>
  </si>
  <si>
    <t>ARKEMA</t>
  </si>
  <si>
    <t>VICTREX PLC</t>
  </si>
  <si>
    <t>LANXESS AG</t>
  </si>
  <si>
    <t>FUCHS PETROLUB SE</t>
  </si>
  <si>
    <t>TESSENDERLO GROUP</t>
  </si>
  <si>
    <t>CLARIANT AG-REG</t>
  </si>
  <si>
    <t>STABILUS SE</t>
  </si>
  <si>
    <t>Market Valuation</t>
  </si>
  <si>
    <t>BBB+</t>
  </si>
  <si>
    <t>BBB</t>
  </si>
  <si>
    <t>Spread of debt</t>
  </si>
  <si>
    <t>Debt Rating</t>
  </si>
  <si>
    <t>From Monthly regresion on SMI return</t>
  </si>
  <si>
    <t>Firm tax rate</t>
  </si>
  <si>
    <t>1.30B</t>
  </si>
  <si>
    <t>CLN SW</t>
  </si>
  <si>
    <t>SWTQ SW</t>
  </si>
  <si>
    <t>SCHWEITER TECHNOLO</t>
  </si>
  <si>
    <t>TESB BB</t>
  </si>
  <si>
    <t>FPE GR</t>
  </si>
  <si>
    <t>LXS GR</t>
  </si>
  <si>
    <t>VCT LN</t>
  </si>
  <si>
    <t>AKE FP</t>
  </si>
  <si>
    <t>TROX US</t>
  </si>
  <si>
    <t>TRONOX HOLDINGS P</t>
  </si>
  <si>
    <t>1COV GR</t>
  </si>
  <si>
    <t>ATC US</t>
  </si>
  <si>
    <t>OERL SW</t>
  </si>
  <si>
    <t>OC OERLIKON CORP A</t>
  </si>
  <si>
    <t>P/E         Fwd</t>
  </si>
  <si>
    <t>P/E         TTM</t>
  </si>
  <si>
    <t>EV/EBITDA Fwd</t>
  </si>
  <si>
    <t>EV/EBITDA TTM</t>
  </si>
  <si>
    <t>Yes=1</t>
  </si>
  <si>
    <t>FCF Yld</t>
  </si>
  <si>
    <t>Dvidend Yield</t>
  </si>
  <si>
    <t>ROA</t>
  </si>
  <si>
    <t>ROIC</t>
  </si>
  <si>
    <t>EBIT/Int Exp</t>
  </si>
  <si>
    <t>EBITDA/Int Exp</t>
  </si>
  <si>
    <t>Net Debt to EBITDA</t>
  </si>
  <si>
    <t>Debt/EBITDA</t>
  </si>
  <si>
    <t>EPS Growth</t>
  </si>
  <si>
    <t>Trailing 12M EBITDA Growth</t>
  </si>
  <si>
    <t>Sales Growth LTM</t>
  </si>
  <si>
    <t>EBIT Margin (to sales)</t>
  </si>
  <si>
    <t>EBITDA Margin (to Sales)</t>
  </si>
  <si>
    <t>Net Incoe</t>
  </si>
  <si>
    <t>EBITDA Fwd</t>
  </si>
  <si>
    <t>Revenue</t>
  </si>
  <si>
    <t>Beta 5Y</t>
  </si>
  <si>
    <t>EV</t>
  </si>
  <si>
    <t>Share Price</t>
  </si>
  <si>
    <t>VALMT FH</t>
  </si>
  <si>
    <t>EIN3 GR</t>
  </si>
  <si>
    <t>EINHELL GERMANY AG</t>
  </si>
  <si>
    <t>KRN GR</t>
  </si>
  <si>
    <t>PVN IM</t>
  </si>
  <si>
    <t>COM IM</t>
  </si>
  <si>
    <t>COMER INDUSTRIES S</t>
  </si>
  <si>
    <t>BOBNN SW</t>
  </si>
  <si>
    <t>BOBST GROUP SA-RE</t>
  </si>
  <si>
    <t>EPROB SS</t>
  </si>
  <si>
    <t>ELECTROLUX PROFESS</t>
  </si>
  <si>
    <t>JDG LN</t>
  </si>
  <si>
    <t>JUDGES SCIENTIFIC P</t>
  </si>
  <si>
    <t>XANOB SS</t>
  </si>
  <si>
    <t>XANO INDUSTRI AB -</t>
  </si>
  <si>
    <t>RIEN SW</t>
  </si>
  <si>
    <t>RIETER HOLDING AG-</t>
  </si>
  <si>
    <t/>
  </si>
  <si>
    <t>CHR DC</t>
  </si>
  <si>
    <t>CHR HANSEN HOLDIN</t>
  </si>
  <si>
    <t>STM GR</t>
  </si>
  <si>
    <t>Target Multiples</t>
  </si>
  <si>
    <t>COMPS</t>
  </si>
  <si>
    <t>Yield</t>
  </si>
  <si>
    <t>Investment Return</t>
  </si>
  <si>
    <t>Interest Coverage</t>
  </si>
  <si>
    <t>LTM Leverage Ratios</t>
  </si>
  <si>
    <t>Growth</t>
  </si>
  <si>
    <t xml:space="preserve">Profitability </t>
  </si>
  <si>
    <t>Financial Statistics</t>
  </si>
  <si>
    <t>Risk</t>
  </si>
  <si>
    <t>Whole Firms</t>
  </si>
  <si>
    <t xml:space="preserve">Multiple Analysis </t>
  </si>
  <si>
    <t>GF SW</t>
  </si>
  <si>
    <t>FISCHER (GEORG)-RE</t>
  </si>
  <si>
    <t>BCHN SW</t>
  </si>
  <si>
    <t>BURCKHARDT COPR</t>
  </si>
  <si>
    <t>ATCOA SS</t>
  </si>
  <si>
    <t>ATLAS COPCO AB-A S</t>
  </si>
  <si>
    <t>II LN</t>
  </si>
  <si>
    <t>II PLC</t>
  </si>
  <si>
    <t>ROR LN</t>
  </si>
  <si>
    <t>ROTORK PLC</t>
  </si>
  <si>
    <t>INDT SS</t>
  </si>
  <si>
    <t>INDUTRADE AB</t>
  </si>
  <si>
    <t>IP I</t>
  </si>
  <si>
    <t>INTERPUP GROUP S</t>
  </si>
  <si>
    <t>KSB GR</t>
  </si>
  <si>
    <t>KSB SE &amp; CO KGAA</t>
  </si>
  <si>
    <t>AALB NA</t>
  </si>
  <si>
    <t>AALBERTS NV</t>
  </si>
  <si>
    <t>PFV GR</t>
  </si>
  <si>
    <t>PFEIFFER VACUU TE</t>
  </si>
  <si>
    <t>SUN SW</t>
  </si>
  <si>
    <t>SULZER AG-REG</t>
  </si>
  <si>
    <t>P/E              Fwd</t>
  </si>
  <si>
    <t>Debt/Equity</t>
  </si>
  <si>
    <t>EPS Yr Growth</t>
  </si>
  <si>
    <t>Trailing 12 EBITDA Growth</t>
  </si>
  <si>
    <t>Sales Growth LT</t>
  </si>
  <si>
    <t>EBIT argin (to sales)</t>
  </si>
  <si>
    <t>EBITDA argin (to Sales)</t>
  </si>
  <si>
    <t>Net Income</t>
  </si>
  <si>
    <t>Business line 1: flow control equipment</t>
  </si>
  <si>
    <t>UI BB</t>
  </si>
  <si>
    <t>UICORE</t>
  </si>
  <si>
    <t>NK FP</t>
  </si>
  <si>
    <t>IERYS SA</t>
  </si>
  <si>
    <t>Target ultiples</t>
  </si>
  <si>
    <t>LT Leverage Ratios</t>
  </si>
  <si>
    <t xml:space="preserve"> Financial Statistics</t>
  </si>
  <si>
    <t>Multiple Analysis</t>
  </si>
  <si>
    <t>Sulzer</t>
  </si>
  <si>
    <t>Metric</t>
  </si>
  <si>
    <t>Min</t>
  </si>
  <si>
    <t>Max</t>
  </si>
  <si>
    <t>Implied Equity Value and Share Price (LTM)</t>
  </si>
  <si>
    <t>EV/EBITDA (TTM)</t>
  </si>
  <si>
    <t>Overall</t>
  </si>
  <si>
    <t>Implied Equity Value and Share Price (Fwd)</t>
  </si>
  <si>
    <t>EV/EBITDA (Fwd)</t>
  </si>
  <si>
    <t>EV/EBITIAD</t>
  </si>
  <si>
    <t>P/E (TTM)</t>
  </si>
  <si>
    <t>P/E  (Fwd)</t>
  </si>
  <si>
    <t>P/E</t>
  </si>
  <si>
    <t>PV of TV unlevered firm</t>
  </si>
  <si>
    <t>Terminal Value of unlevered CF</t>
    <phoneticPr fontId="7" type="noConversion"/>
  </si>
  <si>
    <t>('22 - '26)</t>
  </si>
  <si>
    <t>P/E              TTM</t>
  </si>
  <si>
    <t>Metric*</t>
  </si>
  <si>
    <t>*using net income from continue operation. Excludinginfluence of spinoff</t>
  </si>
  <si>
    <t>Diluted Weighted Avg Shares</t>
  </si>
  <si>
    <t>Diluted Weighted Avg. Shares</t>
  </si>
  <si>
    <t>**public firm, comparables is itself</t>
  </si>
  <si>
    <t>**US forward looking</t>
  </si>
  <si>
    <t>EBIAT</t>
    <phoneticPr fontId="7" type="noConversion"/>
  </si>
  <si>
    <t>* where t is terminal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</si>
</sst>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CHF&quot;\ * #,##0.00_ ;_ &quot;CHF&quot;\ * \-#,##0.00_ ;_ &quot;CHF&quot;\ * &quot;-&quot;??_ ;_ @_ "/>
    <numFmt numFmtId="43" formatCode="_ * #,##0.00_ ;_ * \-#,##0.00_ ;_ * &quot;-&quot;??_ ;_ @_ "/>
    <numFmt numFmtId="164" formatCode="0.00\x"/>
    <numFmt numFmtId="165" formatCode="&quot;CHF&quot;\ #,##0.00"/>
    <numFmt numFmtId="166" formatCode="0.00_);[Red]\(0.00\)"/>
    <numFmt numFmtId="167" formatCode="0.0%"/>
  </numFmts>
  <fonts count="25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0"/>
      <name val="Calibri"/>
      <family val="2"/>
      <scheme val="minor"/>
    </font>
    <font>
      <sz val="9"/>
      <name val="Arial Unicode MS"/>
      <family val="2"/>
    </font>
    <font>
      <b/>
      <sz val="9"/>
      <name val="Arial Unicode MS"/>
      <family val="2"/>
    </font>
    <font>
      <b/>
      <sz val="10"/>
      <name val="Arial"/>
      <family val="2"/>
    </font>
    <font>
      <sz val="12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000000"/>
      <name val="Calibri"/>
      <family val="2"/>
      <scheme val="minor"/>
    </font>
    <font>
      <b/>
      <sz val="11"/>
      <color theme="0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</font>
    <font>
      <b/>
      <sz val="20"/>
      <color theme="0"/>
      <name val="Calibri"/>
      <family val="2"/>
    </font>
    <font>
      <sz val="12"/>
      <color theme="0"/>
      <name val="Calibri"/>
      <family val="2"/>
    </font>
    <font>
      <b/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B8C2AD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9">
    <xf numFmtId="0" fontId="0" fillId="0" borderId="0">
      <alignment vertical="center"/>
    </xf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0" fontId="10" fillId="9" borderId="0">
      <alignment horizontal="center"/>
    </xf>
  </cellStyleXfs>
  <cellXfs count="208">
    <xf numFmtId="0" fontId="0" fillId="0" borderId="0" xfId="0">
      <alignment vertical="center"/>
    </xf>
    <xf numFmtId="0" fontId="5" fillId="3" borderId="0" xfId="0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5" borderId="1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Alignment="1">
      <alignment horizontal="center" vertical="center"/>
    </xf>
    <xf numFmtId="2" fontId="5" fillId="3" borderId="0" xfId="1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 indent="2"/>
    </xf>
    <xf numFmtId="0" fontId="5" fillId="3" borderId="0" xfId="0" applyFont="1" applyFill="1">
      <alignment vertical="center"/>
    </xf>
    <xf numFmtId="0" fontId="6" fillId="3" borderId="0" xfId="0" applyFont="1" applyFill="1" applyAlignment="1">
      <alignment horizontal="left" vertical="center"/>
    </xf>
    <xf numFmtId="0" fontId="6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 indent="2"/>
    </xf>
    <xf numFmtId="0" fontId="5" fillId="3" borderId="0" xfId="0" applyFont="1" applyFill="1" applyAlignment="1">
      <alignment horizontal="center" vertical="center"/>
    </xf>
    <xf numFmtId="0" fontId="1" fillId="3" borderId="0" xfId="4" applyFill="1" applyAlignment="1">
      <alignment horizontal="center"/>
    </xf>
    <xf numFmtId="164" fontId="1" fillId="3" borderId="0" xfId="4" applyNumberFormat="1" applyFill="1" applyAlignment="1">
      <alignment horizontal="center"/>
    </xf>
    <xf numFmtId="164" fontId="0" fillId="3" borderId="0" xfId="5" applyNumberFormat="1" applyFont="1" applyFill="1" applyAlignment="1">
      <alignment horizontal="center"/>
    </xf>
    <xf numFmtId="1" fontId="1" fillId="3" borderId="0" xfId="4" applyNumberFormat="1" applyFill="1" applyAlignment="1">
      <alignment horizontal="center"/>
    </xf>
    <xf numFmtId="2" fontId="1" fillId="3" borderId="0" xfId="4" applyNumberFormat="1" applyFill="1" applyAlignment="1">
      <alignment horizontal="center"/>
    </xf>
    <xf numFmtId="0" fontId="1" fillId="3" borderId="0" xfId="4" applyFill="1" applyAlignment="1">
      <alignment horizontal="left"/>
    </xf>
    <xf numFmtId="164" fontId="1" fillId="7" borderId="0" xfId="4" applyNumberFormat="1" applyFill="1" applyAlignment="1">
      <alignment horizontal="center"/>
    </xf>
    <xf numFmtId="0" fontId="1" fillId="7" borderId="0" xfId="4" applyFill="1" applyAlignment="1">
      <alignment horizontal="center"/>
    </xf>
    <xf numFmtId="1" fontId="1" fillId="7" borderId="0" xfId="4" applyNumberFormat="1" applyFill="1" applyAlignment="1">
      <alignment horizontal="center"/>
    </xf>
    <xf numFmtId="0" fontId="2" fillId="7" borderId="0" xfId="4" applyFont="1" applyFill="1"/>
    <xf numFmtId="10" fontId="1" fillId="7" borderId="0" xfId="4" applyNumberFormat="1" applyFill="1" applyAlignment="1">
      <alignment horizontal="center"/>
    </xf>
    <xf numFmtId="9" fontId="0" fillId="7" borderId="0" xfId="6" applyFont="1" applyFill="1" applyAlignment="1">
      <alignment horizontal="center"/>
    </xf>
    <xf numFmtId="10" fontId="1" fillId="3" borderId="0" xfId="4" applyNumberFormat="1" applyFill="1" applyAlignment="1">
      <alignment horizontal="center"/>
    </xf>
    <xf numFmtId="0" fontId="2" fillId="3" borderId="0" xfId="4" applyFont="1" applyFill="1" applyAlignment="1">
      <alignment horizontal="left"/>
    </xf>
    <xf numFmtId="0" fontId="2" fillId="7" borderId="0" xfId="4" applyFont="1" applyFill="1" applyAlignment="1">
      <alignment horizontal="left"/>
    </xf>
    <xf numFmtId="0" fontId="9" fillId="3" borderId="0" xfId="7" applyFill="1" applyAlignment="1">
      <alignment horizontal="center" wrapText="1"/>
    </xf>
    <xf numFmtId="164" fontId="11" fillId="3" borderId="7" xfId="8" applyNumberFormat="1" applyFont="1" applyFill="1" applyBorder="1" applyAlignment="1">
      <alignment horizontal="center" wrapText="1"/>
    </xf>
    <xf numFmtId="164" fontId="11" fillId="3" borderId="7" xfId="5" applyNumberFormat="1" applyFont="1" applyFill="1" applyBorder="1" applyAlignment="1" applyProtection="1">
      <alignment horizontal="center" wrapText="1"/>
    </xf>
    <xf numFmtId="0" fontId="11" fillId="3" borderId="0" xfId="8" applyFont="1" applyFill="1" applyAlignment="1">
      <alignment horizontal="center" wrapText="1"/>
    </xf>
    <xf numFmtId="1" fontId="11" fillId="3" borderId="7" xfId="8" applyNumberFormat="1" applyFont="1" applyFill="1" applyBorder="1" applyAlignment="1">
      <alignment horizontal="center" wrapText="1"/>
    </xf>
    <xf numFmtId="0" fontId="11" fillId="3" borderId="7" xfId="8" applyFont="1" applyFill="1" applyBorder="1" applyAlignment="1">
      <alignment horizontal="center" wrapText="1"/>
    </xf>
    <xf numFmtId="2" fontId="11" fillId="3" borderId="7" xfId="8" applyNumberFormat="1" applyFont="1" applyFill="1" applyBorder="1" applyAlignment="1">
      <alignment horizontal="center" wrapText="1"/>
    </xf>
    <xf numFmtId="0" fontId="11" fillId="3" borderId="0" xfId="8" applyFont="1" applyFill="1" applyAlignment="1">
      <alignment horizontal="left" wrapText="1"/>
    </xf>
    <xf numFmtId="0" fontId="11" fillId="3" borderId="7" xfId="8" applyFont="1" applyFill="1" applyBorder="1" applyAlignment="1">
      <alignment horizontal="left" wrapText="1"/>
    </xf>
    <xf numFmtId="0" fontId="1" fillId="3" borderId="0" xfId="4" applyFill="1" applyAlignment="1">
      <alignment horizontal="center"/>
    </xf>
    <xf numFmtId="0" fontId="8" fillId="2" borderId="0" xfId="4" applyFont="1" applyFill="1" applyAlignment="1">
      <alignment horizontal="center"/>
    </xf>
    <xf numFmtId="0" fontId="8" fillId="2" borderId="0" xfId="4" applyFont="1" applyFill="1" applyAlignment="1">
      <alignment horizontal="left"/>
    </xf>
    <xf numFmtId="0" fontId="1" fillId="2" borderId="0" xfId="4" applyFill="1" applyAlignment="1">
      <alignment horizontal="center"/>
    </xf>
    <xf numFmtId="164" fontId="1" fillId="3" borderId="0" xfId="5" quotePrefix="1" applyNumberFormat="1" applyFont="1" applyFill="1" applyAlignment="1">
      <alignment horizontal="center"/>
    </xf>
    <xf numFmtId="0" fontId="8" fillId="3" borderId="0" xfId="4" applyFont="1" applyFill="1" applyAlignment="1">
      <alignment horizontal="center"/>
    </xf>
    <xf numFmtId="1" fontId="8" fillId="8" borderId="0" xfId="4" applyNumberFormat="1" applyFont="1" applyFill="1" applyAlignment="1">
      <alignment horizontal="center"/>
    </xf>
    <xf numFmtId="0" fontId="8" fillId="3" borderId="0" xfId="4" applyFont="1" applyFill="1"/>
    <xf numFmtId="0" fontId="8" fillId="8" borderId="0" xfId="4" applyFont="1" applyFill="1" applyAlignment="1">
      <alignment horizontal="center"/>
    </xf>
    <xf numFmtId="0" fontId="9" fillId="3" borderId="0" xfId="7" applyFill="1" applyAlignment="1">
      <alignment horizontal="center"/>
    </xf>
    <xf numFmtId="0" fontId="11" fillId="3" borderId="0" xfId="8" applyFont="1" applyFill="1">
      <alignment horizontal="center"/>
    </xf>
    <xf numFmtId="0" fontId="2" fillId="3" borderId="0" xfId="4" applyFont="1" applyFill="1"/>
    <xf numFmtId="0" fontId="1" fillId="3" borderId="0" xfId="4" applyFill="1"/>
    <xf numFmtId="10" fontId="14" fillId="7" borderId="0" xfId="4" applyNumberFormat="1" applyFont="1" applyFill="1" applyAlignment="1">
      <alignment horizontal="center"/>
    </xf>
    <xf numFmtId="0" fontId="14" fillId="7" borderId="0" xfId="4" applyFont="1" applyFill="1" applyAlignment="1">
      <alignment horizontal="center"/>
    </xf>
    <xf numFmtId="2" fontId="1" fillId="7" borderId="0" xfId="4" applyNumberFormat="1" applyFill="1" applyAlignment="1">
      <alignment horizontal="center"/>
    </xf>
    <xf numFmtId="2" fontId="14" fillId="7" borderId="0" xfId="4" applyNumberFormat="1" applyFont="1" applyFill="1" applyAlignment="1">
      <alignment horizontal="center"/>
    </xf>
    <xf numFmtId="166" fontId="0" fillId="7" borderId="0" xfId="6" applyNumberFormat="1" applyFont="1" applyFill="1" applyAlignment="1">
      <alignment horizontal="center"/>
    </xf>
    <xf numFmtId="0" fontId="14" fillId="3" borderId="0" xfId="4" applyFont="1" applyFill="1" applyAlignment="1">
      <alignment horizontal="center"/>
    </xf>
    <xf numFmtId="0" fontId="1" fillId="3" borderId="7" xfId="4" applyFill="1" applyBorder="1" applyAlignment="1">
      <alignment horizontal="center"/>
    </xf>
    <xf numFmtId="0" fontId="8" fillId="3" borderId="0" xfId="4" applyFont="1" applyFill="1" applyAlignment="1">
      <alignment horizontal="right"/>
    </xf>
    <xf numFmtId="0" fontId="11" fillId="3" borderId="0" xfId="8" applyFont="1" applyFill="1" applyAlignment="1">
      <alignment horizontal="right" wrapText="1"/>
    </xf>
    <xf numFmtId="0" fontId="2" fillId="3" borderId="0" xfId="4" applyFont="1" applyFill="1" applyAlignment="1">
      <alignment horizontal="right"/>
    </xf>
    <xf numFmtId="10" fontId="2" fillId="3" borderId="0" xfId="4" applyNumberFormat="1" applyFont="1" applyFill="1" applyAlignment="1">
      <alignment horizontal="right"/>
    </xf>
    <xf numFmtId="0" fontId="15" fillId="11" borderId="0" xfId="0" applyFont="1" applyFill="1" applyAlignment="1">
      <alignment horizontal="right"/>
    </xf>
    <xf numFmtId="0" fontId="2" fillId="7" borderId="0" xfId="4" applyFont="1" applyFill="1" applyAlignment="1">
      <alignment horizontal="right"/>
    </xf>
    <xf numFmtId="0" fontId="1" fillId="3" borderId="0" xfId="4" applyFill="1" applyBorder="1" applyAlignment="1">
      <alignment horizontal="center"/>
    </xf>
    <xf numFmtId="0" fontId="5" fillId="3" borderId="0" xfId="0" applyFont="1" applyFill="1" applyBorder="1" applyAlignment="1">
      <alignment horizontal="left" vertical="center" indent="2"/>
    </xf>
    <xf numFmtId="2" fontId="5" fillId="3" borderId="0" xfId="1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center" indent="2"/>
    </xf>
    <xf numFmtId="165" fontId="5" fillId="5" borderId="9" xfId="0" applyNumberFormat="1" applyFont="1" applyFill="1" applyBorder="1" applyAlignment="1">
      <alignment horizontal="center" vertical="center"/>
    </xf>
    <xf numFmtId="164" fontId="1" fillId="3" borderId="0" xfId="4" applyNumberFormat="1" applyFont="1" applyFill="1" applyAlignment="1">
      <alignment horizontal="center"/>
    </xf>
    <xf numFmtId="0" fontId="8" fillId="3" borderId="0" xfId="4" applyFont="1" applyFill="1" applyAlignment="1">
      <alignment horizontal="left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6" fillId="3" borderId="0" xfId="0" applyFont="1" applyFill="1" applyBorder="1" applyAlignment="1">
      <alignment horizontal="left" vertical="center"/>
    </xf>
    <xf numFmtId="0" fontId="1" fillId="3" borderId="0" xfId="4" applyFill="1" applyAlignment="1">
      <alignment horizont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0" xfId="0" applyFill="1">
      <alignment vertical="center"/>
    </xf>
    <xf numFmtId="1" fontId="14" fillId="3" borderId="0" xfId="4" applyNumberFormat="1" applyFont="1" applyFill="1" applyAlignment="1">
      <alignment horizontal="center"/>
    </xf>
    <xf numFmtId="0" fontId="16" fillId="8" borderId="0" xfId="4" applyFont="1" applyFill="1" applyAlignment="1">
      <alignment horizontal="center"/>
    </xf>
    <xf numFmtId="1" fontId="16" fillId="8" borderId="0" xfId="4" applyNumberFormat="1" applyFont="1" applyFill="1" applyAlignment="1">
      <alignment horizontal="center"/>
    </xf>
    <xf numFmtId="10" fontId="14" fillId="3" borderId="0" xfId="4" applyNumberFormat="1" applyFont="1" applyFill="1" applyAlignment="1">
      <alignment horizontal="center"/>
    </xf>
    <xf numFmtId="0" fontId="14" fillId="3" borderId="0" xfId="4" applyFont="1" applyFill="1" applyAlignment="1">
      <alignment horizontal="left"/>
    </xf>
    <xf numFmtId="0" fontId="16" fillId="2" borderId="0" xfId="4" applyFont="1" applyFill="1" applyAlignment="1">
      <alignment horizontal="left"/>
    </xf>
    <xf numFmtId="0" fontId="17" fillId="7" borderId="0" xfId="4" applyFont="1" applyFill="1" applyAlignment="1">
      <alignment horizontal="left"/>
    </xf>
    <xf numFmtId="0" fontId="17" fillId="3" borderId="0" xfId="4" applyFont="1" applyFill="1"/>
    <xf numFmtId="0" fontId="18" fillId="3" borderId="0" xfId="0" applyFont="1" applyFill="1">
      <alignment vertical="center"/>
    </xf>
    <xf numFmtId="0" fontId="18" fillId="3" borderId="0" xfId="0" applyFont="1" applyFill="1" applyAlignment="1">
      <alignment horizontal="center" vertical="center"/>
    </xf>
    <xf numFmtId="0" fontId="18" fillId="3" borderId="0" xfId="0" applyFont="1" applyFill="1" applyBorder="1" applyAlignment="1">
      <alignment horizontal="center" vertical="center"/>
    </xf>
    <xf numFmtId="0" fontId="20" fillId="2" borderId="0" xfId="0" applyFont="1" applyFill="1">
      <alignment vertical="center"/>
    </xf>
    <xf numFmtId="0" fontId="20" fillId="2" borderId="0" xfId="0" applyFont="1" applyFill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10" fontId="18" fillId="3" borderId="2" xfId="0" applyNumberFormat="1" applyFont="1" applyFill="1" applyBorder="1" applyAlignment="1">
      <alignment horizontal="center" vertical="center"/>
    </xf>
    <xf numFmtId="10" fontId="18" fillId="3" borderId="0" xfId="2" applyNumberFormat="1" applyFont="1" applyFill="1" applyAlignment="1">
      <alignment horizontal="center" vertical="center"/>
    </xf>
    <xf numFmtId="10" fontId="22" fillId="3" borderId="0" xfId="0" applyNumberFormat="1" applyFont="1" applyFill="1" applyBorder="1" applyAlignment="1">
      <alignment horizontal="center" vertical="center"/>
    </xf>
    <xf numFmtId="9" fontId="22" fillId="3" borderId="0" xfId="2" applyFont="1" applyFill="1" applyBorder="1" applyAlignment="1">
      <alignment horizontal="center" vertical="center"/>
    </xf>
    <xf numFmtId="9" fontId="22" fillId="3" borderId="0" xfId="2" applyFont="1" applyFill="1" applyAlignment="1">
      <alignment horizontal="center" vertical="center"/>
    </xf>
    <xf numFmtId="0" fontId="22" fillId="3" borderId="0" xfId="0" applyFont="1" applyFill="1">
      <alignment vertical="center"/>
    </xf>
    <xf numFmtId="10" fontId="18" fillId="3" borderId="0" xfId="0" applyNumberFormat="1" applyFont="1" applyFill="1" applyBorder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10" fontId="22" fillId="3" borderId="0" xfId="0" applyNumberFormat="1" applyFont="1" applyFill="1" applyAlignment="1">
      <alignment horizontal="center" vertical="center"/>
    </xf>
    <xf numFmtId="10" fontId="18" fillId="3" borderId="0" xfId="0" applyNumberFormat="1" applyFont="1" applyFill="1" applyAlignment="1">
      <alignment horizontal="center" vertical="center"/>
    </xf>
    <xf numFmtId="9" fontId="22" fillId="3" borderId="7" xfId="2" applyFont="1" applyFill="1" applyBorder="1" applyAlignment="1">
      <alignment horizontal="center" vertical="center"/>
    </xf>
    <xf numFmtId="0" fontId="21" fillId="3" borderId="0" xfId="0" applyFont="1" applyFill="1">
      <alignment vertical="center"/>
    </xf>
    <xf numFmtId="10" fontId="18" fillId="5" borderId="0" xfId="0" applyNumberFormat="1" applyFont="1" applyFill="1" applyAlignment="1">
      <alignment horizontal="center" vertical="center"/>
    </xf>
    <xf numFmtId="2" fontId="18" fillId="3" borderId="0" xfId="0" applyNumberFormat="1" applyFont="1" applyFill="1" applyAlignment="1">
      <alignment horizontal="center" vertical="center"/>
    </xf>
    <xf numFmtId="0" fontId="21" fillId="5" borderId="0" xfId="0" applyFont="1" applyFill="1">
      <alignment vertical="center"/>
    </xf>
    <xf numFmtId="0" fontId="18" fillId="5" borderId="0" xfId="0" applyFont="1" applyFill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2" fontId="18" fillId="5" borderId="2" xfId="0" applyNumberFormat="1" applyFont="1" applyFill="1" applyBorder="1" applyAlignment="1">
      <alignment horizontal="center" vertical="center"/>
    </xf>
    <xf numFmtId="2" fontId="18" fillId="3" borderId="0" xfId="0" applyNumberFormat="1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2" fontId="18" fillId="3" borderId="2" xfId="0" applyNumberFormat="1" applyFont="1" applyFill="1" applyBorder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18" fillId="7" borderId="0" xfId="0" applyFont="1" applyFill="1" applyBorder="1" applyAlignment="1">
      <alignment horizontal="center" vertical="center"/>
    </xf>
    <xf numFmtId="2" fontId="18" fillId="7" borderId="2" xfId="0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horizontal="left" vertical="center" indent="2"/>
    </xf>
    <xf numFmtId="165" fontId="18" fillId="3" borderId="0" xfId="0" applyNumberFormat="1" applyFont="1" applyFill="1" applyBorder="1" applyAlignment="1">
      <alignment horizontal="center" vertical="center"/>
    </xf>
    <xf numFmtId="165" fontId="18" fillId="3" borderId="0" xfId="0" applyNumberFormat="1" applyFont="1" applyFill="1" applyAlignment="1">
      <alignment horizontal="center" vertical="center"/>
    </xf>
    <xf numFmtId="2" fontId="18" fillId="3" borderId="0" xfId="1" applyNumberFormat="1" applyFont="1" applyFill="1" applyAlignment="1">
      <alignment horizontal="center" vertical="center"/>
    </xf>
    <xf numFmtId="164" fontId="18" fillId="5" borderId="1" xfId="0" applyNumberFormat="1" applyFont="1" applyFill="1" applyBorder="1" applyAlignment="1">
      <alignment horizontal="center" vertical="center"/>
    </xf>
    <xf numFmtId="165" fontId="18" fillId="5" borderId="1" xfId="0" applyNumberFormat="1" applyFont="1" applyFill="1" applyBorder="1" applyAlignment="1">
      <alignment horizontal="center" vertical="center"/>
    </xf>
    <xf numFmtId="9" fontId="18" fillId="3" borderId="0" xfId="2" applyFont="1" applyFill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12" borderId="0" xfId="0" applyFont="1" applyFill="1" applyAlignment="1">
      <alignment horizontal="left" vertical="center"/>
    </xf>
    <xf numFmtId="0" fontId="18" fillId="0" borderId="0" xfId="0" applyFont="1" applyAlignment="1">
      <alignment horizontal="center" vertical="center"/>
    </xf>
    <xf numFmtId="165" fontId="18" fillId="3" borderId="0" xfId="1" applyNumberFormat="1" applyFont="1" applyFill="1" applyAlignment="1">
      <alignment horizontal="center" vertical="center"/>
    </xf>
    <xf numFmtId="10" fontId="18" fillId="3" borderId="0" xfId="0" applyNumberFormat="1" applyFont="1" applyFill="1">
      <alignment vertical="center"/>
    </xf>
    <xf numFmtId="0" fontId="18" fillId="3" borderId="0" xfId="0" applyFont="1" applyFill="1" applyAlignment="1">
      <alignment vertical="center"/>
    </xf>
    <xf numFmtId="0" fontId="18" fillId="3" borderId="0" xfId="0" applyFont="1" applyFill="1" applyAlignment="1">
      <alignment horizontal="left" vertical="center"/>
    </xf>
    <xf numFmtId="9" fontId="18" fillId="3" borderId="0" xfId="0" applyNumberFormat="1" applyFont="1" applyFill="1" applyAlignment="1">
      <alignment horizontal="center" vertical="center"/>
    </xf>
    <xf numFmtId="0" fontId="18" fillId="3" borderId="0" xfId="0" applyFont="1" applyFill="1" applyBorder="1" applyAlignment="1">
      <alignment horizontal="left" vertical="center"/>
    </xf>
    <xf numFmtId="2" fontId="21" fillId="5" borderId="0" xfId="3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vertical="top"/>
    </xf>
    <xf numFmtId="2" fontId="18" fillId="5" borderId="0" xfId="0" applyNumberFormat="1" applyFont="1" applyFill="1" applyAlignment="1">
      <alignment horizontal="center" vertical="center"/>
    </xf>
    <xf numFmtId="0" fontId="24" fillId="3" borderId="0" xfId="0" applyFont="1" applyFill="1" applyAlignment="1">
      <alignment vertical="center"/>
    </xf>
    <xf numFmtId="0" fontId="21" fillId="3" borderId="0" xfId="0" applyFont="1" applyFill="1" applyAlignment="1">
      <alignment horizontal="left" vertical="center"/>
    </xf>
    <xf numFmtId="2" fontId="21" fillId="3" borderId="0" xfId="3" applyNumberFormat="1" applyFont="1" applyFill="1" applyBorder="1" applyAlignment="1">
      <alignment horizontal="center" vertical="center"/>
    </xf>
    <xf numFmtId="2" fontId="18" fillId="3" borderId="0" xfId="3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horizontal="left" vertical="center" indent="4"/>
    </xf>
    <xf numFmtId="10" fontId="18" fillId="3" borderId="0" xfId="2" applyNumberFormat="1" applyFont="1" applyFill="1" applyBorder="1" applyAlignment="1">
      <alignment horizontal="center" vertical="center"/>
    </xf>
    <xf numFmtId="10" fontId="18" fillId="5" borderId="0" xfId="2" applyNumberFormat="1" applyFont="1" applyFill="1" applyBorder="1" applyAlignment="1">
      <alignment horizontal="center" vertical="center"/>
    </xf>
    <xf numFmtId="10" fontId="18" fillId="7" borderId="8" xfId="2" applyNumberFormat="1" applyFont="1" applyFill="1" applyBorder="1" applyAlignment="1">
      <alignment horizontal="center" vertical="center"/>
    </xf>
    <xf numFmtId="165" fontId="18" fillId="7" borderId="0" xfId="0" applyNumberFormat="1" applyFont="1" applyFill="1" applyAlignment="1">
      <alignment horizontal="center" vertical="center"/>
    </xf>
    <xf numFmtId="10" fontId="18" fillId="5" borderId="0" xfId="2" applyNumberFormat="1" applyFont="1" applyFill="1" applyAlignment="1">
      <alignment horizontal="center" vertical="center"/>
    </xf>
    <xf numFmtId="165" fontId="18" fillId="13" borderId="0" xfId="0" applyNumberFormat="1" applyFont="1" applyFill="1" applyAlignment="1">
      <alignment horizontal="center" vertical="center"/>
    </xf>
    <xf numFmtId="10" fontId="18" fillId="7" borderId="7" xfId="2" applyNumberFormat="1" applyFont="1" applyFill="1" applyBorder="1" applyAlignment="1">
      <alignment horizontal="center" vertical="center"/>
    </xf>
    <xf numFmtId="10" fontId="18" fillId="7" borderId="8" xfId="0" applyNumberFormat="1" applyFont="1" applyFill="1" applyBorder="1" applyAlignment="1">
      <alignment horizontal="center" vertical="center"/>
    </xf>
    <xf numFmtId="165" fontId="18" fillId="6" borderId="0" xfId="0" applyNumberFormat="1" applyFont="1" applyFill="1" applyAlignment="1">
      <alignment horizontal="center" vertical="center"/>
    </xf>
    <xf numFmtId="0" fontId="18" fillId="3" borderId="0" xfId="0" applyFont="1" applyFill="1" applyAlignment="1">
      <alignment horizontal="left" vertical="center"/>
    </xf>
    <xf numFmtId="0" fontId="18" fillId="3" borderId="0" xfId="0" applyFont="1" applyFill="1" applyAlignment="1">
      <alignment vertical="center"/>
    </xf>
    <xf numFmtId="167" fontId="18" fillId="7" borderId="7" xfId="2" applyNumberFormat="1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left" vertical="center" indent="2"/>
    </xf>
    <xf numFmtId="0" fontId="21" fillId="3" borderId="0" xfId="0" applyFont="1" applyFill="1">
      <alignment vertical="center"/>
    </xf>
    <xf numFmtId="0" fontId="19" fillId="2" borderId="0" xfId="0" applyFont="1" applyFill="1">
      <alignment vertical="center"/>
    </xf>
    <xf numFmtId="0" fontId="20" fillId="2" borderId="0" xfId="0" applyFont="1" applyFill="1" applyAlignment="1">
      <alignment horizontal="left" vertical="center"/>
    </xf>
    <xf numFmtId="0" fontId="21" fillId="3" borderId="1" xfId="0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left" vertical="center" indent="2"/>
    </xf>
    <xf numFmtId="0" fontId="18" fillId="3" borderId="0" xfId="0" applyFont="1" applyFill="1">
      <alignment vertical="center"/>
    </xf>
    <xf numFmtId="0" fontId="21" fillId="5" borderId="0" xfId="0" applyFont="1" applyFill="1" applyAlignment="1">
      <alignment horizontal="center" vertical="center"/>
    </xf>
    <xf numFmtId="0" fontId="21" fillId="3" borderId="0" xfId="0" applyFont="1" applyFill="1" applyBorder="1">
      <alignment vertical="center"/>
    </xf>
    <xf numFmtId="0" fontId="21" fillId="3" borderId="0" xfId="0" applyFont="1" applyFill="1" applyAlignment="1">
      <alignment horizontal="left" vertical="center"/>
    </xf>
    <xf numFmtId="0" fontId="18" fillId="3" borderId="0" xfId="0" applyFont="1" applyFill="1" applyAlignment="1">
      <alignment horizontal="left" vertical="center" indent="2"/>
    </xf>
    <xf numFmtId="0" fontId="22" fillId="3" borderId="0" xfId="0" applyFont="1" applyFill="1">
      <alignment vertical="center"/>
    </xf>
    <xf numFmtId="0" fontId="21" fillId="3" borderId="3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18" fillId="3" borderId="0" xfId="0" applyFont="1" applyFill="1" applyAlignment="1">
      <alignment horizontal="left" vertical="center" indent="4"/>
    </xf>
    <xf numFmtId="0" fontId="18" fillId="3" borderId="0" xfId="0" applyFont="1" applyFill="1" applyAlignment="1">
      <alignment horizontal="left" vertical="center"/>
    </xf>
    <xf numFmtId="0" fontId="18" fillId="3" borderId="0" xfId="0" applyFont="1" applyFill="1" applyAlignment="1">
      <alignment horizontal="center" vertical="center"/>
    </xf>
    <xf numFmtId="0" fontId="21" fillId="3" borderId="0" xfId="0" applyFont="1" applyFill="1" applyAlignment="1">
      <alignment horizontal="left" vertical="center" indent="2"/>
    </xf>
    <xf numFmtId="0" fontId="21" fillId="3" borderId="0" xfId="0" applyFont="1" applyFill="1" applyBorder="1" applyAlignment="1">
      <alignment horizontal="left" vertical="center"/>
    </xf>
    <xf numFmtId="0" fontId="18" fillId="3" borderId="0" xfId="0" applyFont="1" applyFill="1" applyBorder="1" applyAlignment="1">
      <alignment horizontal="left" vertical="center"/>
    </xf>
    <xf numFmtId="10" fontId="21" fillId="5" borderId="0" xfId="0" applyNumberFormat="1" applyFont="1" applyFill="1" applyAlignment="1">
      <alignment horizontal="center" vertical="center"/>
    </xf>
    <xf numFmtId="0" fontId="18" fillId="3" borderId="0" xfId="0" applyFont="1" applyFill="1" applyAlignment="1">
      <alignment horizontal="center" vertical="center" textRotation="90" wrapText="1"/>
    </xf>
    <xf numFmtId="0" fontId="18" fillId="3" borderId="3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0" fontId="18" fillId="3" borderId="6" xfId="0" applyFont="1" applyFill="1" applyBorder="1" applyAlignment="1">
      <alignment horizontal="center" vertical="center"/>
    </xf>
    <xf numFmtId="0" fontId="18" fillId="3" borderId="0" xfId="0" applyFont="1" applyFill="1" applyAlignment="1">
      <alignment vertical="top"/>
    </xf>
    <xf numFmtId="0" fontId="18" fillId="3" borderId="0" xfId="0" applyFont="1" applyFill="1" applyAlignment="1">
      <alignment vertical="center"/>
    </xf>
    <xf numFmtId="0" fontId="24" fillId="3" borderId="0" xfId="0" applyFont="1" applyFill="1" applyAlignment="1">
      <alignment vertical="center"/>
    </xf>
    <xf numFmtId="0" fontId="21" fillId="7" borderId="0" xfId="0" applyFont="1" applyFill="1" applyAlignment="1">
      <alignment horizontal="left" vertical="center"/>
    </xf>
    <xf numFmtId="0" fontId="8" fillId="8" borderId="0" xfId="4" applyFont="1" applyFill="1" applyAlignment="1">
      <alignment horizontal="center"/>
    </xf>
    <xf numFmtId="0" fontId="3" fillId="2" borderId="0" xfId="4" applyFont="1" applyFill="1" applyAlignment="1">
      <alignment vertical="center"/>
    </xf>
    <xf numFmtId="0" fontId="4" fillId="2" borderId="0" xfId="4" applyFont="1" applyFill="1" applyAlignment="1">
      <alignment horizontal="left" vertical="center"/>
    </xf>
    <xf numFmtId="0" fontId="4" fillId="2" borderId="0" xfId="4" applyFont="1" applyFill="1" applyAlignment="1">
      <alignment vertical="center"/>
    </xf>
    <xf numFmtId="164" fontId="8" fillId="8" borderId="0" xfId="4" applyNumberFormat="1" applyFont="1" applyFill="1" applyAlignment="1">
      <alignment horizontal="center"/>
    </xf>
    <xf numFmtId="0" fontId="1" fillId="3" borderId="0" xfId="4" applyFill="1" applyAlignment="1">
      <alignment horizontal="center"/>
    </xf>
    <xf numFmtId="0" fontId="1" fillId="3" borderId="3" xfId="4" applyFill="1" applyBorder="1" applyAlignment="1">
      <alignment horizontal="center" vertical="center"/>
    </xf>
    <xf numFmtId="0" fontId="1" fillId="3" borderId="2" xfId="4" applyFill="1" applyBorder="1" applyAlignment="1">
      <alignment horizontal="center" vertical="center"/>
    </xf>
    <xf numFmtId="0" fontId="1" fillId="3" borderId="4" xfId="4" applyFill="1" applyBorder="1" applyAlignment="1">
      <alignment horizontal="center" vertical="center"/>
    </xf>
    <xf numFmtId="0" fontId="1" fillId="3" borderId="5" xfId="4" applyFill="1" applyBorder="1" applyAlignment="1">
      <alignment horizontal="center" vertical="center"/>
    </xf>
    <xf numFmtId="0" fontId="1" fillId="3" borderId="7" xfId="4" applyFill="1" applyBorder="1" applyAlignment="1">
      <alignment horizontal="center" vertical="center"/>
    </xf>
    <xf numFmtId="0" fontId="1" fillId="3" borderId="6" xfId="4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3" fillId="10" borderId="0" xfId="4" applyFont="1" applyFill="1" applyAlignment="1">
      <alignment vertical="center"/>
    </xf>
    <xf numFmtId="0" fontId="12" fillId="10" borderId="0" xfId="4" applyFont="1" applyFill="1" applyAlignment="1">
      <alignment horizontal="left" vertical="center"/>
    </xf>
    <xf numFmtId="0" fontId="12" fillId="10" borderId="0" xfId="4" applyFont="1" applyFill="1" applyAlignment="1">
      <alignment vertical="center"/>
    </xf>
    <xf numFmtId="0" fontId="16" fillId="8" borderId="0" xfId="4" applyFont="1" applyFill="1" applyAlignment="1">
      <alignment horizontal="center"/>
    </xf>
    <xf numFmtId="0" fontId="14" fillId="3" borderId="0" xfId="4" applyFont="1" applyFill="1" applyAlignment="1">
      <alignment horizontal="center"/>
    </xf>
  </cellXfs>
  <cellStyles count="9">
    <cellStyle name="Comma" xfId="3" builtinId="3"/>
    <cellStyle name="Comma 2" xfId="5" xr:uid="{F9FF2BC9-2552-7147-BD29-D6133385BADD}"/>
    <cellStyle name="Currency" xfId="1" builtinId="4"/>
    <cellStyle name="defaultsheetstyle" xfId="7" xr:uid="{58351D61-70C8-F541-A735-595E22B97685}"/>
    <cellStyle name="Normal" xfId="0" builtinId="0"/>
    <cellStyle name="Normal 2" xfId="4" xr:uid="{6B89ABE8-2A85-8746-838E-24B09D726B66}"/>
    <cellStyle name="Per cent" xfId="2" builtinId="5"/>
    <cellStyle name="Per cent 2" xfId="6" xr:uid="{042F2C88-06D7-E641-BA68-1978201BB3E0}"/>
    <cellStyle name="tablesubHeader" xfId="8" xr:uid="{1602B0DC-66FF-634E-ADF0-7E8545547D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41798</xdr:colOff>
      <xdr:row>2</xdr:row>
      <xdr:rowOff>25400</xdr:rowOff>
    </xdr:from>
    <xdr:to>
      <xdr:col>10</xdr:col>
      <xdr:colOff>800100</xdr:colOff>
      <xdr:row>28</xdr:row>
      <xdr:rowOff>25358</xdr:rowOff>
    </xdr:to>
    <xdr:pic>
      <xdr:nvPicPr>
        <xdr:cNvPr id="4" name="图片 1">
          <a:extLst>
            <a:ext uri="{FF2B5EF4-FFF2-40B4-BE49-F238E27FC236}">
              <a16:creationId xmlns:a16="http://schemas.microsoft.com/office/drawing/2014/main" id="{7E089F50-56A5-43CB-DF6D-88080A254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98" y="406400"/>
          <a:ext cx="9013302" cy="5283158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34</xdr:row>
      <xdr:rowOff>0</xdr:rowOff>
    </xdr:from>
    <xdr:to>
      <xdr:col>13</xdr:col>
      <xdr:colOff>736600</xdr:colOff>
      <xdr:row>58</xdr:row>
      <xdr:rowOff>27922</xdr:rowOff>
    </xdr:to>
    <xdr:pic>
      <xdr:nvPicPr>
        <xdr:cNvPr id="7" name="图片 2">
          <a:extLst>
            <a:ext uri="{FF2B5EF4-FFF2-40B4-BE49-F238E27FC236}">
              <a16:creationId xmlns:a16="http://schemas.microsoft.com/office/drawing/2014/main" id="{A8BCDB95-B7C1-4A0C-2322-851689F03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0" y="6477000"/>
          <a:ext cx="11455400" cy="49047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534555</xdr:colOff>
      <xdr:row>92</xdr:row>
      <xdr:rowOff>197098</xdr:rowOff>
    </xdr:from>
    <xdr:to>
      <xdr:col>4</xdr:col>
      <xdr:colOff>432955</xdr:colOff>
      <xdr:row>94</xdr:row>
      <xdr:rowOff>128975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730E19-EF5D-3140-BB9C-091D6408F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9755" y="19272498"/>
          <a:ext cx="2311400" cy="354773"/>
        </a:xfrm>
        <a:prstGeom prst="rect">
          <a:avLst/>
        </a:prstGeom>
      </xdr:spPr>
    </xdr:pic>
    <xdr:clientData/>
  </xdr:twoCellAnchor>
  <xdr:twoCellAnchor editAs="oneCell">
    <xdr:from>
      <xdr:col>2</xdr:col>
      <xdr:colOff>698500</xdr:colOff>
      <xdr:row>70</xdr:row>
      <xdr:rowOff>114300</xdr:rowOff>
    </xdr:from>
    <xdr:to>
      <xdr:col>4</xdr:col>
      <xdr:colOff>673100</xdr:colOff>
      <xdr:row>72</xdr:row>
      <xdr:rowOff>107044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CFB0D2-3ACB-C547-AE9C-799F46D1D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33700" y="14719300"/>
          <a:ext cx="2387600" cy="428340"/>
        </a:xfrm>
        <a:prstGeom prst="rect">
          <a:avLst/>
        </a:prstGeom>
      </xdr:spPr>
    </xdr:pic>
    <xdr:clientData/>
  </xdr:twoCellAnchor>
  <xdr:twoCellAnchor editAs="oneCell">
    <xdr:from>
      <xdr:col>8</xdr:col>
      <xdr:colOff>771256</xdr:colOff>
      <xdr:row>70</xdr:row>
      <xdr:rowOff>92775</xdr:rowOff>
    </xdr:from>
    <xdr:to>
      <xdr:col>10</xdr:col>
      <xdr:colOff>236779</xdr:colOff>
      <xdr:row>72</xdr:row>
      <xdr:rowOff>118612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8DA95C5-51B0-8C4B-8D92-3D1AF0781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18629" y="14783877"/>
          <a:ext cx="1262896" cy="434820"/>
        </a:xfrm>
        <a:prstGeom prst="rect">
          <a:avLst/>
        </a:prstGeom>
      </xdr:spPr>
    </xdr:pic>
    <xdr:clientData/>
  </xdr:twoCellAnchor>
  <xdr:oneCellAnchor>
    <xdr:from>
      <xdr:col>12</xdr:col>
      <xdr:colOff>1104900</xdr:colOff>
      <xdr:row>70</xdr:row>
      <xdr:rowOff>114300</xdr:rowOff>
    </xdr:from>
    <xdr:ext cx="1384300" cy="502073"/>
    <xdr:pic>
      <xdr:nvPicPr>
        <xdr:cNvPr id="22" name="Picture 5">
          <a:extLst>
            <a:ext uri="{FF2B5EF4-FFF2-40B4-BE49-F238E27FC236}">
              <a16:creationId xmlns:a16="http://schemas.microsoft.com/office/drawing/2014/main" id="{1BABB877-3426-6A45-A884-27C10B7CD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79100" y="18986500"/>
          <a:ext cx="1384300" cy="502073"/>
        </a:xfrm>
        <a:prstGeom prst="rect">
          <a:avLst/>
        </a:prstGeom>
      </xdr:spPr>
    </xdr:pic>
    <xdr:clientData/>
  </xdr:oneCellAnchor>
  <xdr:twoCellAnchor editAs="oneCell">
    <xdr:from>
      <xdr:col>3</xdr:col>
      <xdr:colOff>444500</xdr:colOff>
      <xdr:row>79</xdr:row>
      <xdr:rowOff>25400</xdr:rowOff>
    </xdr:from>
    <xdr:to>
      <xdr:col>4</xdr:col>
      <xdr:colOff>58738</xdr:colOff>
      <xdr:row>81</xdr:row>
      <xdr:rowOff>8904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2BA09C8-5278-2D4E-AEF0-1CF8E437B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86200" y="16459200"/>
          <a:ext cx="820738" cy="419099"/>
        </a:xfrm>
        <a:prstGeom prst="rect">
          <a:avLst/>
        </a:prstGeom>
      </xdr:spPr>
    </xdr:pic>
    <xdr:clientData/>
  </xdr:twoCellAnchor>
  <xdr:twoCellAnchor editAs="oneCell">
    <xdr:from>
      <xdr:col>2</xdr:col>
      <xdr:colOff>623454</xdr:colOff>
      <xdr:row>105</xdr:row>
      <xdr:rowOff>196272</xdr:rowOff>
    </xdr:from>
    <xdr:to>
      <xdr:col>4</xdr:col>
      <xdr:colOff>521854</xdr:colOff>
      <xdr:row>107</xdr:row>
      <xdr:rowOff>115449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936D3CE-2AF4-8C41-9CEC-9866774AF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63272" y="22398181"/>
          <a:ext cx="2322946" cy="3640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534555</xdr:colOff>
      <xdr:row>92</xdr:row>
      <xdr:rowOff>197098</xdr:rowOff>
    </xdr:from>
    <xdr:to>
      <xdr:col>4</xdr:col>
      <xdr:colOff>432955</xdr:colOff>
      <xdr:row>94</xdr:row>
      <xdr:rowOff>132771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4373" y="19489553"/>
          <a:ext cx="2322946" cy="364009"/>
        </a:xfrm>
        <a:prstGeom prst="rect">
          <a:avLst/>
        </a:prstGeom>
      </xdr:spPr>
    </xdr:pic>
    <xdr:clientData/>
  </xdr:twoCellAnchor>
  <xdr:twoCellAnchor editAs="oneCell">
    <xdr:from>
      <xdr:col>2</xdr:col>
      <xdr:colOff>698500</xdr:colOff>
      <xdr:row>70</xdr:row>
      <xdr:rowOff>114300</xdr:rowOff>
    </xdr:from>
    <xdr:to>
      <xdr:col>4</xdr:col>
      <xdr:colOff>673100</xdr:colOff>
      <xdr:row>72</xdr:row>
      <xdr:rowOff>136240</xdr:rowOff>
    </xdr:to>
    <xdr:pic>
      <xdr:nvPicPr>
        <xdr:cNvPr id="9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84475" y="16121380"/>
          <a:ext cx="2226310" cy="468630"/>
        </a:xfrm>
        <a:prstGeom prst="rect">
          <a:avLst/>
        </a:prstGeom>
      </xdr:spPr>
    </xdr:pic>
    <xdr:clientData/>
  </xdr:twoCellAnchor>
  <xdr:twoCellAnchor editAs="oneCell">
    <xdr:from>
      <xdr:col>8</xdr:col>
      <xdr:colOff>1104900</xdr:colOff>
      <xdr:row>70</xdr:row>
      <xdr:rowOff>114300</xdr:rowOff>
    </xdr:from>
    <xdr:to>
      <xdr:col>10</xdr:col>
      <xdr:colOff>76200</xdr:colOff>
      <xdr:row>72</xdr:row>
      <xdr:rowOff>143933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46005" y="16121380"/>
          <a:ext cx="1223010" cy="501650"/>
        </a:xfrm>
        <a:prstGeom prst="rect">
          <a:avLst/>
        </a:prstGeom>
      </xdr:spPr>
    </xdr:pic>
    <xdr:clientData/>
  </xdr:twoCellAnchor>
  <xdr:oneCellAnchor>
    <xdr:from>
      <xdr:col>12</xdr:col>
      <xdr:colOff>1104900</xdr:colOff>
      <xdr:row>70</xdr:row>
      <xdr:rowOff>21547</xdr:rowOff>
    </xdr:from>
    <xdr:ext cx="1384300" cy="502073"/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79956" y="17944244"/>
          <a:ext cx="1384300" cy="502073"/>
        </a:xfrm>
        <a:prstGeom prst="rect">
          <a:avLst/>
        </a:prstGeom>
      </xdr:spPr>
    </xdr:pic>
    <xdr:clientData/>
  </xdr:oneCellAnchor>
  <xdr:twoCellAnchor editAs="oneCell">
    <xdr:from>
      <xdr:col>3</xdr:col>
      <xdr:colOff>444500</xdr:colOff>
      <xdr:row>79</xdr:row>
      <xdr:rowOff>25400</xdr:rowOff>
    </xdr:from>
    <xdr:to>
      <xdr:col>4</xdr:col>
      <xdr:colOff>58738</xdr:colOff>
      <xdr:row>81</xdr:row>
      <xdr:rowOff>12699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6C80A8-C5C1-BD58-A4CF-16E81F03A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96591" y="16408400"/>
          <a:ext cx="826511" cy="428336"/>
        </a:xfrm>
        <a:prstGeom prst="rect">
          <a:avLst/>
        </a:prstGeom>
      </xdr:spPr>
    </xdr:pic>
    <xdr:clientData/>
  </xdr:twoCellAnchor>
  <xdr:twoCellAnchor editAs="oneCell">
    <xdr:from>
      <xdr:col>2</xdr:col>
      <xdr:colOff>588819</xdr:colOff>
      <xdr:row>106</xdr:row>
      <xdr:rowOff>57727</xdr:rowOff>
    </xdr:from>
    <xdr:to>
      <xdr:col>4</xdr:col>
      <xdr:colOff>487219</xdr:colOff>
      <xdr:row>107</xdr:row>
      <xdr:rowOff>183899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AF88938-8A39-1F49-AE51-3C8C6FEC9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28637" y="22467454"/>
          <a:ext cx="2322946" cy="364009"/>
        </a:xfrm>
        <a:prstGeom prst="rect">
          <a:avLst/>
        </a:prstGeom>
      </xdr:spPr>
    </xdr:pic>
    <xdr:clientData/>
  </xdr:twoCellAnchor>
  <xdr:twoCellAnchor editAs="oneCell">
    <xdr:from>
      <xdr:col>7</xdr:col>
      <xdr:colOff>1200727</xdr:colOff>
      <xdr:row>86</xdr:row>
      <xdr:rowOff>103909</xdr:rowOff>
    </xdr:from>
    <xdr:to>
      <xdr:col>11</xdr:col>
      <xdr:colOff>152705</xdr:colOff>
      <xdr:row>88</xdr:row>
      <xdr:rowOff>176322</xdr:rowOff>
    </xdr:to>
    <xdr:pic>
      <xdr:nvPicPr>
        <xdr:cNvPr id="12" name="Picture 10" descr="Logo&#10;&#10;Description automatically generated with medium confidence">
          <a:extLst>
            <a:ext uri="{FF2B5EF4-FFF2-40B4-BE49-F238E27FC236}">
              <a16:creationId xmlns:a16="http://schemas.microsoft.com/office/drawing/2014/main" id="{65A20DB5-34D5-4BE7-0BB5-B0371A359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32636" y="18357273"/>
          <a:ext cx="3714478" cy="4788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15CD-AD20-7A40-93EB-937A979C76AB}">
  <dimension ref="A1"/>
  <sheetViews>
    <sheetView topLeftCell="A4" workbookViewId="0">
      <selection activeCell="Q53" sqref="Q53"/>
    </sheetView>
  </sheetViews>
  <sheetFormatPr baseColWidth="10" defaultRowHeight="16" x14ac:dyDescent="0.2"/>
  <cols>
    <col min="1" max="16384" width="10.83203125" style="77"/>
  </cols>
  <sheetData/>
  <phoneticPr fontId="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EA7D4-3DED-8748-B37D-E7228BD69D65}">
  <dimension ref="B1:T113"/>
  <sheetViews>
    <sheetView topLeftCell="A21" zoomScale="118" zoomScaleNormal="110" workbookViewId="0">
      <selection activeCell="J104" sqref="J104"/>
    </sheetView>
  </sheetViews>
  <sheetFormatPr baseColWidth="10" defaultColWidth="10.83203125" defaultRowHeight="16" x14ac:dyDescent="0.2"/>
  <cols>
    <col min="1" max="1" width="10.83203125" style="86"/>
    <col min="2" max="2" width="18.5" style="86" customWidth="1"/>
    <col min="3" max="4" width="15.83203125" style="87" customWidth="1"/>
    <col min="5" max="5" width="15.83203125" style="88" customWidth="1"/>
    <col min="6" max="6" width="5" style="88" customWidth="1"/>
    <col min="7" max="7" width="9.33203125" style="87" customWidth="1"/>
    <col min="8" max="9" width="15.83203125" style="87" customWidth="1"/>
    <col min="10" max="10" width="7.83203125" style="87" customWidth="1"/>
    <col min="11" max="19" width="15.83203125" style="87" customWidth="1"/>
    <col min="20" max="16384" width="10.83203125" style="86"/>
  </cols>
  <sheetData>
    <row r="1" spans="2:20" x14ac:dyDescent="0.2">
      <c r="T1" s="86" t="s">
        <v>4</v>
      </c>
    </row>
    <row r="2" spans="2:20" ht="46" customHeight="1" x14ac:dyDescent="0.2">
      <c r="B2" s="157" t="s">
        <v>228</v>
      </c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</row>
    <row r="3" spans="2:20" x14ac:dyDescent="0.2">
      <c r="B3" s="158" t="s">
        <v>6</v>
      </c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</row>
    <row r="4" spans="2:20" x14ac:dyDescent="0.2">
      <c r="B4" s="89" t="s">
        <v>7</v>
      </c>
      <c r="C4" s="90"/>
      <c r="D4" s="90"/>
      <c r="E4" s="91"/>
      <c r="F4" s="91"/>
      <c r="G4" s="90"/>
      <c r="H4" s="90"/>
      <c r="I4" s="90"/>
      <c r="J4" s="90"/>
      <c r="K4" s="90"/>
      <c r="L4" s="90"/>
      <c r="M4" s="90"/>
      <c r="N4" s="90"/>
    </row>
    <row r="6" spans="2:20" x14ac:dyDescent="0.2">
      <c r="B6" s="159" t="s">
        <v>8</v>
      </c>
      <c r="C6" s="159"/>
    </row>
    <row r="7" spans="2:20" x14ac:dyDescent="0.2">
      <c r="B7" s="159"/>
      <c r="C7" s="159"/>
    </row>
    <row r="8" spans="2:20" x14ac:dyDescent="0.2">
      <c r="B8" s="92"/>
      <c r="C8" s="92"/>
    </row>
    <row r="9" spans="2:20" x14ac:dyDescent="0.2">
      <c r="B9" s="86" t="s">
        <v>9</v>
      </c>
      <c r="C9" s="87" t="s">
        <v>10</v>
      </c>
      <c r="D9" s="160" t="s">
        <v>11</v>
      </c>
      <c r="E9" s="160"/>
      <c r="F9" s="160"/>
      <c r="G9" s="87" t="s">
        <v>12</v>
      </c>
      <c r="H9" s="93" t="s">
        <v>13</v>
      </c>
      <c r="I9" s="160" t="s">
        <v>14</v>
      </c>
      <c r="J9" s="160"/>
      <c r="K9" s="160"/>
      <c r="L9" s="160"/>
      <c r="M9" s="160"/>
      <c r="N9" s="160"/>
      <c r="O9" s="87" t="s">
        <v>12</v>
      </c>
    </row>
    <row r="10" spans="2:20" x14ac:dyDescent="0.2">
      <c r="D10" s="87">
        <f>E10-1</f>
        <v>2018</v>
      </c>
      <c r="E10" s="88">
        <f>F10-1</f>
        <v>2019</v>
      </c>
      <c r="F10" s="88">
        <v>2020</v>
      </c>
      <c r="G10" s="87" t="s">
        <v>15</v>
      </c>
      <c r="H10" s="88">
        <v>2021</v>
      </c>
      <c r="I10" s="87">
        <f>H10+1</f>
        <v>2022</v>
      </c>
      <c r="J10" s="87">
        <f>I10+1</f>
        <v>2023</v>
      </c>
      <c r="K10" s="87">
        <f>J10+1</f>
        <v>2024</v>
      </c>
      <c r="L10" s="87">
        <f>K10+1</f>
        <v>2025</v>
      </c>
      <c r="M10" s="87">
        <f>L10+1</f>
        <v>2026</v>
      </c>
      <c r="N10" s="87">
        <v>2027</v>
      </c>
      <c r="O10" s="87" t="s">
        <v>243</v>
      </c>
    </row>
    <row r="11" spans="2:20" x14ac:dyDescent="0.2">
      <c r="B11" s="156" t="s">
        <v>16</v>
      </c>
      <c r="C11" s="156"/>
      <c r="D11" s="94"/>
      <c r="E11" s="94"/>
      <c r="F11" s="94"/>
      <c r="G11" s="95"/>
      <c r="H11" s="94">
        <v>3155</v>
      </c>
      <c r="I11" s="94">
        <v>3284</v>
      </c>
      <c r="J11" s="94">
        <v>3413</v>
      </c>
      <c r="K11" s="94">
        <v>3540</v>
      </c>
      <c r="L11" s="94">
        <v>3742</v>
      </c>
      <c r="M11" s="94">
        <v>3906</v>
      </c>
      <c r="N11" s="94">
        <v>4074</v>
      </c>
      <c r="O11" s="96">
        <f>(N11/I11)^(1/5)-1</f>
        <v>4.4055475230713625E-2</v>
      </c>
    </row>
    <row r="12" spans="2:20" s="100" customFormat="1" x14ac:dyDescent="0.2">
      <c r="B12" s="161" t="s">
        <v>17</v>
      </c>
      <c r="C12" s="161"/>
      <c r="D12" s="93"/>
      <c r="E12" s="97"/>
      <c r="F12" s="97"/>
      <c r="G12" s="93"/>
      <c r="H12" s="98">
        <v>6.3200000000000006E-2</v>
      </c>
      <c r="I12" s="98">
        <v>4.07E-2</v>
      </c>
      <c r="J12" s="99">
        <v>3.9300000000000002E-2</v>
      </c>
      <c r="K12" s="99">
        <v>3.7400000000000003E-2</v>
      </c>
      <c r="L12" s="99">
        <v>5.7000000000000002E-2</v>
      </c>
      <c r="M12" s="99">
        <v>4.3799999999999999E-2</v>
      </c>
      <c r="N12" s="99">
        <v>4.2999999999999997E-2</v>
      </c>
      <c r="O12" s="93"/>
      <c r="P12" s="93"/>
      <c r="Q12" s="93"/>
      <c r="R12" s="93"/>
      <c r="S12" s="93"/>
    </row>
    <row r="13" spans="2:20" x14ac:dyDescent="0.2">
      <c r="B13" s="162" t="s">
        <v>18</v>
      </c>
      <c r="C13" s="162"/>
      <c r="E13" s="101"/>
      <c r="F13" s="101"/>
      <c r="H13" s="88">
        <v>2208</v>
      </c>
      <c r="I13" s="102">
        <v>2276</v>
      </c>
      <c r="J13" s="87">
        <v>2364</v>
      </c>
      <c r="K13" s="87">
        <v>2446</v>
      </c>
      <c r="L13" s="87">
        <v>2585</v>
      </c>
      <c r="M13" s="87">
        <v>2698</v>
      </c>
      <c r="N13" s="87">
        <v>2814</v>
      </c>
    </row>
    <row r="14" spans="2:20" x14ac:dyDescent="0.2">
      <c r="B14" s="156" t="s">
        <v>19</v>
      </c>
      <c r="C14" s="156"/>
      <c r="E14" s="101"/>
      <c r="F14" s="101"/>
      <c r="H14" s="94">
        <f>H11-H13</f>
        <v>947</v>
      </c>
      <c r="I14" s="94">
        <f t="shared" ref="I14:N14" si="0">I11-I13</f>
        <v>1008</v>
      </c>
      <c r="J14" s="94">
        <f t="shared" si="0"/>
        <v>1049</v>
      </c>
      <c r="K14" s="94">
        <f t="shared" si="0"/>
        <v>1094</v>
      </c>
      <c r="L14" s="94">
        <f t="shared" si="0"/>
        <v>1157</v>
      </c>
      <c r="M14" s="94">
        <f t="shared" si="0"/>
        <v>1208</v>
      </c>
      <c r="N14" s="94">
        <f t="shared" si="0"/>
        <v>1260</v>
      </c>
      <c r="O14" s="96">
        <f>(N14/I14)^(1/5)-1</f>
        <v>4.5639552591273169E-2</v>
      </c>
    </row>
    <row r="15" spans="2:20" s="100" customFormat="1" x14ac:dyDescent="0.2">
      <c r="B15" s="161" t="s">
        <v>20</v>
      </c>
      <c r="C15" s="161"/>
      <c r="D15" s="103"/>
      <c r="E15" s="97"/>
      <c r="F15" s="97"/>
      <c r="G15" s="93"/>
      <c r="H15" s="98">
        <f>H14/H11</f>
        <v>0.30015847860538825</v>
      </c>
      <c r="I15" s="98">
        <f t="shared" ref="I15:N15" si="1">I14/I11</f>
        <v>0.30694275274056027</v>
      </c>
      <c r="J15" s="98">
        <f t="shared" si="1"/>
        <v>0.30735423381189569</v>
      </c>
      <c r="K15" s="98">
        <f t="shared" si="1"/>
        <v>0.30903954802259886</v>
      </c>
      <c r="L15" s="98">
        <f t="shared" si="1"/>
        <v>0.309192944949225</v>
      </c>
      <c r="M15" s="98">
        <f t="shared" si="1"/>
        <v>0.3092677931387609</v>
      </c>
      <c r="N15" s="98">
        <f t="shared" si="1"/>
        <v>0.30927835051546393</v>
      </c>
      <c r="O15" s="93"/>
      <c r="P15" s="93"/>
      <c r="Q15" s="93"/>
      <c r="R15" s="93"/>
      <c r="S15" s="93"/>
    </row>
    <row r="16" spans="2:20" x14ac:dyDescent="0.2">
      <c r="B16" s="162" t="s">
        <v>21</v>
      </c>
      <c r="C16" s="162"/>
      <c r="E16" s="101"/>
      <c r="F16" s="101"/>
      <c r="G16" s="86"/>
      <c r="H16" s="88">
        <v>504</v>
      </c>
      <c r="I16" s="102">
        <v>594</v>
      </c>
      <c r="J16" s="87">
        <v>613</v>
      </c>
      <c r="K16" s="87">
        <v>633</v>
      </c>
      <c r="L16" s="87">
        <v>669</v>
      </c>
      <c r="M16" s="87">
        <v>699</v>
      </c>
      <c r="N16" s="87">
        <v>728</v>
      </c>
    </row>
    <row r="17" spans="2:19" x14ac:dyDescent="0.2">
      <c r="B17" s="156" t="s">
        <v>22</v>
      </c>
      <c r="C17" s="156"/>
      <c r="G17" s="101"/>
      <c r="H17" s="94">
        <f>H14-H16</f>
        <v>443</v>
      </c>
      <c r="I17" s="94">
        <f t="shared" ref="I17:N17" si="2">I14-I16</f>
        <v>414</v>
      </c>
      <c r="J17" s="94">
        <f t="shared" si="2"/>
        <v>436</v>
      </c>
      <c r="K17" s="94">
        <f t="shared" si="2"/>
        <v>461</v>
      </c>
      <c r="L17" s="94">
        <f t="shared" si="2"/>
        <v>488</v>
      </c>
      <c r="M17" s="94">
        <f t="shared" si="2"/>
        <v>509</v>
      </c>
      <c r="N17" s="94">
        <f t="shared" si="2"/>
        <v>532</v>
      </c>
      <c r="O17" s="96">
        <f>(N17/I17)^(1/5)-1</f>
        <v>5.1434585005049493E-2</v>
      </c>
    </row>
    <row r="18" spans="2:19" s="100" customFormat="1" x14ac:dyDescent="0.2">
      <c r="B18" s="161" t="s">
        <v>20</v>
      </c>
      <c r="C18" s="161"/>
      <c r="D18" s="103"/>
      <c r="E18" s="97"/>
      <c r="F18" s="97"/>
      <c r="G18" s="93"/>
      <c r="H18" s="98">
        <f>H17/H11</f>
        <v>0.1404120443740095</v>
      </c>
      <c r="I18" s="98">
        <f t="shared" ref="I18:N18" si="3">I17/I11</f>
        <v>0.12606577344701583</v>
      </c>
      <c r="J18" s="98">
        <f t="shared" si="3"/>
        <v>0.12774685027834751</v>
      </c>
      <c r="K18" s="98">
        <f t="shared" si="3"/>
        <v>0.13022598870056498</v>
      </c>
      <c r="L18" s="98">
        <f t="shared" si="3"/>
        <v>0.13041154462854088</v>
      </c>
      <c r="M18" s="98">
        <f t="shared" si="3"/>
        <v>0.13031233998975936</v>
      </c>
      <c r="N18" s="98">
        <f t="shared" si="3"/>
        <v>0.13058419243986255</v>
      </c>
      <c r="O18" s="93"/>
      <c r="P18" s="93"/>
      <c r="Q18" s="93"/>
      <c r="R18" s="93"/>
      <c r="S18" s="93"/>
    </row>
    <row r="19" spans="2:19" x14ac:dyDescent="0.2">
      <c r="B19" s="162" t="s">
        <v>23</v>
      </c>
      <c r="C19" s="162"/>
      <c r="H19" s="102">
        <v>168</v>
      </c>
      <c r="I19" s="87">
        <v>132</v>
      </c>
      <c r="J19" s="87">
        <v>133</v>
      </c>
      <c r="K19" s="87">
        <v>141</v>
      </c>
      <c r="L19" s="87">
        <v>149</v>
      </c>
      <c r="M19" s="87">
        <v>155</v>
      </c>
      <c r="N19" s="87">
        <v>162</v>
      </c>
    </row>
    <row r="20" spans="2:19" x14ac:dyDescent="0.2">
      <c r="B20" s="156" t="s">
        <v>24</v>
      </c>
      <c r="C20" s="156"/>
      <c r="G20" s="104"/>
      <c r="H20" s="94">
        <f>H17-H19</f>
        <v>275</v>
      </c>
      <c r="I20" s="94">
        <f>I17-I19</f>
        <v>282</v>
      </c>
      <c r="J20" s="94">
        <f t="shared" ref="J20:N20" si="4">J17-J19</f>
        <v>303</v>
      </c>
      <c r="K20" s="94">
        <f t="shared" si="4"/>
        <v>320</v>
      </c>
      <c r="L20" s="94">
        <f t="shared" si="4"/>
        <v>339</v>
      </c>
      <c r="M20" s="94">
        <f t="shared" si="4"/>
        <v>354</v>
      </c>
      <c r="N20" s="94">
        <f t="shared" si="4"/>
        <v>370</v>
      </c>
      <c r="O20" s="96"/>
    </row>
    <row r="21" spans="2:19" s="100" customFormat="1" x14ac:dyDescent="0.2">
      <c r="B21" s="161" t="s">
        <v>20</v>
      </c>
      <c r="C21" s="161"/>
      <c r="D21" s="103"/>
      <c r="E21" s="97"/>
      <c r="F21" s="97"/>
      <c r="G21" s="93"/>
      <c r="H21" s="98">
        <f>H20/H11</f>
        <v>8.7163232963549928E-2</v>
      </c>
      <c r="I21" s="98">
        <f t="shared" ref="I21:N21" si="5">I20/I11</f>
        <v>8.5870889159561509E-2</v>
      </c>
      <c r="J21" s="98">
        <f t="shared" si="5"/>
        <v>8.8778200996191034E-2</v>
      </c>
      <c r="K21" s="98">
        <f t="shared" si="5"/>
        <v>9.03954802259887E-2</v>
      </c>
      <c r="L21" s="98">
        <f t="shared" si="5"/>
        <v>9.0593265633351155E-2</v>
      </c>
      <c r="M21" s="98">
        <f t="shared" si="5"/>
        <v>9.0629800307219663E-2</v>
      </c>
      <c r="N21" s="98">
        <f t="shared" si="5"/>
        <v>9.0819833087874322E-2</v>
      </c>
      <c r="O21" s="93"/>
      <c r="P21" s="93"/>
      <c r="Q21" s="93"/>
      <c r="R21" s="93"/>
      <c r="S21" s="93"/>
    </row>
    <row r="22" spans="2:19" x14ac:dyDescent="0.2">
      <c r="B22" s="162" t="s">
        <v>25</v>
      </c>
      <c r="C22" s="162"/>
      <c r="D22" s="104"/>
      <c r="E22" s="101"/>
      <c r="F22" s="101"/>
      <c r="G22" s="86"/>
      <c r="H22" s="88">
        <v>69</v>
      </c>
      <c r="I22" s="87">
        <v>72</v>
      </c>
      <c r="J22" s="88">
        <v>77</v>
      </c>
      <c r="K22" s="87">
        <v>81</v>
      </c>
      <c r="L22" s="87">
        <v>86</v>
      </c>
      <c r="M22" s="87">
        <v>90</v>
      </c>
      <c r="N22" s="87">
        <v>94</v>
      </c>
    </row>
    <row r="23" spans="2:19" s="100" customFormat="1" x14ac:dyDescent="0.2">
      <c r="B23" s="167" t="s">
        <v>0</v>
      </c>
      <c r="C23" s="167"/>
      <c r="D23" s="103"/>
      <c r="E23" s="97"/>
      <c r="F23" s="97"/>
      <c r="H23" s="105">
        <v>0.25</v>
      </c>
      <c r="I23" s="99">
        <v>0.26</v>
      </c>
      <c r="J23" s="99">
        <v>0.25</v>
      </c>
      <c r="K23" s="99">
        <v>0.25</v>
      </c>
      <c r="L23" s="99">
        <v>0.25</v>
      </c>
      <c r="M23" s="99">
        <v>0.25</v>
      </c>
      <c r="N23" s="99">
        <v>0.25</v>
      </c>
      <c r="O23" s="93"/>
      <c r="P23" s="93"/>
      <c r="Q23" s="93"/>
      <c r="R23" s="93"/>
      <c r="S23" s="93"/>
    </row>
    <row r="24" spans="2:19" x14ac:dyDescent="0.2">
      <c r="B24" s="156" t="s">
        <v>251</v>
      </c>
      <c r="C24" s="156"/>
      <c r="G24" s="104"/>
      <c r="H24" s="94">
        <f>H20-H22</f>
        <v>206</v>
      </c>
      <c r="I24" s="94">
        <f t="shared" ref="I24:N24" si="6">I20-I22</f>
        <v>210</v>
      </c>
      <c r="J24" s="94">
        <f t="shared" si="6"/>
        <v>226</v>
      </c>
      <c r="K24" s="94">
        <f t="shared" si="6"/>
        <v>239</v>
      </c>
      <c r="L24" s="94">
        <f t="shared" si="6"/>
        <v>253</v>
      </c>
      <c r="M24" s="94">
        <f t="shared" si="6"/>
        <v>264</v>
      </c>
      <c r="N24" s="94">
        <f t="shared" si="6"/>
        <v>276</v>
      </c>
      <c r="O24" s="96"/>
      <c r="P24" s="88"/>
    </row>
    <row r="25" spans="2:19" x14ac:dyDescent="0.2">
      <c r="B25" s="162" t="s">
        <v>27</v>
      </c>
      <c r="C25" s="162"/>
      <c r="H25" s="88">
        <v>168</v>
      </c>
      <c r="I25" s="87">
        <v>132</v>
      </c>
      <c r="J25" s="87">
        <v>133</v>
      </c>
      <c r="K25" s="87">
        <v>141</v>
      </c>
      <c r="L25" s="87">
        <v>149</v>
      </c>
      <c r="M25" s="87">
        <v>155</v>
      </c>
      <c r="N25" s="87">
        <v>162</v>
      </c>
    </row>
    <row r="26" spans="2:19" x14ac:dyDescent="0.2">
      <c r="B26" s="162" t="s">
        <v>28</v>
      </c>
      <c r="C26" s="162"/>
      <c r="H26" s="88">
        <v>79</v>
      </c>
      <c r="I26" s="87">
        <v>82</v>
      </c>
      <c r="J26" s="87">
        <v>86</v>
      </c>
      <c r="K26" s="87">
        <v>94</v>
      </c>
      <c r="L26" s="87">
        <v>120</v>
      </c>
      <c r="M26" s="87">
        <v>125</v>
      </c>
      <c r="N26" s="87">
        <v>131</v>
      </c>
    </row>
    <row r="27" spans="2:19" x14ac:dyDescent="0.2">
      <c r="B27" s="162" t="s">
        <v>29</v>
      </c>
      <c r="C27" s="162"/>
      <c r="H27" s="102">
        <v>-451</v>
      </c>
      <c r="I27" s="87">
        <v>-174</v>
      </c>
      <c r="J27" s="87">
        <v>-225</v>
      </c>
      <c r="K27" s="87">
        <v>-190</v>
      </c>
      <c r="L27" s="87">
        <v>-207</v>
      </c>
      <c r="M27" s="87">
        <v>-290</v>
      </c>
      <c r="N27" s="87">
        <v>-246</v>
      </c>
    </row>
    <row r="28" spans="2:19" x14ac:dyDescent="0.2">
      <c r="B28" s="106" t="s">
        <v>2</v>
      </c>
      <c r="C28" s="106"/>
      <c r="H28" s="94">
        <f>H24+H25-H26-H27</f>
        <v>746</v>
      </c>
      <c r="I28" s="94">
        <f t="shared" ref="I28:N28" si="7">I24+I25-I26-I27</f>
        <v>434</v>
      </c>
      <c r="J28" s="94">
        <f t="shared" si="7"/>
        <v>498</v>
      </c>
      <c r="K28" s="94">
        <f t="shared" si="7"/>
        <v>476</v>
      </c>
      <c r="L28" s="94">
        <f t="shared" si="7"/>
        <v>489</v>
      </c>
      <c r="M28" s="94">
        <f t="shared" si="7"/>
        <v>584</v>
      </c>
      <c r="N28" s="94">
        <f t="shared" si="7"/>
        <v>553</v>
      </c>
      <c r="O28" s="96">
        <f>(N28/I28)^(1/5)-1</f>
        <v>4.9656212074007833E-2</v>
      </c>
    </row>
    <row r="29" spans="2:19" x14ac:dyDescent="0.2">
      <c r="B29" s="166" t="s">
        <v>30</v>
      </c>
      <c r="C29" s="166"/>
      <c r="D29" s="107">
        <f>E96</f>
        <v>0.10767239284112959</v>
      </c>
      <c r="H29" s="88"/>
    </row>
    <row r="30" spans="2:19" x14ac:dyDescent="0.2">
      <c r="B30" s="166" t="s">
        <v>31</v>
      </c>
      <c r="C30" s="166"/>
      <c r="H30" s="88"/>
      <c r="I30" s="87">
        <v>0.5</v>
      </c>
      <c r="J30" s="87">
        <f>I30+1</f>
        <v>1.5</v>
      </c>
      <c r="K30" s="87">
        <f t="shared" ref="K30:N30" si="8">J30+1</f>
        <v>2.5</v>
      </c>
      <c r="L30" s="87">
        <f t="shared" si="8"/>
        <v>3.5</v>
      </c>
      <c r="M30" s="87">
        <f t="shared" si="8"/>
        <v>4.5</v>
      </c>
      <c r="N30" s="87">
        <f t="shared" si="8"/>
        <v>5.5</v>
      </c>
    </row>
    <row r="31" spans="2:19" x14ac:dyDescent="0.2">
      <c r="B31" s="166" t="s">
        <v>32</v>
      </c>
      <c r="C31" s="166"/>
      <c r="H31" s="88"/>
      <c r="I31" s="108">
        <f>1/(1+$D$29)^I30</f>
        <v>0.95015472888733477</v>
      </c>
      <c r="J31" s="108">
        <f>1/(1+$D$29)^J30</f>
        <v>0.85779399669809486</v>
      </c>
      <c r="K31" s="108">
        <f t="shared" ref="K31:N31" si="9">1/(1+$D$29)^K30</f>
        <v>0.77441128102677736</v>
      </c>
      <c r="L31" s="108">
        <f t="shared" si="9"/>
        <v>0.69913386487898954</v>
      </c>
      <c r="M31" s="108">
        <f t="shared" si="9"/>
        <v>0.6311738645807925</v>
      </c>
      <c r="N31" s="108">
        <f t="shared" si="9"/>
        <v>0.56981998347170149</v>
      </c>
    </row>
    <row r="32" spans="2:19" x14ac:dyDescent="0.2">
      <c r="B32" s="109" t="s">
        <v>33</v>
      </c>
      <c r="C32" s="109"/>
      <c r="D32" s="110"/>
      <c r="E32" s="111"/>
      <c r="F32" s="111"/>
      <c r="G32" s="110"/>
      <c r="H32" s="111"/>
      <c r="I32" s="112">
        <f>I28*I31</f>
        <v>412.36715233710328</v>
      </c>
      <c r="J32" s="112">
        <f t="shared" ref="J32:N32" si="10">J28*J31</f>
        <v>427.18141035565122</v>
      </c>
      <c r="K32" s="112">
        <f t="shared" si="10"/>
        <v>368.61976976874604</v>
      </c>
      <c r="L32" s="112">
        <f t="shared" si="10"/>
        <v>341.87645992582588</v>
      </c>
      <c r="M32" s="112">
        <f t="shared" si="10"/>
        <v>368.60553691518282</v>
      </c>
      <c r="N32" s="112">
        <f t="shared" si="10"/>
        <v>315.11045085985091</v>
      </c>
    </row>
    <row r="33" spans="2:14" x14ac:dyDescent="0.2">
      <c r="B33" s="86" t="s">
        <v>34</v>
      </c>
      <c r="H33" s="113">
        <f>SUM(I32:N32)</f>
        <v>2233.7607801623603</v>
      </c>
      <c r="I33" s="86"/>
    </row>
    <row r="34" spans="2:14" x14ac:dyDescent="0.2">
      <c r="H34" s="88"/>
      <c r="I34" s="86"/>
    </row>
    <row r="35" spans="2:14" x14ac:dyDescent="0.2">
      <c r="H35" s="88"/>
      <c r="I35" s="86"/>
    </row>
    <row r="36" spans="2:14" x14ac:dyDescent="0.2">
      <c r="B36" s="168" t="s">
        <v>35</v>
      </c>
      <c r="C36" s="169"/>
      <c r="H36" s="88"/>
      <c r="I36" s="86"/>
    </row>
    <row r="37" spans="2:14" x14ac:dyDescent="0.2">
      <c r="B37" s="170"/>
      <c r="C37" s="171"/>
      <c r="H37" s="88"/>
    </row>
    <row r="38" spans="2:14" x14ac:dyDescent="0.2">
      <c r="B38" s="114"/>
      <c r="C38" s="114"/>
      <c r="H38" s="88"/>
    </row>
    <row r="39" spans="2:14" x14ac:dyDescent="0.2">
      <c r="B39" s="156" t="s">
        <v>1</v>
      </c>
      <c r="C39" s="156"/>
      <c r="H39" s="113">
        <v>24.6</v>
      </c>
      <c r="I39" s="108">
        <v>14.97</v>
      </c>
      <c r="J39" s="108">
        <v>12.941789999999999</v>
      </c>
      <c r="K39" s="108">
        <v>11.204280000000001</v>
      </c>
      <c r="L39" s="108">
        <v>9.6917021999999999</v>
      </c>
      <c r="M39" s="108">
        <v>8.3833224029999993</v>
      </c>
      <c r="N39" s="108">
        <v>7.251573878594999</v>
      </c>
    </row>
    <row r="40" spans="2:14" x14ac:dyDescent="0.2">
      <c r="B40" s="166" t="s">
        <v>36</v>
      </c>
      <c r="C40" s="166"/>
      <c r="H40" s="98"/>
      <c r="I40" s="99">
        <v>0.26</v>
      </c>
      <c r="J40" s="99">
        <v>0.25</v>
      </c>
      <c r="K40" s="99">
        <v>0.25</v>
      </c>
      <c r="L40" s="99">
        <v>0.25</v>
      </c>
      <c r="M40" s="99">
        <v>0.25</v>
      </c>
      <c r="N40" s="99">
        <v>0.25</v>
      </c>
    </row>
    <row r="41" spans="2:14" x14ac:dyDescent="0.2">
      <c r="B41" s="156" t="s">
        <v>35</v>
      </c>
      <c r="C41" s="156"/>
      <c r="H41" s="113">
        <f>H39*H40</f>
        <v>0</v>
      </c>
      <c r="I41" s="115">
        <f>I39*I40</f>
        <v>3.8922000000000003</v>
      </c>
      <c r="J41" s="115">
        <f t="shared" ref="J41:N41" si="11">J39*J40</f>
        <v>3.2354474999999998</v>
      </c>
      <c r="K41" s="115">
        <f t="shared" si="11"/>
        <v>2.8010700000000002</v>
      </c>
      <c r="L41" s="115">
        <f t="shared" si="11"/>
        <v>2.42292555</v>
      </c>
      <c r="M41" s="115">
        <f t="shared" si="11"/>
        <v>2.0958306007499998</v>
      </c>
      <c r="N41" s="115">
        <f t="shared" si="11"/>
        <v>1.8128934696487498</v>
      </c>
    </row>
    <row r="42" spans="2:14" x14ac:dyDescent="0.2">
      <c r="B42" s="166" t="s">
        <v>37</v>
      </c>
      <c r="C42" s="166"/>
      <c r="D42" s="107">
        <f>E110</f>
        <v>4.3499999999999997E-2</v>
      </c>
      <c r="H42" s="88"/>
      <c r="I42" s="86"/>
      <c r="J42" s="86"/>
      <c r="K42" s="86"/>
      <c r="L42" s="86"/>
      <c r="M42" s="86"/>
      <c r="N42" s="86"/>
    </row>
    <row r="43" spans="2:14" x14ac:dyDescent="0.2">
      <c r="B43" s="166" t="s">
        <v>31</v>
      </c>
      <c r="C43" s="166"/>
      <c r="H43" s="88"/>
      <c r="I43" s="87">
        <v>0.5</v>
      </c>
      <c r="J43" s="87">
        <f>I43+1</f>
        <v>1.5</v>
      </c>
      <c r="K43" s="87">
        <f t="shared" ref="K43:N43" si="12">J43+1</f>
        <v>2.5</v>
      </c>
      <c r="L43" s="87">
        <f t="shared" si="12"/>
        <v>3.5</v>
      </c>
      <c r="M43" s="87">
        <f t="shared" si="12"/>
        <v>4.5</v>
      </c>
      <c r="N43" s="87">
        <f t="shared" si="12"/>
        <v>5.5</v>
      </c>
    </row>
    <row r="44" spans="2:14" x14ac:dyDescent="0.2">
      <c r="B44" s="166" t="s">
        <v>32</v>
      </c>
      <c r="C44" s="166"/>
      <c r="H44" s="88"/>
      <c r="I44" s="108">
        <f>1/(1+$D$42)^I43</f>
        <v>0.97893481318803355</v>
      </c>
      <c r="J44" s="108">
        <f t="shared" ref="J44:N44" si="13">1/(1+$D$42)^J43</f>
        <v>0.93812631834023319</v>
      </c>
      <c r="K44" s="108">
        <f t="shared" si="13"/>
        <v>0.89901899218038628</v>
      </c>
      <c r="L44" s="108">
        <f t="shared" si="13"/>
        <v>0.8615419187162302</v>
      </c>
      <c r="M44" s="108">
        <f t="shared" si="13"/>
        <v>0.82562713820434142</v>
      </c>
      <c r="N44" s="108">
        <f t="shared" si="13"/>
        <v>0.79120952391407884</v>
      </c>
    </row>
    <row r="45" spans="2:14" x14ac:dyDescent="0.2">
      <c r="B45" s="165" t="s">
        <v>38</v>
      </c>
      <c r="C45" s="165"/>
      <c r="H45" s="88"/>
      <c r="I45" s="112">
        <f>I41*I44</f>
        <v>3.8102100798904646</v>
      </c>
      <c r="J45" s="112">
        <f t="shared" ref="J45:N45" si="14">J41*J44</f>
        <v>3.0352584513581116</v>
      </c>
      <c r="K45" s="112">
        <f t="shared" si="14"/>
        <v>2.5182151284267147</v>
      </c>
      <c r="L45" s="112">
        <f t="shared" si="14"/>
        <v>2.0874519272535772</v>
      </c>
      <c r="M45" s="112">
        <f t="shared" si="14"/>
        <v>1.730374621058308</v>
      </c>
      <c r="N45" s="112">
        <f t="shared" si="14"/>
        <v>1.4343785790277299</v>
      </c>
    </row>
    <row r="46" spans="2:14" x14ac:dyDescent="0.2">
      <c r="B46" s="86" t="s">
        <v>39</v>
      </c>
      <c r="C46" s="119"/>
      <c r="H46" s="108">
        <f>SUM(I45:N45)</f>
        <v>14.615888787014905</v>
      </c>
    </row>
    <row r="47" spans="2:14" x14ac:dyDescent="0.2">
      <c r="B47" s="119"/>
      <c r="C47" s="119"/>
    </row>
    <row r="49" spans="2:18" x14ac:dyDescent="0.2">
      <c r="C49" s="163" t="s">
        <v>40</v>
      </c>
      <c r="D49" s="163"/>
      <c r="E49" s="163"/>
      <c r="G49" s="163" t="s">
        <v>41</v>
      </c>
      <c r="H49" s="163"/>
      <c r="I49" s="163"/>
      <c r="K49" s="163" t="s">
        <v>55</v>
      </c>
      <c r="L49" s="163"/>
      <c r="M49" s="163"/>
    </row>
    <row r="50" spans="2:18" x14ac:dyDescent="0.2">
      <c r="C50" s="86"/>
      <c r="D50" s="86"/>
      <c r="G50" s="86"/>
      <c r="H50" s="86"/>
      <c r="I50" s="86"/>
    </row>
    <row r="51" spans="2:18" x14ac:dyDescent="0.2">
      <c r="C51" s="164" t="s">
        <v>43</v>
      </c>
      <c r="D51" s="164"/>
      <c r="E51" s="120">
        <f>SUM(E52:E53)</f>
        <v>2248.376668949375</v>
      </c>
      <c r="G51" s="165" t="s">
        <v>40</v>
      </c>
      <c r="H51" s="165"/>
      <c r="I51" s="121">
        <f>E60</f>
        <v>5976.6994496104653</v>
      </c>
      <c r="K51" s="173" t="s">
        <v>40</v>
      </c>
      <c r="L51" s="173"/>
      <c r="M51" s="121">
        <f>E60</f>
        <v>5976.6994496104653</v>
      </c>
    </row>
    <row r="52" spans="2:18" x14ac:dyDescent="0.2">
      <c r="C52" s="166" t="s">
        <v>45</v>
      </c>
      <c r="D52" s="166"/>
      <c r="E52" s="113">
        <f>H33</f>
        <v>2233.7607801623603</v>
      </c>
      <c r="G52" s="166" t="s">
        <v>46</v>
      </c>
      <c r="H52" s="166"/>
      <c r="I52" s="122">
        <f>E90</f>
        <v>1598.8999999999999</v>
      </c>
      <c r="K52" s="173" t="s">
        <v>61</v>
      </c>
      <c r="L52" s="173"/>
      <c r="M52" s="87">
        <f>H17</f>
        <v>443</v>
      </c>
    </row>
    <row r="53" spans="2:18" x14ac:dyDescent="0.2">
      <c r="C53" s="166" t="s">
        <v>48</v>
      </c>
      <c r="D53" s="166"/>
      <c r="E53" s="113">
        <f>H46</f>
        <v>14.615888787014905</v>
      </c>
      <c r="G53" s="166" t="s">
        <v>49</v>
      </c>
      <c r="H53" s="166"/>
      <c r="I53" s="122">
        <v>0</v>
      </c>
      <c r="K53" s="175" t="s">
        <v>55</v>
      </c>
      <c r="L53" s="175"/>
      <c r="M53" s="123">
        <f>M51/M52</f>
        <v>13.491420879481863</v>
      </c>
    </row>
    <row r="54" spans="2:18" x14ac:dyDescent="0.2">
      <c r="C54" s="86"/>
      <c r="D54" s="86"/>
      <c r="E54" s="86"/>
      <c r="G54" s="166" t="s">
        <v>51</v>
      </c>
      <c r="H54" s="166"/>
      <c r="I54" s="122">
        <v>5.5</v>
      </c>
    </row>
    <row r="55" spans="2:18" x14ac:dyDescent="0.2">
      <c r="C55" s="164" t="s">
        <v>52</v>
      </c>
      <c r="D55" s="164"/>
      <c r="E55" s="120">
        <f>SUM(E56:E57)</f>
        <v>3728.3227806610907</v>
      </c>
      <c r="G55" s="166" t="s">
        <v>53</v>
      </c>
      <c r="H55" s="166"/>
      <c r="I55" s="122">
        <v>1532.1</v>
      </c>
    </row>
    <row r="56" spans="2:18" x14ac:dyDescent="0.2">
      <c r="C56" s="166" t="s">
        <v>47</v>
      </c>
      <c r="D56" s="166"/>
      <c r="E56" s="120">
        <f>K79</f>
        <v>3666.0646465926529</v>
      </c>
      <c r="G56" s="173"/>
      <c r="H56" s="173"/>
    </row>
    <row r="57" spans="2:18" x14ac:dyDescent="0.2">
      <c r="C57" s="166" t="s">
        <v>56</v>
      </c>
      <c r="D57" s="166"/>
      <c r="E57" s="113">
        <f>O78</f>
        <v>62.258134068437641</v>
      </c>
      <c r="G57" s="176" t="s">
        <v>57</v>
      </c>
      <c r="H57" s="176"/>
      <c r="I57" s="124">
        <f>I51-SUM(I52:I54)+I55</f>
        <v>5904.399449610466</v>
      </c>
      <c r="R57" s="86"/>
    </row>
    <row r="58" spans="2:18" x14ac:dyDescent="0.2">
      <c r="C58" s="166" t="s">
        <v>58</v>
      </c>
      <c r="D58" s="166"/>
      <c r="E58" s="125">
        <f>E56/E60</f>
        <v>0.61339283955989965</v>
      </c>
      <c r="G58" s="173"/>
      <c r="H58" s="173"/>
      <c r="Q58" s="86"/>
      <c r="R58" s="86"/>
    </row>
    <row r="59" spans="2:18" x14ac:dyDescent="0.2">
      <c r="C59" s="86"/>
      <c r="D59" s="86"/>
      <c r="E59" s="101"/>
      <c r="G59" s="126" t="s">
        <v>248</v>
      </c>
      <c r="H59" s="127"/>
      <c r="I59" s="128">
        <v>34.5</v>
      </c>
      <c r="Q59" s="86"/>
      <c r="R59" s="86"/>
    </row>
    <row r="60" spans="2:18" x14ac:dyDescent="0.2">
      <c r="C60" s="175" t="s">
        <v>59</v>
      </c>
      <c r="D60" s="175"/>
      <c r="E60" s="124">
        <f>E51+E55</f>
        <v>5976.6994496104653</v>
      </c>
      <c r="G60" s="175" t="s">
        <v>60</v>
      </c>
      <c r="H60" s="175"/>
      <c r="I60" s="124">
        <f>I57/I59</f>
        <v>171.14201303218744</v>
      </c>
      <c r="Q60" s="86"/>
    </row>
    <row r="61" spans="2:18" x14ac:dyDescent="0.2">
      <c r="C61" s="174"/>
      <c r="D61" s="174"/>
      <c r="Q61" s="86"/>
      <c r="R61" s="86"/>
    </row>
    <row r="62" spans="2:18" x14ac:dyDescent="0.2">
      <c r="C62" s="174"/>
      <c r="D62" s="174"/>
      <c r="O62" s="86"/>
      <c r="P62" s="86"/>
      <c r="Q62" s="86"/>
      <c r="R62" s="86"/>
    </row>
    <row r="63" spans="2:18" x14ac:dyDescent="0.2">
      <c r="B63" s="129"/>
      <c r="C63" s="174"/>
      <c r="D63" s="174"/>
      <c r="O63" s="86"/>
      <c r="P63" s="86"/>
      <c r="Q63" s="86"/>
      <c r="R63" s="86"/>
    </row>
    <row r="64" spans="2:18" x14ac:dyDescent="0.2">
      <c r="B64" s="87"/>
      <c r="H64" s="104"/>
      <c r="I64" s="104"/>
      <c r="J64" s="104"/>
      <c r="K64" s="104"/>
      <c r="L64" s="104"/>
      <c r="Q64" s="86"/>
      <c r="R64" s="86"/>
    </row>
    <row r="65" spans="2:18" x14ac:dyDescent="0.2">
      <c r="B65" s="87"/>
      <c r="I65" s="104"/>
      <c r="J65" s="104"/>
      <c r="K65" s="104"/>
      <c r="Q65" s="86"/>
      <c r="R65" s="86"/>
    </row>
    <row r="66" spans="2:18" x14ac:dyDescent="0.2">
      <c r="B66" s="87"/>
      <c r="I66" s="104"/>
      <c r="J66" s="104"/>
      <c r="K66" s="104"/>
      <c r="Q66" s="86"/>
      <c r="R66" s="86"/>
    </row>
    <row r="67" spans="2:18" x14ac:dyDescent="0.2">
      <c r="B67" s="130"/>
      <c r="C67" s="163" t="s">
        <v>62</v>
      </c>
      <c r="D67" s="163"/>
      <c r="E67" s="163"/>
      <c r="I67" s="163" t="s">
        <v>63</v>
      </c>
      <c r="J67" s="163"/>
      <c r="K67" s="163"/>
      <c r="M67" s="163" t="s">
        <v>74</v>
      </c>
      <c r="N67" s="163"/>
      <c r="O67" s="163"/>
      <c r="Q67" s="104"/>
    </row>
    <row r="68" spans="2:18" x14ac:dyDescent="0.2">
      <c r="B68" s="130"/>
      <c r="H68" s="104"/>
      <c r="I68" s="86"/>
      <c r="J68" s="86"/>
      <c r="K68" s="86"/>
      <c r="L68" s="104"/>
      <c r="M68" s="86"/>
      <c r="N68" s="86"/>
      <c r="O68" s="86"/>
    </row>
    <row r="69" spans="2:18" x14ac:dyDescent="0.2">
      <c r="C69" s="153" t="s">
        <v>64</v>
      </c>
      <c r="D69" s="173" t="s">
        <v>65</v>
      </c>
      <c r="E69" s="173"/>
      <c r="F69" s="173"/>
      <c r="I69" s="162" t="s">
        <v>64</v>
      </c>
      <c r="J69" s="162"/>
      <c r="K69" s="86"/>
      <c r="M69" s="162" t="s">
        <v>64</v>
      </c>
      <c r="N69" s="162"/>
      <c r="O69" s="86"/>
    </row>
    <row r="70" spans="2:18" x14ac:dyDescent="0.2">
      <c r="C70" s="132"/>
      <c r="D70" s="173" t="s">
        <v>66</v>
      </c>
      <c r="E70" s="173"/>
      <c r="F70" s="173"/>
      <c r="I70" s="119" t="s">
        <v>67</v>
      </c>
      <c r="J70" s="86"/>
      <c r="K70" s="133">
        <v>0.02</v>
      </c>
      <c r="M70" s="119" t="s">
        <v>76</v>
      </c>
      <c r="N70" s="86"/>
      <c r="O70" s="133">
        <v>0.02</v>
      </c>
    </row>
    <row r="71" spans="2:18" x14ac:dyDescent="0.2">
      <c r="C71" s="132"/>
      <c r="D71" s="132"/>
      <c r="E71" s="134"/>
      <c r="I71" s="86"/>
      <c r="J71" s="86"/>
      <c r="K71" s="86"/>
      <c r="M71" s="86"/>
      <c r="N71" s="86"/>
    </row>
    <row r="72" spans="2:18" x14ac:dyDescent="0.2">
      <c r="C72" s="132"/>
      <c r="D72" s="132"/>
      <c r="E72" s="134"/>
      <c r="I72" s="86"/>
      <c r="J72" s="86"/>
      <c r="K72" s="86"/>
      <c r="M72" s="86"/>
      <c r="N72" s="86"/>
    </row>
    <row r="73" spans="2:18" x14ac:dyDescent="0.2">
      <c r="C73" s="132"/>
      <c r="D73" s="132"/>
      <c r="E73" s="134"/>
      <c r="I73" s="86"/>
      <c r="J73" s="86"/>
      <c r="K73" s="86"/>
      <c r="M73" s="86"/>
      <c r="N73" s="86"/>
    </row>
    <row r="74" spans="2:18" x14ac:dyDescent="0.2">
      <c r="C74" s="165" t="s">
        <v>68</v>
      </c>
      <c r="D74" s="165"/>
      <c r="E74" s="135">
        <f>E76*E84+E79*E85</f>
        <v>1.4122253243841743</v>
      </c>
      <c r="I74" s="86" t="s">
        <v>63</v>
      </c>
      <c r="J74" s="86"/>
      <c r="K74" s="137">
        <f>K77*(1+K70)/(K76-K70)</f>
        <v>6433.7242513972269</v>
      </c>
      <c r="M74" s="86" t="s">
        <v>74</v>
      </c>
      <c r="N74" s="86"/>
      <c r="O74" s="137">
        <f>O76*(1+O70)/(O75-O70)</f>
        <v>78.687291023052126</v>
      </c>
    </row>
    <row r="75" spans="2:18" x14ac:dyDescent="0.2">
      <c r="C75" s="155" t="s">
        <v>249</v>
      </c>
      <c r="E75" s="140"/>
      <c r="F75" s="134"/>
      <c r="I75" s="86"/>
      <c r="J75" s="86"/>
      <c r="K75" s="108"/>
      <c r="M75" s="166" t="s">
        <v>37</v>
      </c>
      <c r="N75" s="166"/>
      <c r="O75" s="96">
        <f>E110</f>
        <v>4.3499999999999997E-2</v>
      </c>
    </row>
    <row r="76" spans="2:18" x14ac:dyDescent="0.2">
      <c r="C76" s="166" t="s">
        <v>69</v>
      </c>
      <c r="D76" s="166"/>
      <c r="E76" s="141">
        <v>2</v>
      </c>
      <c r="I76" s="166" t="s">
        <v>30</v>
      </c>
      <c r="J76" s="166"/>
      <c r="K76" s="96">
        <f>E96</f>
        <v>0.10767239284112959</v>
      </c>
      <c r="M76" s="166" t="s">
        <v>82</v>
      </c>
      <c r="N76" s="166"/>
      <c r="O76" s="108">
        <f>N41</f>
        <v>1.8128934696487498</v>
      </c>
    </row>
    <row r="77" spans="2:18" x14ac:dyDescent="0.2">
      <c r="C77" s="172" t="s">
        <v>115</v>
      </c>
      <c r="D77" s="172"/>
      <c r="E77" s="172"/>
      <c r="I77" s="166" t="s">
        <v>71</v>
      </c>
      <c r="J77" s="166"/>
      <c r="K77" s="87">
        <f>N28</f>
        <v>553</v>
      </c>
    </row>
    <row r="78" spans="2:18" x14ac:dyDescent="0.2">
      <c r="C78" s="142"/>
      <c r="D78" s="119"/>
      <c r="E78" s="141"/>
      <c r="I78" s="119"/>
      <c r="J78" s="119"/>
      <c r="K78" s="96"/>
      <c r="M78" s="175" t="s">
        <v>85</v>
      </c>
      <c r="N78" s="175"/>
      <c r="O78" s="137">
        <f>O74*N44</f>
        <v>62.258134068437641</v>
      </c>
    </row>
    <row r="79" spans="2:18" x14ac:dyDescent="0.2">
      <c r="C79" s="166" t="s">
        <v>70</v>
      </c>
      <c r="D79" s="166"/>
      <c r="E79" s="141">
        <f>E80/E98</f>
        <v>0.24545454545454545</v>
      </c>
      <c r="I79" s="175" t="s">
        <v>241</v>
      </c>
      <c r="J79" s="175"/>
      <c r="K79" s="137">
        <f>K74*N31</f>
        <v>3666.0646465926529</v>
      </c>
    </row>
    <row r="80" spans="2:18" x14ac:dyDescent="0.2">
      <c r="C80" s="142" t="s">
        <v>113</v>
      </c>
      <c r="D80" s="119"/>
      <c r="E80" s="143">
        <v>1.35E-2</v>
      </c>
      <c r="I80" s="119"/>
      <c r="J80" s="119"/>
    </row>
    <row r="81" spans="3:11" x14ac:dyDescent="0.2">
      <c r="C81" s="142" t="s">
        <v>114</v>
      </c>
      <c r="D81" s="119"/>
      <c r="E81" s="87" t="s">
        <v>112</v>
      </c>
      <c r="I81" s="119"/>
      <c r="J81" s="119"/>
    </row>
    <row r="82" spans="3:11" x14ac:dyDescent="0.2">
      <c r="C82" s="142"/>
      <c r="D82" s="119"/>
      <c r="I82" s="163" t="s">
        <v>42</v>
      </c>
      <c r="J82" s="163"/>
      <c r="K82" s="163"/>
    </row>
    <row r="83" spans="3:11" x14ac:dyDescent="0.2">
      <c r="C83" s="166" t="s">
        <v>116</v>
      </c>
      <c r="D83" s="166"/>
      <c r="E83" s="143">
        <f>H23</f>
        <v>0.25</v>
      </c>
    </row>
    <row r="84" spans="3:11" x14ac:dyDescent="0.2">
      <c r="C84" s="166" t="s">
        <v>72</v>
      </c>
      <c r="D84" s="166"/>
      <c r="E84" s="141">
        <f>E87/(E87+E90-E90*H23)</f>
        <v>0.66499888954538422</v>
      </c>
      <c r="I84" s="176" t="s">
        <v>44</v>
      </c>
      <c r="J84" s="176"/>
      <c r="K84" s="120">
        <f>SUM(K85:K86)</f>
        <v>6512.4115424202791</v>
      </c>
    </row>
    <row r="85" spans="3:11" x14ac:dyDescent="0.2">
      <c r="C85" s="166" t="s">
        <v>73</v>
      </c>
      <c r="D85" s="166"/>
      <c r="E85" s="141">
        <f>E90*(1-H23)/(E87+E90-E90*H23)</f>
        <v>0.33500111045461589</v>
      </c>
      <c r="I85" s="166" t="s">
        <v>47</v>
      </c>
      <c r="J85" s="166"/>
      <c r="K85" s="108">
        <f>K74</f>
        <v>6433.7242513972269</v>
      </c>
    </row>
    <row r="86" spans="3:11" x14ac:dyDescent="0.2">
      <c r="C86" s="119"/>
      <c r="D86" s="119"/>
      <c r="I86" s="166" t="s">
        <v>50</v>
      </c>
      <c r="J86" s="166"/>
      <c r="K86" s="108">
        <f>O74</f>
        <v>78.687291023052126</v>
      </c>
    </row>
    <row r="87" spans="3:11" x14ac:dyDescent="0.2">
      <c r="C87" s="166" t="s">
        <v>78</v>
      </c>
      <c r="D87" s="166"/>
      <c r="E87" s="111">
        <f>E88*E89</f>
        <v>2380.4400000000005</v>
      </c>
    </row>
    <row r="88" spans="3:11" x14ac:dyDescent="0.2">
      <c r="C88" s="172" t="s">
        <v>79</v>
      </c>
      <c r="D88" s="172"/>
      <c r="E88" s="88">
        <v>33.200000000000003</v>
      </c>
    </row>
    <row r="89" spans="3:11" x14ac:dyDescent="0.2">
      <c r="C89" s="172" t="s">
        <v>80</v>
      </c>
      <c r="D89" s="172"/>
      <c r="E89" s="120">
        <v>71.7</v>
      </c>
    </row>
    <row r="90" spans="3:11" x14ac:dyDescent="0.2">
      <c r="C90" s="166" t="s">
        <v>81</v>
      </c>
      <c r="D90" s="166"/>
      <c r="E90" s="111">
        <f>SUM(E91:E92)</f>
        <v>1598.8999999999999</v>
      </c>
      <c r="I90" s="177" t="s">
        <v>54</v>
      </c>
      <c r="J90" s="177"/>
      <c r="K90" s="88">
        <f>N17</f>
        <v>532</v>
      </c>
    </row>
    <row r="91" spans="3:11" x14ac:dyDescent="0.2">
      <c r="C91" s="172" t="s">
        <v>83</v>
      </c>
      <c r="D91" s="172"/>
      <c r="E91" s="87">
        <v>369.8</v>
      </c>
      <c r="I91" s="175" t="s">
        <v>55</v>
      </c>
      <c r="J91" s="175"/>
      <c r="K91" s="123">
        <f>K84/K90</f>
        <v>12.241375079737367</v>
      </c>
    </row>
    <row r="92" spans="3:11" x14ac:dyDescent="0.2">
      <c r="C92" s="172" t="s">
        <v>84</v>
      </c>
      <c r="D92" s="172"/>
      <c r="E92" s="87">
        <v>1229.0999999999999</v>
      </c>
    </row>
    <row r="96" spans="3:11" x14ac:dyDescent="0.2">
      <c r="C96" s="165" t="s">
        <v>30</v>
      </c>
      <c r="D96" s="165"/>
      <c r="E96" s="144">
        <f>E97+E74*(E98)</f>
        <v>0.10767239284112959</v>
      </c>
    </row>
    <row r="97" spans="3:15" x14ac:dyDescent="0.2">
      <c r="C97" s="119" t="s">
        <v>75</v>
      </c>
      <c r="D97" s="119"/>
      <c r="E97" s="143">
        <v>0.03</v>
      </c>
      <c r="J97" s="180" t="s">
        <v>86</v>
      </c>
      <c r="K97" s="181"/>
      <c r="L97" s="181"/>
      <c r="M97" s="181"/>
      <c r="N97" s="181"/>
      <c r="O97" s="182"/>
    </row>
    <row r="98" spans="3:15" x14ac:dyDescent="0.2">
      <c r="C98" s="166" t="s">
        <v>77</v>
      </c>
      <c r="D98" s="166"/>
      <c r="E98" s="143">
        <v>5.5E-2</v>
      </c>
      <c r="G98" s="86"/>
      <c r="H98" s="86"/>
      <c r="J98" s="183"/>
      <c r="K98" s="184"/>
      <c r="L98" s="184"/>
      <c r="M98" s="184"/>
      <c r="N98" s="184"/>
      <c r="O98" s="185"/>
    </row>
    <row r="99" spans="3:15" x14ac:dyDescent="0.2">
      <c r="C99" s="166" t="s">
        <v>250</v>
      </c>
      <c r="D99" s="166"/>
      <c r="G99" s="86"/>
      <c r="H99" s="86"/>
      <c r="J99" s="86"/>
      <c r="K99" s="86"/>
      <c r="L99" s="86"/>
      <c r="M99" s="86"/>
      <c r="N99" s="86"/>
      <c r="O99" s="86"/>
    </row>
    <row r="100" spans="3:15" x14ac:dyDescent="0.2">
      <c r="I100" s="88"/>
      <c r="J100" s="163" t="s">
        <v>60</v>
      </c>
      <c r="K100" s="163"/>
      <c r="L100" s="163"/>
      <c r="M100" s="163"/>
      <c r="N100" s="163"/>
      <c r="O100" s="163"/>
    </row>
    <row r="101" spans="3:15" x14ac:dyDescent="0.2">
      <c r="I101" s="88"/>
      <c r="K101" s="174" t="s">
        <v>67</v>
      </c>
      <c r="L101" s="174"/>
      <c r="M101" s="174"/>
      <c r="N101" s="174"/>
      <c r="O101" s="174"/>
    </row>
    <row r="102" spans="3:15" x14ac:dyDescent="0.2">
      <c r="J102" s="121">
        <f>I60</f>
        <v>171.14201303218744</v>
      </c>
      <c r="K102" s="149">
        <f>L102-0.5%</f>
        <v>9.9999999999999985E-3</v>
      </c>
      <c r="L102" s="149">
        <f>M102-0.5%</f>
        <v>1.4999999999999999E-2</v>
      </c>
      <c r="M102" s="149">
        <v>0.02</v>
      </c>
      <c r="N102" s="149">
        <f>M102+0.5%</f>
        <v>2.5000000000000001E-2</v>
      </c>
      <c r="O102" s="149">
        <f>N102+0.5%</f>
        <v>3.0000000000000002E-2</v>
      </c>
    </row>
    <row r="103" spans="3:15" x14ac:dyDescent="0.2">
      <c r="C103" s="178" t="s">
        <v>37</v>
      </c>
      <c r="D103" s="178"/>
      <c r="E103" s="178"/>
      <c r="I103" s="179" t="s">
        <v>30</v>
      </c>
      <c r="J103" s="150">
        <f>J104-0.5%</f>
        <v>9.7672392841129579E-2</v>
      </c>
      <c r="K103" s="108">
        <f t="dataTable" ref="K103:O107" dt2D="1" dtr="1" r1="K70" r2="E96"/>
        <v>177.18233381491481</v>
      </c>
      <c r="L103" s="108">
        <v>184.4521819011382</v>
      </c>
      <c r="M103" s="108">
        <v>192.65799292352264</v>
      </c>
      <c r="N103" s="108">
        <v>201.99295501711552</v>
      </c>
      <c r="O103" s="108">
        <v>212.70735142678296</v>
      </c>
    </row>
    <row r="104" spans="3:15" x14ac:dyDescent="0.2">
      <c r="C104" s="104"/>
      <c r="D104" s="104"/>
      <c r="E104" s="104"/>
      <c r="I104" s="179"/>
      <c r="J104" s="150">
        <f>J105-0.5%</f>
        <v>0.10267239284112958</v>
      </c>
      <c r="K104" s="108">
        <v>167.77216237379758</v>
      </c>
      <c r="L104" s="137">
        <v>174.12625508548223</v>
      </c>
      <c r="M104" s="137">
        <v>181.24893480587917</v>
      </c>
      <c r="N104" s="137">
        <v>189.2886301427468</v>
      </c>
      <c r="O104" s="108">
        <v>198.43461839533606</v>
      </c>
    </row>
    <row r="105" spans="3:15" x14ac:dyDescent="0.2">
      <c r="C105" s="153" t="s">
        <v>64</v>
      </c>
      <c r="D105" s="174" t="s">
        <v>66</v>
      </c>
      <c r="E105" s="174"/>
      <c r="I105" s="179"/>
      <c r="J105" s="150">
        <v>0.10767239284112959</v>
      </c>
      <c r="K105" s="108">
        <v>159.32737674862628</v>
      </c>
      <c r="L105" s="137">
        <v>164.91597439767565</v>
      </c>
      <c r="M105" s="151">
        <v>171.14201303218744</v>
      </c>
      <c r="N105" s="137">
        <v>178.12114933576942</v>
      </c>
      <c r="O105" s="108">
        <v>185.99882063335593</v>
      </c>
    </row>
    <row r="106" spans="3:15" x14ac:dyDescent="0.2">
      <c r="C106" s="132"/>
      <c r="D106" s="132"/>
      <c r="E106" s="87"/>
      <c r="I106" s="179"/>
      <c r="J106" s="145">
        <f>J105+0.5%</f>
        <v>0.11267239284112959</v>
      </c>
      <c r="K106" s="108">
        <v>151.70689621998258</v>
      </c>
      <c r="L106" s="137">
        <v>156.64997602981009</v>
      </c>
      <c r="M106" s="137">
        <v>162.12644875831418</v>
      </c>
      <c r="N106" s="137">
        <v>168.22757339274122</v>
      </c>
      <c r="O106" s="108">
        <v>175.06668617832196</v>
      </c>
    </row>
    <row r="107" spans="3:15" x14ac:dyDescent="0.2">
      <c r="E107" s="87"/>
      <c r="I107" s="179"/>
      <c r="J107" s="145">
        <f>J106+0.5%</f>
        <v>0.1176723928411296</v>
      </c>
      <c r="K107" s="108">
        <v>144.79584644386057</v>
      </c>
      <c r="L107" s="108">
        <v>149.1902772999515</v>
      </c>
      <c r="M107" s="108">
        <v>154.03462350348755</v>
      </c>
      <c r="N107" s="108">
        <v>159.40170857833343</v>
      </c>
      <c r="O107" s="108">
        <v>165.38096869493646</v>
      </c>
    </row>
    <row r="108" spans="3:15" x14ac:dyDescent="0.2">
      <c r="E108" s="87"/>
      <c r="N108" s="86"/>
    </row>
    <row r="109" spans="3:15" x14ac:dyDescent="0.2">
      <c r="E109" s="87"/>
      <c r="N109" s="86"/>
    </row>
    <row r="110" spans="3:15" x14ac:dyDescent="0.2">
      <c r="C110" s="132" t="s">
        <v>87</v>
      </c>
      <c r="E110" s="147">
        <f>E112+E111*E113</f>
        <v>4.3499999999999997E-2</v>
      </c>
      <c r="N110" s="86"/>
    </row>
    <row r="111" spans="3:15" x14ac:dyDescent="0.2">
      <c r="C111" s="166" t="s">
        <v>88</v>
      </c>
      <c r="D111" s="166"/>
      <c r="E111" s="141">
        <f>E79</f>
        <v>0.24545454545454545</v>
      </c>
      <c r="N111" s="86"/>
    </row>
    <row r="112" spans="3:15" x14ac:dyDescent="0.2">
      <c r="C112" s="166" t="s">
        <v>75</v>
      </c>
      <c r="D112" s="166"/>
      <c r="E112" s="143">
        <f>E97</f>
        <v>0.03</v>
      </c>
      <c r="N112" s="86"/>
    </row>
    <row r="113" spans="3:5" x14ac:dyDescent="0.2">
      <c r="C113" s="166" t="s">
        <v>77</v>
      </c>
      <c r="D113" s="166"/>
      <c r="E113" s="143">
        <f>E98</f>
        <v>5.5E-2</v>
      </c>
    </row>
  </sheetData>
  <mergeCells count="103">
    <mergeCell ref="C111:D111"/>
    <mergeCell ref="C112:D112"/>
    <mergeCell ref="C113:D113"/>
    <mergeCell ref="M76:N76"/>
    <mergeCell ref="C98:D98"/>
    <mergeCell ref="M78:N78"/>
    <mergeCell ref="C103:E103"/>
    <mergeCell ref="I103:I107"/>
    <mergeCell ref="C96:D96"/>
    <mergeCell ref="C91:D91"/>
    <mergeCell ref="C92:D92"/>
    <mergeCell ref="J97:O98"/>
    <mergeCell ref="J100:O100"/>
    <mergeCell ref="K101:O101"/>
    <mergeCell ref="C99:D99"/>
    <mergeCell ref="D105:E105"/>
    <mergeCell ref="I91:J91"/>
    <mergeCell ref="M75:N75"/>
    <mergeCell ref="C83:D83"/>
    <mergeCell ref="C84:D84"/>
    <mergeCell ref="C85:D85"/>
    <mergeCell ref="C87:D87"/>
    <mergeCell ref="C88:D88"/>
    <mergeCell ref="M67:O67"/>
    <mergeCell ref="C89:D89"/>
    <mergeCell ref="C90:D90"/>
    <mergeCell ref="M69:N69"/>
    <mergeCell ref="I90:J90"/>
    <mergeCell ref="I84:J84"/>
    <mergeCell ref="G57:H57"/>
    <mergeCell ref="C58:D58"/>
    <mergeCell ref="G58:H58"/>
    <mergeCell ref="I69:J69"/>
    <mergeCell ref="I79:J79"/>
    <mergeCell ref="C60:D60"/>
    <mergeCell ref="G60:H60"/>
    <mergeCell ref="C62:D62"/>
    <mergeCell ref="C63:D63"/>
    <mergeCell ref="C67:E67"/>
    <mergeCell ref="I67:K67"/>
    <mergeCell ref="C74:D74"/>
    <mergeCell ref="C76:D76"/>
    <mergeCell ref="I76:J76"/>
    <mergeCell ref="B45:C45"/>
    <mergeCell ref="C52:D52"/>
    <mergeCell ref="G52:H52"/>
    <mergeCell ref="I85:J85"/>
    <mergeCell ref="C53:D53"/>
    <mergeCell ref="G53:H53"/>
    <mergeCell ref="I86:J86"/>
    <mergeCell ref="G54:H54"/>
    <mergeCell ref="C55:D55"/>
    <mergeCell ref="G55:H55"/>
    <mergeCell ref="C77:E77"/>
    <mergeCell ref="C79:D79"/>
    <mergeCell ref="I77:J77"/>
    <mergeCell ref="I82:K82"/>
    <mergeCell ref="D69:F69"/>
    <mergeCell ref="D70:F70"/>
    <mergeCell ref="K51:L51"/>
    <mergeCell ref="C61:D61"/>
    <mergeCell ref="K52:L52"/>
    <mergeCell ref="C56:D56"/>
    <mergeCell ref="G56:H56"/>
    <mergeCell ref="K53:L53"/>
    <mergeCell ref="C49:E49"/>
    <mergeCell ref="C57:D57"/>
    <mergeCell ref="G49:I49"/>
    <mergeCell ref="C51:D51"/>
    <mergeCell ref="G51:H51"/>
    <mergeCell ref="K49:M49"/>
    <mergeCell ref="B30:C30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9:C29"/>
    <mergeCell ref="B31:C31"/>
    <mergeCell ref="B36:C37"/>
    <mergeCell ref="B39:C39"/>
    <mergeCell ref="B40:C40"/>
    <mergeCell ref="B41:C41"/>
    <mergeCell ref="B42:C42"/>
    <mergeCell ref="B43:C43"/>
    <mergeCell ref="B44:C44"/>
    <mergeCell ref="B17:C17"/>
    <mergeCell ref="B2:N2"/>
    <mergeCell ref="B3:N3"/>
    <mergeCell ref="B6:C7"/>
    <mergeCell ref="D9:F9"/>
    <mergeCell ref="I9:N9"/>
    <mergeCell ref="B11:C11"/>
    <mergeCell ref="B12:C12"/>
    <mergeCell ref="B13:C13"/>
    <mergeCell ref="B14:C14"/>
    <mergeCell ref="B15:C15"/>
    <mergeCell ref="B16:C16"/>
  </mergeCells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T113"/>
  <sheetViews>
    <sheetView tabSelected="1" topLeftCell="B54" zoomScale="110" zoomScaleNormal="110" workbookViewId="0">
      <selection activeCell="M108" sqref="M108"/>
    </sheetView>
  </sheetViews>
  <sheetFormatPr baseColWidth="10" defaultColWidth="10.83203125" defaultRowHeight="16" x14ac:dyDescent="0.2"/>
  <cols>
    <col min="1" max="1" width="10.83203125" style="86"/>
    <col min="2" max="2" width="18.5" style="86" customWidth="1"/>
    <col min="3" max="4" width="15.83203125" style="87" customWidth="1"/>
    <col min="5" max="5" width="15.83203125" style="88" customWidth="1"/>
    <col min="6" max="6" width="15" style="88" customWidth="1"/>
    <col min="7" max="9" width="15.83203125" style="87" customWidth="1"/>
    <col min="10" max="10" width="15" style="87" customWidth="1"/>
    <col min="11" max="11" width="15.83203125" style="87" customWidth="1"/>
    <col min="12" max="12" width="13.5" style="87" customWidth="1"/>
    <col min="13" max="19" width="15.83203125" style="87" customWidth="1"/>
    <col min="20" max="16384" width="10.83203125" style="86"/>
  </cols>
  <sheetData>
    <row r="1" spans="2:20" x14ac:dyDescent="0.2">
      <c r="T1" s="86" t="s">
        <v>4</v>
      </c>
    </row>
    <row r="2" spans="2:20" ht="46" customHeight="1" x14ac:dyDescent="0.2">
      <c r="B2" s="157" t="s">
        <v>5</v>
      </c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</row>
    <row r="3" spans="2:20" x14ac:dyDescent="0.2">
      <c r="B3" s="158" t="s">
        <v>6</v>
      </c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</row>
    <row r="4" spans="2:20" x14ac:dyDescent="0.2">
      <c r="B4" s="89" t="s">
        <v>7</v>
      </c>
      <c r="C4" s="90"/>
      <c r="D4" s="90"/>
      <c r="E4" s="91"/>
      <c r="F4" s="91"/>
      <c r="G4" s="90"/>
      <c r="H4" s="90"/>
      <c r="I4" s="90"/>
      <c r="J4" s="90"/>
      <c r="K4" s="90"/>
      <c r="L4" s="90"/>
      <c r="M4" s="90"/>
      <c r="N4" s="90"/>
    </row>
    <row r="6" spans="2:20" x14ac:dyDescent="0.2">
      <c r="B6" s="159" t="s">
        <v>8</v>
      </c>
      <c r="C6" s="159"/>
    </row>
    <row r="7" spans="2:20" x14ac:dyDescent="0.2">
      <c r="B7" s="159"/>
      <c r="C7" s="159"/>
    </row>
    <row r="8" spans="2:20" x14ac:dyDescent="0.2">
      <c r="B8" s="92"/>
      <c r="C8" s="92"/>
    </row>
    <row r="9" spans="2:20" x14ac:dyDescent="0.2">
      <c r="B9" s="86" t="s">
        <v>9</v>
      </c>
      <c r="C9" s="87" t="s">
        <v>10</v>
      </c>
      <c r="D9" s="160" t="s">
        <v>11</v>
      </c>
      <c r="E9" s="160"/>
      <c r="F9" s="160"/>
      <c r="G9" s="87" t="s">
        <v>12</v>
      </c>
      <c r="H9" s="93" t="s">
        <v>13</v>
      </c>
      <c r="I9" s="160" t="s">
        <v>14</v>
      </c>
      <c r="J9" s="160"/>
      <c r="K9" s="160"/>
      <c r="L9" s="160"/>
      <c r="M9" s="160"/>
      <c r="N9" s="160"/>
      <c r="O9" s="87" t="s">
        <v>12</v>
      </c>
    </row>
    <row r="10" spans="2:20" x14ac:dyDescent="0.2">
      <c r="D10" s="87">
        <f>E10-1</f>
        <v>2018</v>
      </c>
      <c r="E10" s="88">
        <f>F10-1</f>
        <v>2019</v>
      </c>
      <c r="F10" s="88">
        <v>2020</v>
      </c>
      <c r="G10" s="87" t="s">
        <v>15</v>
      </c>
      <c r="H10" s="88">
        <v>2021</v>
      </c>
      <c r="I10" s="87">
        <f>H10+1</f>
        <v>2022</v>
      </c>
      <c r="J10" s="87">
        <f>I10+1</f>
        <v>2023</v>
      </c>
      <c r="K10" s="87">
        <f>J10+1</f>
        <v>2024</v>
      </c>
      <c r="L10" s="87">
        <f>K10+1</f>
        <v>2025</v>
      </c>
      <c r="M10" s="87">
        <f>L10+1</f>
        <v>2026</v>
      </c>
      <c r="N10" s="87">
        <v>2027</v>
      </c>
      <c r="O10" s="87" t="s">
        <v>243</v>
      </c>
    </row>
    <row r="11" spans="2:20" x14ac:dyDescent="0.2">
      <c r="B11" s="156" t="s">
        <v>16</v>
      </c>
      <c r="C11" s="156"/>
      <c r="D11" s="94"/>
      <c r="E11" s="94"/>
      <c r="F11" s="94"/>
      <c r="G11" s="95"/>
      <c r="H11" s="94">
        <v>2649</v>
      </c>
      <c r="I11" s="94">
        <v>2849</v>
      </c>
      <c r="J11" s="94">
        <v>2951</v>
      </c>
      <c r="K11" s="94">
        <v>3030</v>
      </c>
      <c r="L11" s="94">
        <v>3042</v>
      </c>
      <c r="M11" s="94">
        <v>3082</v>
      </c>
      <c r="N11" s="94">
        <v>3243</v>
      </c>
      <c r="O11" s="96">
        <f>(N11/I11)^(1/5)-1</f>
        <v>2.6244635371558855E-2</v>
      </c>
    </row>
    <row r="12" spans="2:20" s="100" customFormat="1" x14ac:dyDescent="0.2">
      <c r="B12" s="161" t="s">
        <v>17</v>
      </c>
      <c r="C12" s="161"/>
      <c r="D12" s="93"/>
      <c r="E12" s="97"/>
      <c r="F12" s="97"/>
      <c r="G12" s="93"/>
      <c r="H12" s="98">
        <v>6.3200000000000006E-2</v>
      </c>
      <c r="I12" s="98">
        <v>7.5300000000000006E-2</v>
      </c>
      <c r="J12" s="99">
        <v>3.5999999999999997E-2</v>
      </c>
      <c r="K12" s="99">
        <v>2.6700000000000002E-2</v>
      </c>
      <c r="L12" s="99">
        <v>4.1000000000000003E-3</v>
      </c>
      <c r="M12" s="99">
        <v>1.29E-2</v>
      </c>
      <c r="N12" s="99">
        <v>5.2400000000000002E-2</v>
      </c>
      <c r="O12" s="93"/>
      <c r="P12" s="93"/>
      <c r="Q12" s="93"/>
      <c r="R12" s="93"/>
      <c r="S12" s="93"/>
    </row>
    <row r="13" spans="2:20" x14ac:dyDescent="0.2">
      <c r="B13" s="162" t="s">
        <v>18</v>
      </c>
      <c r="C13" s="162"/>
      <c r="E13" s="101"/>
      <c r="F13" s="101"/>
      <c r="H13" s="88">
        <v>1903</v>
      </c>
      <c r="I13" s="102">
        <v>2007</v>
      </c>
      <c r="J13" s="87">
        <v>2065</v>
      </c>
      <c r="K13" s="87">
        <v>2108</v>
      </c>
      <c r="L13" s="87">
        <v>2130</v>
      </c>
      <c r="M13" s="87">
        <v>2311</v>
      </c>
      <c r="N13" s="87">
        <v>2400</v>
      </c>
    </row>
    <row r="14" spans="2:20" x14ac:dyDescent="0.2">
      <c r="B14" s="156" t="s">
        <v>19</v>
      </c>
      <c r="C14" s="156"/>
      <c r="E14" s="101"/>
      <c r="F14" s="101"/>
      <c r="H14" s="94">
        <f>H11-H13</f>
        <v>746</v>
      </c>
      <c r="I14" s="94">
        <f t="shared" ref="I14:N14" si="0">I11-I13</f>
        <v>842</v>
      </c>
      <c r="J14" s="94">
        <f t="shared" si="0"/>
        <v>886</v>
      </c>
      <c r="K14" s="94">
        <f t="shared" si="0"/>
        <v>922</v>
      </c>
      <c r="L14" s="94">
        <f t="shared" si="0"/>
        <v>912</v>
      </c>
      <c r="M14" s="94">
        <f t="shared" si="0"/>
        <v>771</v>
      </c>
      <c r="N14" s="94">
        <f t="shared" si="0"/>
        <v>843</v>
      </c>
      <c r="O14" s="96">
        <f>(N14/I14)^(1/5)-1</f>
        <v>2.3741693084522453E-4</v>
      </c>
    </row>
    <row r="15" spans="2:20" s="100" customFormat="1" x14ac:dyDescent="0.2">
      <c r="B15" s="161" t="s">
        <v>20</v>
      </c>
      <c r="C15" s="161"/>
      <c r="D15" s="103"/>
      <c r="E15" s="97"/>
      <c r="F15" s="97"/>
      <c r="G15" s="93"/>
      <c r="H15" s="98">
        <f>H14/H11</f>
        <v>0.28161570403926012</v>
      </c>
      <c r="I15" s="98">
        <f t="shared" ref="I15:N15" si="1">I14/I11</f>
        <v>0.29554229554229555</v>
      </c>
      <c r="J15" s="98">
        <f t="shared" si="1"/>
        <v>0.3002372077261945</v>
      </c>
      <c r="K15" s="98">
        <f t="shared" si="1"/>
        <v>0.30429042904290426</v>
      </c>
      <c r="L15" s="98">
        <f t="shared" si="1"/>
        <v>0.29980276134122286</v>
      </c>
      <c r="M15" s="98">
        <f t="shared" si="1"/>
        <v>0.2501622323166775</v>
      </c>
      <c r="N15" s="98">
        <f t="shared" si="1"/>
        <v>0.25994449583718782</v>
      </c>
      <c r="O15" s="93"/>
      <c r="P15" s="93"/>
      <c r="Q15" s="93"/>
      <c r="R15" s="93"/>
      <c r="S15" s="93"/>
    </row>
    <row r="16" spans="2:20" x14ac:dyDescent="0.2">
      <c r="B16" s="162" t="s">
        <v>21</v>
      </c>
      <c r="C16" s="162"/>
      <c r="E16" s="101"/>
      <c r="F16" s="101"/>
      <c r="G16" s="86"/>
      <c r="H16" s="88">
        <v>302</v>
      </c>
      <c r="I16" s="102">
        <v>356</v>
      </c>
      <c r="J16" s="87">
        <v>383</v>
      </c>
      <c r="K16" s="87">
        <v>397</v>
      </c>
      <c r="L16" s="87">
        <v>381</v>
      </c>
      <c r="M16" s="87">
        <v>214</v>
      </c>
      <c r="N16" s="87">
        <v>159</v>
      </c>
    </row>
    <row r="17" spans="2:19" x14ac:dyDescent="0.2">
      <c r="B17" s="156" t="s">
        <v>22</v>
      </c>
      <c r="C17" s="156"/>
      <c r="G17" s="101"/>
      <c r="H17" s="94">
        <f>H14-H16</f>
        <v>444</v>
      </c>
      <c r="I17" s="94">
        <f t="shared" ref="I17:N17" si="2">I14-I16</f>
        <v>486</v>
      </c>
      <c r="J17" s="94">
        <f t="shared" si="2"/>
        <v>503</v>
      </c>
      <c r="K17" s="94">
        <f t="shared" si="2"/>
        <v>525</v>
      </c>
      <c r="L17" s="94">
        <f t="shared" si="2"/>
        <v>531</v>
      </c>
      <c r="M17" s="94">
        <f t="shared" si="2"/>
        <v>557</v>
      </c>
      <c r="N17" s="94">
        <f t="shared" si="2"/>
        <v>684</v>
      </c>
      <c r="O17" s="96">
        <f>(N17/I17)^(1/5)-1</f>
        <v>7.0739850656267755E-2</v>
      </c>
    </row>
    <row r="18" spans="2:19" s="100" customFormat="1" x14ac:dyDescent="0.2">
      <c r="B18" s="161" t="s">
        <v>20</v>
      </c>
      <c r="C18" s="161"/>
      <c r="D18" s="103"/>
      <c r="E18" s="97"/>
      <c r="F18" s="97"/>
      <c r="G18" s="93"/>
      <c r="H18" s="98">
        <f>H17/H11</f>
        <v>0.16761041902604756</v>
      </c>
      <c r="I18" s="98">
        <f t="shared" ref="I18:N18" si="3">I17/I11</f>
        <v>0.17058617058617059</v>
      </c>
      <c r="J18" s="98">
        <f t="shared" si="3"/>
        <v>0.17045069467976956</v>
      </c>
      <c r="K18" s="98">
        <f t="shared" si="3"/>
        <v>0.17326732673267325</v>
      </c>
      <c r="L18" s="98">
        <f t="shared" si="3"/>
        <v>0.17455621301775148</v>
      </c>
      <c r="M18" s="98">
        <f t="shared" si="3"/>
        <v>0.18072680077871511</v>
      </c>
      <c r="N18" s="98">
        <f t="shared" si="3"/>
        <v>0.21091581868640147</v>
      </c>
      <c r="O18" s="93"/>
      <c r="P18" s="93"/>
      <c r="Q18" s="93"/>
      <c r="R18" s="93"/>
      <c r="S18" s="93"/>
    </row>
    <row r="19" spans="2:19" x14ac:dyDescent="0.2">
      <c r="B19" s="162" t="s">
        <v>23</v>
      </c>
      <c r="C19" s="162"/>
      <c r="H19" s="102">
        <v>216</v>
      </c>
      <c r="I19" s="87">
        <v>224</v>
      </c>
      <c r="J19" s="87">
        <v>221</v>
      </c>
      <c r="K19" s="87">
        <v>232</v>
      </c>
      <c r="L19" s="87">
        <v>224</v>
      </c>
      <c r="M19" s="87">
        <v>496</v>
      </c>
      <c r="N19" s="87">
        <v>522</v>
      </c>
    </row>
    <row r="20" spans="2:19" x14ac:dyDescent="0.2">
      <c r="B20" s="156" t="s">
        <v>24</v>
      </c>
      <c r="C20" s="156"/>
      <c r="G20" s="104"/>
      <c r="H20" s="94">
        <f>H17-H19</f>
        <v>228</v>
      </c>
      <c r="I20" s="94">
        <f>I17-I19</f>
        <v>262</v>
      </c>
      <c r="J20" s="94">
        <f t="shared" ref="J20:N20" si="4">J17-J19</f>
        <v>282</v>
      </c>
      <c r="K20" s="94">
        <f t="shared" si="4"/>
        <v>293</v>
      </c>
      <c r="L20" s="94">
        <f t="shared" si="4"/>
        <v>307</v>
      </c>
      <c r="M20" s="94">
        <f t="shared" si="4"/>
        <v>61</v>
      </c>
      <c r="N20" s="94">
        <f t="shared" si="4"/>
        <v>162</v>
      </c>
      <c r="O20" s="96"/>
    </row>
    <row r="21" spans="2:19" s="100" customFormat="1" x14ac:dyDescent="0.2">
      <c r="B21" s="161" t="s">
        <v>20</v>
      </c>
      <c r="C21" s="161"/>
      <c r="D21" s="103"/>
      <c r="E21" s="97"/>
      <c r="F21" s="97"/>
      <c r="G21" s="93"/>
      <c r="H21" s="98">
        <f>H20/H11</f>
        <v>8.6070215175537937E-2</v>
      </c>
      <c r="I21" s="98">
        <f t="shared" ref="I21:N21" si="5">I20/I11</f>
        <v>9.1962091962091957E-2</v>
      </c>
      <c r="J21" s="98">
        <f t="shared" si="5"/>
        <v>9.5560826838359883E-2</v>
      </c>
      <c r="K21" s="98">
        <f t="shared" si="5"/>
        <v>9.6699669966996693E-2</v>
      </c>
      <c r="L21" s="98">
        <f t="shared" si="5"/>
        <v>0.10092044707429323</v>
      </c>
      <c r="M21" s="98">
        <f t="shared" si="5"/>
        <v>1.9792342634652824E-2</v>
      </c>
      <c r="N21" s="98">
        <f t="shared" si="5"/>
        <v>4.9953746530989822E-2</v>
      </c>
      <c r="O21" s="93"/>
      <c r="P21" s="93"/>
      <c r="Q21" s="93"/>
      <c r="R21" s="93"/>
      <c r="S21" s="93"/>
    </row>
    <row r="22" spans="2:19" x14ac:dyDescent="0.2">
      <c r="B22" s="162" t="s">
        <v>25</v>
      </c>
      <c r="C22" s="162"/>
      <c r="D22" s="104"/>
      <c r="E22" s="101"/>
      <c r="F22" s="101"/>
      <c r="G22" s="86"/>
      <c r="H22" s="88">
        <v>57</v>
      </c>
      <c r="I22" s="87">
        <v>79</v>
      </c>
      <c r="J22" s="88">
        <v>80</v>
      </c>
      <c r="K22" s="87">
        <v>83</v>
      </c>
      <c r="L22" s="87">
        <v>89</v>
      </c>
      <c r="M22" s="87">
        <v>17</v>
      </c>
      <c r="N22" s="87">
        <v>47</v>
      </c>
    </row>
    <row r="23" spans="2:19" s="100" customFormat="1" x14ac:dyDescent="0.2">
      <c r="B23" s="167" t="s">
        <v>0</v>
      </c>
      <c r="C23" s="167"/>
      <c r="D23" s="103"/>
      <c r="E23" s="97"/>
      <c r="F23" s="97"/>
      <c r="H23" s="105">
        <v>0.25</v>
      </c>
      <c r="I23" s="99">
        <v>0.3</v>
      </c>
      <c r="J23" s="99">
        <v>0.28000000000000003</v>
      </c>
      <c r="K23" s="99">
        <v>0.28000000000000003</v>
      </c>
      <c r="L23" s="99">
        <v>0.28999999999999998</v>
      </c>
      <c r="M23" s="99">
        <v>0.28000000000000003</v>
      </c>
      <c r="N23" s="99">
        <v>0.28999999999999998</v>
      </c>
      <c r="O23" s="93"/>
      <c r="P23" s="93"/>
      <c r="Q23" s="93"/>
      <c r="R23" s="93"/>
      <c r="S23" s="93"/>
    </row>
    <row r="24" spans="2:19" x14ac:dyDescent="0.2">
      <c r="B24" s="156" t="s">
        <v>26</v>
      </c>
      <c r="C24" s="156"/>
      <c r="G24" s="104"/>
      <c r="H24" s="94">
        <f>H20-H22</f>
        <v>171</v>
      </c>
      <c r="I24" s="94">
        <f t="shared" ref="I24:N24" si="6">I20-I22</f>
        <v>183</v>
      </c>
      <c r="J24" s="94">
        <f t="shared" si="6"/>
        <v>202</v>
      </c>
      <c r="K24" s="94">
        <f t="shared" si="6"/>
        <v>210</v>
      </c>
      <c r="L24" s="94">
        <f t="shared" si="6"/>
        <v>218</v>
      </c>
      <c r="M24" s="94">
        <f t="shared" si="6"/>
        <v>44</v>
      </c>
      <c r="N24" s="94">
        <f t="shared" si="6"/>
        <v>115</v>
      </c>
      <c r="O24" s="96"/>
      <c r="P24" s="88"/>
    </row>
    <row r="25" spans="2:19" x14ac:dyDescent="0.2">
      <c r="B25" s="162" t="s">
        <v>27</v>
      </c>
      <c r="C25" s="162"/>
      <c r="H25" s="88">
        <v>216</v>
      </c>
      <c r="I25" s="87">
        <v>224</v>
      </c>
      <c r="J25" s="87">
        <v>221</v>
      </c>
      <c r="K25" s="87">
        <v>232</v>
      </c>
      <c r="L25" s="87">
        <v>224</v>
      </c>
      <c r="M25" s="87">
        <v>496</v>
      </c>
      <c r="N25" s="87">
        <v>522</v>
      </c>
    </row>
    <row r="26" spans="2:19" x14ac:dyDescent="0.2">
      <c r="B26" s="162" t="s">
        <v>28</v>
      </c>
      <c r="C26" s="162"/>
      <c r="H26" s="88">
        <v>83</v>
      </c>
      <c r="I26" s="87">
        <v>129</v>
      </c>
      <c r="J26" s="87">
        <v>146</v>
      </c>
      <c r="K26" s="87">
        <v>149</v>
      </c>
      <c r="L26" s="87">
        <v>127</v>
      </c>
      <c r="M26" s="87">
        <v>121</v>
      </c>
      <c r="N26" s="87">
        <v>110</v>
      </c>
    </row>
    <row r="27" spans="2:19" x14ac:dyDescent="0.2">
      <c r="B27" s="162" t="s">
        <v>29</v>
      </c>
      <c r="C27" s="162"/>
      <c r="H27" s="102">
        <v>-6</v>
      </c>
      <c r="I27" s="87">
        <v>-105</v>
      </c>
      <c r="J27" s="87">
        <v>-80</v>
      </c>
      <c r="K27" s="87">
        <v>-159</v>
      </c>
      <c r="L27" s="87">
        <v>-108</v>
      </c>
      <c r="M27" s="87">
        <v>-95</v>
      </c>
      <c r="N27" s="87">
        <v>-118</v>
      </c>
    </row>
    <row r="28" spans="2:19" x14ac:dyDescent="0.2">
      <c r="B28" s="106" t="s">
        <v>2</v>
      </c>
      <c r="C28" s="106"/>
      <c r="H28" s="94">
        <f>H24+H25-H26-H27</f>
        <v>310</v>
      </c>
      <c r="I28" s="94">
        <f t="shared" ref="I28:N28" si="7">I24+I25-I26-I27</f>
        <v>383</v>
      </c>
      <c r="J28" s="94">
        <f t="shared" si="7"/>
        <v>357</v>
      </c>
      <c r="K28" s="94">
        <f t="shared" si="7"/>
        <v>452</v>
      </c>
      <c r="L28" s="94">
        <f t="shared" si="7"/>
        <v>423</v>
      </c>
      <c r="M28" s="94">
        <f t="shared" si="7"/>
        <v>514</v>
      </c>
      <c r="N28" s="94">
        <f t="shared" si="7"/>
        <v>645</v>
      </c>
      <c r="O28" s="96">
        <f>(N28/I28)^(1/5)-1</f>
        <v>0.10987019331122982</v>
      </c>
    </row>
    <row r="29" spans="2:19" x14ac:dyDescent="0.2">
      <c r="B29" s="166" t="s">
        <v>30</v>
      </c>
      <c r="C29" s="166"/>
      <c r="D29" s="107">
        <f>E96</f>
        <v>9.6314014627396735E-2</v>
      </c>
      <c r="H29" s="88"/>
    </row>
    <row r="30" spans="2:19" x14ac:dyDescent="0.2">
      <c r="B30" s="166" t="s">
        <v>31</v>
      </c>
      <c r="C30" s="166"/>
      <c r="H30" s="88"/>
      <c r="I30" s="87">
        <v>0.5</v>
      </c>
      <c r="J30" s="87">
        <f>I30+1</f>
        <v>1.5</v>
      </c>
      <c r="K30" s="87">
        <f t="shared" ref="K30:N30" si="8">J30+1</f>
        <v>2.5</v>
      </c>
      <c r="L30" s="87">
        <f t="shared" si="8"/>
        <v>3.5</v>
      </c>
      <c r="M30" s="87">
        <f t="shared" si="8"/>
        <v>4.5</v>
      </c>
      <c r="N30" s="87">
        <f t="shared" si="8"/>
        <v>5.5</v>
      </c>
    </row>
    <row r="31" spans="2:19" x14ac:dyDescent="0.2">
      <c r="B31" s="166" t="s">
        <v>32</v>
      </c>
      <c r="C31" s="166"/>
      <c r="H31" s="88"/>
      <c r="I31" s="108">
        <f>1/(1+$D$29)^I30</f>
        <v>0.95506409211297461</v>
      </c>
      <c r="J31" s="108">
        <f>1/(1+$D$29)^J30</f>
        <v>0.87115924759711438</v>
      </c>
      <c r="K31" s="108">
        <f t="shared" ref="K31:N31" si="9">1/(1+$D$29)^K30</f>
        <v>0.79462566014281466</v>
      </c>
      <c r="L31" s="108">
        <f t="shared" si="9"/>
        <v>0.72481574579969532</v>
      </c>
      <c r="M31" s="108">
        <f t="shared" si="9"/>
        <v>0.66113881253815576</v>
      </c>
      <c r="N31" s="108">
        <f t="shared" si="9"/>
        <v>0.60305606214735519</v>
      </c>
    </row>
    <row r="32" spans="2:19" x14ac:dyDescent="0.2">
      <c r="B32" s="109" t="s">
        <v>33</v>
      </c>
      <c r="C32" s="109"/>
      <c r="D32" s="110"/>
      <c r="E32" s="111"/>
      <c r="F32" s="111"/>
      <c r="G32" s="110"/>
      <c r="H32" s="111"/>
      <c r="I32" s="112">
        <f>I28*I31</f>
        <v>365.7895472792693</v>
      </c>
      <c r="J32" s="112">
        <f t="shared" ref="J32:N32" si="10">J28*J31</f>
        <v>311.00385139216985</v>
      </c>
      <c r="K32" s="112">
        <f t="shared" si="10"/>
        <v>359.1707983845522</v>
      </c>
      <c r="L32" s="112">
        <f t="shared" si="10"/>
        <v>306.59706047327114</v>
      </c>
      <c r="M32" s="112">
        <f t="shared" si="10"/>
        <v>339.82534964461206</v>
      </c>
      <c r="N32" s="112">
        <f t="shared" si="10"/>
        <v>388.97116008504412</v>
      </c>
    </row>
    <row r="33" spans="2:14" x14ac:dyDescent="0.2">
      <c r="B33" s="86" t="s">
        <v>34</v>
      </c>
      <c r="H33" s="113">
        <f>SUM(I32:N32)</f>
        <v>2071.3577672589186</v>
      </c>
      <c r="I33" s="86"/>
    </row>
    <row r="34" spans="2:14" x14ac:dyDescent="0.2">
      <c r="H34" s="88"/>
      <c r="I34" s="86"/>
    </row>
    <row r="35" spans="2:14" x14ac:dyDescent="0.2">
      <c r="H35" s="88"/>
      <c r="I35" s="86"/>
    </row>
    <row r="36" spans="2:14" x14ac:dyDescent="0.2">
      <c r="B36" s="168" t="s">
        <v>35</v>
      </c>
      <c r="C36" s="169"/>
      <c r="H36" s="88"/>
      <c r="I36" s="86"/>
    </row>
    <row r="37" spans="2:14" x14ac:dyDescent="0.2">
      <c r="B37" s="170"/>
      <c r="C37" s="171"/>
      <c r="H37" s="88"/>
    </row>
    <row r="38" spans="2:14" x14ac:dyDescent="0.2">
      <c r="B38" s="114"/>
      <c r="C38" s="114"/>
      <c r="H38" s="88"/>
    </row>
    <row r="39" spans="2:14" x14ac:dyDescent="0.2">
      <c r="B39" s="156" t="s">
        <v>1</v>
      </c>
      <c r="C39" s="156"/>
      <c r="H39" s="113">
        <v>15</v>
      </c>
      <c r="I39" s="108">
        <v>13.558820000000001</v>
      </c>
      <c r="J39" s="108">
        <v>16.406079999999999</v>
      </c>
      <c r="K39" s="108">
        <v>16.244990000000001</v>
      </c>
      <c r="L39" s="108">
        <v>13</v>
      </c>
      <c r="M39" s="108">
        <v>15</v>
      </c>
      <c r="N39" s="108">
        <f>AVERAGE(H39:M39)</f>
        <v>14.868315000000001</v>
      </c>
    </row>
    <row r="40" spans="2:14" x14ac:dyDescent="0.2">
      <c r="B40" s="166" t="s">
        <v>36</v>
      </c>
      <c r="C40" s="166"/>
      <c r="H40" s="98">
        <v>0.25</v>
      </c>
      <c r="I40" s="99">
        <v>0.3</v>
      </c>
      <c r="J40" s="99">
        <v>0.28000000000000003</v>
      </c>
      <c r="K40" s="99">
        <v>0.28000000000000003</v>
      </c>
      <c r="L40" s="99">
        <v>0.28999999999999998</v>
      </c>
      <c r="M40" s="99">
        <v>0.28000000000000003</v>
      </c>
      <c r="N40" s="99">
        <v>0.28999999999999998</v>
      </c>
    </row>
    <row r="41" spans="2:14" x14ac:dyDescent="0.2">
      <c r="B41" s="156" t="s">
        <v>35</v>
      </c>
      <c r="C41" s="156"/>
      <c r="H41" s="113">
        <f>H39*H40</f>
        <v>3.75</v>
      </c>
      <c r="I41" s="115">
        <f t="shared" ref="I41:N41" si="11">I39*I40</f>
        <v>4.0676459999999999</v>
      </c>
      <c r="J41" s="115">
        <f t="shared" si="11"/>
        <v>4.5937024000000006</v>
      </c>
      <c r="K41" s="115">
        <f t="shared" si="11"/>
        <v>4.5485972000000006</v>
      </c>
      <c r="L41" s="115">
        <f t="shared" si="11"/>
        <v>3.7699999999999996</v>
      </c>
      <c r="M41" s="115">
        <f t="shared" si="11"/>
        <v>4.2</v>
      </c>
      <c r="N41" s="115">
        <f t="shared" si="11"/>
        <v>4.3118113500000002</v>
      </c>
    </row>
    <row r="42" spans="2:14" x14ac:dyDescent="0.2">
      <c r="B42" s="166" t="s">
        <v>37</v>
      </c>
      <c r="C42" s="166"/>
      <c r="D42" s="107">
        <f>E110</f>
        <v>4.7799999999999995E-2</v>
      </c>
      <c r="H42" s="88"/>
      <c r="I42" s="86"/>
      <c r="J42" s="86"/>
      <c r="K42" s="86"/>
      <c r="L42" s="86"/>
      <c r="M42" s="86"/>
      <c r="N42" s="86"/>
    </row>
    <row r="43" spans="2:14" x14ac:dyDescent="0.2">
      <c r="B43" s="166" t="s">
        <v>31</v>
      </c>
      <c r="C43" s="166"/>
      <c r="H43" s="88"/>
      <c r="I43" s="87">
        <v>0.5</v>
      </c>
      <c r="J43" s="87">
        <f>I43+1</f>
        <v>1.5</v>
      </c>
      <c r="K43" s="87">
        <f t="shared" ref="K43:N43" si="12">J43+1</f>
        <v>2.5</v>
      </c>
      <c r="L43" s="87">
        <f t="shared" si="12"/>
        <v>3.5</v>
      </c>
      <c r="M43" s="87">
        <f t="shared" si="12"/>
        <v>4.5</v>
      </c>
      <c r="N43" s="87">
        <f t="shared" si="12"/>
        <v>5.5</v>
      </c>
    </row>
    <row r="44" spans="2:14" x14ac:dyDescent="0.2">
      <c r="B44" s="166" t="s">
        <v>32</v>
      </c>
      <c r="C44" s="166"/>
      <c r="H44" s="88"/>
      <c r="I44" s="108">
        <f>1/(1+$D$42)^I43</f>
        <v>0.97692405384761916</v>
      </c>
      <c r="J44" s="108">
        <f t="shared" ref="J44:N44" si="13">1/(1+$D$42)^J43</f>
        <v>0.93235737149037889</v>
      </c>
      <c r="K44" s="108">
        <f t="shared" si="13"/>
        <v>0.88982379413092083</v>
      </c>
      <c r="L44" s="108">
        <f t="shared" si="13"/>
        <v>0.84923057275331248</v>
      </c>
      <c r="M44" s="108">
        <f t="shared" si="13"/>
        <v>0.81048918949543081</v>
      </c>
      <c r="N44" s="108">
        <f t="shared" si="13"/>
        <v>0.7735151646262941</v>
      </c>
    </row>
    <row r="45" spans="2:14" x14ac:dyDescent="0.2">
      <c r="B45" s="189" t="s">
        <v>38</v>
      </c>
      <c r="C45" s="189"/>
      <c r="D45" s="116"/>
      <c r="E45" s="117"/>
      <c r="F45" s="117"/>
      <c r="G45" s="116"/>
      <c r="H45" s="117"/>
      <c r="I45" s="118">
        <f>I41*I44</f>
        <v>3.9737812199370524</v>
      </c>
      <c r="J45" s="112">
        <f t="shared" ref="J45:N45" si="14">J41*J44</f>
        <v>4.282972295073046</v>
      </c>
      <c r="K45" s="112">
        <f t="shared" si="14"/>
        <v>4.0474500184772833</v>
      </c>
      <c r="L45" s="112">
        <f t="shared" si="14"/>
        <v>3.2015992592799876</v>
      </c>
      <c r="M45" s="112">
        <f t="shared" si="14"/>
        <v>3.4040545958808095</v>
      </c>
      <c r="N45" s="112">
        <f t="shared" si="14"/>
        <v>3.3352514662327737</v>
      </c>
    </row>
    <row r="46" spans="2:14" x14ac:dyDescent="0.2">
      <c r="B46" s="86" t="s">
        <v>39</v>
      </c>
      <c r="C46" s="119"/>
      <c r="H46" s="108">
        <f>SUM(I45:N45)</f>
        <v>22.24510885488095</v>
      </c>
    </row>
    <row r="47" spans="2:14" x14ac:dyDescent="0.2">
      <c r="B47" s="119"/>
      <c r="C47" s="119"/>
    </row>
    <row r="49" spans="2:18" x14ac:dyDescent="0.2">
      <c r="C49" s="163" t="s">
        <v>40</v>
      </c>
      <c r="D49" s="163"/>
      <c r="E49" s="163"/>
      <c r="G49" s="163" t="s">
        <v>41</v>
      </c>
      <c r="H49" s="163"/>
      <c r="I49" s="163"/>
      <c r="K49" s="163" t="s">
        <v>55</v>
      </c>
      <c r="L49" s="163"/>
      <c r="M49" s="163"/>
    </row>
    <row r="50" spans="2:18" x14ac:dyDescent="0.2">
      <c r="C50" s="86"/>
      <c r="D50" s="86"/>
      <c r="G50" s="86"/>
      <c r="H50" s="86"/>
      <c r="I50" s="86"/>
    </row>
    <row r="51" spans="2:18" x14ac:dyDescent="0.2">
      <c r="C51" s="164" t="s">
        <v>43</v>
      </c>
      <c r="D51" s="164"/>
      <c r="E51" s="120">
        <f>SUM(E52:E53)</f>
        <v>2093.6028761137995</v>
      </c>
      <c r="G51" s="165" t="s">
        <v>40</v>
      </c>
      <c r="H51" s="165"/>
      <c r="I51" s="121">
        <f>E60</f>
        <v>7414.8970677164916</v>
      </c>
      <c r="K51" s="173" t="s">
        <v>40</v>
      </c>
      <c r="L51" s="173"/>
      <c r="M51" s="121">
        <f>E60</f>
        <v>7414.8970677164916</v>
      </c>
    </row>
    <row r="52" spans="2:18" x14ac:dyDescent="0.2">
      <c r="C52" s="166" t="s">
        <v>45</v>
      </c>
      <c r="D52" s="166"/>
      <c r="E52" s="113">
        <f>H33</f>
        <v>2071.3577672589186</v>
      </c>
      <c r="G52" s="166" t="s">
        <v>46</v>
      </c>
      <c r="H52" s="166"/>
      <c r="I52" s="122">
        <f>E90</f>
        <v>960</v>
      </c>
      <c r="K52" s="173" t="s">
        <v>61</v>
      </c>
      <c r="L52" s="173"/>
      <c r="M52" s="87">
        <f>H17</f>
        <v>444</v>
      </c>
    </row>
    <row r="53" spans="2:18" x14ac:dyDescent="0.2">
      <c r="C53" s="166" t="s">
        <v>48</v>
      </c>
      <c r="D53" s="166"/>
      <c r="E53" s="113">
        <f>H46</f>
        <v>22.24510885488095</v>
      </c>
      <c r="G53" s="166" t="s">
        <v>49</v>
      </c>
      <c r="H53" s="166"/>
      <c r="I53" s="122">
        <v>0</v>
      </c>
      <c r="K53" s="175" t="s">
        <v>55</v>
      </c>
      <c r="L53" s="175"/>
      <c r="M53" s="123">
        <f>M51/M52</f>
        <v>16.70021862098309</v>
      </c>
    </row>
    <row r="54" spans="2:18" x14ac:dyDescent="0.2">
      <c r="C54" s="86"/>
      <c r="D54" s="86"/>
      <c r="E54" s="86"/>
      <c r="G54" s="166" t="s">
        <v>51</v>
      </c>
      <c r="H54" s="166"/>
      <c r="I54" s="122">
        <v>55</v>
      </c>
    </row>
    <row r="55" spans="2:18" x14ac:dyDescent="0.2">
      <c r="C55" s="164" t="s">
        <v>52</v>
      </c>
      <c r="D55" s="164"/>
      <c r="E55" s="120">
        <f>SUM(E56:E57)</f>
        <v>5321.2941916026921</v>
      </c>
      <c r="G55" s="166" t="s">
        <v>53</v>
      </c>
      <c r="H55" s="166"/>
      <c r="I55" s="122">
        <v>619</v>
      </c>
    </row>
    <row r="56" spans="2:18" x14ac:dyDescent="0.2">
      <c r="C56" s="166" t="s">
        <v>47</v>
      </c>
      <c r="D56" s="166"/>
      <c r="E56" s="120">
        <f>K79</f>
        <v>5198.9216557912741</v>
      </c>
      <c r="G56" s="173"/>
      <c r="H56" s="173"/>
    </row>
    <row r="57" spans="2:18" x14ac:dyDescent="0.2">
      <c r="C57" s="166" t="s">
        <v>56</v>
      </c>
      <c r="D57" s="166"/>
      <c r="E57" s="113">
        <f>O78</f>
        <v>122.37253581141832</v>
      </c>
      <c r="G57" s="176" t="s">
        <v>57</v>
      </c>
      <c r="H57" s="176"/>
      <c r="I57" s="124">
        <f>I51-SUM(I52:I54)+I55</f>
        <v>7018.8970677164916</v>
      </c>
      <c r="R57" s="86"/>
    </row>
    <row r="58" spans="2:18" x14ac:dyDescent="0.2">
      <c r="C58" s="166" t="s">
        <v>58</v>
      </c>
      <c r="D58" s="166"/>
      <c r="E58" s="125">
        <f>E56/E60</f>
        <v>0.70114549242048285</v>
      </c>
      <c r="G58" s="173"/>
      <c r="H58" s="173"/>
      <c r="Q58" s="86"/>
      <c r="R58" s="86"/>
    </row>
    <row r="59" spans="2:18" x14ac:dyDescent="0.2">
      <c r="C59" s="86"/>
      <c r="D59" s="86"/>
      <c r="E59" s="101"/>
      <c r="G59" s="126" t="s">
        <v>248</v>
      </c>
      <c r="H59" s="127"/>
      <c r="I59" s="128">
        <v>326.87</v>
      </c>
      <c r="Q59" s="86"/>
      <c r="R59" s="86"/>
    </row>
    <row r="60" spans="2:18" x14ac:dyDescent="0.2">
      <c r="C60" s="175" t="s">
        <v>59</v>
      </c>
      <c r="D60" s="175"/>
      <c r="E60" s="124">
        <f>E51+E55</f>
        <v>7414.8970677164916</v>
      </c>
      <c r="G60" s="175" t="s">
        <v>60</v>
      </c>
      <c r="H60" s="175"/>
      <c r="I60" s="124">
        <f>I57/I59</f>
        <v>21.473053714677064</v>
      </c>
      <c r="Q60" s="86"/>
    </row>
    <row r="61" spans="2:18" x14ac:dyDescent="0.2">
      <c r="C61" s="174"/>
      <c r="D61" s="174"/>
      <c r="Q61" s="86"/>
      <c r="R61" s="86"/>
    </row>
    <row r="62" spans="2:18" x14ac:dyDescent="0.2">
      <c r="C62" s="174"/>
      <c r="D62" s="174"/>
      <c r="O62" s="86"/>
      <c r="P62" s="86"/>
      <c r="Q62" s="86"/>
      <c r="R62" s="86"/>
    </row>
    <row r="63" spans="2:18" x14ac:dyDescent="0.2">
      <c r="B63" s="129"/>
      <c r="C63" s="174"/>
      <c r="D63" s="174"/>
      <c r="O63" s="86"/>
      <c r="P63" s="86"/>
      <c r="Q63" s="86"/>
      <c r="R63" s="86"/>
    </row>
    <row r="64" spans="2:18" x14ac:dyDescent="0.2">
      <c r="B64" s="87"/>
      <c r="H64" s="104"/>
      <c r="I64" s="104"/>
      <c r="J64" s="104"/>
      <c r="K64" s="104"/>
      <c r="L64" s="104"/>
      <c r="Q64" s="86"/>
      <c r="R64" s="86"/>
    </row>
    <row r="65" spans="2:18" x14ac:dyDescent="0.2">
      <c r="B65" s="87"/>
      <c r="I65" s="104"/>
      <c r="J65" s="104"/>
      <c r="K65" s="104"/>
      <c r="Q65" s="86"/>
      <c r="R65" s="86"/>
    </row>
    <row r="66" spans="2:18" x14ac:dyDescent="0.2">
      <c r="B66" s="87"/>
      <c r="I66" s="104"/>
      <c r="J66" s="104"/>
      <c r="K66" s="104"/>
      <c r="Q66" s="86"/>
      <c r="R66" s="86"/>
    </row>
    <row r="67" spans="2:18" x14ac:dyDescent="0.2">
      <c r="B67" s="130"/>
      <c r="C67" s="163" t="s">
        <v>62</v>
      </c>
      <c r="D67" s="163"/>
      <c r="E67" s="163"/>
      <c r="I67" s="163" t="s">
        <v>63</v>
      </c>
      <c r="J67" s="163"/>
      <c r="K67" s="163"/>
      <c r="M67" s="163" t="s">
        <v>74</v>
      </c>
      <c r="N67" s="163"/>
      <c r="O67" s="163"/>
      <c r="Q67" s="104"/>
    </row>
    <row r="68" spans="2:18" x14ac:dyDescent="0.2">
      <c r="B68" s="130"/>
      <c r="H68" s="104"/>
      <c r="I68" s="86"/>
      <c r="J68" s="86"/>
      <c r="K68" s="86"/>
      <c r="L68" s="104"/>
      <c r="M68" s="86"/>
      <c r="N68" s="86"/>
      <c r="O68" s="86"/>
    </row>
    <row r="69" spans="2:18" x14ac:dyDescent="0.2">
      <c r="C69" s="131" t="s">
        <v>64</v>
      </c>
      <c r="D69" s="173" t="s">
        <v>65</v>
      </c>
      <c r="E69" s="173"/>
      <c r="I69" s="162" t="s">
        <v>64</v>
      </c>
      <c r="J69" s="162"/>
      <c r="K69" s="86"/>
      <c r="M69" s="162" t="s">
        <v>64</v>
      </c>
      <c r="N69" s="162"/>
      <c r="O69" s="86"/>
    </row>
    <row r="70" spans="2:18" x14ac:dyDescent="0.2">
      <c r="C70" s="132"/>
      <c r="D70" s="173" t="s">
        <v>66</v>
      </c>
      <c r="E70" s="173"/>
      <c r="I70" s="119" t="s">
        <v>67</v>
      </c>
      <c r="J70" s="86"/>
      <c r="K70" s="133">
        <v>0.02</v>
      </c>
      <c r="M70" s="119" t="s">
        <v>76</v>
      </c>
      <c r="N70" s="86"/>
      <c r="O70" s="133">
        <v>0.02</v>
      </c>
    </row>
    <row r="71" spans="2:18" x14ac:dyDescent="0.2">
      <c r="C71" s="132"/>
      <c r="D71" s="132"/>
      <c r="E71" s="134"/>
      <c r="I71" s="86"/>
      <c r="J71" s="86"/>
      <c r="K71" s="86"/>
      <c r="M71" s="86"/>
      <c r="N71" s="86"/>
    </row>
    <row r="72" spans="2:18" x14ac:dyDescent="0.2">
      <c r="C72" s="132"/>
      <c r="D72" s="132"/>
      <c r="E72" s="134"/>
      <c r="I72" s="86"/>
      <c r="J72" s="86"/>
      <c r="K72" s="86"/>
      <c r="M72" s="86"/>
      <c r="N72" s="86"/>
    </row>
    <row r="73" spans="2:18" x14ac:dyDescent="0.2">
      <c r="C73" s="132"/>
      <c r="D73" s="132"/>
      <c r="E73" s="134"/>
      <c r="I73" s="86"/>
      <c r="J73" s="86"/>
      <c r="K73" s="86"/>
      <c r="M73" s="86"/>
      <c r="N73" s="86"/>
    </row>
    <row r="74" spans="2:18" x14ac:dyDescent="0.2">
      <c r="C74" s="165" t="s">
        <v>68</v>
      </c>
      <c r="D74" s="165"/>
      <c r="E74" s="135">
        <f>E76*E84+E79*E85</f>
        <v>1.2057093568617587</v>
      </c>
      <c r="F74" s="134"/>
      <c r="I74" s="136" t="s">
        <v>242</v>
      </c>
      <c r="J74" s="136"/>
      <c r="K74" s="137">
        <f>K77*(1+K70)/(K76-K70)</f>
        <v>8620.9591149436637</v>
      </c>
      <c r="M74" s="138" t="s">
        <v>74</v>
      </c>
      <c r="N74" s="138"/>
      <c r="O74" s="137">
        <f>O76*(1+O70)/(O75-O70)</f>
        <v>158.20315025179858</v>
      </c>
    </row>
    <row r="75" spans="2:18" x14ac:dyDescent="0.2">
      <c r="C75" s="139"/>
      <c r="D75" s="139"/>
      <c r="E75" s="140"/>
      <c r="F75" s="134"/>
      <c r="I75" s="136"/>
      <c r="J75" s="136"/>
      <c r="K75" s="108"/>
      <c r="M75" s="188" t="s">
        <v>37</v>
      </c>
      <c r="N75" s="188"/>
      <c r="O75" s="96">
        <f>E110</f>
        <v>4.7799999999999995E-2</v>
      </c>
    </row>
    <row r="76" spans="2:18" x14ac:dyDescent="0.2">
      <c r="C76" s="166" t="s">
        <v>69</v>
      </c>
      <c r="D76" s="166"/>
      <c r="E76" s="141">
        <v>1.48</v>
      </c>
      <c r="I76" s="186" t="s">
        <v>30</v>
      </c>
      <c r="J76" s="186"/>
      <c r="K76" s="96">
        <f>E96</f>
        <v>9.6314014627396735E-2</v>
      </c>
      <c r="M76" s="188" t="s">
        <v>82</v>
      </c>
      <c r="N76" s="188"/>
      <c r="O76" s="108">
        <f>N41</f>
        <v>4.3118113500000002</v>
      </c>
    </row>
    <row r="77" spans="2:18" x14ac:dyDescent="0.2">
      <c r="C77" s="172" t="s">
        <v>115</v>
      </c>
      <c r="D77" s="172"/>
      <c r="E77" s="172"/>
      <c r="I77" s="186" t="s">
        <v>71</v>
      </c>
      <c r="J77" s="186"/>
      <c r="K77" s="87">
        <f>N28</f>
        <v>645</v>
      </c>
      <c r="M77" s="138"/>
      <c r="N77" s="138"/>
    </row>
    <row r="78" spans="2:18" x14ac:dyDescent="0.2">
      <c r="C78" s="142"/>
      <c r="D78" s="119"/>
      <c r="E78" s="141"/>
      <c r="I78" s="136"/>
      <c r="J78" s="136"/>
      <c r="K78" s="96"/>
      <c r="M78" s="175" t="s">
        <v>85</v>
      </c>
      <c r="N78" s="175"/>
      <c r="O78" s="137">
        <f>O74*N44</f>
        <v>122.37253581141832</v>
      </c>
    </row>
    <row r="79" spans="2:18" x14ac:dyDescent="0.2">
      <c r="C79" s="187" t="s">
        <v>70</v>
      </c>
      <c r="D79" s="187"/>
      <c r="E79" s="141">
        <f>E80/E98</f>
        <v>0.32363636363636356</v>
      </c>
      <c r="I79" s="175" t="s">
        <v>241</v>
      </c>
      <c r="J79" s="175"/>
      <c r="K79" s="137">
        <f>K74*N31</f>
        <v>5198.9216557912741</v>
      </c>
    </row>
    <row r="80" spans="2:18" x14ac:dyDescent="0.2">
      <c r="C80" s="131" t="s">
        <v>113</v>
      </c>
      <c r="D80" s="131"/>
      <c r="E80" s="143">
        <v>1.7799999999999996E-2</v>
      </c>
      <c r="I80" s="119"/>
      <c r="J80" s="119"/>
    </row>
    <row r="81" spans="3:13" x14ac:dyDescent="0.2">
      <c r="C81" s="131" t="s">
        <v>114</v>
      </c>
      <c r="D81" s="131"/>
      <c r="E81" s="88" t="s">
        <v>111</v>
      </c>
      <c r="I81" s="119"/>
      <c r="J81" s="119"/>
    </row>
    <row r="82" spans="3:13" x14ac:dyDescent="0.2">
      <c r="C82" s="142"/>
      <c r="D82" s="119"/>
      <c r="I82" s="163" t="s">
        <v>42</v>
      </c>
      <c r="J82" s="163"/>
      <c r="K82" s="163"/>
      <c r="M82" s="121"/>
    </row>
    <row r="83" spans="3:13" x14ac:dyDescent="0.2">
      <c r="C83" s="166" t="s">
        <v>116</v>
      </c>
      <c r="D83" s="166"/>
      <c r="E83" s="143">
        <f>H23</f>
        <v>0.25</v>
      </c>
    </row>
    <row r="84" spans="3:13" x14ac:dyDescent="0.2">
      <c r="C84" s="166" t="s">
        <v>72</v>
      </c>
      <c r="D84" s="166"/>
      <c r="E84" s="141">
        <f>E87/(E87+E90-E90*H23)</f>
        <v>0.76279897212887926</v>
      </c>
      <c r="I84" s="176" t="s">
        <v>44</v>
      </c>
      <c r="J84" s="176"/>
      <c r="K84" s="120">
        <f>SUM(K85:K86)</f>
        <v>8779.1622651954622</v>
      </c>
    </row>
    <row r="85" spans="3:13" x14ac:dyDescent="0.2">
      <c r="C85" s="166" t="s">
        <v>73</v>
      </c>
      <c r="D85" s="166"/>
      <c r="E85" s="141">
        <f>E90*(1-H23)/(E87+E90-E90*H23)</f>
        <v>0.23720102787112077</v>
      </c>
      <c r="I85" s="166" t="s">
        <v>47</v>
      </c>
      <c r="J85" s="166"/>
      <c r="K85" s="108">
        <f>K74</f>
        <v>8620.9591149436637</v>
      </c>
    </row>
    <row r="86" spans="3:13" x14ac:dyDescent="0.2">
      <c r="C86" s="119"/>
      <c r="D86" s="119"/>
      <c r="I86" s="166" t="s">
        <v>50</v>
      </c>
      <c r="J86" s="166"/>
      <c r="K86" s="108">
        <f>O74</f>
        <v>158.20315025179858</v>
      </c>
    </row>
    <row r="87" spans="3:13" x14ac:dyDescent="0.2">
      <c r="C87" s="166" t="s">
        <v>78</v>
      </c>
      <c r="D87" s="166"/>
      <c r="E87" s="111">
        <f>E88*E89</f>
        <v>2315.4</v>
      </c>
    </row>
    <row r="88" spans="3:13" x14ac:dyDescent="0.2">
      <c r="C88" s="172" t="s">
        <v>79</v>
      </c>
      <c r="D88" s="172"/>
      <c r="E88" s="88">
        <v>340</v>
      </c>
    </row>
    <row r="89" spans="3:13" x14ac:dyDescent="0.2">
      <c r="C89" s="172" t="s">
        <v>80</v>
      </c>
      <c r="D89" s="172"/>
      <c r="E89" s="120">
        <v>6.81</v>
      </c>
    </row>
    <row r="90" spans="3:13" x14ac:dyDescent="0.2">
      <c r="C90" s="166" t="s">
        <v>81</v>
      </c>
      <c r="D90" s="166"/>
      <c r="E90" s="111">
        <f>SUM(E91:E92)</f>
        <v>960</v>
      </c>
      <c r="I90" s="152" t="s">
        <v>252</v>
      </c>
    </row>
    <row r="91" spans="3:13" x14ac:dyDescent="0.2">
      <c r="C91" s="172" t="s">
        <v>83</v>
      </c>
      <c r="D91" s="172"/>
      <c r="E91" s="87">
        <v>168</v>
      </c>
    </row>
    <row r="92" spans="3:13" x14ac:dyDescent="0.2">
      <c r="C92" s="172" t="s">
        <v>84</v>
      </c>
      <c r="D92" s="172"/>
      <c r="E92" s="87">
        <v>792</v>
      </c>
      <c r="I92" s="177" t="s">
        <v>54</v>
      </c>
      <c r="J92" s="177"/>
      <c r="K92" s="88">
        <f>N17</f>
        <v>684</v>
      </c>
    </row>
    <row r="93" spans="3:13" x14ac:dyDescent="0.2">
      <c r="I93" s="175" t="s">
        <v>55</v>
      </c>
      <c r="J93" s="175"/>
      <c r="K93" s="123">
        <f>K84/K92</f>
        <v>12.835032551455354</v>
      </c>
    </row>
    <row r="96" spans="3:13" x14ac:dyDescent="0.2">
      <c r="C96" s="165" t="s">
        <v>30</v>
      </c>
      <c r="D96" s="165"/>
      <c r="E96" s="144">
        <f>E97+E74*(E98)</f>
        <v>9.6314014627396735E-2</v>
      </c>
    </row>
    <row r="97" spans="3:14" x14ac:dyDescent="0.2">
      <c r="C97" s="119" t="s">
        <v>75</v>
      </c>
      <c r="D97" s="119"/>
      <c r="E97" s="143">
        <v>0.03</v>
      </c>
    </row>
    <row r="98" spans="3:14" x14ac:dyDescent="0.2">
      <c r="C98" s="166" t="s">
        <v>77</v>
      </c>
      <c r="D98" s="166"/>
      <c r="E98" s="143">
        <v>5.5E-2</v>
      </c>
      <c r="G98" s="86"/>
      <c r="H98" s="86"/>
    </row>
    <row r="99" spans="3:14" x14ac:dyDescent="0.2">
      <c r="G99" s="86"/>
      <c r="H99" s="86"/>
    </row>
    <row r="102" spans="3:14" x14ac:dyDescent="0.2">
      <c r="H102" s="180" t="s">
        <v>86</v>
      </c>
      <c r="I102" s="181"/>
      <c r="J102" s="181"/>
      <c r="K102" s="181"/>
      <c r="L102" s="181"/>
      <c r="M102" s="182"/>
    </row>
    <row r="103" spans="3:14" x14ac:dyDescent="0.2">
      <c r="C103" s="178" t="s">
        <v>37</v>
      </c>
      <c r="D103" s="178"/>
      <c r="E103" s="178"/>
      <c r="H103" s="183"/>
      <c r="I103" s="184"/>
      <c r="J103" s="184"/>
      <c r="K103" s="184"/>
      <c r="L103" s="184"/>
      <c r="M103" s="185"/>
    </row>
    <row r="104" spans="3:14" x14ac:dyDescent="0.2">
      <c r="C104" s="104"/>
      <c r="D104" s="104"/>
      <c r="E104" s="104"/>
      <c r="H104" s="86"/>
      <c r="I104" s="86"/>
      <c r="J104" s="86"/>
      <c r="K104" s="86"/>
      <c r="L104" s="86"/>
      <c r="M104" s="86"/>
    </row>
    <row r="105" spans="3:14" x14ac:dyDescent="0.2">
      <c r="C105" s="131" t="s">
        <v>64</v>
      </c>
      <c r="D105" s="174" t="s">
        <v>66</v>
      </c>
      <c r="E105" s="174"/>
      <c r="G105" s="88"/>
      <c r="H105" s="163" t="s">
        <v>60</v>
      </c>
      <c r="I105" s="163"/>
      <c r="J105" s="163"/>
      <c r="K105" s="163"/>
      <c r="L105" s="163"/>
      <c r="M105" s="163"/>
    </row>
    <row r="106" spans="3:14" x14ac:dyDescent="0.2">
      <c r="C106" s="132"/>
      <c r="D106" s="132"/>
      <c r="E106" s="87"/>
      <c r="G106" s="88"/>
      <c r="I106" s="174" t="s">
        <v>67</v>
      </c>
      <c r="J106" s="174"/>
      <c r="K106" s="174"/>
      <c r="L106" s="174"/>
      <c r="M106" s="174"/>
    </row>
    <row r="107" spans="3:14" x14ac:dyDescent="0.2">
      <c r="E107" s="87"/>
      <c r="G107" s="179" t="s">
        <v>30</v>
      </c>
      <c r="H107" s="121">
        <f>$I$60</f>
        <v>21.473053714677064</v>
      </c>
      <c r="I107" s="154">
        <v>0.01</v>
      </c>
      <c r="J107" s="154">
        <v>1.4999999999999999E-2</v>
      </c>
      <c r="K107" s="154">
        <v>0.02</v>
      </c>
      <c r="L107" s="154">
        <v>2.5000000000000001E-2</v>
      </c>
      <c r="M107" s="154">
        <v>0.03</v>
      </c>
      <c r="N107" s="86"/>
    </row>
    <row r="108" spans="3:14" x14ac:dyDescent="0.2">
      <c r="E108" s="87"/>
      <c r="G108" s="179"/>
      <c r="H108" s="145">
        <f>H109-0.5%</f>
        <v>8.6314014627396726E-2</v>
      </c>
      <c r="I108" s="121">
        <f t="dataTable" ref="I108:M112" dt2D="1" dtr="1" r1="K70" r2="E96"/>
        <v>22.310812827199278</v>
      </c>
      <c r="J108" s="121">
        <v>23.559852543983045</v>
      </c>
      <c r="K108" s="121">
        <v>24.997244560624061</v>
      </c>
      <c r="L108" s="121">
        <v>26.669067812175399</v>
      </c>
      <c r="M108" s="121">
        <v>28.6377662310564</v>
      </c>
      <c r="N108" s="86"/>
    </row>
    <row r="109" spans="3:14" x14ac:dyDescent="0.2">
      <c r="E109" s="87"/>
      <c r="G109" s="179"/>
      <c r="H109" s="145">
        <f>H110-0.5%</f>
        <v>9.1314014627396731E-2</v>
      </c>
      <c r="I109" s="121">
        <v>20.813789688635115</v>
      </c>
      <c r="J109" s="146">
        <v>21.886817937495458</v>
      </c>
      <c r="K109" s="146">
        <v>23.110311456677042</v>
      </c>
      <c r="L109" s="146">
        <v>24.518304968214096</v>
      </c>
      <c r="M109" s="121">
        <v>26.155934969890215</v>
      </c>
      <c r="N109" s="86"/>
    </row>
    <row r="110" spans="3:14" x14ac:dyDescent="0.2">
      <c r="C110" s="132" t="s">
        <v>87</v>
      </c>
      <c r="E110" s="147">
        <f>E112+E111*E113</f>
        <v>4.7799999999999995E-2</v>
      </c>
      <c r="G110" s="179"/>
      <c r="H110" s="145">
        <v>9.6314014627396735E-2</v>
      </c>
      <c r="I110" s="121">
        <v>19.492476916427481</v>
      </c>
      <c r="J110" s="146">
        <v>20.421872466781824</v>
      </c>
      <c r="K110" s="148">
        <v>21.473053714677064</v>
      </c>
      <c r="L110" s="146">
        <v>22.671636739542439</v>
      </c>
      <c r="M110" s="121">
        <v>24.050963311846456</v>
      </c>
      <c r="N110" s="86"/>
    </row>
    <row r="111" spans="3:14" x14ac:dyDescent="0.2">
      <c r="C111" s="166" t="s">
        <v>88</v>
      </c>
      <c r="D111" s="166"/>
      <c r="E111" s="141">
        <f>E79</f>
        <v>0.32363636363636356</v>
      </c>
      <c r="G111" s="179"/>
      <c r="H111" s="145">
        <f>H110+0.5%</f>
        <v>0.10131401462739674</v>
      </c>
      <c r="I111" s="121">
        <v>18.317950669182888</v>
      </c>
      <c r="J111" s="146">
        <v>19.128791585648749</v>
      </c>
      <c r="K111" s="146">
        <v>20.039349742762646</v>
      </c>
      <c r="L111" s="146">
        <v>21.069225191930926</v>
      </c>
      <c r="M111" s="121">
        <v>22.243514814743637</v>
      </c>
      <c r="N111" s="86"/>
    </row>
    <row r="112" spans="3:14" x14ac:dyDescent="0.2">
      <c r="C112" s="166" t="s">
        <v>75</v>
      </c>
      <c r="D112" s="166"/>
      <c r="E112" s="143">
        <f>E97</f>
        <v>0.03</v>
      </c>
      <c r="G112" s="179"/>
      <c r="H112" s="145">
        <f>H111+0.5%</f>
        <v>0.10631401462739674</v>
      </c>
      <c r="I112" s="121">
        <v>17.267295104314666</v>
      </c>
      <c r="J112" s="121">
        <v>17.979286704661412</v>
      </c>
      <c r="K112" s="121">
        <v>18.773766832904851</v>
      </c>
      <c r="L112" s="121">
        <v>19.665952151561523</v>
      </c>
      <c r="M112" s="121">
        <v>20.675047230897516</v>
      </c>
      <c r="N112" s="86"/>
    </row>
    <row r="113" spans="3:5" x14ac:dyDescent="0.2">
      <c r="C113" s="166" t="s">
        <v>77</v>
      </c>
      <c r="D113" s="166"/>
      <c r="E113" s="143">
        <f>E98</f>
        <v>5.5E-2</v>
      </c>
    </row>
  </sheetData>
  <mergeCells count="102">
    <mergeCell ref="B2:N2"/>
    <mergeCell ref="B3:N3"/>
    <mergeCell ref="D9:F9"/>
    <mergeCell ref="I9:N9"/>
    <mergeCell ref="B11:C11"/>
    <mergeCell ref="B25:C2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7:C27"/>
    <mergeCell ref="B29:C29"/>
    <mergeCell ref="B30:C30"/>
    <mergeCell ref="B31:C31"/>
    <mergeCell ref="B39:C39"/>
    <mergeCell ref="B12:C12"/>
    <mergeCell ref="B13:C13"/>
    <mergeCell ref="B14:C14"/>
    <mergeCell ref="B15:C15"/>
    <mergeCell ref="B26:C26"/>
    <mergeCell ref="B45:C45"/>
    <mergeCell ref="C49:E49"/>
    <mergeCell ref="G49:I49"/>
    <mergeCell ref="I82:K82"/>
    <mergeCell ref="C51:D51"/>
    <mergeCell ref="G51:H51"/>
    <mergeCell ref="I84:J84"/>
    <mergeCell ref="B40:C40"/>
    <mergeCell ref="B41:C41"/>
    <mergeCell ref="B42:C42"/>
    <mergeCell ref="B43:C43"/>
    <mergeCell ref="B44:C44"/>
    <mergeCell ref="C57:D57"/>
    <mergeCell ref="G57:H57"/>
    <mergeCell ref="C58:D58"/>
    <mergeCell ref="G58:H58"/>
    <mergeCell ref="K49:M49"/>
    <mergeCell ref="G54:H54"/>
    <mergeCell ref="C55:D55"/>
    <mergeCell ref="G55:H55"/>
    <mergeCell ref="M67:O67"/>
    <mergeCell ref="M69:N69"/>
    <mergeCell ref="C56:D56"/>
    <mergeCell ref="G56:H56"/>
    <mergeCell ref="C52:D52"/>
    <mergeCell ref="G52:H52"/>
    <mergeCell ref="I85:J85"/>
    <mergeCell ref="C53:D53"/>
    <mergeCell ref="G53:H53"/>
    <mergeCell ref="I86:J86"/>
    <mergeCell ref="C67:E67"/>
    <mergeCell ref="I67:K67"/>
    <mergeCell ref="C77:E77"/>
    <mergeCell ref="C113:D113"/>
    <mergeCell ref="H102:M103"/>
    <mergeCell ref="B6:C7"/>
    <mergeCell ref="B36:C37"/>
    <mergeCell ref="C103:E103"/>
    <mergeCell ref="H105:M105"/>
    <mergeCell ref="I106:M106"/>
    <mergeCell ref="C111:D111"/>
    <mergeCell ref="C98:D98"/>
    <mergeCell ref="M75:N75"/>
    <mergeCell ref="M76:N76"/>
    <mergeCell ref="M78:N78"/>
    <mergeCell ref="C88:D88"/>
    <mergeCell ref="C92:D92"/>
    <mergeCell ref="C60:D60"/>
    <mergeCell ref="G60:H60"/>
    <mergeCell ref="K51:L51"/>
    <mergeCell ref="C61:D61"/>
    <mergeCell ref="K52:L52"/>
    <mergeCell ref="C62:D62"/>
    <mergeCell ref="K53:L53"/>
    <mergeCell ref="C63:D63"/>
    <mergeCell ref="C96:D96"/>
    <mergeCell ref="C89:D89"/>
    <mergeCell ref="G107:G112"/>
    <mergeCell ref="D69:E69"/>
    <mergeCell ref="D70:E70"/>
    <mergeCell ref="D105:E105"/>
    <mergeCell ref="I69:J69"/>
    <mergeCell ref="C74:D74"/>
    <mergeCell ref="C76:D76"/>
    <mergeCell ref="I76:J76"/>
    <mergeCell ref="C112:D112"/>
    <mergeCell ref="C90:D90"/>
    <mergeCell ref="C91:D91"/>
    <mergeCell ref="C79:D79"/>
    <mergeCell ref="I77:J77"/>
    <mergeCell ref="C84:D84"/>
    <mergeCell ref="C85:D85"/>
    <mergeCell ref="I79:J79"/>
    <mergeCell ref="I93:J93"/>
    <mergeCell ref="C83:D83"/>
    <mergeCell ref="I92:J92"/>
    <mergeCell ref="C87:D87"/>
  </mergeCells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39886-90E3-704C-A4DE-8E92CAC614BB}">
  <dimension ref="A1:BA86"/>
  <sheetViews>
    <sheetView topLeftCell="N40" zoomScale="80" zoomScaleNormal="80" workbookViewId="0">
      <selection activeCell="AX68" activeCellId="1" sqref="AU68 AX68"/>
    </sheetView>
  </sheetViews>
  <sheetFormatPr baseColWidth="10" defaultColWidth="9" defaultRowHeight="16" x14ac:dyDescent="0.2"/>
  <cols>
    <col min="1" max="1" width="19.33203125" style="19" customWidth="1"/>
    <col min="2" max="2" width="4.33203125" style="19" customWidth="1"/>
    <col min="3" max="3" width="9" style="14"/>
    <col min="4" max="6" width="9.83203125" style="14" customWidth="1"/>
    <col min="7" max="7" width="4.33203125" style="14" customWidth="1"/>
    <col min="8" max="8" width="9.83203125" style="14" customWidth="1"/>
    <col min="9" max="9" width="4.33203125" style="14" customWidth="1"/>
    <col min="10" max="12" width="9.83203125" style="14" customWidth="1"/>
    <col min="13" max="13" width="9.83203125" style="18" customWidth="1"/>
    <col min="14" max="14" width="9.83203125" style="14" customWidth="1"/>
    <col min="15" max="15" width="9.83203125" style="18" customWidth="1"/>
    <col min="16" max="16" width="4.33203125" style="14" customWidth="1"/>
    <col min="17" max="18" width="9.83203125" style="14" customWidth="1"/>
    <col min="19" max="19" width="4.33203125" style="14" customWidth="1"/>
    <col min="20" max="23" width="9.83203125" style="14" customWidth="1"/>
    <col min="24" max="24" width="4.33203125" style="14" customWidth="1"/>
    <col min="25" max="26" width="9.83203125" style="14" customWidth="1"/>
    <col min="27" max="27" width="4.33203125" style="14" customWidth="1"/>
    <col min="28" max="29" width="9.83203125" style="14" customWidth="1"/>
    <col min="30" max="30" width="4.33203125" style="14" customWidth="1"/>
    <col min="31" max="33" width="9.83203125" style="14" customWidth="1"/>
    <col min="34" max="34" width="4.33203125" style="14" customWidth="1"/>
    <col min="35" max="36" width="9.83203125" style="14" customWidth="1"/>
    <col min="37" max="37" width="3.1640625" style="14" customWidth="1"/>
    <col min="38" max="38" width="9.83203125" style="17" customWidth="1"/>
    <col min="39" max="39" width="4.33203125" style="60" customWidth="1"/>
    <col min="40" max="40" width="9.83203125" style="15" customWidth="1"/>
    <col min="41" max="41" width="9.83203125" style="16" customWidth="1"/>
    <col min="42" max="43" width="9.83203125" style="15" customWidth="1"/>
    <col min="44" max="44" width="9" style="14"/>
    <col min="45" max="48" width="14.5" style="14" customWidth="1"/>
    <col min="49" max="49" width="14.5" style="38" customWidth="1"/>
    <col min="50" max="50" width="14.5" style="14" customWidth="1"/>
    <col min="51" max="54" width="9" style="14"/>
    <col min="55" max="55" width="20.6640625" style="14" customWidth="1"/>
    <col min="56" max="56" width="9" style="14"/>
    <col min="57" max="58" width="12" style="14" bestFit="1" customWidth="1"/>
    <col min="59" max="16384" width="9" style="14"/>
  </cols>
  <sheetData>
    <row r="1" spans="1:53" ht="26" x14ac:dyDescent="0.2">
      <c r="A1" s="191" t="s">
        <v>5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</row>
    <row r="2" spans="1:53" x14ac:dyDescent="0.2">
      <c r="A2" s="192" t="s">
        <v>188</v>
      </c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</row>
    <row r="3" spans="1:53" x14ac:dyDescent="0.2">
      <c r="A3" s="193" t="s">
        <v>7</v>
      </c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3"/>
      <c r="X3" s="193"/>
      <c r="Y3" s="193"/>
      <c r="Z3" s="193"/>
      <c r="AA3" s="193"/>
      <c r="AB3" s="193"/>
      <c r="AC3" s="193"/>
      <c r="AD3" s="193"/>
      <c r="AE3" s="193"/>
      <c r="AF3" s="193"/>
      <c r="AG3" s="193"/>
      <c r="AH3" s="193"/>
      <c r="AI3" s="193"/>
      <c r="AJ3" s="193"/>
      <c r="AK3" s="193"/>
      <c r="AL3" s="193"/>
      <c r="AM3" s="193"/>
      <c r="AN3" s="193"/>
      <c r="AO3" s="193"/>
      <c r="AP3" s="193"/>
      <c r="AQ3" s="193"/>
      <c r="AS3" s="196" t="s">
        <v>237</v>
      </c>
      <c r="AT3" s="197"/>
      <c r="AU3" s="197"/>
      <c r="AV3" s="197"/>
      <c r="AW3" s="197"/>
      <c r="AX3" s="198"/>
    </row>
    <row r="4" spans="1:53" x14ac:dyDescent="0.2">
      <c r="A4" s="14"/>
      <c r="AS4" s="199"/>
      <c r="AT4" s="200"/>
      <c r="AU4" s="200"/>
      <c r="AV4" s="200"/>
      <c r="AW4" s="200"/>
      <c r="AX4" s="201"/>
    </row>
    <row r="5" spans="1:53" x14ac:dyDescent="0.2">
      <c r="A5" s="40" t="s">
        <v>187</v>
      </c>
    </row>
    <row r="6" spans="1:53" x14ac:dyDescent="0.2">
      <c r="A6" s="14"/>
      <c r="B6" s="14"/>
      <c r="D6" s="190" t="s">
        <v>110</v>
      </c>
      <c r="E6" s="190"/>
      <c r="F6" s="190"/>
      <c r="H6" s="46" t="s">
        <v>186</v>
      </c>
      <c r="I6" s="43"/>
      <c r="J6" s="190" t="s">
        <v>185</v>
      </c>
      <c r="K6" s="190"/>
      <c r="L6" s="190"/>
      <c r="M6" s="190"/>
      <c r="N6" s="190"/>
      <c r="O6" s="190"/>
      <c r="Q6" s="190" t="s">
        <v>184</v>
      </c>
      <c r="R6" s="190"/>
      <c r="S6" s="43"/>
      <c r="T6" s="190" t="s">
        <v>183</v>
      </c>
      <c r="U6" s="190"/>
      <c r="V6" s="190"/>
      <c r="W6" s="190"/>
      <c r="Y6" s="190" t="s">
        <v>182</v>
      </c>
      <c r="Z6" s="190"/>
      <c r="AA6" s="45"/>
      <c r="AB6" s="190" t="s">
        <v>181</v>
      </c>
      <c r="AC6" s="190"/>
      <c r="AD6" s="43"/>
      <c r="AE6" s="190" t="s">
        <v>180</v>
      </c>
      <c r="AF6" s="190"/>
      <c r="AG6" s="190"/>
      <c r="AH6" s="43"/>
      <c r="AI6" s="190" t="s">
        <v>179</v>
      </c>
      <c r="AJ6" s="190"/>
      <c r="AK6" s="43"/>
      <c r="AL6" s="44" t="s">
        <v>178</v>
      </c>
      <c r="AM6" s="58"/>
      <c r="AN6" s="194" t="s">
        <v>177</v>
      </c>
      <c r="AO6" s="194"/>
      <c r="AP6" s="194"/>
      <c r="AQ6" s="194"/>
      <c r="AS6" s="202" t="s">
        <v>232</v>
      </c>
      <c r="AT6" s="202"/>
      <c r="AU6" s="202"/>
      <c r="AV6" s="202"/>
      <c r="AW6" s="202"/>
      <c r="AX6" s="202"/>
    </row>
    <row r="7" spans="1:53" s="29" customFormat="1" ht="42" customHeight="1" x14ac:dyDescent="0.2">
      <c r="A7" s="37" t="s">
        <v>90</v>
      </c>
      <c r="B7" s="36"/>
      <c r="C7" s="34" t="s">
        <v>91</v>
      </c>
      <c r="D7" s="34" t="s">
        <v>155</v>
      </c>
      <c r="E7" s="34" t="s">
        <v>154</v>
      </c>
      <c r="F7" s="34" t="s">
        <v>3</v>
      </c>
      <c r="G7" s="32"/>
      <c r="H7" s="34" t="s">
        <v>153</v>
      </c>
      <c r="I7" s="32"/>
      <c r="J7" s="34" t="s">
        <v>152</v>
      </c>
      <c r="K7" s="34" t="s">
        <v>19</v>
      </c>
      <c r="L7" s="34" t="s">
        <v>22</v>
      </c>
      <c r="M7" s="35" t="s">
        <v>151</v>
      </c>
      <c r="N7" s="34" t="s">
        <v>24</v>
      </c>
      <c r="O7" s="35" t="s">
        <v>150</v>
      </c>
      <c r="P7" s="32"/>
      <c r="Q7" s="34" t="s">
        <v>149</v>
      </c>
      <c r="R7" s="34" t="s">
        <v>148</v>
      </c>
      <c r="S7" s="32"/>
      <c r="T7" s="34" t="s">
        <v>147</v>
      </c>
      <c r="U7" s="34" t="s">
        <v>146</v>
      </c>
      <c r="V7" s="34" t="s">
        <v>145</v>
      </c>
      <c r="W7" s="34" t="s">
        <v>145</v>
      </c>
      <c r="X7" s="32"/>
      <c r="Y7" s="34" t="s">
        <v>144</v>
      </c>
      <c r="Z7" s="34" t="s">
        <v>143</v>
      </c>
      <c r="AA7" s="32"/>
      <c r="AB7" s="34" t="s">
        <v>142</v>
      </c>
      <c r="AC7" s="34" t="s">
        <v>141</v>
      </c>
      <c r="AD7" s="32"/>
      <c r="AE7" s="34" t="s">
        <v>140</v>
      </c>
      <c r="AF7" s="34" t="s">
        <v>92</v>
      </c>
      <c r="AG7" s="34" t="s">
        <v>139</v>
      </c>
      <c r="AH7" s="32"/>
      <c r="AI7" s="34" t="s">
        <v>138</v>
      </c>
      <c r="AJ7" s="34" t="s">
        <v>137</v>
      </c>
      <c r="AK7" s="32"/>
      <c r="AL7" s="33" t="s">
        <v>136</v>
      </c>
      <c r="AM7" s="59"/>
      <c r="AN7" s="30" t="s">
        <v>135</v>
      </c>
      <c r="AO7" s="31" t="s">
        <v>134</v>
      </c>
      <c r="AP7" s="30" t="s">
        <v>133</v>
      </c>
      <c r="AQ7" s="30" t="s">
        <v>132</v>
      </c>
      <c r="AS7" s="38"/>
      <c r="AT7" s="38"/>
      <c r="AU7" s="38"/>
      <c r="AV7" s="38"/>
      <c r="AW7" s="38"/>
      <c r="AX7" s="38"/>
    </row>
    <row r="8" spans="1:53" x14ac:dyDescent="0.2">
      <c r="A8" s="28" t="s">
        <v>131</v>
      </c>
      <c r="B8" s="27"/>
      <c r="C8" s="14" t="s">
        <v>130</v>
      </c>
      <c r="D8" s="14">
        <v>7.02</v>
      </c>
      <c r="E8" s="14">
        <v>3440</v>
      </c>
      <c r="F8" s="14">
        <v>2440</v>
      </c>
      <c r="H8" s="14">
        <v>1.07</v>
      </c>
      <c r="J8" s="14">
        <v>2650</v>
      </c>
      <c r="K8" s="14">
        <v>746</v>
      </c>
      <c r="L8" s="14">
        <v>444</v>
      </c>
      <c r="M8" s="18">
        <v>481.88</v>
      </c>
      <c r="N8" s="14">
        <v>220</v>
      </c>
      <c r="O8" s="18">
        <v>175.2</v>
      </c>
      <c r="P8" s="26"/>
      <c r="Q8" s="26">
        <v>0.1646</v>
      </c>
      <c r="R8" s="26">
        <v>8.3099999999999993E-2</v>
      </c>
      <c r="S8" s="26"/>
      <c r="T8" s="26">
        <v>0.17319999999999999</v>
      </c>
      <c r="U8" s="26">
        <v>0.43690000000000001</v>
      </c>
      <c r="V8" s="26">
        <v>3.3635999999999999</v>
      </c>
      <c r="W8" s="26">
        <v>3.3635999999999999</v>
      </c>
      <c r="X8" s="26"/>
      <c r="Y8" s="14">
        <v>2.2000000000000002</v>
      </c>
      <c r="Z8" s="14">
        <v>0.77</v>
      </c>
      <c r="AB8" s="14">
        <v>29.07</v>
      </c>
      <c r="AC8" s="14">
        <v>14.67</v>
      </c>
      <c r="AE8" s="26">
        <v>8.1500000000000003E-2</v>
      </c>
      <c r="AF8" s="26">
        <v>0.11990000000000001</v>
      </c>
      <c r="AG8" s="26">
        <v>4.2900000000000001E-2</v>
      </c>
      <c r="AH8" s="26"/>
      <c r="AI8" s="26">
        <v>4.8800000000000003E-2</v>
      </c>
      <c r="AJ8" s="26">
        <v>7.5800000000000006E-2</v>
      </c>
      <c r="AK8" s="26"/>
      <c r="AL8" s="17">
        <v>1</v>
      </c>
      <c r="AM8" s="61"/>
      <c r="AN8" s="15">
        <v>7.9</v>
      </c>
      <c r="AO8" s="16">
        <f t="shared" ref="AO8:AO13" si="0">E8/M8</f>
        <v>7.1387067319664643</v>
      </c>
      <c r="AP8" s="15">
        <v>19.510000000000002</v>
      </c>
      <c r="AQ8" s="15">
        <v>11.97</v>
      </c>
      <c r="AS8" s="38"/>
      <c r="AT8" s="38"/>
      <c r="AU8" s="57" t="s">
        <v>230</v>
      </c>
      <c r="AV8" s="57" t="s">
        <v>97</v>
      </c>
      <c r="AW8" s="57" t="s">
        <v>98</v>
      </c>
      <c r="AX8" s="57" t="s">
        <v>231</v>
      </c>
    </row>
    <row r="9" spans="1:53" x14ac:dyDescent="0.2">
      <c r="A9" s="19" t="s">
        <v>101</v>
      </c>
      <c r="C9" s="14" t="s">
        <v>129</v>
      </c>
      <c r="D9" s="14">
        <v>19.02</v>
      </c>
      <c r="E9" s="14">
        <v>5660</v>
      </c>
      <c r="F9" s="14">
        <v>3690</v>
      </c>
      <c r="H9" s="14">
        <v>0.84</v>
      </c>
      <c r="J9" s="14">
        <v>1370</v>
      </c>
      <c r="K9" s="14">
        <v>701.64</v>
      </c>
      <c r="L9" s="14">
        <v>388.76</v>
      </c>
      <c r="M9" s="18">
        <v>462.94</v>
      </c>
      <c r="N9" s="14">
        <v>222.91</v>
      </c>
      <c r="O9" s="18">
        <v>17.059999999999999</v>
      </c>
      <c r="P9" s="26"/>
      <c r="Q9" s="26">
        <v>0.28360000000000002</v>
      </c>
      <c r="R9" s="26">
        <v>0.16259999999999999</v>
      </c>
      <c r="S9" s="26"/>
      <c r="T9" s="26">
        <v>0.1527</v>
      </c>
      <c r="U9" s="26">
        <v>8.4400000000000003E-2</v>
      </c>
      <c r="X9" s="26"/>
      <c r="Y9" s="14">
        <v>3.8</v>
      </c>
      <c r="Z9" s="14">
        <v>2.93</v>
      </c>
      <c r="AB9" s="14">
        <v>3.97</v>
      </c>
      <c r="AC9" s="14">
        <v>2.27</v>
      </c>
      <c r="AE9" s="26">
        <v>8.0999999999999996E-3</v>
      </c>
      <c r="AF9" s="26">
        <v>1.17E-2</v>
      </c>
      <c r="AG9" s="26">
        <v>2.0999999999999999E-3</v>
      </c>
      <c r="AH9" s="26"/>
      <c r="AI9" s="26"/>
      <c r="AJ9" s="26">
        <v>3.3300000000000003E-2</v>
      </c>
      <c r="AK9" s="26"/>
      <c r="AL9" s="17">
        <v>1</v>
      </c>
      <c r="AM9" s="61"/>
      <c r="AN9" s="15">
        <v>14.61</v>
      </c>
      <c r="AO9" s="16">
        <f t="shared" si="0"/>
        <v>12.226206419838425</v>
      </c>
      <c r="AP9" s="15">
        <v>40.69</v>
      </c>
      <c r="AQ9" s="15">
        <v>19.510000000000002</v>
      </c>
      <c r="AS9" s="7"/>
      <c r="AT9" s="7"/>
      <c r="AU9" s="38"/>
      <c r="AV9" s="38"/>
      <c r="AX9" s="38"/>
    </row>
    <row r="10" spans="1:53" x14ac:dyDescent="0.2">
      <c r="A10" s="19" t="s">
        <v>172</v>
      </c>
      <c r="C10" s="14" t="s">
        <v>171</v>
      </c>
      <c r="D10" s="14">
        <v>115.4</v>
      </c>
      <c r="E10" s="14">
        <v>957.64</v>
      </c>
      <c r="F10" s="14">
        <v>529.85</v>
      </c>
      <c r="H10" s="14">
        <v>1</v>
      </c>
      <c r="J10" s="14">
        <v>969.2</v>
      </c>
      <c r="K10" s="14">
        <v>276.5</v>
      </c>
      <c r="L10" s="14">
        <v>75.2</v>
      </c>
      <c r="M10" s="18">
        <v>152.66999999999999</v>
      </c>
      <c r="N10" s="14">
        <v>40.299999999999997</v>
      </c>
      <c r="O10" s="18">
        <v>36.15</v>
      </c>
      <c r="P10" s="26"/>
      <c r="Q10" s="26">
        <v>8.0199999999999994E-2</v>
      </c>
      <c r="R10" s="26">
        <v>4.1599999999999998E-2</v>
      </c>
      <c r="S10" s="26"/>
      <c r="T10" s="26">
        <v>0.69140000000000001</v>
      </c>
      <c r="X10" s="26"/>
      <c r="Y10" s="14">
        <v>5.29</v>
      </c>
      <c r="Z10" s="14">
        <v>2.15</v>
      </c>
      <c r="AB10" s="14">
        <v>13.4</v>
      </c>
      <c r="AC10" s="14">
        <v>6.95</v>
      </c>
      <c r="AE10" s="26">
        <v>2.58E-2</v>
      </c>
      <c r="AF10" s="26">
        <v>7.9200000000000007E-2</v>
      </c>
      <c r="AG10" s="26">
        <v>2.46E-2</v>
      </c>
      <c r="AH10" s="26"/>
      <c r="AI10" s="26">
        <v>3.5299999999999998E-2</v>
      </c>
      <c r="AJ10" s="26">
        <v>0.15970000000000001</v>
      </c>
      <c r="AK10" s="26"/>
      <c r="AL10" s="17">
        <v>1</v>
      </c>
      <c r="AM10" s="61"/>
      <c r="AN10" s="15">
        <v>12.32</v>
      </c>
      <c r="AO10" s="16">
        <f t="shared" si="0"/>
        <v>6.2726141350625539</v>
      </c>
      <c r="AP10" s="15">
        <v>25.14</v>
      </c>
      <c r="AQ10" s="15">
        <v>6.97</v>
      </c>
      <c r="AS10" s="27" t="s">
        <v>229</v>
      </c>
      <c r="AT10" s="38"/>
      <c r="AU10" s="38">
        <v>444</v>
      </c>
      <c r="AV10" s="38">
        <v>444</v>
      </c>
      <c r="AW10" s="38">
        <v>444</v>
      </c>
      <c r="AX10" s="38">
        <v>444</v>
      </c>
    </row>
    <row r="11" spans="1:53" x14ac:dyDescent="0.2">
      <c r="A11" s="19" t="s">
        <v>127</v>
      </c>
      <c r="C11" s="14" t="s">
        <v>126</v>
      </c>
      <c r="D11" s="14">
        <v>17.48</v>
      </c>
      <c r="E11" s="14">
        <v>5630</v>
      </c>
      <c r="F11" s="14">
        <v>2720</v>
      </c>
      <c r="H11" s="14">
        <v>1.66</v>
      </c>
      <c r="J11" s="14">
        <v>3270</v>
      </c>
      <c r="K11" s="14">
        <v>818.31</v>
      </c>
      <c r="L11" s="14">
        <v>870.11</v>
      </c>
      <c r="M11" s="18">
        <v>1050</v>
      </c>
      <c r="N11" s="14">
        <v>527.55999999999995</v>
      </c>
      <c r="O11" s="18">
        <v>413.2</v>
      </c>
      <c r="P11" s="26"/>
      <c r="Q11" s="26">
        <v>0.25779999999999997</v>
      </c>
      <c r="R11" s="26">
        <v>0.1615</v>
      </c>
      <c r="S11" s="26"/>
      <c r="T11" s="26">
        <v>0.24560000000000001</v>
      </c>
      <c r="U11" s="26">
        <v>0.34910000000000002</v>
      </c>
      <c r="V11" s="26">
        <v>-0.72189999999999999</v>
      </c>
      <c r="W11" s="26">
        <v>-0.72189999999999999</v>
      </c>
      <c r="X11" s="26"/>
      <c r="Y11" s="14">
        <v>2.88</v>
      </c>
      <c r="Z11" s="14">
        <v>2.5499999999999998</v>
      </c>
      <c r="AB11" s="14">
        <v>5.87</v>
      </c>
      <c r="AC11" s="14">
        <v>3.68</v>
      </c>
      <c r="AE11" s="26">
        <v>0.12809999999999999</v>
      </c>
      <c r="AF11" s="26">
        <v>0.19500000000000001</v>
      </c>
      <c r="AG11" s="26">
        <v>5.7299999999999997E-2</v>
      </c>
      <c r="AH11" s="26"/>
      <c r="AI11" s="26">
        <v>2.75E-2</v>
      </c>
      <c r="AJ11" s="26">
        <v>0.12809999999999999</v>
      </c>
      <c r="AK11" s="26"/>
      <c r="AL11" s="17">
        <v>1</v>
      </c>
      <c r="AM11" s="61"/>
      <c r="AN11" s="15">
        <v>6.71</v>
      </c>
      <c r="AO11" s="16">
        <f t="shared" si="0"/>
        <v>5.3619047619047615</v>
      </c>
      <c r="AP11" s="15">
        <v>10.55</v>
      </c>
      <c r="AQ11" s="15">
        <v>5.28</v>
      </c>
      <c r="AS11" s="27" t="s">
        <v>233</v>
      </c>
      <c r="AT11" s="38"/>
      <c r="AU11" s="15">
        <f>$AN$64</f>
        <v>3.88</v>
      </c>
      <c r="AV11" s="15">
        <f>$AN$60</f>
        <v>9.8650000000000002</v>
      </c>
      <c r="AW11" s="15">
        <f>$AN$61</f>
        <v>11.383181818181816</v>
      </c>
      <c r="AX11" s="69">
        <f>$AN$63</f>
        <v>26.22</v>
      </c>
    </row>
    <row r="12" spans="1:53" x14ac:dyDescent="0.2">
      <c r="A12" s="19" t="s">
        <v>109</v>
      </c>
      <c r="C12" s="14" t="s">
        <v>176</v>
      </c>
      <c r="D12" s="14">
        <v>49.83</v>
      </c>
      <c r="E12" s="14">
        <v>1780</v>
      </c>
      <c r="F12" s="14">
        <v>1250</v>
      </c>
      <c r="H12" s="14">
        <v>1.24</v>
      </c>
      <c r="J12" s="14">
        <v>1020</v>
      </c>
      <c r="K12" s="14">
        <v>304.70999999999998</v>
      </c>
      <c r="L12" s="14">
        <v>200.81</v>
      </c>
      <c r="M12" s="18">
        <v>193.7</v>
      </c>
      <c r="N12" s="14">
        <v>133.4</v>
      </c>
      <c r="O12" s="18">
        <v>82.36</v>
      </c>
      <c r="P12" s="26"/>
      <c r="Q12" s="26">
        <v>0.1981</v>
      </c>
      <c r="R12" s="26">
        <v>0.13089999999999999</v>
      </c>
      <c r="S12" s="26"/>
      <c r="T12" s="26">
        <v>0.1578</v>
      </c>
      <c r="U12" s="26">
        <v>2.3E-3</v>
      </c>
      <c r="V12" s="26">
        <v>1.3386</v>
      </c>
      <c r="W12" s="26">
        <v>1.3386</v>
      </c>
      <c r="X12" s="26"/>
      <c r="Y12" s="14">
        <v>1.85</v>
      </c>
      <c r="Z12" s="14">
        <v>0.81</v>
      </c>
      <c r="AB12" s="14">
        <v>14.15</v>
      </c>
      <c r="AC12" s="14">
        <v>9.35</v>
      </c>
      <c r="AE12" s="26">
        <v>9.3100000000000002E-2</v>
      </c>
      <c r="AF12" s="26">
        <v>0.14560000000000001</v>
      </c>
      <c r="AG12" s="26">
        <v>6.4799999999999996E-2</v>
      </c>
      <c r="AH12" s="26"/>
      <c r="AI12" s="26">
        <v>2.53E-2</v>
      </c>
      <c r="AJ12" s="26">
        <v>6.9199999999999998E-2</v>
      </c>
      <c r="AK12" s="26"/>
      <c r="AL12" s="17">
        <v>1</v>
      </c>
      <c r="AM12" s="61"/>
      <c r="AN12" s="15">
        <v>8.86</v>
      </c>
      <c r="AO12" s="16">
        <f t="shared" si="0"/>
        <v>9.1894682498709344</v>
      </c>
      <c r="AP12" s="15">
        <v>20.34</v>
      </c>
      <c r="AQ12" s="15">
        <v>12.19</v>
      </c>
      <c r="AS12" s="8" t="s">
        <v>40</v>
      </c>
      <c r="AT12" s="8"/>
      <c r="AU12" s="4">
        <f>AU10*AU11</f>
        <v>1722.72</v>
      </c>
      <c r="AV12" s="4">
        <f>AV10*AV11</f>
        <v>4380.0600000000004</v>
      </c>
      <c r="AW12" s="4">
        <f t="shared" ref="AW12" si="1">AW10*AW11</f>
        <v>5054.1327272727267</v>
      </c>
      <c r="AX12" s="4">
        <f t="shared" ref="AX12" si="2">AX10*AX11</f>
        <v>11641.68</v>
      </c>
    </row>
    <row r="13" spans="1:53" x14ac:dyDescent="0.2">
      <c r="A13" s="19" t="s">
        <v>175</v>
      </c>
      <c r="C13" s="14" t="s">
        <v>174</v>
      </c>
      <c r="D13" s="14">
        <v>70.900000000000006</v>
      </c>
      <c r="E13" s="14">
        <v>12100</v>
      </c>
      <c r="F13" s="14">
        <v>9340</v>
      </c>
      <c r="H13" s="14">
        <v>1</v>
      </c>
      <c r="J13" s="14">
        <v>1170</v>
      </c>
      <c r="K13" s="14">
        <v>666.53</v>
      </c>
      <c r="L13" s="14">
        <v>435.84</v>
      </c>
      <c r="M13" s="18">
        <v>445.11</v>
      </c>
      <c r="N13" s="14">
        <v>300.12</v>
      </c>
      <c r="O13" s="18">
        <v>861.6</v>
      </c>
      <c r="P13" s="26"/>
      <c r="Q13" s="26">
        <v>0.35020000000000001</v>
      </c>
      <c r="R13" s="26">
        <v>0.25640000000000002</v>
      </c>
      <c r="S13" s="26"/>
      <c r="T13" s="26">
        <v>0.13</v>
      </c>
      <c r="U13" s="26">
        <v>2.07E-2</v>
      </c>
      <c r="V13" s="26">
        <v>-0.14199999999999999</v>
      </c>
      <c r="W13" s="26">
        <v>-0.14199999999999999</v>
      </c>
      <c r="X13" s="26"/>
      <c r="Y13" s="14">
        <v>2.5299999999999998</v>
      </c>
      <c r="Z13" s="14">
        <v>2.2400000000000002</v>
      </c>
      <c r="AB13" s="14">
        <v>18.5</v>
      </c>
      <c r="AC13" s="14">
        <v>13.54</v>
      </c>
      <c r="AE13" s="26">
        <v>9.1300000000000006E-2</v>
      </c>
      <c r="AF13" s="26">
        <v>0.17249999999999999</v>
      </c>
      <c r="AG13" s="26">
        <v>7.2800000000000004E-2</v>
      </c>
      <c r="AH13" s="26"/>
      <c r="AI13" s="26">
        <v>1.2699999999999999E-2</v>
      </c>
      <c r="AJ13" s="26">
        <v>1.7000000000000001E-2</v>
      </c>
      <c r="AK13" s="26"/>
      <c r="AL13" s="17">
        <v>0</v>
      </c>
      <c r="AM13" s="61"/>
      <c r="AN13" s="15">
        <v>29.65</v>
      </c>
      <c r="AO13" s="16">
        <f t="shared" si="0"/>
        <v>27.184291523443644</v>
      </c>
      <c r="AP13" s="15">
        <v>51.76</v>
      </c>
      <c r="AQ13" s="15">
        <v>35.35</v>
      </c>
      <c r="AS13" s="6" t="s">
        <v>46</v>
      </c>
      <c r="AT13" s="6"/>
      <c r="AU13" s="5">
        <v>960</v>
      </c>
      <c r="AV13" s="5">
        <v>960</v>
      </c>
      <c r="AW13" s="5">
        <v>960</v>
      </c>
      <c r="AX13" s="5">
        <v>960</v>
      </c>
    </row>
    <row r="14" spans="1:53" x14ac:dyDescent="0.2">
      <c r="A14" s="19" t="s">
        <v>170</v>
      </c>
      <c r="C14" s="14" t="s">
        <v>169</v>
      </c>
      <c r="D14" s="14">
        <v>32.299999999999997</v>
      </c>
      <c r="E14" s="14">
        <v>1030</v>
      </c>
      <c r="F14" s="14">
        <v>900.85</v>
      </c>
      <c r="H14" s="14">
        <v>0.91</v>
      </c>
      <c r="J14" s="14">
        <v>335.85</v>
      </c>
      <c r="K14" s="14">
        <v>82.69</v>
      </c>
      <c r="L14" s="14">
        <v>59.77</v>
      </c>
      <c r="N14" s="14">
        <v>48.06</v>
      </c>
      <c r="O14" s="18">
        <v>359.37</v>
      </c>
      <c r="P14" s="26"/>
      <c r="Q14" s="26">
        <v>0.17599999999999999</v>
      </c>
      <c r="R14" s="26">
        <v>0.1431</v>
      </c>
      <c r="S14" s="26"/>
      <c r="T14" s="26">
        <v>0.43309999999999998</v>
      </c>
      <c r="V14" s="26">
        <v>0.72009999999999996</v>
      </c>
      <c r="W14" s="26">
        <v>0.72009999999999996</v>
      </c>
      <c r="X14" s="26"/>
      <c r="Y14" s="14">
        <v>2.0099999999999998</v>
      </c>
      <c r="Z14" s="14">
        <v>1.37</v>
      </c>
      <c r="AB14" s="14">
        <v>25.31</v>
      </c>
      <c r="AC14" s="14">
        <v>20.58</v>
      </c>
      <c r="AE14" s="26">
        <v>0.1857</v>
      </c>
      <c r="AF14" s="26">
        <v>0.29020000000000001</v>
      </c>
      <c r="AG14" s="26">
        <v>0.11600000000000001</v>
      </c>
      <c r="AH14" s="26"/>
      <c r="AI14" s="26">
        <v>1.11E-2</v>
      </c>
      <c r="AJ14" s="26">
        <v>2.8199999999999999E-2</v>
      </c>
      <c r="AK14" s="26"/>
      <c r="AL14" s="17">
        <v>1</v>
      </c>
      <c r="AM14" s="61"/>
      <c r="AN14" s="15">
        <v>18.38</v>
      </c>
      <c r="AO14" s="42" t="s">
        <v>173</v>
      </c>
      <c r="AP14" s="15">
        <v>27.54</v>
      </c>
      <c r="AS14" s="6" t="s">
        <v>49</v>
      </c>
      <c r="AT14" s="6"/>
      <c r="AU14" s="5">
        <v>0</v>
      </c>
      <c r="AV14" s="5">
        <v>0</v>
      </c>
      <c r="AW14" s="5">
        <v>0</v>
      </c>
      <c r="AX14" s="5">
        <v>0</v>
      </c>
      <c r="AY14" s="195"/>
      <c r="AZ14" s="195"/>
      <c r="BA14" s="195"/>
    </row>
    <row r="15" spans="1:53" x14ac:dyDescent="0.2">
      <c r="A15" s="19" t="s">
        <v>168</v>
      </c>
      <c r="C15" s="14" t="s">
        <v>167</v>
      </c>
      <c r="D15" s="14">
        <v>96.65</v>
      </c>
      <c r="E15" s="14">
        <v>659.07</v>
      </c>
      <c r="F15" s="14">
        <v>623.04</v>
      </c>
      <c r="H15" s="14">
        <v>1.0900000000000001</v>
      </c>
      <c r="J15" s="14">
        <v>114.82</v>
      </c>
      <c r="L15" s="14">
        <v>25.56</v>
      </c>
      <c r="M15" s="18">
        <v>31.36</v>
      </c>
      <c r="N15" s="14">
        <v>19.64</v>
      </c>
      <c r="O15" s="18">
        <v>13.3</v>
      </c>
      <c r="P15" s="26"/>
      <c r="Q15" s="26">
        <v>0.22320000000000001</v>
      </c>
      <c r="R15" s="26">
        <v>0.1711</v>
      </c>
      <c r="S15" s="26"/>
      <c r="T15" s="26">
        <v>0.14299999999999999</v>
      </c>
      <c r="U15" s="26">
        <v>0.2893</v>
      </c>
      <c r="V15" s="26">
        <v>0.53320000000000001</v>
      </c>
      <c r="W15" s="26">
        <v>0.53320000000000001</v>
      </c>
      <c r="X15" s="26"/>
      <c r="Y15" s="14">
        <v>1.05</v>
      </c>
      <c r="Z15" s="14">
        <v>0.14000000000000001</v>
      </c>
      <c r="AB15" s="14">
        <v>28.57</v>
      </c>
      <c r="AC15" s="14">
        <v>21.91</v>
      </c>
      <c r="AE15" s="26">
        <v>0.2092</v>
      </c>
      <c r="AF15" s="26">
        <v>0.33339999999999997</v>
      </c>
      <c r="AG15" s="26">
        <v>0.1462</v>
      </c>
      <c r="AH15" s="26"/>
      <c r="AI15" s="26">
        <v>8.0999999999999996E-3</v>
      </c>
      <c r="AJ15" s="26">
        <v>2.69E-2</v>
      </c>
      <c r="AK15" s="26"/>
      <c r="AL15" s="17">
        <v>1</v>
      </c>
      <c r="AM15" s="61"/>
      <c r="AN15" s="15">
        <v>26.22</v>
      </c>
      <c r="AO15" s="16">
        <f>E15/M15</f>
        <v>21.016262755102044</v>
      </c>
      <c r="AP15" s="15">
        <v>41.79</v>
      </c>
      <c r="AQ15" s="15">
        <v>27.24</v>
      </c>
      <c r="AS15" s="6" t="s">
        <v>51</v>
      </c>
      <c r="AT15" s="6"/>
      <c r="AU15" s="5">
        <v>45</v>
      </c>
      <c r="AV15" s="5">
        <v>45</v>
      </c>
      <c r="AW15" s="5">
        <v>45</v>
      </c>
      <c r="AX15" s="5">
        <v>45</v>
      </c>
      <c r="AY15" s="38"/>
      <c r="AZ15" s="38"/>
      <c r="BA15" s="38"/>
    </row>
    <row r="16" spans="1:53" x14ac:dyDescent="0.2">
      <c r="P16" s="26"/>
      <c r="Q16" s="26"/>
      <c r="R16" s="26"/>
      <c r="S16" s="26"/>
      <c r="T16" s="26"/>
      <c r="U16" s="26"/>
      <c r="V16" s="26"/>
      <c r="W16" s="26"/>
      <c r="X16" s="26"/>
      <c r="AE16" s="26"/>
      <c r="AF16" s="26"/>
      <c r="AG16" s="26"/>
      <c r="AH16" s="26"/>
      <c r="AI16" s="26"/>
      <c r="AJ16" s="26"/>
      <c r="AK16" s="26"/>
      <c r="AM16" s="61"/>
      <c r="AS16" s="6" t="s">
        <v>53</v>
      </c>
      <c r="AT16" s="6"/>
      <c r="AU16" s="5">
        <v>619</v>
      </c>
      <c r="AV16" s="5">
        <v>619</v>
      </c>
      <c r="AW16" s="5">
        <v>619</v>
      </c>
      <c r="AX16" s="5">
        <v>619</v>
      </c>
      <c r="AY16" s="38"/>
      <c r="AZ16" s="38"/>
      <c r="BA16" s="38"/>
    </row>
    <row r="17" spans="1:53" x14ac:dyDescent="0.2">
      <c r="A17" s="23" t="s">
        <v>97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4"/>
      <c r="Q17" s="24"/>
      <c r="R17" s="21"/>
      <c r="S17" s="21"/>
      <c r="T17" s="24"/>
      <c r="U17" s="24"/>
      <c r="V17" s="24"/>
      <c r="W17" s="24"/>
      <c r="X17" s="24"/>
      <c r="Y17" s="25"/>
      <c r="Z17" s="25"/>
      <c r="AA17" s="25"/>
      <c r="AB17" s="25"/>
      <c r="AC17" s="25"/>
      <c r="AD17" s="24"/>
      <c r="AE17" s="24"/>
      <c r="AF17" s="24"/>
      <c r="AG17" s="24"/>
      <c r="AH17" s="24"/>
      <c r="AI17" s="24"/>
      <c r="AJ17" s="24"/>
      <c r="AK17" s="21"/>
      <c r="AL17" s="22"/>
      <c r="AM17" s="62" t="s">
        <v>97</v>
      </c>
      <c r="AN17" s="20">
        <f>MEDIAN(AN9:AN12,AN14:AN15)</f>
        <v>13.465</v>
      </c>
      <c r="AO17" s="20">
        <f>MEDIAN(AO9:AO12,AO14:AO15)</f>
        <v>9.1894682498709344</v>
      </c>
      <c r="AP17" s="20">
        <f>MEDIAN(AP9:AP12,AP14:AP15)</f>
        <v>26.34</v>
      </c>
      <c r="AQ17" s="20">
        <f>MEDIAN(AQ9:AQ12,AQ14:AQ15)</f>
        <v>12.19</v>
      </c>
      <c r="AS17" s="11"/>
      <c r="AT17" s="11"/>
      <c r="AU17" s="38"/>
      <c r="AV17" s="13"/>
      <c r="AW17" s="13"/>
      <c r="AX17" s="38"/>
      <c r="AY17" s="38"/>
      <c r="AZ17" s="38"/>
      <c r="BA17" s="38"/>
    </row>
    <row r="18" spans="1:53" x14ac:dyDescent="0.2">
      <c r="A18" s="23" t="s">
        <v>98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2"/>
      <c r="AM18" s="62" t="s">
        <v>98</v>
      </c>
      <c r="AN18" s="20">
        <f>AVERAGE(AN9:AN12,AN14:AN15)</f>
        <v>14.516666666666666</v>
      </c>
      <c r="AO18" s="20">
        <f>AVERAGE(AO9:AO12,AO14:AO15)</f>
        <v>10.813291264355744</v>
      </c>
      <c r="AP18" s="20">
        <f>AVERAGE(AP9:AP12,AP14:AP15)</f>
        <v>27.674999999999997</v>
      </c>
      <c r="AQ18" s="20">
        <f>AVERAGE(AQ9:AQ12,AQ14:AQ15)</f>
        <v>14.238</v>
      </c>
      <c r="AS18" s="9" t="s">
        <v>57</v>
      </c>
      <c r="AT18" s="9"/>
      <c r="AU18" s="3">
        <f t="shared" ref="AU18:AX18" si="3">AU12-SUM(AU13:AU16)</f>
        <v>98.720000000000027</v>
      </c>
      <c r="AV18" s="3">
        <f t="shared" si="3"/>
        <v>2756.0600000000004</v>
      </c>
      <c r="AW18" s="3">
        <f t="shared" si="3"/>
        <v>3430.1327272727267</v>
      </c>
      <c r="AX18" s="3">
        <f t="shared" si="3"/>
        <v>10017.68</v>
      </c>
    </row>
    <row r="19" spans="1:53" x14ac:dyDescent="0.2">
      <c r="AS19" s="11"/>
      <c r="AT19" s="11"/>
      <c r="AU19" s="38"/>
      <c r="AV19" s="13"/>
      <c r="AW19" s="13"/>
      <c r="AX19" s="38"/>
    </row>
    <row r="20" spans="1:53" x14ac:dyDescent="0.2">
      <c r="AS20" s="75" t="s">
        <v>248</v>
      </c>
      <c r="AT20" s="72"/>
      <c r="AU20" s="76">
        <v>326.87</v>
      </c>
      <c r="AV20" s="76">
        <v>326.87</v>
      </c>
      <c r="AW20" s="76">
        <v>326.87</v>
      </c>
      <c r="AX20" s="76">
        <v>326.87</v>
      </c>
    </row>
    <row r="21" spans="1:53" x14ac:dyDescent="0.2">
      <c r="AS21" s="12" t="s">
        <v>60</v>
      </c>
      <c r="AT21" s="12"/>
      <c r="AU21" s="3">
        <f>AU18/AU20</f>
        <v>0.30201609202435226</v>
      </c>
      <c r="AV21" s="3">
        <f>AV18/AV20</f>
        <v>8.4316700829075799</v>
      </c>
      <c r="AW21" s="3">
        <f t="shared" ref="AW21" si="4">AW18/AW20</f>
        <v>10.493874406561405</v>
      </c>
      <c r="AX21" s="3">
        <f t="shared" ref="AX21" si="5">AX18/AX20</f>
        <v>30.647290971946035</v>
      </c>
    </row>
    <row r="22" spans="1:53" x14ac:dyDescent="0.2">
      <c r="A22" s="40" t="s">
        <v>89</v>
      </c>
      <c r="B22" s="40"/>
      <c r="C22" s="40"/>
      <c r="D22" s="41"/>
      <c r="Q22" s="195"/>
      <c r="R22" s="195"/>
      <c r="T22" s="195"/>
      <c r="U22" s="195"/>
      <c r="V22" s="195"/>
      <c r="W22" s="195"/>
      <c r="Y22" s="195"/>
      <c r="Z22" s="195"/>
      <c r="AB22" s="195"/>
      <c r="AC22" s="195"/>
      <c r="AE22" s="195"/>
      <c r="AF22" s="195"/>
      <c r="AG22" s="195"/>
      <c r="AS22" s="38"/>
      <c r="AT22" s="38"/>
      <c r="AU22" s="38"/>
      <c r="AV22" s="38"/>
      <c r="AX22" s="38"/>
    </row>
    <row r="23" spans="1:53" s="29" customFormat="1" ht="37" customHeight="1" x14ac:dyDescent="0.2">
      <c r="A23" s="37" t="s">
        <v>90</v>
      </c>
      <c r="B23" s="36"/>
      <c r="C23" s="34" t="s">
        <v>91</v>
      </c>
      <c r="D23" s="34" t="s">
        <v>155</v>
      </c>
      <c r="E23" s="34" t="s">
        <v>154</v>
      </c>
      <c r="F23" s="34" t="s">
        <v>3</v>
      </c>
      <c r="G23" s="32"/>
      <c r="H23" s="34" t="s">
        <v>153</v>
      </c>
      <c r="I23" s="32"/>
      <c r="J23" s="34" t="s">
        <v>152</v>
      </c>
      <c r="K23" s="34" t="s">
        <v>19</v>
      </c>
      <c r="L23" s="34" t="s">
        <v>22</v>
      </c>
      <c r="M23" s="35" t="s">
        <v>151</v>
      </c>
      <c r="N23" s="34" t="s">
        <v>24</v>
      </c>
      <c r="O23" s="35" t="s">
        <v>150</v>
      </c>
      <c r="P23" s="32"/>
      <c r="Q23" s="34" t="s">
        <v>149</v>
      </c>
      <c r="R23" s="34" t="s">
        <v>148</v>
      </c>
      <c r="S23" s="32"/>
      <c r="T23" s="34" t="s">
        <v>147</v>
      </c>
      <c r="U23" s="34" t="s">
        <v>146</v>
      </c>
      <c r="V23" s="34" t="s">
        <v>145</v>
      </c>
      <c r="W23" s="34" t="s">
        <v>145</v>
      </c>
      <c r="X23" s="32"/>
      <c r="Y23" s="34" t="s">
        <v>144</v>
      </c>
      <c r="Z23" s="34" t="s">
        <v>143</v>
      </c>
      <c r="AA23" s="32"/>
      <c r="AB23" s="34" t="s">
        <v>142</v>
      </c>
      <c r="AC23" s="34" t="s">
        <v>141</v>
      </c>
      <c r="AD23" s="32"/>
      <c r="AE23" s="34" t="s">
        <v>140</v>
      </c>
      <c r="AF23" s="34" t="s">
        <v>92</v>
      </c>
      <c r="AG23" s="34" t="s">
        <v>139</v>
      </c>
      <c r="AH23" s="32"/>
      <c r="AI23" s="34" t="s">
        <v>138</v>
      </c>
      <c r="AJ23" s="34" t="s">
        <v>137</v>
      </c>
      <c r="AK23" s="32"/>
      <c r="AL23" s="33" t="s">
        <v>136</v>
      </c>
      <c r="AM23" s="59"/>
      <c r="AN23" s="30" t="s">
        <v>135</v>
      </c>
      <c r="AO23" s="31" t="s">
        <v>134</v>
      </c>
      <c r="AP23" s="30" t="s">
        <v>133</v>
      </c>
      <c r="AQ23" s="30" t="s">
        <v>132</v>
      </c>
      <c r="AS23" s="38"/>
      <c r="AT23" s="38"/>
      <c r="AU23" s="38"/>
      <c r="AV23" s="38"/>
      <c r="AW23" s="38"/>
      <c r="AX23" s="38"/>
    </row>
    <row r="24" spans="1:53" x14ac:dyDescent="0.2">
      <c r="A24" s="28" t="s">
        <v>131</v>
      </c>
      <c r="B24" s="27"/>
      <c r="C24" s="14" t="s">
        <v>130</v>
      </c>
      <c r="D24" s="14">
        <v>7.02</v>
      </c>
      <c r="E24" s="14">
        <v>3440</v>
      </c>
      <c r="F24" s="14">
        <v>2440</v>
      </c>
      <c r="H24" s="14">
        <v>1.07</v>
      </c>
      <c r="J24" s="14">
        <v>2650</v>
      </c>
      <c r="K24" s="14">
        <v>746</v>
      </c>
      <c r="L24" s="14">
        <v>444</v>
      </c>
      <c r="M24" s="18">
        <v>481.88</v>
      </c>
      <c r="N24" s="14">
        <v>220</v>
      </c>
      <c r="O24" s="18">
        <v>175.2</v>
      </c>
      <c r="Q24" s="26">
        <v>0.1646</v>
      </c>
      <c r="R24" s="26">
        <v>8.3099999999999993E-2</v>
      </c>
      <c r="S24" s="26"/>
      <c r="T24" s="26">
        <v>0.17319999999999999</v>
      </c>
      <c r="U24" s="26">
        <v>0.43690000000000001</v>
      </c>
      <c r="V24" s="26">
        <v>3.3635999999999999</v>
      </c>
      <c r="W24" s="26">
        <v>3.3635999999999999</v>
      </c>
      <c r="X24" s="26"/>
      <c r="Y24" s="14">
        <v>2.2000000000000002</v>
      </c>
      <c r="Z24" s="14">
        <v>0.77</v>
      </c>
      <c r="AB24" s="14">
        <v>29.07</v>
      </c>
      <c r="AC24" s="14">
        <v>14.67</v>
      </c>
      <c r="AE24" s="26">
        <v>8.1500000000000003E-2</v>
      </c>
      <c r="AF24" s="26">
        <v>0.11990000000000001</v>
      </c>
      <c r="AG24" s="26">
        <v>4.2900000000000001E-2</v>
      </c>
      <c r="AH24" s="26"/>
      <c r="AI24" s="26">
        <v>4.8800000000000003E-2</v>
      </c>
      <c r="AJ24" s="26">
        <v>7.5800000000000006E-2</v>
      </c>
      <c r="AK24" s="26"/>
      <c r="AL24" s="17">
        <v>1</v>
      </c>
      <c r="AM24" s="61"/>
      <c r="AN24" s="15">
        <v>7.9</v>
      </c>
      <c r="AO24" s="16">
        <f>E24/M24</f>
        <v>7.1387067319664643</v>
      </c>
      <c r="AP24" s="15">
        <v>19.510000000000002</v>
      </c>
      <c r="AQ24" s="15">
        <v>11.97</v>
      </c>
      <c r="AS24" s="202" t="s">
        <v>235</v>
      </c>
      <c r="AT24" s="202"/>
      <c r="AU24" s="202"/>
      <c r="AV24" s="202"/>
      <c r="AW24" s="202"/>
      <c r="AX24" s="202"/>
    </row>
    <row r="25" spans="1:53" x14ac:dyDescent="0.2">
      <c r="A25" s="19" t="s">
        <v>172</v>
      </c>
      <c r="C25" s="14" t="s">
        <v>171</v>
      </c>
      <c r="D25" s="14">
        <v>115.4</v>
      </c>
      <c r="E25" s="14">
        <v>957.64</v>
      </c>
      <c r="F25" s="14">
        <v>529.85</v>
      </c>
      <c r="H25" s="14">
        <v>1</v>
      </c>
      <c r="J25" s="14">
        <v>969.2</v>
      </c>
      <c r="K25" s="14">
        <v>276.5</v>
      </c>
      <c r="L25" s="14">
        <v>75.2</v>
      </c>
      <c r="M25" s="18">
        <v>152.66999999999999</v>
      </c>
      <c r="N25" s="14">
        <v>40.299999999999997</v>
      </c>
      <c r="O25" s="18">
        <v>36.15</v>
      </c>
      <c r="Q25" s="26">
        <v>8.0199999999999994E-2</v>
      </c>
      <c r="R25" s="26">
        <v>4.1599999999999998E-2</v>
      </c>
      <c r="S25" s="26"/>
      <c r="T25" s="26">
        <v>0.69140000000000001</v>
      </c>
      <c r="X25" s="26"/>
      <c r="Y25" s="14">
        <v>5.29</v>
      </c>
      <c r="Z25" s="14">
        <v>2.15</v>
      </c>
      <c r="AB25" s="14">
        <v>13.4</v>
      </c>
      <c r="AC25" s="14">
        <v>6.95</v>
      </c>
      <c r="AE25" s="26">
        <v>2.58E-2</v>
      </c>
      <c r="AF25" s="26">
        <v>7.9200000000000007E-2</v>
      </c>
      <c r="AG25" s="26">
        <v>2.46E-2</v>
      </c>
      <c r="AH25" s="26"/>
      <c r="AI25" s="26">
        <v>3.5299999999999998E-2</v>
      </c>
      <c r="AJ25" s="26">
        <v>0.15970000000000001</v>
      </c>
      <c r="AK25" s="26"/>
      <c r="AL25" s="17">
        <v>0</v>
      </c>
      <c r="AM25" s="61"/>
      <c r="AN25" s="15">
        <v>12.32</v>
      </c>
      <c r="AO25" s="16">
        <f>E25/M25</f>
        <v>6.2726141350625539</v>
      </c>
      <c r="AP25" s="15">
        <v>25.14</v>
      </c>
      <c r="AQ25" s="15">
        <v>6.97</v>
      </c>
      <c r="AS25" s="38"/>
      <c r="AT25" s="38"/>
      <c r="AU25" s="38"/>
      <c r="AV25" s="38"/>
      <c r="AX25" s="38"/>
    </row>
    <row r="26" spans="1:53" ht="15" x14ac:dyDescent="0.2">
      <c r="A26" s="19" t="s">
        <v>170</v>
      </c>
      <c r="C26" s="14" t="s">
        <v>169</v>
      </c>
      <c r="D26" s="14">
        <v>32.299999999999997</v>
      </c>
      <c r="E26" s="14">
        <v>1030</v>
      </c>
      <c r="F26" s="14">
        <v>902.34</v>
      </c>
      <c r="H26" s="14">
        <v>0.91</v>
      </c>
      <c r="J26" s="14">
        <v>335.85</v>
      </c>
      <c r="K26" s="14">
        <v>82.69</v>
      </c>
      <c r="L26" s="14">
        <v>59.77</v>
      </c>
      <c r="N26" s="14">
        <v>48.06</v>
      </c>
      <c r="O26" s="18">
        <v>359.37</v>
      </c>
      <c r="Q26" s="26">
        <v>0.17599999999999999</v>
      </c>
      <c r="R26" s="26">
        <v>0.1431</v>
      </c>
      <c r="S26" s="26"/>
      <c r="T26" s="26">
        <v>0.43309999999999998</v>
      </c>
      <c r="V26" s="26">
        <v>0.72009999999999996</v>
      </c>
      <c r="W26" s="26">
        <v>0.72009999999999996</v>
      </c>
      <c r="X26" s="26"/>
      <c r="Y26" s="14">
        <v>2.0099999999999998</v>
      </c>
      <c r="Z26" s="14">
        <v>1.37</v>
      </c>
      <c r="AB26" s="14">
        <v>25.31</v>
      </c>
      <c r="AC26" s="14">
        <v>20.58</v>
      </c>
      <c r="AE26" s="26">
        <v>0.1857</v>
      </c>
      <c r="AF26" s="26">
        <v>0.29020000000000001</v>
      </c>
      <c r="AG26" s="26">
        <v>0.11600000000000001</v>
      </c>
      <c r="AH26" s="26"/>
      <c r="AI26" s="26">
        <v>1.11E-2</v>
      </c>
      <c r="AJ26" s="26">
        <v>2.8199999999999999E-2</v>
      </c>
      <c r="AK26" s="26"/>
      <c r="AL26" s="17">
        <v>1</v>
      </c>
      <c r="AM26" s="61"/>
      <c r="AN26" s="15">
        <v>18.38</v>
      </c>
      <c r="AO26" s="15"/>
      <c r="AP26" s="15">
        <v>27.54</v>
      </c>
      <c r="AS26" s="38"/>
      <c r="AT26" s="38"/>
      <c r="AU26" s="57" t="s">
        <v>230</v>
      </c>
      <c r="AV26" s="57" t="s">
        <v>97</v>
      </c>
      <c r="AW26" s="57" t="s">
        <v>98</v>
      </c>
      <c r="AX26" s="57" t="s">
        <v>231</v>
      </c>
    </row>
    <row r="27" spans="1:53" x14ac:dyDescent="0.2">
      <c r="A27" s="19" t="s">
        <v>168</v>
      </c>
      <c r="C27" s="14" t="s">
        <v>167</v>
      </c>
      <c r="D27" s="14">
        <v>96.65</v>
      </c>
      <c r="E27" s="14">
        <v>659.07</v>
      </c>
      <c r="F27" s="14">
        <v>622.99</v>
      </c>
      <c r="H27" s="14">
        <v>1.0900000000000001</v>
      </c>
      <c r="J27" s="14">
        <v>114.82</v>
      </c>
      <c r="L27" s="14">
        <v>25.56</v>
      </c>
      <c r="M27" s="18">
        <v>31.36</v>
      </c>
      <c r="N27" s="14">
        <v>19.64</v>
      </c>
      <c r="O27" s="18">
        <v>13.3</v>
      </c>
      <c r="Q27" s="26">
        <v>0.22320000000000001</v>
      </c>
      <c r="R27" s="26">
        <v>0.1711</v>
      </c>
      <c r="S27" s="26"/>
      <c r="T27" s="26">
        <v>0.14299999999999999</v>
      </c>
      <c r="U27" s="26">
        <v>0.2893</v>
      </c>
      <c r="V27" s="26">
        <v>0.53320000000000001</v>
      </c>
      <c r="W27" s="26">
        <v>0.53320000000000001</v>
      </c>
      <c r="X27" s="26"/>
      <c r="Y27" s="14">
        <v>1.05</v>
      </c>
      <c r="Z27" s="14">
        <v>0.14000000000000001</v>
      </c>
      <c r="AB27" s="14">
        <v>28.57</v>
      </c>
      <c r="AC27" s="14">
        <v>21.91</v>
      </c>
      <c r="AE27" s="26">
        <v>0.2092</v>
      </c>
      <c r="AF27" s="26">
        <v>0.33339999999999997</v>
      </c>
      <c r="AG27" s="26">
        <v>0.1462</v>
      </c>
      <c r="AH27" s="26"/>
      <c r="AI27" s="26">
        <v>8.0999999999999996E-3</v>
      </c>
      <c r="AJ27" s="26">
        <v>2.69E-2</v>
      </c>
      <c r="AK27" s="26"/>
      <c r="AL27" s="17">
        <v>1</v>
      </c>
      <c r="AM27" s="61"/>
      <c r="AN27" s="15">
        <v>26.22</v>
      </c>
      <c r="AO27" s="16">
        <f t="shared" ref="AO27:AO34" si="6">E27/M27</f>
        <v>21.016262755102044</v>
      </c>
      <c r="AP27" s="15">
        <v>41.79</v>
      </c>
      <c r="AQ27" s="15">
        <v>27.24</v>
      </c>
      <c r="AS27" s="7"/>
      <c r="AT27" s="7"/>
      <c r="AU27" s="38"/>
      <c r="AV27" s="38"/>
      <c r="AX27" s="38"/>
    </row>
    <row r="28" spans="1:53" x14ac:dyDescent="0.2">
      <c r="A28" s="19" t="s">
        <v>166</v>
      </c>
      <c r="C28" s="14" t="s">
        <v>165</v>
      </c>
      <c r="D28" s="14">
        <v>5.86</v>
      </c>
      <c r="E28" s="14">
        <v>2000</v>
      </c>
      <c r="F28" s="14">
        <v>1710</v>
      </c>
      <c r="H28" s="14">
        <v>1.51</v>
      </c>
      <c r="J28" s="14">
        <v>837.86</v>
      </c>
      <c r="K28" s="14">
        <v>282.73</v>
      </c>
      <c r="L28" s="14">
        <v>91.22</v>
      </c>
      <c r="M28" s="18">
        <v>145.24</v>
      </c>
      <c r="N28" s="14">
        <v>63.09</v>
      </c>
      <c r="O28" s="18">
        <v>495.3</v>
      </c>
      <c r="Q28" s="26">
        <v>0.1128</v>
      </c>
      <c r="R28" s="26">
        <v>7.5300000000000006E-2</v>
      </c>
      <c r="S28" s="26"/>
      <c r="T28" s="26">
        <v>0.2712</v>
      </c>
      <c r="U28" s="26">
        <v>1.1585000000000001</v>
      </c>
      <c r="V28" s="26">
        <v>0.74229999999999996</v>
      </c>
      <c r="W28" s="26">
        <v>0.74229999999999996</v>
      </c>
      <c r="X28" s="26"/>
      <c r="Y28" s="14">
        <v>2.92</v>
      </c>
      <c r="Z28" s="14">
        <v>2.04</v>
      </c>
      <c r="AB28" s="14">
        <v>88.7</v>
      </c>
      <c r="AC28" s="14">
        <v>59.2</v>
      </c>
      <c r="AE28" s="26">
        <v>7.0099999999999996E-2</v>
      </c>
      <c r="AF28" s="26">
        <v>0.14649999999999999</v>
      </c>
      <c r="AG28" s="26">
        <v>5.1700000000000003E-2</v>
      </c>
      <c r="AH28" s="26"/>
      <c r="AI28" s="26">
        <v>8.2000000000000007E-3</v>
      </c>
      <c r="AJ28" s="26">
        <v>5.2499999999999998E-2</v>
      </c>
      <c r="AK28" s="26"/>
      <c r="AL28" s="17">
        <v>0</v>
      </c>
      <c r="AM28" s="61"/>
      <c r="AN28" s="15">
        <v>22.3</v>
      </c>
      <c r="AO28" s="16">
        <f t="shared" si="6"/>
        <v>13.770311209033324</v>
      </c>
      <c r="AP28" s="15">
        <v>37.130000000000003</v>
      </c>
      <c r="AQ28" s="15">
        <v>19.170000000000002</v>
      </c>
      <c r="AS28" s="27" t="s">
        <v>229</v>
      </c>
      <c r="AT28" s="38"/>
      <c r="AU28" s="38">
        <v>444</v>
      </c>
      <c r="AV28" s="38">
        <v>444</v>
      </c>
      <c r="AW28" s="38">
        <v>444</v>
      </c>
      <c r="AX28" s="38">
        <v>444</v>
      </c>
    </row>
    <row r="29" spans="1:53" x14ac:dyDescent="0.2">
      <c r="A29" s="19" t="s">
        <v>164</v>
      </c>
      <c r="C29" s="14" t="s">
        <v>163</v>
      </c>
      <c r="D29" s="14">
        <v>71.8</v>
      </c>
      <c r="E29" s="14">
        <v>1220</v>
      </c>
      <c r="F29" s="14">
        <v>1190</v>
      </c>
      <c r="H29" s="14">
        <v>1.42</v>
      </c>
      <c r="J29" s="14">
        <v>1560</v>
      </c>
      <c r="L29" s="14">
        <v>128.69999999999999</v>
      </c>
      <c r="M29" s="18">
        <v>173.25</v>
      </c>
      <c r="N29" s="14">
        <v>99</v>
      </c>
      <c r="O29" s="18">
        <v>95.06</v>
      </c>
      <c r="Q29" s="26">
        <v>9.4700000000000006E-2</v>
      </c>
      <c r="R29" s="26">
        <v>6.3299999999999995E-2</v>
      </c>
      <c r="S29" s="26"/>
      <c r="T29" s="26">
        <v>0.13950000000000001</v>
      </c>
      <c r="V29" s="26">
        <v>1.9783999999999999</v>
      </c>
      <c r="W29" s="26">
        <v>1.9783999999999999</v>
      </c>
      <c r="X29" s="26"/>
      <c r="Y29" s="14">
        <v>2.2999999999999998</v>
      </c>
      <c r="Z29" s="14">
        <v>-1.2</v>
      </c>
      <c r="AB29" s="14">
        <v>34.42</v>
      </c>
      <c r="AC29" s="14">
        <v>23.02</v>
      </c>
      <c r="AE29" s="26">
        <v>8.4599999999999995E-2</v>
      </c>
      <c r="AF29" s="26">
        <v>0.1363</v>
      </c>
      <c r="AG29" s="26">
        <v>4.41E-2</v>
      </c>
      <c r="AH29" s="26"/>
      <c r="AI29" s="26">
        <v>2.7799999999999998E-2</v>
      </c>
      <c r="AJ29" s="26">
        <v>0.1164</v>
      </c>
      <c r="AK29" s="26"/>
      <c r="AL29" s="17">
        <v>1</v>
      </c>
      <c r="AM29" s="61"/>
      <c r="AN29" s="15">
        <v>8.26</v>
      </c>
      <c r="AO29" s="16">
        <f t="shared" si="6"/>
        <v>7.041847041847042</v>
      </c>
      <c r="AP29" s="15">
        <v>15.05</v>
      </c>
      <c r="AQ29" s="15">
        <v>11.6</v>
      </c>
      <c r="AS29" s="27" t="s">
        <v>236</v>
      </c>
      <c r="AT29" s="38"/>
      <c r="AU29" s="15">
        <f>$AO$64</f>
        <v>1.7506606138627279</v>
      </c>
      <c r="AV29" s="15">
        <f>$AO$60</f>
        <v>8.3893929735078761</v>
      </c>
      <c r="AW29" s="15">
        <f>$AO$61</f>
        <v>9.1646739839438318</v>
      </c>
      <c r="AX29" s="15">
        <f>$AO$63</f>
        <v>21.016262755102044</v>
      </c>
    </row>
    <row r="30" spans="1:53" x14ac:dyDescent="0.2">
      <c r="A30" s="19" t="s">
        <v>162</v>
      </c>
      <c r="C30" s="14" t="s">
        <v>161</v>
      </c>
      <c r="D30" s="14">
        <v>28.28</v>
      </c>
      <c r="E30" s="14">
        <v>258.38</v>
      </c>
      <c r="F30" s="14">
        <v>806.49</v>
      </c>
      <c r="H30" s="14">
        <v>0.68</v>
      </c>
      <c r="J30" s="14">
        <v>646.64</v>
      </c>
      <c r="L30" s="14">
        <v>51.47</v>
      </c>
      <c r="M30" s="18">
        <v>147.59</v>
      </c>
      <c r="N30" s="14">
        <v>32.520000000000003</v>
      </c>
      <c r="O30" s="18">
        <v>22.36</v>
      </c>
      <c r="Q30" s="26">
        <v>0.1215</v>
      </c>
      <c r="R30" s="26">
        <v>7.6700000000000004E-2</v>
      </c>
      <c r="S30" s="26"/>
      <c r="T30" s="26">
        <v>0.50960000000000005</v>
      </c>
      <c r="U30" s="26">
        <v>0.58889999999999998</v>
      </c>
      <c r="V30" s="26">
        <v>0.28039999999999998</v>
      </c>
      <c r="W30" s="26">
        <v>0.28039999999999998</v>
      </c>
      <c r="X30" s="26"/>
      <c r="Y30" s="14">
        <v>0.75</v>
      </c>
      <c r="Z30" s="14">
        <v>-0.04</v>
      </c>
      <c r="AB30" s="14">
        <v>59.41</v>
      </c>
      <c r="AC30" s="14">
        <v>37.5</v>
      </c>
      <c r="AE30" s="26">
        <v>0.13020000000000001</v>
      </c>
      <c r="AF30" s="26">
        <v>0.1595</v>
      </c>
      <c r="AG30" s="26">
        <v>7.3099999999999998E-2</v>
      </c>
      <c r="AH30" s="26"/>
      <c r="AI30" s="26">
        <v>1.8200000000000001E-2</v>
      </c>
      <c r="AJ30" s="26">
        <v>0.17319999999999999</v>
      </c>
      <c r="AK30" s="26"/>
      <c r="AL30" s="17">
        <v>1</v>
      </c>
      <c r="AM30" s="61"/>
      <c r="AN30" s="15">
        <v>4.96</v>
      </c>
      <c r="AO30" s="16">
        <f t="shared" si="6"/>
        <v>1.7506606138627279</v>
      </c>
      <c r="AP30" s="15">
        <v>22.34</v>
      </c>
      <c r="AQ30" s="15">
        <v>10.85</v>
      </c>
      <c r="AS30" s="8" t="s">
        <v>40</v>
      </c>
      <c r="AT30" s="8"/>
      <c r="AU30" s="4">
        <f>AU28*AU29</f>
        <v>777.29331255505122</v>
      </c>
      <c r="AV30" s="4">
        <f>AV28*AV29</f>
        <v>3724.8904802374968</v>
      </c>
      <c r="AW30" s="4">
        <f t="shared" ref="AW30" si="7">AW28*AW29</f>
        <v>4069.1152488710613</v>
      </c>
      <c r="AX30" s="4">
        <f t="shared" ref="AX30" si="8">AX28*AX29</f>
        <v>9331.2206632653069</v>
      </c>
    </row>
    <row r="31" spans="1:53" x14ac:dyDescent="0.2">
      <c r="A31" s="19" t="s">
        <v>94</v>
      </c>
      <c r="C31" s="14" t="s">
        <v>160</v>
      </c>
      <c r="D31" s="14">
        <v>9.86</v>
      </c>
      <c r="E31" s="14">
        <v>555.62</v>
      </c>
      <c r="F31" s="14">
        <v>512.22</v>
      </c>
      <c r="H31" s="14">
        <v>0.95</v>
      </c>
      <c r="J31" s="14">
        <v>302.76</v>
      </c>
      <c r="L31" s="14">
        <v>45.25</v>
      </c>
      <c r="M31" s="18">
        <v>62.32</v>
      </c>
      <c r="N31" s="14">
        <v>36.36</v>
      </c>
      <c r="O31" s="18">
        <v>28.71</v>
      </c>
      <c r="Q31" s="26">
        <v>0.14699999999999999</v>
      </c>
      <c r="R31" s="26">
        <v>0.1201</v>
      </c>
      <c r="S31" s="26"/>
      <c r="X31" s="26"/>
      <c r="Y31" s="14">
        <v>2.2799999999999998</v>
      </c>
      <c r="Z31" s="14">
        <v>-0.62</v>
      </c>
      <c r="AB31" s="14">
        <v>91.45</v>
      </c>
      <c r="AC31" s="14">
        <v>74.72</v>
      </c>
      <c r="AE31" s="26">
        <v>0.16930000000000001</v>
      </c>
      <c r="AF31" s="26">
        <v>0.38319999999999999</v>
      </c>
      <c r="AG31" s="26">
        <v>0.1123</v>
      </c>
      <c r="AH31" s="26"/>
      <c r="AI31" s="26">
        <v>1.0699999999999999E-2</v>
      </c>
      <c r="AJ31" s="26">
        <v>6.9199999999999998E-2</v>
      </c>
      <c r="AK31" s="26"/>
      <c r="AL31" s="17">
        <v>0</v>
      </c>
      <c r="AM31" s="61"/>
      <c r="AN31" s="15">
        <v>13.01</v>
      </c>
      <c r="AO31" s="16">
        <f t="shared" si="6"/>
        <v>8.9155969191270863</v>
      </c>
      <c r="AP31" s="15">
        <v>18.66</v>
      </c>
      <c r="AQ31" s="15">
        <v>12.78</v>
      </c>
      <c r="AS31" s="6" t="s">
        <v>46</v>
      </c>
      <c r="AT31" s="6"/>
      <c r="AU31" s="5">
        <v>960</v>
      </c>
      <c r="AV31" s="5">
        <v>960</v>
      </c>
      <c r="AW31" s="5">
        <v>960</v>
      </c>
      <c r="AX31" s="5">
        <v>960</v>
      </c>
    </row>
    <row r="32" spans="1:53" x14ac:dyDescent="0.2">
      <c r="A32" s="19" t="s">
        <v>95</v>
      </c>
      <c r="C32" s="14" t="s">
        <v>159</v>
      </c>
      <c r="D32" s="14">
        <v>87.01</v>
      </c>
      <c r="E32" s="14">
        <v>2880</v>
      </c>
      <c r="F32" s="14">
        <v>2770</v>
      </c>
      <c r="H32" s="14">
        <v>0.98</v>
      </c>
      <c r="J32" s="14">
        <v>3930</v>
      </c>
      <c r="L32" s="14">
        <v>312.95999999999998</v>
      </c>
      <c r="M32" s="18">
        <v>362.06</v>
      </c>
      <c r="N32" s="14">
        <v>191.59</v>
      </c>
      <c r="O32" s="18">
        <v>145.77000000000001</v>
      </c>
      <c r="Q32" s="26">
        <v>8.7800000000000003E-2</v>
      </c>
      <c r="R32" s="26">
        <v>4.8800000000000003E-2</v>
      </c>
      <c r="S32" s="26"/>
      <c r="T32" s="26">
        <v>0.151</v>
      </c>
      <c r="U32" s="26">
        <v>1.3065</v>
      </c>
      <c r="X32" s="26"/>
      <c r="Y32" s="14">
        <v>0.4</v>
      </c>
      <c r="Z32" s="14">
        <v>-0.88</v>
      </c>
      <c r="AB32" s="14">
        <v>57.73</v>
      </c>
      <c r="AC32" s="14">
        <v>32.07</v>
      </c>
      <c r="AE32" s="26">
        <v>5.8299999999999998E-2</v>
      </c>
      <c r="AF32" s="26">
        <v>9.2600000000000002E-2</v>
      </c>
      <c r="AG32" s="26">
        <v>3.6700000000000003E-2</v>
      </c>
      <c r="AH32" s="26"/>
      <c r="AI32" s="26">
        <v>1.6400000000000001E-2</v>
      </c>
      <c r="AJ32" s="26">
        <v>8.3799999999999999E-2</v>
      </c>
      <c r="AK32" s="26"/>
      <c r="AL32" s="17">
        <v>1</v>
      </c>
      <c r="AM32" s="61"/>
      <c r="AN32" s="15">
        <v>8.6999999999999993</v>
      </c>
      <c r="AO32" s="16">
        <f t="shared" si="6"/>
        <v>7.9544826824283268</v>
      </c>
      <c r="AP32" s="15">
        <v>21.45</v>
      </c>
      <c r="AQ32" s="15">
        <v>15.79</v>
      </c>
      <c r="AS32" s="6" t="s">
        <v>49</v>
      </c>
      <c r="AT32" s="6"/>
      <c r="AU32" s="5">
        <v>0</v>
      </c>
      <c r="AV32" s="5">
        <v>0</v>
      </c>
      <c r="AW32" s="5">
        <v>0</v>
      </c>
      <c r="AX32" s="5">
        <v>0</v>
      </c>
    </row>
    <row r="33" spans="1:50" x14ac:dyDescent="0.2">
      <c r="A33" s="19" t="s">
        <v>158</v>
      </c>
      <c r="C33" s="14" t="s">
        <v>157</v>
      </c>
      <c r="D33" s="14">
        <v>173.2</v>
      </c>
      <c r="E33" s="14">
        <v>1060</v>
      </c>
      <c r="F33" s="14">
        <v>678.7</v>
      </c>
      <c r="H33" s="14">
        <v>1</v>
      </c>
      <c r="J33" s="14">
        <v>1000</v>
      </c>
      <c r="L33" s="14">
        <v>105.66</v>
      </c>
      <c r="M33" s="18">
        <v>113.65</v>
      </c>
      <c r="N33" s="14">
        <v>92.64</v>
      </c>
      <c r="O33" s="18">
        <v>59.83</v>
      </c>
      <c r="Q33" s="26">
        <v>0.10539999999999999</v>
      </c>
      <c r="R33" s="26">
        <v>9.2399999999999996E-2</v>
      </c>
      <c r="S33" s="26"/>
      <c r="T33" s="26">
        <v>0.23860000000000001</v>
      </c>
      <c r="U33" s="26">
        <v>0.35730000000000001</v>
      </c>
      <c r="V33" s="26">
        <v>0.42499999999999999</v>
      </c>
      <c r="W33" s="26">
        <v>0.42499999999999999</v>
      </c>
      <c r="X33" s="26"/>
      <c r="Y33" s="14">
        <v>2.06</v>
      </c>
      <c r="Z33" s="14">
        <v>1.93</v>
      </c>
      <c r="AB33" s="14">
        <v>59.77</v>
      </c>
      <c r="AC33" s="14">
        <v>52.41</v>
      </c>
      <c r="AE33" s="26">
        <v>0.15010000000000001</v>
      </c>
      <c r="AF33" s="26">
        <v>0.21</v>
      </c>
      <c r="AG33" s="26">
        <v>9.2999999999999999E-2</v>
      </c>
      <c r="AH33" s="26"/>
      <c r="AI33" s="26">
        <v>1.4800000000000001E-2</v>
      </c>
      <c r="AJ33" s="26">
        <v>-0.20250000000000001</v>
      </c>
      <c r="AK33" s="26"/>
      <c r="AL33" s="17">
        <v>1</v>
      </c>
      <c r="AM33" s="61"/>
      <c r="AN33" s="15">
        <v>10.5</v>
      </c>
      <c r="AO33" s="16">
        <f t="shared" si="6"/>
        <v>9.3268807743070834</v>
      </c>
      <c r="AP33" s="15">
        <v>14.23</v>
      </c>
      <c r="AQ33" s="15">
        <v>9.51</v>
      </c>
      <c r="AS33" s="6" t="s">
        <v>51</v>
      </c>
      <c r="AT33" s="6"/>
      <c r="AU33" s="5">
        <v>45</v>
      </c>
      <c r="AV33" s="5">
        <v>45</v>
      </c>
      <c r="AW33" s="5">
        <v>45</v>
      </c>
      <c r="AX33" s="5">
        <v>45</v>
      </c>
    </row>
    <row r="34" spans="1:50" x14ac:dyDescent="0.2">
      <c r="A34" s="19" t="s">
        <v>96</v>
      </c>
      <c r="C34" s="14" t="s">
        <v>156</v>
      </c>
      <c r="D34" s="14">
        <v>25.91</v>
      </c>
      <c r="E34" s="14">
        <v>5730</v>
      </c>
      <c r="F34" s="14">
        <v>4880</v>
      </c>
      <c r="H34" s="14">
        <v>1.1200000000000001</v>
      </c>
      <c r="J34" s="14">
        <v>4260</v>
      </c>
      <c r="K34" s="14">
        <v>1070</v>
      </c>
      <c r="L34" s="14">
        <v>537.33000000000004</v>
      </c>
      <c r="M34" s="18">
        <v>632.96</v>
      </c>
      <c r="N34" s="14">
        <v>428.14</v>
      </c>
      <c r="O34" s="18">
        <v>298.75</v>
      </c>
      <c r="Q34" s="26">
        <v>0.13109999999999999</v>
      </c>
      <c r="R34" s="26">
        <v>0.10059999999999999</v>
      </c>
      <c r="S34" s="26"/>
      <c r="T34" s="26">
        <v>6.9099999999999995E-2</v>
      </c>
      <c r="U34" s="26">
        <v>4.9700000000000001E-2</v>
      </c>
      <c r="V34" s="26">
        <v>0.28570000000000001</v>
      </c>
      <c r="W34" s="26">
        <v>0.28570000000000001</v>
      </c>
      <c r="X34" s="26"/>
      <c r="Y34" s="14">
        <v>0.92</v>
      </c>
      <c r="Z34" s="14">
        <v>-0.24</v>
      </c>
      <c r="AB34" s="14">
        <v>103.2</v>
      </c>
      <c r="AC34" s="14">
        <v>79.2</v>
      </c>
      <c r="AE34" s="26">
        <v>0.15590000000000001</v>
      </c>
      <c r="AF34" s="26">
        <v>0.2273</v>
      </c>
      <c r="AG34" s="26">
        <v>6.6799999999999998E-2</v>
      </c>
      <c r="AH34" s="26"/>
      <c r="AI34" s="26">
        <v>4.6600000000000003E-2</v>
      </c>
      <c r="AJ34" s="26">
        <v>6.83E-2</v>
      </c>
      <c r="AK34" s="26"/>
      <c r="AL34" s="17">
        <v>1</v>
      </c>
      <c r="AM34" s="61"/>
      <c r="AN34" s="15">
        <v>10.7</v>
      </c>
      <c r="AO34" s="16">
        <f t="shared" si="6"/>
        <v>9.0527047522750248</v>
      </c>
      <c r="AP34" s="15">
        <v>19.05</v>
      </c>
      <c r="AQ34" s="15">
        <v>11.59</v>
      </c>
      <c r="AS34" s="6" t="s">
        <v>53</v>
      </c>
      <c r="AT34" s="6"/>
      <c r="AU34" s="5">
        <v>619</v>
      </c>
      <c r="AV34" s="5">
        <v>619</v>
      </c>
      <c r="AW34" s="5">
        <v>619</v>
      </c>
      <c r="AX34" s="5">
        <v>619</v>
      </c>
    </row>
    <row r="35" spans="1:50" x14ac:dyDescent="0.2">
      <c r="AS35" s="11"/>
      <c r="AT35" s="11"/>
      <c r="AU35" s="38"/>
      <c r="AV35" s="13"/>
      <c r="AW35" s="13"/>
      <c r="AX35" s="38"/>
    </row>
    <row r="36" spans="1:50" x14ac:dyDescent="0.2">
      <c r="A36" s="23" t="s">
        <v>97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4"/>
      <c r="Q36" s="24"/>
      <c r="R36" s="21"/>
      <c r="S36" s="21"/>
      <c r="T36" s="24"/>
      <c r="U36" s="24"/>
      <c r="V36" s="24"/>
      <c r="W36" s="24"/>
      <c r="X36" s="24"/>
      <c r="Y36" s="25"/>
      <c r="Z36" s="25"/>
      <c r="AA36" s="25"/>
      <c r="AB36" s="25"/>
      <c r="AC36" s="25"/>
      <c r="AD36" s="24"/>
      <c r="AE36" s="24"/>
      <c r="AF36" s="24"/>
      <c r="AG36" s="24"/>
      <c r="AH36" s="24"/>
      <c r="AI36" s="24"/>
      <c r="AJ36" s="24"/>
      <c r="AK36" s="21"/>
      <c r="AL36" s="22"/>
      <c r="AM36" s="62" t="s">
        <v>97</v>
      </c>
      <c r="AN36" s="20">
        <f>MEDIAN(AN26:AN27,AN29:AN30,AN32:AN34)</f>
        <v>10.5</v>
      </c>
      <c r="AO36" s="20">
        <f>MEDIAN(AO26:AO27,AO29:AO30,AO32:AO34)</f>
        <v>8.5035937173516754</v>
      </c>
      <c r="AP36" s="20">
        <f>MEDIAN(AP26:AP27,AP29:AP30,AP32:AP34)</f>
        <v>21.45</v>
      </c>
      <c r="AQ36" s="20">
        <f>MEDIAN(AQ26:AQ27,AQ29:AQ30,AQ32:AQ34)</f>
        <v>11.594999999999999</v>
      </c>
      <c r="AS36" s="9" t="s">
        <v>57</v>
      </c>
      <c r="AT36" s="9"/>
      <c r="AU36" s="3">
        <f t="shared" ref="AU36:AX36" si="9">AU30-SUM(AU31:AU34)</f>
        <v>-846.70668744494878</v>
      </c>
      <c r="AV36" s="3">
        <f t="shared" si="9"/>
        <v>2100.8904802374968</v>
      </c>
      <c r="AW36" s="3">
        <f t="shared" si="9"/>
        <v>2445.1152488710613</v>
      </c>
      <c r="AX36" s="3">
        <f t="shared" si="9"/>
        <v>7707.2206632653069</v>
      </c>
    </row>
    <row r="37" spans="1:50" x14ac:dyDescent="0.2">
      <c r="A37" s="23" t="s">
        <v>98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2"/>
      <c r="AM37" s="62" t="s">
        <v>98</v>
      </c>
      <c r="AN37" s="20">
        <f>AVERAGE(AN26:AN27,AN29:AN30,AN32:AN34)</f>
        <v>12.531428571428572</v>
      </c>
      <c r="AO37" s="20">
        <f>AVERAGE(AO26:AO27,AO29:AO30,AO32:AO34)</f>
        <v>9.3571397699703756</v>
      </c>
      <c r="AP37" s="20">
        <f>AVERAGE(AP26:AP27,AP29:AP30,AP32:AP34)</f>
        <v>23.064285714285713</v>
      </c>
      <c r="AQ37" s="20">
        <f>AVERAGE(AQ26:AQ27,AQ29:AQ30,AQ32:AQ34)</f>
        <v>14.43</v>
      </c>
      <c r="AS37" s="11"/>
      <c r="AT37" s="11"/>
      <c r="AU37" s="38"/>
      <c r="AV37" s="13"/>
      <c r="AW37" s="13"/>
      <c r="AX37" s="38"/>
    </row>
    <row r="38" spans="1:50" x14ac:dyDescent="0.2">
      <c r="AS38" s="75" t="s">
        <v>248</v>
      </c>
      <c r="AT38" s="72"/>
      <c r="AU38" s="76">
        <v>326.87</v>
      </c>
      <c r="AV38" s="76">
        <v>326.87</v>
      </c>
      <c r="AW38" s="76">
        <v>326.87</v>
      </c>
      <c r="AX38" s="76">
        <v>326.87</v>
      </c>
    </row>
    <row r="39" spans="1:50" x14ac:dyDescent="0.2">
      <c r="A39" s="40" t="s">
        <v>100</v>
      </c>
      <c r="B39" s="40"/>
      <c r="C39" s="39"/>
      <c r="Q39" s="195"/>
      <c r="R39" s="195"/>
      <c r="T39" s="195"/>
      <c r="U39" s="195"/>
      <c r="V39" s="195"/>
      <c r="W39" s="195"/>
      <c r="Y39" s="195"/>
      <c r="Z39" s="195"/>
      <c r="AB39" s="195"/>
      <c r="AC39" s="195"/>
      <c r="AE39" s="195"/>
      <c r="AF39" s="195"/>
      <c r="AG39" s="195"/>
      <c r="AS39" s="12" t="s">
        <v>60</v>
      </c>
      <c r="AT39" s="12"/>
      <c r="AU39" s="68">
        <f>AU36/AU38</f>
        <v>-2.5903468885029177</v>
      </c>
      <c r="AV39" s="68">
        <f>AV36/AV38</f>
        <v>6.4272967241946244</v>
      </c>
      <c r="AW39" s="68">
        <f t="shared" ref="AW39" si="10">AW36/AW38</f>
        <v>7.4803905187721762</v>
      </c>
      <c r="AX39" s="68">
        <f t="shared" ref="AX39" si="11">AX36/AX38</f>
        <v>23.578856007786907</v>
      </c>
    </row>
    <row r="40" spans="1:50" s="29" customFormat="1" ht="37" customHeight="1" x14ac:dyDescent="0.2">
      <c r="A40" s="37" t="s">
        <v>90</v>
      </c>
      <c r="B40" s="36"/>
      <c r="C40" s="34" t="s">
        <v>91</v>
      </c>
      <c r="D40" s="34" t="s">
        <v>155</v>
      </c>
      <c r="E40" s="34" t="s">
        <v>154</v>
      </c>
      <c r="F40" s="34" t="s">
        <v>3</v>
      </c>
      <c r="G40" s="32"/>
      <c r="H40" s="34" t="s">
        <v>153</v>
      </c>
      <c r="I40" s="32"/>
      <c r="J40" s="34" t="s">
        <v>152</v>
      </c>
      <c r="K40" s="34" t="s">
        <v>19</v>
      </c>
      <c r="L40" s="34" t="s">
        <v>22</v>
      </c>
      <c r="M40" s="35" t="s">
        <v>151</v>
      </c>
      <c r="N40" s="34" t="s">
        <v>24</v>
      </c>
      <c r="O40" s="35" t="s">
        <v>150</v>
      </c>
      <c r="P40" s="32"/>
      <c r="Q40" s="34" t="s">
        <v>149</v>
      </c>
      <c r="R40" s="34" t="s">
        <v>148</v>
      </c>
      <c r="S40" s="32"/>
      <c r="T40" s="34" t="s">
        <v>147</v>
      </c>
      <c r="U40" s="34" t="s">
        <v>146</v>
      </c>
      <c r="V40" s="34" t="s">
        <v>145</v>
      </c>
      <c r="W40" s="34" t="s">
        <v>145</v>
      </c>
      <c r="X40" s="32"/>
      <c r="Y40" s="34" t="s">
        <v>144</v>
      </c>
      <c r="Z40" s="34" t="s">
        <v>143</v>
      </c>
      <c r="AA40" s="32"/>
      <c r="AB40" s="34" t="s">
        <v>142</v>
      </c>
      <c r="AC40" s="34" t="s">
        <v>141</v>
      </c>
      <c r="AD40" s="32"/>
      <c r="AE40" s="34" t="s">
        <v>140</v>
      </c>
      <c r="AF40" s="34" t="s">
        <v>92</v>
      </c>
      <c r="AG40" s="34" t="s">
        <v>139</v>
      </c>
      <c r="AH40" s="32"/>
      <c r="AI40" s="34" t="s">
        <v>138</v>
      </c>
      <c r="AJ40" s="34" t="s">
        <v>137</v>
      </c>
      <c r="AK40" s="32"/>
      <c r="AL40" s="33" t="s">
        <v>136</v>
      </c>
      <c r="AM40" s="59"/>
      <c r="AN40" s="30" t="s">
        <v>135</v>
      </c>
      <c r="AO40" s="31" t="s">
        <v>134</v>
      </c>
      <c r="AP40" s="30" t="s">
        <v>133</v>
      </c>
      <c r="AQ40" s="30" t="s">
        <v>132</v>
      </c>
      <c r="AS40" s="67"/>
      <c r="AT40" s="67"/>
      <c r="AU40" s="2"/>
      <c r="AV40" s="2"/>
      <c r="AW40" s="2"/>
      <c r="AX40" s="2"/>
    </row>
    <row r="41" spans="1:50" x14ac:dyDescent="0.2">
      <c r="A41" s="28" t="s">
        <v>131</v>
      </c>
      <c r="B41" s="27"/>
      <c r="C41" s="14" t="s">
        <v>130</v>
      </c>
      <c r="D41" s="14">
        <v>7.02</v>
      </c>
      <c r="E41" s="14">
        <v>3440</v>
      </c>
      <c r="F41" s="14">
        <v>2440</v>
      </c>
      <c r="H41" s="14">
        <v>1.07</v>
      </c>
      <c r="J41" s="14">
        <v>2650</v>
      </c>
      <c r="K41" s="14">
        <v>746</v>
      </c>
      <c r="L41" s="14">
        <v>444</v>
      </c>
      <c r="M41" s="18">
        <v>481.88</v>
      </c>
      <c r="N41" s="14">
        <v>220</v>
      </c>
      <c r="O41" s="18">
        <v>175.2</v>
      </c>
      <c r="Q41" s="26">
        <v>0.1646</v>
      </c>
      <c r="R41" s="26">
        <v>8.3099999999999993E-2</v>
      </c>
      <c r="S41" s="26"/>
      <c r="T41" s="26">
        <v>0.17319999999999999</v>
      </c>
      <c r="U41" s="26">
        <v>0.43690000000000001</v>
      </c>
      <c r="V41" s="26">
        <v>3.3635999999999999</v>
      </c>
      <c r="W41" s="26">
        <v>3.3635999999999999</v>
      </c>
      <c r="X41" s="26"/>
      <c r="Y41" s="14">
        <v>2.2000000000000002</v>
      </c>
      <c r="Z41" s="14">
        <v>0.77</v>
      </c>
      <c r="AB41" s="14">
        <v>29.07</v>
      </c>
      <c r="AC41" s="14">
        <v>14.67</v>
      </c>
      <c r="AE41" s="26">
        <v>8.1500000000000003E-2</v>
      </c>
      <c r="AF41" s="26">
        <v>0.11990000000000001</v>
      </c>
      <c r="AG41" s="26">
        <v>4.2900000000000001E-2</v>
      </c>
      <c r="AH41" s="26"/>
      <c r="AI41" s="26">
        <v>4.87E-2</v>
      </c>
      <c r="AJ41" s="26">
        <v>7.5800000000000006E-2</v>
      </c>
      <c r="AK41" s="26"/>
      <c r="AL41" s="17">
        <v>1</v>
      </c>
      <c r="AM41" s="61"/>
      <c r="AN41" s="15">
        <v>7.9</v>
      </c>
      <c r="AO41" s="16">
        <f t="shared" ref="AO41:AO51" si="12">E41/L41</f>
        <v>7.7477477477477477</v>
      </c>
      <c r="AP41" s="15">
        <v>19.510000000000002</v>
      </c>
      <c r="AQ41" s="15">
        <v>11.98</v>
      </c>
    </row>
    <row r="42" spans="1:50" x14ac:dyDescent="0.2">
      <c r="A42" s="19" t="s">
        <v>101</v>
      </c>
      <c r="C42" s="14" t="s">
        <v>129</v>
      </c>
      <c r="D42" s="14">
        <v>19.02</v>
      </c>
      <c r="E42" s="14">
        <v>5660</v>
      </c>
      <c r="F42" s="14">
        <v>3690</v>
      </c>
      <c r="H42" s="14">
        <v>0.84</v>
      </c>
      <c r="J42" s="14">
        <v>1370</v>
      </c>
      <c r="K42" s="14">
        <v>701.64</v>
      </c>
      <c r="L42" s="14">
        <v>388.76</v>
      </c>
      <c r="M42" s="18">
        <v>462.94</v>
      </c>
      <c r="N42" s="14">
        <v>222.91</v>
      </c>
      <c r="O42" s="18">
        <v>17.059999999999999</v>
      </c>
      <c r="Q42" s="26">
        <v>0.28360000000000002</v>
      </c>
      <c r="R42" s="26">
        <v>0.16259999999999999</v>
      </c>
      <c r="S42" s="26"/>
      <c r="T42" s="26">
        <v>0.1527</v>
      </c>
      <c r="U42" s="26">
        <v>8.4400000000000003E-2</v>
      </c>
      <c r="X42" s="26"/>
      <c r="Y42" s="14">
        <v>3.8</v>
      </c>
      <c r="Z42" s="14">
        <v>2.93</v>
      </c>
      <c r="AB42" s="14">
        <v>3.97</v>
      </c>
      <c r="AC42" s="14">
        <v>2.27</v>
      </c>
      <c r="AE42" s="26">
        <v>8.0999999999999996E-3</v>
      </c>
      <c r="AF42" s="26">
        <v>1.17E-2</v>
      </c>
      <c r="AG42" s="26">
        <v>2.0999999999999999E-3</v>
      </c>
      <c r="AJ42" s="26">
        <v>3.3300000000000003E-2</v>
      </c>
      <c r="AK42" s="26"/>
      <c r="AL42" s="17">
        <v>1</v>
      </c>
      <c r="AN42" s="15">
        <v>14.61</v>
      </c>
      <c r="AO42" s="16">
        <f t="shared" si="12"/>
        <v>14.559111019652228</v>
      </c>
      <c r="AP42" s="15">
        <v>40.69</v>
      </c>
      <c r="AQ42" s="15">
        <v>19.510000000000002</v>
      </c>
      <c r="AS42" s="196" t="s">
        <v>240</v>
      </c>
      <c r="AT42" s="197"/>
      <c r="AU42" s="197"/>
      <c r="AV42" s="197"/>
      <c r="AW42" s="197"/>
      <c r="AX42" s="198"/>
    </row>
    <row r="43" spans="1:50" x14ac:dyDescent="0.2">
      <c r="A43" s="19" t="s">
        <v>102</v>
      </c>
      <c r="C43" s="14" t="s">
        <v>128</v>
      </c>
      <c r="D43" s="14">
        <v>42.82</v>
      </c>
      <c r="E43" s="14">
        <v>12410</v>
      </c>
      <c r="F43" s="14">
        <v>8350</v>
      </c>
      <c r="H43" s="14">
        <v>1.0900000000000001</v>
      </c>
      <c r="J43" s="14">
        <v>17190</v>
      </c>
      <c r="K43" s="14">
        <v>4790</v>
      </c>
      <c r="L43" s="14">
        <v>3340</v>
      </c>
      <c r="M43" s="18">
        <v>2440</v>
      </c>
      <c r="N43" s="14">
        <v>2450</v>
      </c>
      <c r="O43" s="18">
        <v>1690</v>
      </c>
      <c r="Q43" s="26">
        <v>0.19389999999999999</v>
      </c>
      <c r="R43" s="26">
        <v>0.14219999999999999</v>
      </c>
      <c r="S43" s="26"/>
      <c r="T43" s="26">
        <v>0.53859999999999997</v>
      </c>
      <c r="U43" s="26">
        <v>0.53839999999999999</v>
      </c>
      <c r="V43" s="26">
        <v>2.375</v>
      </c>
      <c r="W43" s="26">
        <v>2.375</v>
      </c>
      <c r="X43" s="26"/>
      <c r="Y43" s="14">
        <v>0.82</v>
      </c>
      <c r="Z43" s="14">
        <v>0.46</v>
      </c>
      <c r="AB43" s="14">
        <v>29.36</v>
      </c>
      <c r="AC43" s="14">
        <v>21.54</v>
      </c>
      <c r="AE43" s="26">
        <v>0.18690000000000001</v>
      </c>
      <c r="AF43" s="26">
        <v>0.24390000000000001</v>
      </c>
      <c r="AG43" s="26">
        <v>0.1139</v>
      </c>
      <c r="AH43" s="26"/>
      <c r="AI43" s="26">
        <v>8.0699999999999994E-2</v>
      </c>
      <c r="AJ43" s="26">
        <v>0.13220000000000001</v>
      </c>
      <c r="AK43" s="26"/>
      <c r="AL43" s="17">
        <v>1</v>
      </c>
      <c r="AM43" s="61"/>
      <c r="AN43" s="15">
        <v>3.88</v>
      </c>
      <c r="AO43" s="16">
        <f t="shared" si="12"/>
        <v>3.715568862275449</v>
      </c>
      <c r="AP43" s="15">
        <v>6.48</v>
      </c>
      <c r="AQ43" s="15">
        <v>7.78</v>
      </c>
      <c r="AS43" s="199"/>
      <c r="AT43" s="200"/>
      <c r="AU43" s="200"/>
      <c r="AV43" s="200"/>
      <c r="AW43" s="200"/>
      <c r="AX43" s="201"/>
    </row>
    <row r="44" spans="1:50" x14ac:dyDescent="0.2">
      <c r="A44" s="19" t="s">
        <v>127</v>
      </c>
      <c r="C44" s="14" t="s">
        <v>126</v>
      </c>
      <c r="D44" s="14">
        <v>17.48</v>
      </c>
      <c r="E44" s="14">
        <v>5630</v>
      </c>
      <c r="F44" s="14">
        <v>2720</v>
      </c>
      <c r="H44" s="14">
        <v>1.66</v>
      </c>
      <c r="J44" s="14">
        <v>3270</v>
      </c>
      <c r="K44" s="14">
        <v>818.31</v>
      </c>
      <c r="L44" s="14">
        <v>870.11</v>
      </c>
      <c r="M44" s="18">
        <v>1050</v>
      </c>
      <c r="N44" s="14">
        <v>527.55999999999995</v>
      </c>
      <c r="O44" s="18">
        <v>413.2</v>
      </c>
      <c r="Q44" s="26">
        <v>0.25779999999999997</v>
      </c>
      <c r="R44" s="26">
        <v>0.1615</v>
      </c>
      <c r="S44" s="26"/>
      <c r="T44" s="26">
        <v>0.24560000000000001</v>
      </c>
      <c r="U44" s="26">
        <v>0.34910000000000002</v>
      </c>
      <c r="V44" s="26">
        <v>-0.72189999999999999</v>
      </c>
      <c r="W44" s="26">
        <v>-0.72189999999999999</v>
      </c>
      <c r="X44" s="26"/>
      <c r="Y44" s="14">
        <v>2.88</v>
      </c>
      <c r="Z44" s="14">
        <v>2.5499999999999998</v>
      </c>
      <c r="AB44" s="14">
        <v>5.87</v>
      </c>
      <c r="AC44" s="14">
        <v>3.68</v>
      </c>
      <c r="AE44" s="26">
        <v>0.12809999999999999</v>
      </c>
      <c r="AF44" s="26">
        <v>0.19500000000000001</v>
      </c>
      <c r="AG44" s="26">
        <v>5.7299999999999997E-2</v>
      </c>
      <c r="AH44" s="26"/>
      <c r="AI44" s="26">
        <v>2.75E-2</v>
      </c>
      <c r="AJ44" s="26">
        <v>0.12809999999999999</v>
      </c>
      <c r="AK44" s="26"/>
      <c r="AL44" s="17">
        <v>1</v>
      </c>
      <c r="AM44" s="61"/>
      <c r="AN44" s="15">
        <v>6.71</v>
      </c>
      <c r="AO44" s="16">
        <f t="shared" si="12"/>
        <v>6.4704462654147177</v>
      </c>
      <c r="AP44" s="15">
        <v>10.55</v>
      </c>
      <c r="AQ44" s="15">
        <v>5.28</v>
      </c>
    </row>
    <row r="45" spans="1:50" x14ac:dyDescent="0.2">
      <c r="A45" s="19" t="s">
        <v>103</v>
      </c>
      <c r="C45" s="14" t="s">
        <v>125</v>
      </c>
      <c r="D45" s="14">
        <v>114.68</v>
      </c>
      <c r="E45" s="14">
        <v>10780</v>
      </c>
      <c r="F45" s="14">
        <v>8580</v>
      </c>
      <c r="H45" s="14">
        <v>1.1399999999999999</v>
      </c>
      <c r="J45" s="14">
        <v>10290</v>
      </c>
      <c r="L45" s="14">
        <v>1930</v>
      </c>
      <c r="M45" s="18">
        <v>1880</v>
      </c>
      <c r="N45" s="14">
        <v>1870</v>
      </c>
      <c r="O45" s="18">
        <v>1350</v>
      </c>
      <c r="Q45" s="26">
        <v>0.2455</v>
      </c>
      <c r="R45" s="26">
        <v>0.18210000000000001</v>
      </c>
      <c r="S45" s="26"/>
      <c r="T45" s="26">
        <v>0.26900000000000002</v>
      </c>
      <c r="U45" s="26">
        <v>0.8952</v>
      </c>
      <c r="V45" s="26">
        <v>2.9975999999999998</v>
      </c>
      <c r="W45" s="26">
        <v>2.9975999999999998</v>
      </c>
      <c r="X45" s="26"/>
      <c r="Y45" s="14">
        <v>1.18</v>
      </c>
      <c r="Z45" s="14">
        <v>0.27</v>
      </c>
      <c r="AB45" s="14">
        <v>45.82</v>
      </c>
      <c r="AC45" s="14">
        <v>35.369999999999997</v>
      </c>
      <c r="AE45" s="26">
        <v>0.10630000000000001</v>
      </c>
      <c r="AF45" s="26">
        <v>0.1769</v>
      </c>
      <c r="AG45" s="26">
        <v>7.7600000000000002E-2</v>
      </c>
      <c r="AH45" s="26"/>
      <c r="AI45" s="26">
        <v>2.6700000000000002E-2</v>
      </c>
      <c r="AJ45" s="26">
        <v>1.47E-2</v>
      </c>
      <c r="AK45" s="26"/>
      <c r="AL45" s="17">
        <v>1</v>
      </c>
      <c r="AM45" s="61"/>
      <c r="AN45" s="15">
        <v>4.4400000000000004</v>
      </c>
      <c r="AO45" s="16">
        <f t="shared" si="12"/>
        <v>5.5854922279792749</v>
      </c>
      <c r="AP45" s="15">
        <v>7.13</v>
      </c>
      <c r="AQ45" s="15">
        <v>10.119999999999999</v>
      </c>
      <c r="AS45" s="202" t="s">
        <v>232</v>
      </c>
      <c r="AT45" s="202"/>
      <c r="AU45" s="202"/>
      <c r="AV45" s="202"/>
      <c r="AW45" s="202"/>
      <c r="AX45" s="202"/>
    </row>
    <row r="46" spans="1:50" x14ac:dyDescent="0.2">
      <c r="A46" s="19" t="s">
        <v>104</v>
      </c>
      <c r="C46" s="14" t="s">
        <v>124</v>
      </c>
      <c r="D46" s="14">
        <v>20.74</v>
      </c>
      <c r="E46" s="14">
        <v>2490</v>
      </c>
      <c r="F46" s="14">
        <v>1810</v>
      </c>
      <c r="H46" s="14">
        <v>1.04</v>
      </c>
      <c r="J46" s="14">
        <v>381.48</v>
      </c>
      <c r="K46" s="14">
        <v>199.77</v>
      </c>
      <c r="L46" s="14">
        <v>143.6</v>
      </c>
      <c r="M46" s="18">
        <v>140.36000000000001</v>
      </c>
      <c r="N46" s="14">
        <v>116.33</v>
      </c>
      <c r="O46" s="18">
        <v>73.36</v>
      </c>
      <c r="Q46" s="26">
        <v>0.37640000000000001</v>
      </c>
      <c r="R46" s="26">
        <v>0.3049</v>
      </c>
      <c r="S46" s="26"/>
      <c r="T46" s="26">
        <v>0.1888</v>
      </c>
      <c r="U46" s="26">
        <v>0.26100000000000001</v>
      </c>
      <c r="V46" s="26">
        <v>0.34660000000000002</v>
      </c>
      <c r="W46" s="26">
        <v>0.34660000000000002</v>
      </c>
      <c r="X46" s="26"/>
      <c r="Y46" s="14">
        <v>0.14000000000000001</v>
      </c>
      <c r="Z46" s="14">
        <v>-0.84</v>
      </c>
      <c r="AB46" s="14">
        <v>576.5</v>
      </c>
      <c r="AC46" s="14">
        <v>467</v>
      </c>
      <c r="AE46" s="26">
        <v>0.14449999999999999</v>
      </c>
      <c r="AF46" s="26">
        <v>0.14799999999999999</v>
      </c>
      <c r="AG46" s="26">
        <v>0.12540000000000001</v>
      </c>
      <c r="AH46" s="26"/>
      <c r="AI46" s="26">
        <v>3.4599999999999999E-2</v>
      </c>
      <c r="AJ46" s="26">
        <v>4.1300000000000003E-2</v>
      </c>
      <c r="AK46" s="26"/>
      <c r="AL46" s="17">
        <v>0</v>
      </c>
      <c r="AM46" s="61"/>
      <c r="AN46" s="15">
        <v>17.149999999999999</v>
      </c>
      <c r="AO46" s="16">
        <f t="shared" si="12"/>
        <v>17.33983286908078</v>
      </c>
      <c r="AP46" s="15">
        <v>28.26</v>
      </c>
      <c r="AQ46" s="15">
        <v>17.05</v>
      </c>
      <c r="AS46" s="38"/>
      <c r="AT46" s="38"/>
      <c r="AU46" s="38"/>
      <c r="AV46" s="38"/>
      <c r="AX46" s="38"/>
    </row>
    <row r="47" spans="1:50" x14ac:dyDescent="0.2">
      <c r="A47" s="19" t="s">
        <v>105</v>
      </c>
      <c r="C47" s="14" t="s">
        <v>123</v>
      </c>
      <c r="D47" s="14">
        <v>38.28</v>
      </c>
      <c r="E47" s="14">
        <v>7250</v>
      </c>
      <c r="F47" s="14">
        <v>3390</v>
      </c>
      <c r="H47" s="14">
        <v>1.28</v>
      </c>
      <c r="J47" s="14">
        <v>8170</v>
      </c>
      <c r="K47" s="14">
        <v>1990</v>
      </c>
      <c r="L47" s="14">
        <v>1090</v>
      </c>
      <c r="M47" s="18">
        <v>1190</v>
      </c>
      <c r="N47" s="14">
        <v>378.41</v>
      </c>
      <c r="O47" s="18">
        <v>324.10000000000002</v>
      </c>
      <c r="Q47" s="26">
        <v>0.11269999999999999</v>
      </c>
      <c r="R47" s="26">
        <v>4.6300000000000001E-2</v>
      </c>
      <c r="S47" s="26"/>
      <c r="T47" s="26">
        <v>0.36159999999999998</v>
      </c>
      <c r="U47" s="26">
        <v>0.30719999999999997</v>
      </c>
      <c r="V47" s="26">
        <v>-0.75539999999999996</v>
      </c>
      <c r="W47" s="26">
        <v>-0.75539999999999996</v>
      </c>
      <c r="X47" s="26"/>
      <c r="Y47" s="14">
        <v>4.1100000000000003</v>
      </c>
      <c r="Z47" s="14">
        <v>2.2599999999999998</v>
      </c>
      <c r="AB47" s="14">
        <v>10.78</v>
      </c>
      <c r="AC47" s="14">
        <v>4.43</v>
      </c>
      <c r="AE47" s="26">
        <v>5.74E-2</v>
      </c>
      <c r="AF47" s="26">
        <v>9.98E-2</v>
      </c>
      <c r="AG47" s="26">
        <v>3.4799999999999998E-2</v>
      </c>
      <c r="AH47" s="26"/>
      <c r="AI47" s="26">
        <v>2.75E-2</v>
      </c>
      <c r="AJ47" s="26">
        <v>-2.7E-2</v>
      </c>
      <c r="AK47" s="26"/>
      <c r="AL47" s="17">
        <v>1</v>
      </c>
      <c r="AM47" s="61"/>
      <c r="AN47" s="15">
        <v>8.19</v>
      </c>
      <c r="AO47" s="16">
        <f t="shared" si="12"/>
        <v>6.6513761467889907</v>
      </c>
      <c r="AP47" s="15">
        <v>21.63</v>
      </c>
      <c r="AQ47" s="15">
        <v>7.39</v>
      </c>
      <c r="AS47" s="38"/>
      <c r="AT47" s="38"/>
      <c r="AU47" s="57" t="s">
        <v>230</v>
      </c>
      <c r="AV47" s="57" t="s">
        <v>97</v>
      </c>
      <c r="AW47" s="57" t="s">
        <v>98</v>
      </c>
      <c r="AX47" s="57" t="s">
        <v>231</v>
      </c>
    </row>
    <row r="48" spans="1:50" x14ac:dyDescent="0.2">
      <c r="A48" s="19" t="s">
        <v>106</v>
      </c>
      <c r="C48" s="14" t="s">
        <v>122</v>
      </c>
      <c r="D48" s="14">
        <v>24.89</v>
      </c>
      <c r="E48" s="14">
        <v>4360</v>
      </c>
      <c r="F48" s="14">
        <v>3750</v>
      </c>
      <c r="H48" s="14">
        <v>0.69</v>
      </c>
      <c r="J48" s="14">
        <v>3100</v>
      </c>
      <c r="K48" s="14">
        <v>1040</v>
      </c>
      <c r="L48" s="14">
        <v>494.09</v>
      </c>
      <c r="M48" s="18">
        <v>457.5</v>
      </c>
      <c r="N48" s="14">
        <v>398.95</v>
      </c>
      <c r="O48" s="18">
        <v>257.26</v>
      </c>
      <c r="Q48" s="26">
        <v>0.1585</v>
      </c>
      <c r="R48" s="26">
        <v>0.1285</v>
      </c>
      <c r="S48" s="26"/>
      <c r="T48" s="26">
        <v>0.2127</v>
      </c>
      <c r="U48" s="26">
        <v>6.6199999999999995E-2</v>
      </c>
      <c r="V48" s="26">
        <v>0.15190000000000001</v>
      </c>
      <c r="W48" s="26">
        <v>0.15190000000000001</v>
      </c>
      <c r="X48" s="26"/>
      <c r="Y48" s="14">
        <v>0.11</v>
      </c>
      <c r="Z48" s="14">
        <v>-0.21</v>
      </c>
      <c r="AB48" s="14">
        <v>75.83</v>
      </c>
      <c r="AC48" s="14">
        <v>61.5</v>
      </c>
      <c r="AE48" s="26">
        <v>0.156</v>
      </c>
      <c r="AF48" s="26">
        <v>0.1527</v>
      </c>
      <c r="AG48" s="26">
        <v>0.1148</v>
      </c>
      <c r="AH48" s="26"/>
      <c r="AI48" s="26">
        <v>4.2200000000000001E-2</v>
      </c>
      <c r="AJ48" s="26">
        <v>1.89E-2</v>
      </c>
      <c r="AK48" s="26"/>
      <c r="AL48" s="17">
        <v>1</v>
      </c>
      <c r="AM48" s="61"/>
      <c r="AN48" s="15">
        <v>9.23</v>
      </c>
      <c r="AO48" s="16">
        <f t="shared" si="12"/>
        <v>8.8243032645874244</v>
      </c>
      <c r="AP48" s="15">
        <v>16.97</v>
      </c>
      <c r="AQ48" s="15">
        <v>12.67</v>
      </c>
      <c r="AS48" s="7"/>
      <c r="AT48" s="7"/>
      <c r="AU48" s="38"/>
      <c r="AV48" s="38"/>
      <c r="AX48" s="38"/>
    </row>
    <row r="49" spans="1:50" x14ac:dyDescent="0.2">
      <c r="A49" s="19" t="s">
        <v>107</v>
      </c>
      <c r="C49" s="14" t="s">
        <v>121</v>
      </c>
      <c r="D49" s="14">
        <v>32.4</v>
      </c>
      <c r="E49" s="14">
        <v>1570</v>
      </c>
      <c r="F49" s="14">
        <v>1410</v>
      </c>
      <c r="H49" s="14">
        <v>0.76</v>
      </c>
      <c r="J49" s="14">
        <v>2250</v>
      </c>
      <c r="K49" s="14">
        <v>591.4</v>
      </c>
      <c r="L49" s="14">
        <v>389.54</v>
      </c>
      <c r="M49" s="18">
        <v>353.93</v>
      </c>
      <c r="N49" s="14">
        <v>240.02</v>
      </c>
      <c r="O49" s="18">
        <v>195.47</v>
      </c>
      <c r="Q49" s="26">
        <v>0.17019999999999999</v>
      </c>
      <c r="R49" s="26">
        <v>0.1067</v>
      </c>
      <c r="S49" s="26"/>
      <c r="V49" s="26">
        <v>0.89570000000000005</v>
      </c>
      <c r="W49" s="26">
        <v>0.89570000000000005</v>
      </c>
      <c r="X49" s="26"/>
      <c r="Y49" s="14">
        <v>1.1399999999999999</v>
      </c>
      <c r="Z49" s="14">
        <v>0.21</v>
      </c>
      <c r="AB49" s="14">
        <v>37.69</v>
      </c>
      <c r="AC49" s="14">
        <v>23.62</v>
      </c>
      <c r="AE49" s="26">
        <v>0.1138</v>
      </c>
      <c r="AF49" s="26">
        <v>0.18909999999999999</v>
      </c>
      <c r="AG49" s="26">
        <v>9.2100000000000001E-2</v>
      </c>
      <c r="AJ49" s="26">
        <v>9.6299999999999997E-2</v>
      </c>
      <c r="AK49" s="26"/>
      <c r="AL49" s="17">
        <v>1</v>
      </c>
      <c r="AN49" s="15">
        <v>4.28</v>
      </c>
      <c r="AO49" s="16">
        <f t="shared" si="12"/>
        <v>4.030394824664989</v>
      </c>
      <c r="AP49" s="15">
        <v>7.65</v>
      </c>
      <c r="AQ49" s="15">
        <v>8.6300000000000008</v>
      </c>
      <c r="AS49" s="27" t="s">
        <v>229</v>
      </c>
      <c r="AT49" s="38"/>
      <c r="AU49" s="18">
        <f>O8</f>
        <v>175.2</v>
      </c>
      <c r="AV49" s="38">
        <v>175.2</v>
      </c>
      <c r="AW49" s="38">
        <v>175.2</v>
      </c>
      <c r="AX49" s="38">
        <v>175.2</v>
      </c>
    </row>
    <row r="50" spans="1:50" x14ac:dyDescent="0.2">
      <c r="A50" s="19" t="s">
        <v>120</v>
      </c>
      <c r="C50" s="14" t="s">
        <v>119</v>
      </c>
      <c r="D50" s="14">
        <v>914</v>
      </c>
      <c r="E50" s="14">
        <v>1850</v>
      </c>
      <c r="F50" s="14">
        <v>1350</v>
      </c>
      <c r="H50" s="14">
        <v>1</v>
      </c>
      <c r="J50" s="14">
        <v>1230</v>
      </c>
      <c r="L50" s="14">
        <v>153</v>
      </c>
      <c r="M50" s="18">
        <v>149</v>
      </c>
      <c r="N50" s="14">
        <v>111.3</v>
      </c>
      <c r="O50" s="18">
        <v>88.69</v>
      </c>
      <c r="Q50" s="26">
        <v>0.1235</v>
      </c>
      <c r="R50" s="26">
        <v>9.0700000000000003E-2</v>
      </c>
      <c r="S50" s="26"/>
      <c r="T50" s="26">
        <v>5.7500000000000002E-2</v>
      </c>
      <c r="U50" s="26">
        <v>-0.12870000000000001</v>
      </c>
      <c r="V50" s="26">
        <v>-0.18459999999999999</v>
      </c>
      <c r="W50" s="26">
        <v>-0.18459999999999999</v>
      </c>
      <c r="X50" s="26"/>
      <c r="Y50" s="14">
        <v>0.27</v>
      </c>
      <c r="Z50" s="14">
        <v>-0.53</v>
      </c>
      <c r="AB50" s="14">
        <v>27.55</v>
      </c>
      <c r="AC50" s="14">
        <v>20.239999999999998</v>
      </c>
      <c r="AE50" s="26">
        <v>0.1055</v>
      </c>
      <c r="AF50" s="26">
        <v>0.11310000000000001</v>
      </c>
      <c r="AG50" s="26">
        <v>7.6499999999999999E-2</v>
      </c>
      <c r="AH50" s="26"/>
      <c r="AI50" s="26">
        <v>4.2599999999999999E-2</v>
      </c>
      <c r="AJ50" s="26">
        <v>1.9699999999999999E-2</v>
      </c>
      <c r="AK50" s="26"/>
      <c r="AL50" s="17">
        <v>1</v>
      </c>
      <c r="AM50" s="61"/>
      <c r="AN50" s="15">
        <v>12.24</v>
      </c>
      <c r="AO50" s="16">
        <f t="shared" si="12"/>
        <v>12.091503267973856</v>
      </c>
      <c r="AP50" s="15">
        <v>22.94</v>
      </c>
      <c r="AQ50" s="15">
        <v>15.38</v>
      </c>
      <c r="AS50" s="27" t="s">
        <v>238</v>
      </c>
      <c r="AT50" s="38"/>
      <c r="AU50" s="15">
        <f>$AP$64</f>
        <v>6.48</v>
      </c>
      <c r="AV50" s="15">
        <f>$AP$60</f>
        <v>21.54</v>
      </c>
      <c r="AW50" s="15">
        <f>$AP$61</f>
        <v>22.045454545454547</v>
      </c>
      <c r="AX50" s="15">
        <f>$AP$63</f>
        <v>41.79</v>
      </c>
    </row>
    <row r="51" spans="1:50" x14ac:dyDescent="0.2">
      <c r="A51" s="19" t="s">
        <v>108</v>
      </c>
      <c r="C51" s="14" t="s">
        <v>118</v>
      </c>
      <c r="D51" s="14">
        <v>17.940000000000001</v>
      </c>
      <c r="E51" s="14">
        <v>8010</v>
      </c>
      <c r="F51" s="14">
        <v>6130</v>
      </c>
      <c r="H51" s="14">
        <v>1.06</v>
      </c>
      <c r="J51" s="14">
        <v>4370</v>
      </c>
      <c r="K51" s="14" t="s">
        <v>117</v>
      </c>
      <c r="L51" s="14">
        <v>718</v>
      </c>
      <c r="M51" s="18">
        <v>792.65</v>
      </c>
      <c r="N51" s="14">
        <v>399</v>
      </c>
      <c r="O51" s="18">
        <v>384.02</v>
      </c>
      <c r="Q51" s="26">
        <v>0.15229999999999999</v>
      </c>
      <c r="R51" s="26">
        <v>9.1300000000000006E-2</v>
      </c>
      <c r="S51" s="26"/>
      <c r="T51" s="26">
        <v>0.1326</v>
      </c>
      <c r="U51" s="26">
        <v>2.8E-3</v>
      </c>
      <c r="V51" s="26">
        <v>2.5588000000000002</v>
      </c>
      <c r="W51" s="26">
        <v>2.5588000000000002</v>
      </c>
      <c r="X51" s="26"/>
      <c r="Y51" s="14">
        <v>2.93</v>
      </c>
      <c r="Z51" s="14">
        <v>2.12</v>
      </c>
      <c r="AB51" s="14">
        <v>12.33</v>
      </c>
      <c r="AC51" s="14">
        <v>7.39</v>
      </c>
      <c r="AE51" s="26">
        <v>7.2599999999999998E-2</v>
      </c>
      <c r="AF51" s="26">
        <v>0.1336</v>
      </c>
      <c r="AG51" s="26">
        <v>4.3999999999999997E-2</v>
      </c>
      <c r="AH51" s="26"/>
      <c r="AI51" s="26">
        <v>2.1600000000000001E-2</v>
      </c>
      <c r="AJ51" s="26">
        <v>-5.7999999999999996E-3</v>
      </c>
      <c r="AK51" s="26"/>
      <c r="AL51" s="17">
        <v>1</v>
      </c>
      <c r="AM51" s="61"/>
      <c r="AN51" s="15">
        <v>12.03</v>
      </c>
      <c r="AO51" s="16">
        <f t="shared" si="12"/>
        <v>11.155988857938718</v>
      </c>
      <c r="AP51" s="15">
        <v>23.46</v>
      </c>
      <c r="AQ51" s="15">
        <v>17.329999999999998</v>
      </c>
      <c r="AS51" s="9" t="s">
        <v>57</v>
      </c>
      <c r="AT51" s="8"/>
      <c r="AU51" s="4">
        <f>AU49*AU50</f>
        <v>1135.296</v>
      </c>
      <c r="AV51" s="4">
        <f>AV49*AV50</f>
        <v>3773.8079999999995</v>
      </c>
      <c r="AW51" s="4">
        <f t="shared" ref="AW51" si="13">AW49*AW50</f>
        <v>3862.3636363636365</v>
      </c>
      <c r="AX51" s="4">
        <f t="shared" ref="AX51" si="14">AX49*AX50</f>
        <v>7321.6079999999993</v>
      </c>
    </row>
    <row r="52" spans="1:50" x14ac:dyDescent="0.2">
      <c r="AS52" s="6"/>
      <c r="AT52" s="6"/>
      <c r="AU52" s="5"/>
      <c r="AV52" s="5"/>
      <c r="AW52" s="5"/>
      <c r="AX52" s="5"/>
    </row>
    <row r="53" spans="1:50" x14ac:dyDescent="0.2">
      <c r="A53" s="23" t="s">
        <v>97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4"/>
      <c r="Q53" s="24"/>
      <c r="R53" s="21"/>
      <c r="S53" s="21"/>
      <c r="T53" s="24"/>
      <c r="U53" s="24"/>
      <c r="V53" s="24"/>
      <c r="W53" s="24"/>
      <c r="X53" s="24"/>
      <c r="Y53" s="25"/>
      <c r="Z53" s="25"/>
      <c r="AA53" s="25"/>
      <c r="AB53" s="25"/>
      <c r="AC53" s="25"/>
      <c r="AD53" s="24"/>
      <c r="AE53" s="24"/>
      <c r="AF53" s="24"/>
      <c r="AG53" s="24"/>
      <c r="AH53" s="24"/>
      <c r="AI53" s="24"/>
      <c r="AJ53" s="24"/>
      <c r="AK53" s="21"/>
      <c r="AL53" s="22"/>
      <c r="AM53" s="63" t="s">
        <v>97</v>
      </c>
      <c r="AN53" s="20">
        <f>MEDIAN(AN42:AN45,AN47:AN51)</f>
        <v>8.19</v>
      </c>
      <c r="AO53" s="20">
        <f>MEDIAN(AO42:AO45,AO47:AO51)</f>
        <v>6.6513761467889907</v>
      </c>
      <c r="AP53" s="20">
        <f>MEDIAN(AP42:AP45,AP47:AP51)</f>
        <v>16.97</v>
      </c>
      <c r="AQ53" s="20">
        <f>MEDIAN(AQ42:AQ45,AQ47:AQ51)</f>
        <v>10.119999999999999</v>
      </c>
      <c r="AS53" s="75" t="s">
        <v>248</v>
      </c>
      <c r="AT53" s="72"/>
      <c r="AU53" s="76">
        <v>326.87</v>
      </c>
      <c r="AV53" s="76">
        <v>326.87</v>
      </c>
      <c r="AW53" s="76">
        <v>326.87</v>
      </c>
      <c r="AX53" s="76">
        <v>326.87</v>
      </c>
    </row>
    <row r="54" spans="1:50" x14ac:dyDescent="0.2">
      <c r="A54" s="23" t="s">
        <v>98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2"/>
      <c r="AM54" s="63" t="s">
        <v>98</v>
      </c>
      <c r="AN54" s="20">
        <f>MEDIAN(AN42:AN45,AN47:AN51)</f>
        <v>8.19</v>
      </c>
      <c r="AO54" s="20">
        <f>MEDIAN(AO42:AO45,AO47:AO51)</f>
        <v>6.6513761467889907</v>
      </c>
      <c r="AP54" s="20">
        <f>MEDIAN(AP42:AP45,AP47:AP51)</f>
        <v>16.97</v>
      </c>
      <c r="AQ54" s="20">
        <f>MEDIAN(AQ42:AQ45,AQ47:AQ51)</f>
        <v>10.119999999999999</v>
      </c>
      <c r="AS54" s="12" t="s">
        <v>60</v>
      </c>
      <c r="AT54" s="12"/>
      <c r="AU54" s="3">
        <f>AU51/AU53</f>
        <v>3.4732340074035548</v>
      </c>
      <c r="AV54" s="3">
        <f>AV51/AV53</f>
        <v>11.545287117202555</v>
      </c>
      <c r="AW54" s="3">
        <f t="shared" ref="AW54" si="15">AW51/AW53</f>
        <v>11.816207166040433</v>
      </c>
      <c r="AX54" s="3">
        <f t="shared" ref="AX54" si="16">AX51/AX53</f>
        <v>22.399143390338665</v>
      </c>
    </row>
    <row r="55" spans="1:50" x14ac:dyDescent="0.2">
      <c r="AS55" s="6"/>
      <c r="AT55" s="6"/>
      <c r="AU55" s="5"/>
      <c r="AV55" s="5"/>
      <c r="AW55" s="5"/>
      <c r="AX55" s="5"/>
    </row>
    <row r="56" spans="1:50" s="38" customFormat="1" x14ac:dyDescent="0.2">
      <c r="A56" s="19"/>
      <c r="B56" s="19"/>
      <c r="M56" s="18"/>
      <c r="O56" s="18"/>
      <c r="AL56" s="17"/>
      <c r="AM56" s="60"/>
      <c r="AN56" s="15"/>
      <c r="AO56" s="16"/>
      <c r="AP56" s="15"/>
      <c r="AQ56" s="15"/>
      <c r="AS56" s="6"/>
      <c r="AT56" s="6"/>
      <c r="AU56" s="5"/>
      <c r="AV56" s="5"/>
      <c r="AW56" s="5"/>
      <c r="AX56" s="5"/>
    </row>
    <row r="57" spans="1:50" x14ac:dyDescent="0.2">
      <c r="A57" s="40" t="s">
        <v>234</v>
      </c>
      <c r="AS57" s="11"/>
      <c r="AT57" s="11"/>
      <c r="AU57" s="38"/>
      <c r="AV57" s="13"/>
      <c r="AW57" s="13"/>
      <c r="AX57" s="38"/>
    </row>
    <row r="58" spans="1:50" ht="29" x14ac:dyDescent="0.2">
      <c r="A58" s="70"/>
      <c r="AN58" s="30" t="s">
        <v>135</v>
      </c>
      <c r="AO58" s="31" t="s">
        <v>134</v>
      </c>
      <c r="AP58" s="30" t="s">
        <v>133</v>
      </c>
      <c r="AQ58" s="30" t="s">
        <v>132</v>
      </c>
      <c r="AS58" s="9"/>
      <c r="AT58" s="9"/>
      <c r="AU58" s="2"/>
      <c r="AV58" s="2"/>
      <c r="AW58" s="2"/>
      <c r="AX58" s="2"/>
    </row>
    <row r="59" spans="1:50" x14ac:dyDescent="0.2">
      <c r="AS59" s="202" t="s">
        <v>235</v>
      </c>
      <c r="AT59" s="202"/>
      <c r="AU59" s="202"/>
      <c r="AV59" s="202"/>
      <c r="AW59" s="202"/>
      <c r="AX59" s="202"/>
    </row>
    <row r="60" spans="1:50" x14ac:dyDescent="0.2">
      <c r="A60" s="23" t="s">
        <v>97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4"/>
      <c r="Q60" s="24"/>
      <c r="R60" s="21"/>
      <c r="S60" s="21"/>
      <c r="T60" s="24"/>
      <c r="U60" s="24"/>
      <c r="V60" s="24"/>
      <c r="W60" s="24"/>
      <c r="X60" s="24"/>
      <c r="Y60" s="25"/>
      <c r="Z60" s="25"/>
      <c r="AA60" s="25"/>
      <c r="AB60" s="25"/>
      <c r="AC60" s="25"/>
      <c r="AD60" s="24"/>
      <c r="AE60" s="24"/>
      <c r="AF60" s="24"/>
      <c r="AG60" s="24"/>
      <c r="AH60" s="24"/>
      <c r="AI60" s="24"/>
      <c r="AJ60" s="24"/>
      <c r="AK60" s="21"/>
      <c r="AL60" s="22"/>
      <c r="AM60" s="63" t="s">
        <v>97</v>
      </c>
      <c r="AN60" s="20">
        <f>MEDIAN(AN9:AN12,AN14:AN15,AN26:AN27,AN29:AN30,AN32:AN34,AN42:AN45,AN47:AN51)</f>
        <v>9.8650000000000002</v>
      </c>
      <c r="AO60" s="20">
        <f>MEDIAN(AO9:AO12,AO14:AO15,AO26:AO27,AO29:AO30,AO32:AO34,AO42:AO45,AO47:AO51)</f>
        <v>8.3893929735078761</v>
      </c>
      <c r="AP60" s="20">
        <f>MEDIAN(AP9:AP12,AP14:AP15,AP26:AP27,AP29:AP30,AP32:AP34,AP42:AP45,AP47:AP51)</f>
        <v>21.54</v>
      </c>
      <c r="AQ60" s="20">
        <f>MEDIAN(AQ9:AQ12,AQ14:AQ15,AQ26:AQ27,AQ29:AQ30,AQ32:AQ34,AQ42:AQ45,AQ47:AQ51)</f>
        <v>11.594999999999999</v>
      </c>
      <c r="AS60" s="38"/>
      <c r="AT60" s="38"/>
      <c r="AU60" s="38"/>
      <c r="AV60" s="38"/>
      <c r="AX60" s="38"/>
    </row>
    <row r="61" spans="1:50" ht="15" x14ac:dyDescent="0.2">
      <c r="A61" s="23" t="s">
        <v>98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2"/>
      <c r="AM61" s="63" t="s">
        <v>98</v>
      </c>
      <c r="AN61" s="20">
        <f>AVERAGE(AN9:AN12,AN14:AN15,AN26:AN27,AN29:AN30,AN32:AN34,AN42:AN45,AN47:AN51)</f>
        <v>11.383181818181816</v>
      </c>
      <c r="AO61" s="20">
        <f>AVERAGE(AO9:AO12,AO14:AO15,AO26:AO27,AO29:AO30,AO32:AO34,AO42:AO45,AO47:AO51)</f>
        <v>9.1646739839438318</v>
      </c>
      <c r="AP61" s="20">
        <f>AVERAGE(AP9:AP12,AP14:AP15,AP26:AP27,AP29:AP30,AP32:AP34,AP42:AP45,AP47:AP51)</f>
        <v>22.045454545454547</v>
      </c>
      <c r="AQ61" s="20">
        <f>AVERAGE(AQ9:AQ12,AQ14:AQ15,AQ26:AQ27,AQ29:AQ30,AQ32:AQ34,AQ42:AQ45,AQ47:AQ51)</f>
        <v>13.092999999999998</v>
      </c>
      <c r="AS61" s="38"/>
      <c r="AT61" s="38"/>
      <c r="AU61" s="57" t="s">
        <v>230</v>
      </c>
      <c r="AV61" s="57" t="s">
        <v>97</v>
      </c>
      <c r="AW61" s="57" t="s">
        <v>98</v>
      </c>
      <c r="AX61" s="57" t="s">
        <v>231</v>
      </c>
    </row>
    <row r="62" spans="1:50" x14ac:dyDescent="0.2">
      <c r="AS62" s="7"/>
      <c r="AT62" s="7"/>
      <c r="AU62" s="38"/>
      <c r="AV62" s="38"/>
      <c r="AX62" s="38"/>
    </row>
    <row r="63" spans="1:50" x14ac:dyDescent="0.2">
      <c r="A63" s="23" t="s">
        <v>231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4"/>
      <c r="Q63" s="24"/>
      <c r="R63" s="21"/>
      <c r="S63" s="21"/>
      <c r="T63" s="24"/>
      <c r="U63" s="24"/>
      <c r="V63" s="24"/>
      <c r="W63" s="24"/>
      <c r="X63" s="24"/>
      <c r="Y63" s="25"/>
      <c r="Z63" s="25"/>
      <c r="AA63" s="25"/>
      <c r="AB63" s="25"/>
      <c r="AC63" s="25"/>
      <c r="AD63" s="24"/>
      <c r="AE63" s="24"/>
      <c r="AF63" s="24"/>
      <c r="AG63" s="24"/>
      <c r="AH63" s="24"/>
      <c r="AI63" s="24"/>
      <c r="AJ63" s="24"/>
      <c r="AK63" s="21"/>
      <c r="AL63" s="22"/>
      <c r="AM63" s="63" t="s">
        <v>231</v>
      </c>
      <c r="AN63" s="20">
        <f>MAX(AN9:AN12,AN14:AN15,AN26:AN27,AN29:AN30,AN32:AN34,AN42:AN45,AN47:AN51)</f>
        <v>26.22</v>
      </c>
      <c r="AO63" s="20">
        <f>MAX(AO9:AO12,AO14:AO15,AO26:AO27,AO29:AO30,AO32:AO34,AO42:AO45,AO47:AO51)</f>
        <v>21.016262755102044</v>
      </c>
      <c r="AP63" s="20">
        <f>MAX(AP9:AP12,AP14:AP15,AP26:AP27,AP29:AP30,AP32:AP34,AP42:AP45,AP47:AP51)</f>
        <v>41.79</v>
      </c>
      <c r="AQ63" s="20">
        <f>MAX(AQ9:AQ12,AQ14:AQ15,AQ26:AQ27,AQ29:AQ30,AQ32:AQ34,AQ42:AQ45,AQ47:AQ51)</f>
        <v>27.24</v>
      </c>
      <c r="AS63" s="27" t="s">
        <v>229</v>
      </c>
      <c r="AT63" s="38"/>
      <c r="AU63" s="38">
        <v>175.2</v>
      </c>
      <c r="AV63" s="38">
        <v>175.2</v>
      </c>
      <c r="AW63" s="38">
        <v>175.2</v>
      </c>
      <c r="AX63" s="38">
        <v>175.2</v>
      </c>
    </row>
    <row r="64" spans="1:50" ht="15" x14ac:dyDescent="0.2">
      <c r="A64" s="23" t="s">
        <v>230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2"/>
      <c r="AM64" s="63" t="s">
        <v>230</v>
      </c>
      <c r="AN64" s="20">
        <f>MIN(AN9:AN12,AN14:AN15,AN26:AN27,AN29:AN30,AN32:AN34,AN42:AN45,AN47:AN51)</f>
        <v>3.88</v>
      </c>
      <c r="AO64" s="20">
        <f>MIN(AO9:AO12,AO14:AO15,AO26:AO27,AO29:AO30,AO32:AO34,AO42:AO45,AO47:AO51)</f>
        <v>1.7506606138627279</v>
      </c>
      <c r="AP64" s="20">
        <f>MIN(AP9:AP12,AP14:AP15,AP26:AP27,AP29:AP30,AP32:AP34,AP42:AP45,AP47:AP51)</f>
        <v>6.48</v>
      </c>
      <c r="AQ64" s="20">
        <f>MIN(AQ9:AQ12,AQ14:AQ15,AQ26:AQ27,AQ29:AQ30,AQ32:AQ34,AQ42:AQ45,AQ47:AQ51)</f>
        <v>5.28</v>
      </c>
      <c r="AS64" s="27" t="s">
        <v>239</v>
      </c>
      <c r="AT64" s="38"/>
      <c r="AU64" s="15">
        <f>$AQ$64</f>
        <v>5.28</v>
      </c>
      <c r="AV64" s="15">
        <f>$AQ$60</f>
        <v>11.594999999999999</v>
      </c>
      <c r="AW64" s="15">
        <f>$AQ$61</f>
        <v>13.092999999999998</v>
      </c>
      <c r="AX64" s="15">
        <f>$AQ$63</f>
        <v>27.24</v>
      </c>
    </row>
    <row r="65" spans="45:50" x14ac:dyDescent="0.2">
      <c r="AS65" s="9" t="s">
        <v>57</v>
      </c>
      <c r="AT65" s="8"/>
      <c r="AU65" s="4">
        <f>AU63*AU64</f>
        <v>925.05600000000004</v>
      </c>
      <c r="AV65" s="4">
        <f>AV63*AV64</f>
        <v>2031.4439999999997</v>
      </c>
      <c r="AW65" s="4">
        <f t="shared" ref="AW65" si="17">AW63*AW64</f>
        <v>2293.8935999999994</v>
      </c>
      <c r="AX65" s="4">
        <f t="shared" ref="AX65" si="18">AX63*AX64</f>
        <v>4772.4479999999994</v>
      </c>
    </row>
    <row r="66" spans="45:50" x14ac:dyDescent="0.2">
      <c r="AS66" s="6"/>
      <c r="AT66" s="6"/>
      <c r="AU66" s="5"/>
      <c r="AV66" s="5"/>
      <c r="AW66" s="5"/>
      <c r="AX66" s="5"/>
    </row>
    <row r="67" spans="45:50" x14ac:dyDescent="0.2">
      <c r="AS67" s="75" t="s">
        <v>248</v>
      </c>
      <c r="AT67" s="72"/>
      <c r="AU67" s="76">
        <v>326.87</v>
      </c>
      <c r="AV67" s="76">
        <v>326.87</v>
      </c>
      <c r="AW67" s="76">
        <v>326.87</v>
      </c>
      <c r="AX67" s="76">
        <v>326.87</v>
      </c>
    </row>
    <row r="68" spans="45:50" x14ac:dyDescent="0.2">
      <c r="AS68" s="12" t="s">
        <v>60</v>
      </c>
      <c r="AT68" s="12"/>
      <c r="AU68" s="3">
        <f>AU65/AU67</f>
        <v>2.830042524551045</v>
      </c>
      <c r="AV68" s="3">
        <f>AV65/AV67</f>
        <v>6.2148377030623783</v>
      </c>
      <c r="AW68" s="3">
        <f t="shared" ref="AW68" si="19">AW65/AW67</f>
        <v>7.0177550708232612</v>
      </c>
      <c r="AX68" s="3">
        <f t="shared" ref="AX68" si="20">AX65/AX67</f>
        <v>14.600446660751979</v>
      </c>
    </row>
    <row r="69" spans="45:50" x14ac:dyDescent="0.2">
      <c r="AS69" s="9"/>
      <c r="AT69" s="9"/>
      <c r="AU69" s="2"/>
      <c r="AV69" s="2"/>
      <c r="AW69" s="2"/>
      <c r="AX69" s="2"/>
    </row>
    <row r="70" spans="45:50" x14ac:dyDescent="0.2">
      <c r="AS70" s="65"/>
      <c r="AT70" s="65"/>
      <c r="AU70" s="66"/>
      <c r="AV70" s="66"/>
      <c r="AW70" s="66"/>
      <c r="AX70" s="66"/>
    </row>
    <row r="71" spans="45:50" x14ac:dyDescent="0.2">
      <c r="AS71" s="65"/>
      <c r="AT71" s="65"/>
      <c r="AU71" s="66"/>
      <c r="AV71" s="66"/>
      <c r="AW71" s="66"/>
      <c r="AX71" s="66"/>
    </row>
    <row r="72" spans="45:50" x14ac:dyDescent="0.2">
      <c r="AS72" s="65"/>
      <c r="AT72" s="65"/>
      <c r="AU72" s="66"/>
      <c r="AV72" s="66"/>
      <c r="AW72" s="66"/>
      <c r="AX72" s="66"/>
    </row>
    <row r="73" spans="45:50" x14ac:dyDescent="0.2">
      <c r="AS73" s="65"/>
      <c r="AT73" s="65"/>
      <c r="AU73" s="66"/>
      <c r="AV73" s="66"/>
      <c r="AW73" s="66"/>
      <c r="AX73" s="66"/>
    </row>
    <row r="74" spans="45:50" x14ac:dyDescent="0.2">
      <c r="AS74" s="10"/>
      <c r="AT74" s="10"/>
      <c r="AU74" s="64"/>
      <c r="AV74" s="1"/>
      <c r="AW74" s="1"/>
      <c r="AX74" s="64"/>
    </row>
    <row r="75" spans="45:50" x14ac:dyDescent="0.2">
      <c r="AS75" s="9"/>
      <c r="AT75" s="9"/>
      <c r="AU75" s="2"/>
      <c r="AV75" s="2"/>
      <c r="AW75" s="2"/>
      <c r="AX75" s="2"/>
    </row>
    <row r="76" spans="45:50" x14ac:dyDescent="0.2">
      <c r="AS76" s="10"/>
      <c r="AT76" s="10"/>
      <c r="AU76" s="64"/>
      <c r="AV76" s="1"/>
      <c r="AW76" s="1"/>
      <c r="AX76" s="64"/>
    </row>
    <row r="77" spans="45:50" x14ac:dyDescent="0.2">
      <c r="AS77" s="10"/>
      <c r="AT77" s="10"/>
      <c r="AU77" s="1"/>
      <c r="AV77" s="1"/>
      <c r="AW77" s="1"/>
      <c r="AX77" s="1"/>
    </row>
    <row r="78" spans="45:50" x14ac:dyDescent="0.2">
      <c r="AS78" s="67"/>
      <c r="AT78" s="67"/>
      <c r="AU78" s="2"/>
      <c r="AV78" s="2"/>
      <c r="AW78" s="2"/>
      <c r="AX78" s="2"/>
    </row>
    <row r="79" spans="45:50" x14ac:dyDescent="0.2">
      <c r="AS79" s="65"/>
      <c r="AT79" s="65"/>
      <c r="AU79" s="66"/>
      <c r="AV79" s="66"/>
      <c r="AW79" s="66"/>
      <c r="AX79" s="66"/>
    </row>
    <row r="80" spans="45:50" x14ac:dyDescent="0.2">
      <c r="AS80" s="65"/>
      <c r="AT80" s="65"/>
      <c r="AU80" s="66"/>
      <c r="AV80" s="66"/>
      <c r="AW80" s="66"/>
      <c r="AX80" s="66"/>
    </row>
    <row r="81" spans="45:50" x14ac:dyDescent="0.2">
      <c r="AS81" s="65"/>
      <c r="AT81" s="65"/>
      <c r="AU81" s="66"/>
      <c r="AV81" s="66"/>
      <c r="AW81" s="66"/>
      <c r="AX81" s="66"/>
    </row>
    <row r="82" spans="45:50" x14ac:dyDescent="0.2">
      <c r="AS82" s="10"/>
      <c r="AT82" s="10"/>
      <c r="AU82" s="64"/>
      <c r="AV82" s="1"/>
      <c r="AW82" s="1"/>
      <c r="AX82" s="64"/>
    </row>
    <row r="83" spans="45:50" x14ac:dyDescent="0.2">
      <c r="AS83" s="9"/>
      <c r="AT83" s="9"/>
      <c r="AU83" s="2"/>
      <c r="AV83" s="2"/>
      <c r="AW83" s="2"/>
      <c r="AX83" s="2"/>
    </row>
    <row r="84" spans="45:50" x14ac:dyDescent="0.2">
      <c r="AS84" s="10"/>
      <c r="AT84" s="10"/>
      <c r="AU84" s="64"/>
      <c r="AV84" s="1"/>
      <c r="AW84" s="1"/>
      <c r="AX84" s="64"/>
    </row>
    <row r="85" spans="45:50" x14ac:dyDescent="0.2">
      <c r="AS85" s="10"/>
      <c r="AT85" s="10"/>
      <c r="AU85" s="1"/>
      <c r="AV85" s="1"/>
      <c r="AW85" s="1"/>
      <c r="AX85" s="1"/>
    </row>
    <row r="86" spans="45:50" x14ac:dyDescent="0.2">
      <c r="AS86" s="67"/>
      <c r="AT86" s="67"/>
      <c r="AU86" s="2"/>
      <c r="AV86" s="2"/>
      <c r="AW86" s="2"/>
      <c r="AX86" s="2"/>
    </row>
  </sheetData>
  <mergeCells count="29">
    <mergeCell ref="AS3:AX4"/>
    <mergeCell ref="AS24:AX24"/>
    <mergeCell ref="AS59:AX59"/>
    <mergeCell ref="AS42:AX43"/>
    <mergeCell ref="AS6:AX6"/>
    <mergeCell ref="AS45:AX45"/>
    <mergeCell ref="AY14:BA14"/>
    <mergeCell ref="AE39:AG39"/>
    <mergeCell ref="Y39:Z39"/>
    <mergeCell ref="AB39:AC39"/>
    <mergeCell ref="Q39:R39"/>
    <mergeCell ref="T39:W39"/>
    <mergeCell ref="AE22:AG22"/>
    <mergeCell ref="Y22:Z22"/>
    <mergeCell ref="AB22:AC22"/>
    <mergeCell ref="Q22:R22"/>
    <mergeCell ref="T22:W22"/>
    <mergeCell ref="AE6:AG6"/>
    <mergeCell ref="A1:AQ1"/>
    <mergeCell ref="T6:W6"/>
    <mergeCell ref="D6:F6"/>
    <mergeCell ref="Q6:R6"/>
    <mergeCell ref="J6:O6"/>
    <mergeCell ref="A2:AQ2"/>
    <mergeCell ref="A3:AQ3"/>
    <mergeCell ref="AI6:AJ6"/>
    <mergeCell ref="AN6:AQ6"/>
    <mergeCell ref="AB6:AC6"/>
    <mergeCell ref="Y6:Z6"/>
  </mergeCells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E28C8-CE8C-BB48-B18C-E4BAABF9EF10}">
  <dimension ref="A2:BG86"/>
  <sheetViews>
    <sheetView topLeftCell="U63" workbookViewId="0">
      <selection activeCell="J23" sqref="J23"/>
    </sheetView>
  </sheetViews>
  <sheetFormatPr baseColWidth="10" defaultColWidth="9" defaultRowHeight="15" x14ac:dyDescent="0.2"/>
  <cols>
    <col min="1" max="1" width="9" style="14"/>
    <col min="2" max="2" width="19" style="19" customWidth="1"/>
    <col min="3" max="6" width="12.6640625" style="14" customWidth="1"/>
    <col min="7" max="7" width="4.5" style="14" customWidth="1"/>
    <col min="8" max="8" width="12.6640625" style="14" customWidth="1"/>
    <col min="9" max="9" width="4.5" style="14" customWidth="1"/>
    <col min="10" max="15" width="12.6640625" style="14" customWidth="1"/>
    <col min="16" max="16" width="4.5" style="14" customWidth="1"/>
    <col min="17" max="18" width="12.6640625" style="14" customWidth="1"/>
    <col min="19" max="19" width="4.5" style="14" customWidth="1"/>
    <col min="20" max="23" width="12.6640625" style="14" customWidth="1"/>
    <col min="24" max="24" width="4.5" style="14" customWidth="1"/>
    <col min="25" max="27" width="12.6640625" style="14" customWidth="1"/>
    <col min="28" max="28" width="4.5" style="14" customWidth="1"/>
    <col min="29" max="30" width="12.6640625" style="14" customWidth="1"/>
    <col min="31" max="31" width="4.5" style="14" customWidth="1"/>
    <col min="32" max="34" width="12.6640625" style="14" customWidth="1"/>
    <col min="35" max="35" width="4.5" style="14" customWidth="1"/>
    <col min="36" max="37" width="12.6640625" style="14" customWidth="1"/>
    <col min="38" max="38" width="5" style="14" customWidth="1"/>
    <col min="39" max="39" width="12.6640625" style="17" customWidth="1"/>
    <col min="40" max="40" width="4.5" style="14" customWidth="1"/>
    <col min="41" max="44" width="12.6640625" style="14" customWidth="1"/>
    <col min="45" max="45" width="9" style="14"/>
    <col min="46" max="51" width="13.5" style="38" customWidth="1"/>
    <col min="52" max="54" width="9.5" style="14" customWidth="1"/>
    <col min="55" max="55" width="9.5" style="38" customWidth="1"/>
    <col min="56" max="57" width="9.5" style="14" customWidth="1"/>
    <col min="58" max="58" width="9.5" style="38" customWidth="1"/>
    <col min="59" max="59" width="9.5" style="14" customWidth="1"/>
    <col min="60" max="16384" width="9" style="14"/>
  </cols>
  <sheetData>
    <row r="2" spans="1:59" ht="26" x14ac:dyDescent="0.2">
      <c r="B2" s="203" t="s">
        <v>228</v>
      </c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203"/>
      <c r="AL2" s="203"/>
      <c r="AM2" s="203"/>
      <c r="AN2" s="203"/>
      <c r="AO2" s="203"/>
      <c r="AP2" s="203"/>
      <c r="AQ2" s="203"/>
      <c r="AR2" s="203"/>
    </row>
    <row r="3" spans="1:59" ht="16" x14ac:dyDescent="0.2">
      <c r="B3" s="204" t="s">
        <v>227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4"/>
      <c r="AJ3" s="204"/>
      <c r="AK3" s="204"/>
      <c r="AL3" s="204"/>
      <c r="AM3" s="204"/>
      <c r="AN3" s="204"/>
      <c r="AO3" s="204"/>
      <c r="AP3" s="204"/>
      <c r="AQ3" s="204"/>
      <c r="AR3" s="204"/>
      <c r="AT3" s="196" t="s">
        <v>237</v>
      </c>
      <c r="AU3" s="197"/>
      <c r="AV3" s="197"/>
      <c r="AW3" s="197"/>
      <c r="AX3" s="197"/>
      <c r="AY3" s="198"/>
    </row>
    <row r="4" spans="1:59" ht="16" x14ac:dyDescent="0.2">
      <c r="B4" s="205" t="s">
        <v>7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205"/>
      <c r="AQ4" s="205"/>
      <c r="AR4" s="205"/>
      <c r="AT4" s="199"/>
      <c r="AU4" s="200"/>
      <c r="AV4" s="200"/>
      <c r="AW4" s="200"/>
      <c r="AX4" s="200"/>
      <c r="AY4" s="201"/>
    </row>
    <row r="6" spans="1:59" ht="16" x14ac:dyDescent="0.2">
      <c r="B6" s="40" t="s">
        <v>187</v>
      </c>
      <c r="AT6" s="202" t="s">
        <v>232</v>
      </c>
      <c r="AU6" s="202"/>
      <c r="AV6" s="202"/>
      <c r="AW6" s="202"/>
      <c r="AX6" s="202"/>
      <c r="AY6" s="202"/>
    </row>
    <row r="7" spans="1:59" x14ac:dyDescent="0.2">
      <c r="D7" s="190" t="s">
        <v>110</v>
      </c>
      <c r="E7" s="190"/>
      <c r="F7" s="190"/>
      <c r="H7" s="46" t="s">
        <v>186</v>
      </c>
      <c r="J7" s="190" t="s">
        <v>226</v>
      </c>
      <c r="K7" s="190"/>
      <c r="L7" s="190"/>
      <c r="M7" s="190"/>
      <c r="N7" s="190"/>
      <c r="O7" s="190"/>
      <c r="Q7" s="190" t="s">
        <v>184</v>
      </c>
      <c r="R7" s="190"/>
      <c r="T7" s="190" t="s">
        <v>183</v>
      </c>
      <c r="U7" s="190"/>
      <c r="V7" s="190"/>
      <c r="W7" s="190"/>
      <c r="Y7" s="190" t="s">
        <v>225</v>
      </c>
      <c r="Z7" s="190"/>
      <c r="AA7" s="190"/>
      <c r="AC7" s="190" t="s">
        <v>181</v>
      </c>
      <c r="AD7" s="190"/>
      <c r="AF7" s="190" t="s">
        <v>180</v>
      </c>
      <c r="AG7" s="190"/>
      <c r="AH7" s="190"/>
      <c r="AJ7" s="190" t="s">
        <v>179</v>
      </c>
      <c r="AK7" s="190"/>
      <c r="AL7" s="43"/>
      <c r="AM7" s="44" t="s">
        <v>178</v>
      </c>
      <c r="AN7" s="50"/>
      <c r="AO7" s="190" t="s">
        <v>224</v>
      </c>
      <c r="AP7" s="190"/>
      <c r="AQ7" s="190"/>
      <c r="AR7" s="190"/>
    </row>
    <row r="8" spans="1:59" s="29" customFormat="1" ht="43" x14ac:dyDescent="0.2">
      <c r="A8" s="32"/>
      <c r="B8" s="37" t="s">
        <v>90</v>
      </c>
      <c r="C8" s="34" t="s">
        <v>91</v>
      </c>
      <c r="D8" s="34" t="s">
        <v>155</v>
      </c>
      <c r="E8" s="34" t="s">
        <v>154</v>
      </c>
      <c r="F8" s="34" t="s">
        <v>3</v>
      </c>
      <c r="G8" s="32"/>
      <c r="H8" s="34" t="s">
        <v>153</v>
      </c>
      <c r="I8" s="32"/>
      <c r="J8" s="34" t="s">
        <v>152</v>
      </c>
      <c r="K8" s="34" t="s">
        <v>19</v>
      </c>
      <c r="L8" s="34" t="s">
        <v>22</v>
      </c>
      <c r="M8" s="34" t="s">
        <v>151</v>
      </c>
      <c r="N8" s="34" t="s">
        <v>24</v>
      </c>
      <c r="O8" s="34" t="s">
        <v>218</v>
      </c>
      <c r="P8" s="32"/>
      <c r="Q8" s="34" t="s">
        <v>217</v>
      </c>
      <c r="R8" s="34" t="s">
        <v>216</v>
      </c>
      <c r="S8" s="32"/>
      <c r="T8" s="34" t="s">
        <v>215</v>
      </c>
      <c r="U8" s="34" t="s">
        <v>214</v>
      </c>
      <c r="V8" s="34" t="s">
        <v>145</v>
      </c>
      <c r="W8" s="34" t="s">
        <v>213</v>
      </c>
      <c r="X8" s="32"/>
      <c r="Y8" s="34" t="s">
        <v>212</v>
      </c>
      <c r="Z8" s="34" t="s">
        <v>144</v>
      </c>
      <c r="AA8" s="34" t="s">
        <v>143</v>
      </c>
      <c r="AB8" s="32"/>
      <c r="AC8" s="34" t="s">
        <v>142</v>
      </c>
      <c r="AD8" s="34" t="s">
        <v>141</v>
      </c>
      <c r="AE8" s="32"/>
      <c r="AF8" s="34" t="s">
        <v>140</v>
      </c>
      <c r="AG8" s="34" t="s">
        <v>92</v>
      </c>
      <c r="AH8" s="34" t="s">
        <v>139</v>
      </c>
      <c r="AI8" s="32"/>
      <c r="AJ8" s="34" t="s">
        <v>138</v>
      </c>
      <c r="AK8" s="34" t="s">
        <v>137</v>
      </c>
      <c r="AL8" s="32"/>
      <c r="AM8" s="33" t="s">
        <v>136</v>
      </c>
      <c r="AN8" s="32"/>
      <c r="AO8" s="34" t="s">
        <v>135</v>
      </c>
      <c r="AP8" s="34" t="s">
        <v>134</v>
      </c>
      <c r="AQ8" s="30" t="s">
        <v>244</v>
      </c>
      <c r="AR8" s="30" t="s">
        <v>211</v>
      </c>
      <c r="AT8" s="38"/>
      <c r="AU8" s="38"/>
      <c r="AV8" s="57" t="s">
        <v>230</v>
      </c>
      <c r="AW8" s="57" t="s">
        <v>97</v>
      </c>
      <c r="AX8" s="57" t="s">
        <v>98</v>
      </c>
      <c r="AY8" s="57" t="s">
        <v>231</v>
      </c>
    </row>
    <row r="9" spans="1:59" ht="16" x14ac:dyDescent="0.2">
      <c r="A9" s="14" t="s">
        <v>99</v>
      </c>
      <c r="B9" s="28" t="s">
        <v>210</v>
      </c>
      <c r="C9" s="14" t="s">
        <v>209</v>
      </c>
      <c r="D9" s="14">
        <v>66.400000000000006</v>
      </c>
      <c r="E9" s="14">
        <v>3100</v>
      </c>
      <c r="F9" s="14">
        <v>2320</v>
      </c>
      <c r="H9" s="14">
        <v>1.55</v>
      </c>
      <c r="J9" s="14">
        <v>3160</v>
      </c>
      <c r="K9" s="14">
        <v>946.9</v>
      </c>
      <c r="L9" s="14">
        <v>443</v>
      </c>
      <c r="M9" s="14">
        <v>411.4</v>
      </c>
      <c r="N9" s="14">
        <v>221.8</v>
      </c>
      <c r="O9" s="14">
        <v>1450</v>
      </c>
      <c r="Q9" s="26">
        <v>0.1236</v>
      </c>
      <c r="R9" s="26">
        <v>7.0300000000000001E-2</v>
      </c>
      <c r="S9" s="26"/>
      <c r="T9" s="26">
        <v>6.3200000000000006E-2</v>
      </c>
      <c r="U9" s="26">
        <v>9.1399999999999995E-2</v>
      </c>
      <c r="V9" s="26">
        <v>1.05</v>
      </c>
      <c r="W9" s="26">
        <v>1.05</v>
      </c>
      <c r="X9" s="26"/>
      <c r="Y9" s="26">
        <v>1.2498</v>
      </c>
      <c r="Z9" s="14">
        <v>4.0999999999999996</v>
      </c>
      <c r="AA9" s="14">
        <v>0.15</v>
      </c>
      <c r="AC9" s="14">
        <v>8.09</v>
      </c>
      <c r="AD9" s="14">
        <v>4.5999999999999996</v>
      </c>
      <c r="AE9" s="26"/>
      <c r="AF9" s="26">
        <v>6.6500000000000004E-2</v>
      </c>
      <c r="AG9" s="26">
        <v>0.13880000000000001</v>
      </c>
      <c r="AH9" s="26">
        <v>3.5799999999999998E-2</v>
      </c>
      <c r="AI9" s="26"/>
      <c r="AJ9" s="26">
        <v>5.1700000000000003E-2</v>
      </c>
      <c r="AK9" s="26">
        <v>7.8200000000000006E-2</v>
      </c>
      <c r="AL9" s="26"/>
      <c r="AM9" s="17">
        <v>1</v>
      </c>
      <c r="AN9" s="26"/>
      <c r="AO9" s="15">
        <v>7.95</v>
      </c>
      <c r="AP9" s="16">
        <f t="shared" ref="AP9:AP19" si="0">E9/M9</f>
        <v>7.5352455031599419</v>
      </c>
      <c r="AQ9" s="15">
        <v>21.91</v>
      </c>
      <c r="AR9" s="15">
        <v>11.38</v>
      </c>
      <c r="AT9" s="7"/>
      <c r="AU9" s="7"/>
    </row>
    <row r="10" spans="1:59" ht="16" x14ac:dyDescent="0.2">
      <c r="A10" s="14" t="s">
        <v>99</v>
      </c>
      <c r="B10" s="19" t="s">
        <v>200</v>
      </c>
      <c r="C10" s="14" t="s">
        <v>199</v>
      </c>
      <c r="D10" s="14">
        <v>20.399999999999999</v>
      </c>
      <c r="E10" s="14">
        <v>10700</v>
      </c>
      <c r="F10" s="14">
        <v>7680</v>
      </c>
      <c r="H10" s="14">
        <v>1.19</v>
      </c>
      <c r="J10" s="14">
        <v>2310</v>
      </c>
      <c r="K10" s="14">
        <v>810.9</v>
      </c>
      <c r="L10" s="14">
        <v>421.81</v>
      </c>
      <c r="M10" s="14">
        <v>445.06</v>
      </c>
      <c r="N10" s="14">
        <v>301.60000000000002</v>
      </c>
      <c r="O10" s="14">
        <v>2170</v>
      </c>
      <c r="Q10" s="26">
        <v>0.17899999999999999</v>
      </c>
      <c r="R10" s="26">
        <v>0.1303</v>
      </c>
      <c r="S10" s="26"/>
      <c r="T10" s="26">
        <v>0.1845</v>
      </c>
      <c r="U10" s="26">
        <v>0.29899999999999999</v>
      </c>
      <c r="V10" s="26">
        <v>0.25219999999999998</v>
      </c>
      <c r="W10" s="26">
        <v>0.25219999999999998</v>
      </c>
      <c r="X10" s="26"/>
      <c r="Y10" s="26">
        <v>0.64049999999999996</v>
      </c>
      <c r="Z10" s="14">
        <v>1.7</v>
      </c>
      <c r="AA10" s="14">
        <v>1.3</v>
      </c>
      <c r="AC10" s="14">
        <v>38.5</v>
      </c>
      <c r="AD10" s="14">
        <v>28.02</v>
      </c>
      <c r="AE10" s="26"/>
      <c r="AF10" s="26">
        <v>0.13550000000000001</v>
      </c>
      <c r="AG10" s="26">
        <v>0.2286</v>
      </c>
      <c r="AH10" s="26">
        <v>0.1082</v>
      </c>
      <c r="AI10" s="26"/>
      <c r="AJ10" s="26">
        <v>1.06E-2</v>
      </c>
      <c r="AK10" s="26">
        <v>2.4899999999999999E-2</v>
      </c>
      <c r="AL10" s="26"/>
      <c r="AM10" s="17">
        <v>1</v>
      </c>
      <c r="AN10" s="26"/>
      <c r="AO10" s="15">
        <v>27.29</v>
      </c>
      <c r="AP10" s="16">
        <f t="shared" si="0"/>
        <v>24.041702242394283</v>
      </c>
      <c r="AQ10" s="15">
        <v>48.13</v>
      </c>
      <c r="AR10" s="15">
        <v>27.79</v>
      </c>
      <c r="AT10" s="27" t="s">
        <v>229</v>
      </c>
      <c r="AV10" s="38">
        <v>443</v>
      </c>
      <c r="AW10" s="74">
        <v>443</v>
      </c>
      <c r="AX10" s="74">
        <v>443</v>
      </c>
      <c r="AY10" s="74">
        <v>443</v>
      </c>
    </row>
    <row r="11" spans="1:59" ht="16" x14ac:dyDescent="0.2">
      <c r="A11" s="14" t="s">
        <v>99</v>
      </c>
      <c r="B11" s="19" t="s">
        <v>190</v>
      </c>
      <c r="C11" s="14" t="s">
        <v>189</v>
      </c>
      <c r="D11" s="14">
        <v>50.75</v>
      </c>
      <c r="E11" s="14">
        <v>5600</v>
      </c>
      <c r="F11" s="14">
        <v>4300</v>
      </c>
      <c r="H11" s="14">
        <v>1.1299999999999999</v>
      </c>
      <c r="J11" s="14">
        <v>3720</v>
      </c>
      <c r="K11" s="14" t="s">
        <v>93</v>
      </c>
      <c r="L11" s="14">
        <v>408</v>
      </c>
      <c r="M11" s="14">
        <v>472</v>
      </c>
      <c r="N11" s="14">
        <v>278</v>
      </c>
      <c r="O11" s="14">
        <v>231.39</v>
      </c>
      <c r="Q11" s="26">
        <v>0.11070000000000001</v>
      </c>
      <c r="R11" s="26">
        <v>7.4700000000000003E-2</v>
      </c>
      <c r="S11" s="26"/>
      <c r="T11" s="26">
        <v>0.16900000000000001</v>
      </c>
      <c r="U11" s="26">
        <v>0.39729999999999999</v>
      </c>
      <c r="V11" s="26">
        <v>0.86370000000000002</v>
      </c>
      <c r="W11" s="26">
        <v>0.86370000000000002</v>
      </c>
      <c r="X11" s="26"/>
      <c r="Y11" s="26">
        <v>0.5675</v>
      </c>
      <c r="Z11" s="14">
        <v>2.06</v>
      </c>
      <c r="AA11" s="14">
        <v>-0.23</v>
      </c>
      <c r="AC11" s="14">
        <v>18.73</v>
      </c>
      <c r="AD11" s="14">
        <v>12.64</v>
      </c>
      <c r="AE11" s="26"/>
      <c r="AF11" s="26">
        <v>9.1999999999999998E-2</v>
      </c>
      <c r="AG11" s="26">
        <v>0.1527</v>
      </c>
      <c r="AH11" s="26">
        <v>5.9799999999999999E-2</v>
      </c>
      <c r="AI11" s="26"/>
      <c r="AJ11" s="26">
        <v>1.9099999999999999E-2</v>
      </c>
      <c r="AK11" s="26">
        <v>2.75E-2</v>
      </c>
      <c r="AL11" s="26"/>
      <c r="AM11" s="17">
        <v>1</v>
      </c>
      <c r="AN11" s="26"/>
      <c r="AO11" s="15">
        <v>13.59</v>
      </c>
      <c r="AP11" s="16">
        <f t="shared" si="0"/>
        <v>11.864406779661017</v>
      </c>
      <c r="AQ11" s="15">
        <v>26.54</v>
      </c>
      <c r="AR11" s="15">
        <v>16.079999999999998</v>
      </c>
      <c r="AT11" s="27" t="s">
        <v>233</v>
      </c>
      <c r="AV11" s="15">
        <f>AO49</f>
        <v>1.82</v>
      </c>
      <c r="AW11" s="15">
        <f>AO45</f>
        <v>14.75</v>
      </c>
      <c r="AX11" s="15">
        <f>AO46</f>
        <v>14.317368421052629</v>
      </c>
      <c r="AY11" s="69">
        <f>AO48</f>
        <v>27.29</v>
      </c>
    </row>
    <row r="12" spans="1:59" ht="16" x14ac:dyDescent="0.2">
      <c r="A12" s="14" t="s">
        <v>99</v>
      </c>
      <c r="B12" s="19" t="s">
        <v>196</v>
      </c>
      <c r="C12" s="14" t="s">
        <v>195</v>
      </c>
      <c r="D12" s="14">
        <v>16.2</v>
      </c>
      <c r="E12" s="14">
        <v>6650</v>
      </c>
      <c r="F12" s="14">
        <v>4270</v>
      </c>
      <c r="H12" s="14">
        <v>1.1299999999999999</v>
      </c>
      <c r="J12" s="14">
        <v>2350</v>
      </c>
      <c r="K12" s="14">
        <v>1080</v>
      </c>
      <c r="L12" s="14">
        <v>505.87</v>
      </c>
      <c r="M12" s="14">
        <v>535.19000000000005</v>
      </c>
      <c r="N12" s="14">
        <v>315.07</v>
      </c>
      <c r="O12" s="14">
        <v>207.94</v>
      </c>
      <c r="Q12" s="26">
        <v>0.18759999999999999</v>
      </c>
      <c r="R12" s="26">
        <v>0.13420000000000001</v>
      </c>
      <c r="S12" s="26"/>
      <c r="T12" s="26">
        <v>2.2499999999999999E-2</v>
      </c>
      <c r="U12" s="26">
        <v>5.3400000000000003E-2</v>
      </c>
      <c r="V12" s="26">
        <v>0.17219999999999999</v>
      </c>
      <c r="W12" s="26">
        <v>0.17219999999999999</v>
      </c>
      <c r="X12" s="26"/>
      <c r="Y12" s="26">
        <v>0.92079999999999995</v>
      </c>
      <c r="Z12" s="14">
        <v>2.0499999999999998</v>
      </c>
      <c r="AA12" s="14">
        <v>1.54</v>
      </c>
      <c r="AC12" s="14">
        <v>24.14</v>
      </c>
      <c r="AD12" s="14">
        <v>17.28</v>
      </c>
      <c r="AE12" s="26"/>
      <c r="AF12" s="26">
        <v>0.1837</v>
      </c>
      <c r="AG12" s="26">
        <v>0.34110000000000001</v>
      </c>
      <c r="AH12" s="26">
        <v>0.1305</v>
      </c>
      <c r="AI12" s="26"/>
      <c r="AJ12" s="26">
        <v>1.7500000000000002E-2</v>
      </c>
      <c r="AK12" s="26">
        <v>4.3099999999999999E-2</v>
      </c>
      <c r="AL12" s="26"/>
      <c r="AM12" s="17">
        <v>1</v>
      </c>
      <c r="AN12" s="26"/>
      <c r="AO12" s="15">
        <v>15.41</v>
      </c>
      <c r="AP12" s="16">
        <f t="shared" si="0"/>
        <v>12.425493749883218</v>
      </c>
      <c r="AQ12" s="15">
        <v>23.62</v>
      </c>
      <c r="AR12" s="15">
        <v>12.9</v>
      </c>
      <c r="AT12" s="8" t="s">
        <v>40</v>
      </c>
      <c r="AU12" s="8"/>
      <c r="AV12" s="4">
        <f>AV10*AV11</f>
        <v>806.26</v>
      </c>
      <c r="AW12" s="4">
        <f>AW10*AW11</f>
        <v>6534.25</v>
      </c>
      <c r="AX12" s="4">
        <f t="shared" ref="AX12:AY12" si="1">AX10*AX11</f>
        <v>6342.5942105263148</v>
      </c>
      <c r="AY12" s="4">
        <f t="shared" si="1"/>
        <v>12089.47</v>
      </c>
    </row>
    <row r="13" spans="1:59" ht="16" x14ac:dyDescent="0.2">
      <c r="A13" s="14" t="s">
        <v>99</v>
      </c>
      <c r="B13" s="19" t="s">
        <v>204</v>
      </c>
      <c r="C13" s="14" t="s">
        <v>203</v>
      </c>
      <c r="D13" s="14">
        <v>453.58</v>
      </c>
      <c r="E13" s="14">
        <v>334.85</v>
      </c>
      <c r="F13" s="14">
        <v>730.76</v>
      </c>
      <c r="H13" s="14">
        <v>0.88</v>
      </c>
      <c r="J13" s="14">
        <v>2530</v>
      </c>
      <c r="K13" s="14" t="s">
        <v>93</v>
      </c>
      <c r="L13" s="14">
        <v>179.42</v>
      </c>
      <c r="M13" s="14">
        <v>238.52</v>
      </c>
      <c r="N13" s="14">
        <v>75.11</v>
      </c>
      <c r="O13" s="14">
        <v>-8.8000000000000007</v>
      </c>
      <c r="Q13" s="26">
        <v>7.6999999999999999E-2</v>
      </c>
      <c r="R13" s="26">
        <v>3.1800000000000002E-2</v>
      </c>
      <c r="S13" s="26"/>
      <c r="T13" s="26">
        <v>6.1499999999999999E-2</v>
      </c>
      <c r="U13" s="26">
        <v>0.18440000000000001</v>
      </c>
      <c r="V13" s="14" t="s">
        <v>93</v>
      </c>
      <c r="W13" s="14" t="s">
        <v>93</v>
      </c>
      <c r="Y13" s="26">
        <v>8.5800000000000001E-2</v>
      </c>
      <c r="Z13" s="14">
        <v>0.35</v>
      </c>
      <c r="AA13" s="14">
        <v>-2.11</v>
      </c>
      <c r="AC13" s="14">
        <v>14.48</v>
      </c>
      <c r="AD13" s="14">
        <v>5.97</v>
      </c>
      <c r="AE13" s="26"/>
      <c r="AF13" s="26">
        <v>-4.0000000000000002E-4</v>
      </c>
      <c r="AG13" s="26">
        <v>-1.8800000000000001E-2</v>
      </c>
      <c r="AH13" s="26">
        <v>-5.1000000000000004E-3</v>
      </c>
      <c r="AI13" s="26"/>
      <c r="AJ13" s="26">
        <v>2.0299999999999999E-2</v>
      </c>
      <c r="AK13" s="26">
        <v>0.20699999999999999</v>
      </c>
      <c r="AL13" s="26"/>
      <c r="AM13" s="17">
        <v>1</v>
      </c>
      <c r="AN13" s="26"/>
      <c r="AO13" s="15">
        <v>1.82</v>
      </c>
      <c r="AP13" s="16">
        <f t="shared" si="0"/>
        <v>1.4038655039409693</v>
      </c>
      <c r="AQ13" s="15">
        <v>8.6199999999999992</v>
      </c>
      <c r="AR13" s="15">
        <v>8.02</v>
      </c>
      <c r="AT13" s="6" t="s">
        <v>46</v>
      </c>
      <c r="AU13" s="6"/>
      <c r="AV13" s="5">
        <v>1598.8999999999999</v>
      </c>
      <c r="AW13" s="5">
        <v>1598.8999999999999</v>
      </c>
      <c r="AX13" s="5">
        <v>1598.8999999999999</v>
      </c>
      <c r="AY13" s="5">
        <v>1598.8999999999999</v>
      </c>
    </row>
    <row r="14" spans="1:59" ht="16" x14ac:dyDescent="0.2">
      <c r="A14" s="14" t="s">
        <v>99</v>
      </c>
      <c r="B14" s="19" t="s">
        <v>175</v>
      </c>
      <c r="C14" s="14" t="s">
        <v>174</v>
      </c>
      <c r="D14" s="14">
        <v>70.900000000000006</v>
      </c>
      <c r="E14" s="14">
        <v>12100</v>
      </c>
      <c r="F14" s="14">
        <v>9330</v>
      </c>
      <c r="H14" s="14">
        <v>1</v>
      </c>
      <c r="J14" s="14">
        <v>1170</v>
      </c>
      <c r="K14" s="14">
        <v>666.53</v>
      </c>
      <c r="L14" s="14">
        <v>435.84</v>
      </c>
      <c r="M14" s="14">
        <v>445.11</v>
      </c>
      <c r="N14" s="14">
        <v>300.12</v>
      </c>
      <c r="O14" s="14">
        <v>861.6</v>
      </c>
      <c r="Q14" s="26">
        <v>0.35020000000000001</v>
      </c>
      <c r="R14" s="26">
        <v>0.25640000000000002</v>
      </c>
      <c r="S14" s="26"/>
      <c r="T14" s="26">
        <v>0.13</v>
      </c>
      <c r="U14" s="26">
        <v>2.07E-2</v>
      </c>
      <c r="V14" s="26">
        <v>-0.14199999999999999</v>
      </c>
      <c r="W14" s="26">
        <v>-0.14199999999999999</v>
      </c>
      <c r="X14" s="26"/>
      <c r="Y14" s="26">
        <v>0.58620000000000005</v>
      </c>
      <c r="Z14" s="14">
        <v>2.5299999999999998</v>
      </c>
      <c r="AA14" s="14">
        <v>2.2400000000000002</v>
      </c>
      <c r="AC14" s="14">
        <v>18.5</v>
      </c>
      <c r="AD14" s="14">
        <v>13.54</v>
      </c>
      <c r="AE14" s="26"/>
      <c r="AF14" s="26">
        <v>9.1300000000000006E-2</v>
      </c>
      <c r="AG14" s="26">
        <v>0.17249999999999999</v>
      </c>
      <c r="AH14" s="26">
        <v>7.2800000000000004E-2</v>
      </c>
      <c r="AI14" s="26"/>
      <c r="AJ14" s="26">
        <v>1.2699999999999999E-2</v>
      </c>
      <c r="AK14" s="26">
        <v>1.7000000000000001E-2</v>
      </c>
      <c r="AL14" s="26"/>
      <c r="AM14" s="17">
        <v>0</v>
      </c>
      <c r="AN14" s="26"/>
      <c r="AO14" s="15">
        <v>29.65</v>
      </c>
      <c r="AP14" s="16">
        <f t="shared" si="0"/>
        <v>27.184291523443644</v>
      </c>
      <c r="AQ14" s="15">
        <v>51.76</v>
      </c>
      <c r="AR14" s="15">
        <v>35.299999999999997</v>
      </c>
      <c r="AT14" s="6" t="s">
        <v>49</v>
      </c>
      <c r="AU14" s="6"/>
      <c r="AV14" s="5">
        <v>0</v>
      </c>
      <c r="AW14" s="5">
        <v>0</v>
      </c>
      <c r="AX14" s="5">
        <v>0</v>
      </c>
      <c r="AY14" s="5">
        <v>0</v>
      </c>
    </row>
    <row r="15" spans="1:59" ht="16" x14ac:dyDescent="0.2">
      <c r="A15" s="14" t="s">
        <v>99</v>
      </c>
      <c r="B15" s="19" t="s">
        <v>194</v>
      </c>
      <c r="C15" s="14" t="s">
        <v>193</v>
      </c>
      <c r="D15" s="14">
        <v>9.8800000000000008</v>
      </c>
      <c r="E15" s="14">
        <v>77390</v>
      </c>
      <c r="F15" s="14">
        <v>48600</v>
      </c>
      <c r="H15" s="14">
        <v>1.1100000000000001</v>
      </c>
      <c r="J15" s="14">
        <v>11820</v>
      </c>
      <c r="K15" s="14">
        <v>4960</v>
      </c>
      <c r="L15" s="14">
        <v>3050</v>
      </c>
      <c r="M15" s="14">
        <v>3310</v>
      </c>
      <c r="N15" s="14">
        <v>2470</v>
      </c>
      <c r="O15" s="14">
        <v>18410</v>
      </c>
      <c r="Q15" s="26">
        <v>0.25669999999999998</v>
      </c>
      <c r="R15" s="26">
        <v>0.20860000000000001</v>
      </c>
      <c r="S15" s="26"/>
      <c r="T15" s="26">
        <v>0.14169999999999999</v>
      </c>
      <c r="U15" s="26">
        <v>0.21340000000000001</v>
      </c>
      <c r="V15" s="26">
        <v>0.22450000000000001</v>
      </c>
      <c r="W15" s="26">
        <v>0.22450000000000001</v>
      </c>
      <c r="X15" s="26"/>
      <c r="Y15" s="26">
        <v>0.36780000000000002</v>
      </c>
      <c r="Z15" s="14">
        <v>0.87</v>
      </c>
      <c r="AA15" s="14">
        <v>0.18</v>
      </c>
      <c r="AC15" s="14">
        <v>79.510000000000005</v>
      </c>
      <c r="AD15" s="14">
        <v>64.61</v>
      </c>
      <c r="AE15" s="26"/>
      <c r="AF15" s="26">
        <v>0.20469999999999999</v>
      </c>
      <c r="AG15" s="26">
        <v>0.30209999999999998</v>
      </c>
      <c r="AH15" s="26">
        <v>0.14599999999999999</v>
      </c>
      <c r="AI15" s="26"/>
      <c r="AJ15" s="26">
        <v>7.1900000000000006E-2</v>
      </c>
      <c r="AK15" s="26">
        <v>2.7699999999999999E-2</v>
      </c>
      <c r="AL15" s="26"/>
      <c r="AM15" s="17">
        <v>1</v>
      </c>
      <c r="AN15" s="26"/>
      <c r="AO15" s="15">
        <v>26.96</v>
      </c>
      <c r="AP15" s="16">
        <f t="shared" si="0"/>
        <v>23.380664652567976</v>
      </c>
      <c r="AQ15" s="15">
        <v>42.03</v>
      </c>
      <c r="AR15" s="15">
        <v>23.35</v>
      </c>
      <c r="AT15" s="6" t="s">
        <v>51</v>
      </c>
      <c r="AU15" s="6"/>
      <c r="AV15" s="5">
        <v>5.5</v>
      </c>
      <c r="AW15" s="5">
        <v>5.5</v>
      </c>
      <c r="AX15" s="5">
        <v>5.5</v>
      </c>
      <c r="AY15" s="5">
        <v>5.5</v>
      </c>
      <c r="AZ15" s="19"/>
      <c r="BA15" s="38"/>
      <c r="BB15" s="38"/>
      <c r="BD15" s="38"/>
      <c r="BE15" s="38"/>
      <c r="BG15" s="38"/>
    </row>
    <row r="16" spans="1:59" ht="16" x14ac:dyDescent="0.2">
      <c r="A16" s="14" t="s">
        <v>99</v>
      </c>
      <c r="B16" s="19" t="s">
        <v>223</v>
      </c>
      <c r="C16" s="14" t="s">
        <v>222</v>
      </c>
      <c r="D16" s="14">
        <v>35.11</v>
      </c>
      <c r="E16" s="14">
        <v>4770</v>
      </c>
      <c r="F16" s="14">
        <v>2990</v>
      </c>
      <c r="H16" s="14">
        <v>1.31</v>
      </c>
      <c r="J16" s="14">
        <v>4740</v>
      </c>
      <c r="K16" s="14" t="s">
        <v>93</v>
      </c>
      <c r="L16" s="14">
        <v>870.33</v>
      </c>
      <c r="M16" s="14">
        <v>834.21</v>
      </c>
      <c r="N16" s="14">
        <v>415.71</v>
      </c>
      <c r="O16" s="14">
        <v>269.36</v>
      </c>
      <c r="Q16" s="26">
        <v>0.16819999999999999</v>
      </c>
      <c r="R16" s="26">
        <v>8.77E-2</v>
      </c>
      <c r="S16" s="26"/>
      <c r="T16" s="26">
        <v>0.15390000000000001</v>
      </c>
      <c r="U16" s="26">
        <v>0.15459999999999999</v>
      </c>
      <c r="V16" s="26">
        <v>6.6486000000000001</v>
      </c>
      <c r="W16" s="26">
        <v>6.6486000000000001</v>
      </c>
      <c r="X16" s="26"/>
      <c r="Y16" s="26">
        <v>0.62870000000000004</v>
      </c>
      <c r="Z16" s="14">
        <v>2.76</v>
      </c>
      <c r="AA16" s="14">
        <v>1.8</v>
      </c>
      <c r="AC16" s="14">
        <v>18.25</v>
      </c>
      <c r="AD16" s="14">
        <v>9.52</v>
      </c>
      <c r="AE16" s="26"/>
      <c r="AF16" s="26">
        <v>6.0900000000000003E-2</v>
      </c>
      <c r="AG16" s="26">
        <v>9.5799999999999996E-2</v>
      </c>
      <c r="AH16" s="26">
        <v>4.0500000000000001E-2</v>
      </c>
      <c r="AI16" s="26"/>
      <c r="AJ16" s="26">
        <v>4.5199999999999997E-2</v>
      </c>
      <c r="AK16" s="26">
        <v>6.7299999999999999E-2</v>
      </c>
      <c r="AL16" s="26"/>
      <c r="AM16" s="17">
        <v>1</v>
      </c>
      <c r="AN16" s="26"/>
      <c r="AO16" s="15">
        <v>6.23</v>
      </c>
      <c r="AP16" s="16">
        <f t="shared" si="0"/>
        <v>5.7179846801165173</v>
      </c>
      <c r="AQ16" s="15">
        <v>12.91</v>
      </c>
      <c r="AR16" s="15">
        <v>9.43</v>
      </c>
      <c r="AT16" s="6" t="s">
        <v>53</v>
      </c>
      <c r="AU16" s="6"/>
      <c r="AV16" s="5">
        <v>1532.1</v>
      </c>
      <c r="AW16" s="5">
        <v>1532.1</v>
      </c>
      <c r="AX16" s="5">
        <v>1532.1</v>
      </c>
      <c r="AY16" s="5">
        <v>1532.1</v>
      </c>
      <c r="BE16" s="195"/>
      <c r="BF16" s="195"/>
      <c r="BG16" s="195"/>
    </row>
    <row r="17" spans="1:59" ht="16" x14ac:dyDescent="0.2">
      <c r="A17" s="14" t="s">
        <v>99</v>
      </c>
      <c r="B17" s="19" t="s">
        <v>192</v>
      </c>
      <c r="C17" s="14" t="s">
        <v>191</v>
      </c>
      <c r="D17" s="14">
        <v>467.5</v>
      </c>
      <c r="E17" s="14">
        <v>1150</v>
      </c>
      <c r="F17" s="14">
        <v>1610</v>
      </c>
      <c r="H17" s="14">
        <v>1.26</v>
      </c>
      <c r="J17" s="14">
        <v>658.58</v>
      </c>
      <c r="K17" s="14">
        <v>166.16</v>
      </c>
      <c r="L17" s="14">
        <v>81.650000000000006</v>
      </c>
      <c r="M17" s="14">
        <v>95.37</v>
      </c>
      <c r="N17" s="14">
        <v>60.55</v>
      </c>
      <c r="O17" s="14">
        <v>46.64</v>
      </c>
      <c r="Q17" s="26">
        <v>0.124</v>
      </c>
      <c r="R17" s="26">
        <v>9.1899999999999996E-2</v>
      </c>
      <c r="S17" s="26"/>
      <c r="T17" s="26">
        <v>-2.58E-2</v>
      </c>
      <c r="U17" s="26">
        <v>-2.9700000000000001E-2</v>
      </c>
      <c r="V17" s="26">
        <v>0.35980000000000001</v>
      </c>
      <c r="W17" s="26">
        <v>0.35980000000000001</v>
      </c>
      <c r="X17" s="26"/>
      <c r="Y17" s="26">
        <v>0.71860000000000002</v>
      </c>
      <c r="Z17" s="14">
        <v>1.93</v>
      </c>
      <c r="AA17" s="14">
        <v>1.01</v>
      </c>
      <c r="AC17" s="14">
        <v>24.94</v>
      </c>
      <c r="AD17" s="14">
        <v>18.489999999999998</v>
      </c>
      <c r="AE17" s="26"/>
      <c r="AF17" s="26">
        <v>0.1066</v>
      </c>
      <c r="AG17" s="26">
        <v>0.17879999999999999</v>
      </c>
      <c r="AH17" s="26">
        <v>5.2400000000000002E-2</v>
      </c>
      <c r="AI17" s="26"/>
      <c r="AJ17" s="26">
        <v>1.38E-2</v>
      </c>
      <c r="AK17" s="26">
        <v>0.1076</v>
      </c>
      <c r="AL17" s="26"/>
      <c r="AM17" s="17">
        <v>1</v>
      </c>
      <c r="AN17" s="26"/>
      <c r="AO17" s="15">
        <v>14.09</v>
      </c>
      <c r="AP17" s="16">
        <f t="shared" si="0"/>
        <v>12.058299255531089</v>
      </c>
      <c r="AQ17" s="15">
        <v>24.23</v>
      </c>
      <c r="AR17" s="15">
        <v>21.76</v>
      </c>
      <c r="AT17" s="11"/>
      <c r="AU17" s="11"/>
      <c r="AW17" s="13"/>
      <c r="AX17" s="13"/>
      <c r="AZ17" s="38"/>
      <c r="BA17" s="38"/>
      <c r="BB17" s="19"/>
      <c r="BC17" s="19"/>
      <c r="BD17" s="38"/>
    </row>
    <row r="18" spans="1:59" ht="16" x14ac:dyDescent="0.2">
      <c r="A18" s="14" t="s">
        <v>99</v>
      </c>
      <c r="B18" s="19" t="s">
        <v>221</v>
      </c>
      <c r="C18" s="14" t="s">
        <v>220</v>
      </c>
      <c r="D18" s="14">
        <v>43.1</v>
      </c>
      <c r="E18" s="14">
        <v>10000</v>
      </c>
      <c r="F18" s="14">
        <v>10590</v>
      </c>
      <c r="H18" s="14">
        <v>0.97</v>
      </c>
      <c r="J18" s="14">
        <v>26010</v>
      </c>
      <c r="K18" s="14" t="s">
        <v>93</v>
      </c>
      <c r="L18" s="14">
        <v>1300</v>
      </c>
      <c r="M18" s="14">
        <v>1180</v>
      </c>
      <c r="N18" s="14">
        <v>950.05</v>
      </c>
      <c r="O18" s="14">
        <v>669.1</v>
      </c>
      <c r="Q18" s="26">
        <v>4.82E-2</v>
      </c>
      <c r="R18" s="26">
        <v>3.6499999999999998E-2</v>
      </c>
      <c r="S18" s="26"/>
      <c r="T18" s="26">
        <v>0.1615</v>
      </c>
      <c r="U18" s="26">
        <v>0.70609999999999995</v>
      </c>
      <c r="V18" s="26">
        <v>3.7593000000000001</v>
      </c>
      <c r="W18" s="26">
        <v>3.7593000000000001</v>
      </c>
      <c r="X18" s="26"/>
      <c r="Y18" s="26">
        <v>0.6804</v>
      </c>
      <c r="Z18" s="14">
        <v>1.86</v>
      </c>
      <c r="AA18" s="14">
        <v>0.8</v>
      </c>
      <c r="AC18" s="14">
        <v>17.97</v>
      </c>
      <c r="AD18" s="14">
        <v>13.63</v>
      </c>
      <c r="AE18" s="26"/>
      <c r="AF18" s="26">
        <v>0.13980000000000001</v>
      </c>
      <c r="AG18" s="26">
        <v>0.22900000000000001</v>
      </c>
      <c r="AH18" s="26">
        <v>7.4700000000000003E-2</v>
      </c>
      <c r="AI18" s="26"/>
      <c r="AJ18" s="26">
        <v>1.9099999999999999E-2</v>
      </c>
      <c r="AK18" s="26">
        <v>9.7199999999999995E-2</v>
      </c>
      <c r="AL18" s="26"/>
      <c r="AM18" s="17">
        <v>1</v>
      </c>
      <c r="AN18" s="26"/>
      <c r="AO18" s="15">
        <v>8.32</v>
      </c>
      <c r="AP18" s="16">
        <f t="shared" si="0"/>
        <v>8.4745762711864412</v>
      </c>
      <c r="AQ18" s="15">
        <v>13.91</v>
      </c>
      <c r="AR18" s="15">
        <v>18.559999999999999</v>
      </c>
      <c r="AT18" s="9" t="s">
        <v>57</v>
      </c>
      <c r="AU18" s="9"/>
      <c r="AV18" s="3">
        <f t="shared" ref="AV18:AY18" si="2">AV12-SUM(AV13:AV16)</f>
        <v>-2330.2399999999998</v>
      </c>
      <c r="AW18" s="3">
        <f t="shared" si="2"/>
        <v>3397.75</v>
      </c>
      <c r="AX18" s="3">
        <f t="shared" si="2"/>
        <v>3206.0942105263148</v>
      </c>
      <c r="AY18" s="3">
        <f t="shared" si="2"/>
        <v>8952.9699999999993</v>
      </c>
      <c r="AZ18" s="38"/>
      <c r="BA18" s="38"/>
      <c r="BB18" s="38"/>
      <c r="BC18" s="15"/>
      <c r="BD18" s="38"/>
      <c r="BE18" s="38"/>
      <c r="BG18" s="38"/>
    </row>
    <row r="19" spans="1:59" ht="16" x14ac:dyDescent="0.2">
      <c r="A19" s="14" t="s">
        <v>99</v>
      </c>
      <c r="B19" s="19" t="s">
        <v>208</v>
      </c>
      <c r="C19" s="14" t="s">
        <v>207</v>
      </c>
      <c r="D19" s="14">
        <v>153.66</v>
      </c>
      <c r="E19" s="14">
        <v>2130</v>
      </c>
      <c r="F19" s="14">
        <v>1520</v>
      </c>
      <c r="H19" s="14">
        <v>0.7</v>
      </c>
      <c r="J19" s="14">
        <v>833.97</v>
      </c>
      <c r="K19" s="14">
        <v>303.17</v>
      </c>
      <c r="L19" s="14">
        <v>146.56</v>
      </c>
      <c r="M19" s="14">
        <v>156.27000000000001</v>
      </c>
      <c r="N19" s="14">
        <v>99.77</v>
      </c>
      <c r="O19" s="14">
        <v>62.55</v>
      </c>
      <c r="Q19" s="26">
        <v>0.1535</v>
      </c>
      <c r="R19" s="26">
        <v>0.1196</v>
      </c>
      <c r="S19" s="26"/>
      <c r="T19" s="26">
        <v>0.21110000000000001</v>
      </c>
      <c r="U19" s="26">
        <v>0.51849999999999996</v>
      </c>
      <c r="V19" s="26">
        <v>0.96250000000000002</v>
      </c>
      <c r="W19" s="26">
        <v>0.96250000000000002</v>
      </c>
      <c r="X19" s="26"/>
      <c r="Y19" s="26">
        <v>3.95E-2</v>
      </c>
      <c r="Z19" s="14">
        <v>0.15</v>
      </c>
      <c r="AA19" s="14">
        <v>-0.6</v>
      </c>
      <c r="AC19" s="14">
        <v>140.43</v>
      </c>
      <c r="AD19" s="14">
        <v>109.47</v>
      </c>
      <c r="AE19" s="26"/>
      <c r="AF19" s="26">
        <v>0.1615</v>
      </c>
      <c r="AG19" s="26">
        <v>0.1739</v>
      </c>
      <c r="AH19" s="26">
        <v>0.1081</v>
      </c>
      <c r="AI19" s="26"/>
      <c r="AJ19" s="26">
        <v>2.7199999999999998E-2</v>
      </c>
      <c r="AK19" s="26">
        <v>2.3400000000000001E-2</v>
      </c>
      <c r="AL19" s="26"/>
      <c r="AM19" s="17">
        <v>1</v>
      </c>
      <c r="AN19" s="26"/>
      <c r="AO19" s="15">
        <v>17.32</v>
      </c>
      <c r="AP19" s="16">
        <f t="shared" si="0"/>
        <v>13.630255327318102</v>
      </c>
      <c r="AQ19" s="15">
        <v>34.39</v>
      </c>
      <c r="AR19" s="15">
        <v>17.309999999999999</v>
      </c>
      <c r="AT19" s="11"/>
      <c r="AU19" s="11"/>
      <c r="AW19" s="13"/>
      <c r="AX19" s="13"/>
      <c r="AZ19" s="38"/>
      <c r="BA19" s="38"/>
      <c r="BB19" s="38"/>
      <c r="BC19" s="15"/>
      <c r="BD19" s="38"/>
      <c r="BE19" s="38"/>
      <c r="BG19" s="38"/>
    </row>
    <row r="20" spans="1:59" ht="16" x14ac:dyDescent="0.2">
      <c r="AT20" s="72" t="s">
        <v>247</v>
      </c>
      <c r="AU20" s="11"/>
      <c r="AV20" s="13">
        <v>34.5</v>
      </c>
      <c r="AW20" s="71">
        <v>34.5</v>
      </c>
      <c r="AX20" s="71">
        <v>34.5</v>
      </c>
      <c r="AY20" s="71">
        <v>34.5</v>
      </c>
      <c r="AZ20" s="38"/>
      <c r="BA20" s="38"/>
      <c r="BB20" s="38"/>
      <c r="BD20" s="38"/>
      <c r="BE20" s="38"/>
      <c r="BG20" s="38"/>
    </row>
    <row r="21" spans="1:59" ht="16" x14ac:dyDescent="0.2">
      <c r="B21" s="23" t="s">
        <v>97</v>
      </c>
      <c r="C21" s="52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2"/>
      <c r="Q21" s="24"/>
      <c r="R21" s="24"/>
      <c r="S21" s="21"/>
      <c r="T21" s="51"/>
      <c r="U21" s="24"/>
      <c r="V21" s="24"/>
      <c r="W21" s="24"/>
      <c r="X21" s="24"/>
      <c r="Y21" s="24"/>
      <c r="Z21" s="25"/>
      <c r="AA21" s="25"/>
      <c r="AB21" s="25"/>
      <c r="AC21" s="55"/>
      <c r="AD21" s="55"/>
      <c r="AE21" s="24"/>
      <c r="AF21" s="24"/>
      <c r="AG21" s="24"/>
      <c r="AH21" s="24"/>
      <c r="AI21" s="24"/>
      <c r="AJ21" s="24"/>
      <c r="AK21" s="24"/>
      <c r="AL21" s="21"/>
      <c r="AM21" s="22"/>
      <c r="AN21" s="21"/>
      <c r="AO21" s="20">
        <f>MEDIAN(AO10:AO13,AO15:AO19)</f>
        <v>14.09</v>
      </c>
      <c r="AP21" s="20">
        <f>MEDIAN(AP10:AP13,AP15:AP19)</f>
        <v>12.058299255531089</v>
      </c>
      <c r="AQ21" s="20">
        <f>MEDIAN(AQ10:AQ13,AQ15:AQ19)</f>
        <v>24.23</v>
      </c>
      <c r="AR21" s="20">
        <f>MEDIAN(AR10:AR13,AR15:AR19)</f>
        <v>17.309999999999999</v>
      </c>
      <c r="AT21" s="12" t="s">
        <v>60</v>
      </c>
      <c r="AU21" s="12"/>
      <c r="AV21" s="3">
        <f>AV18/AV20</f>
        <v>-67.543188405797096</v>
      </c>
      <c r="AW21" s="3">
        <f>AW18/AW20</f>
        <v>98.485507246376812</v>
      </c>
      <c r="AX21" s="3">
        <f t="shared" ref="AX21:AY21" si="3">AX18/AX20</f>
        <v>92.930266971777243</v>
      </c>
      <c r="AY21" s="3">
        <f t="shared" si="3"/>
        <v>259.50637681159418</v>
      </c>
    </row>
    <row r="22" spans="1:59" x14ac:dyDescent="0.2">
      <c r="B22" s="23" t="s">
        <v>98</v>
      </c>
      <c r="C22" s="21"/>
      <c r="D22" s="53"/>
      <c r="E22" s="53"/>
      <c r="F22" s="53"/>
      <c r="G22" s="53"/>
      <c r="H22" s="53"/>
      <c r="I22" s="54"/>
      <c r="J22" s="54"/>
      <c r="K22" s="54"/>
      <c r="L22" s="54"/>
      <c r="M22" s="54"/>
      <c r="N22" s="54"/>
      <c r="O22" s="54"/>
      <c r="P22" s="54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4"/>
      <c r="AC22" s="54"/>
      <c r="AD22" s="54"/>
      <c r="AE22" s="54"/>
      <c r="AF22" s="51"/>
      <c r="AG22" s="51"/>
      <c r="AH22" s="51"/>
      <c r="AI22" s="51"/>
      <c r="AJ22" s="51"/>
      <c r="AK22" s="51"/>
      <c r="AL22" s="21"/>
      <c r="AM22" s="22"/>
      <c r="AN22" s="21"/>
      <c r="AO22" s="20">
        <f>AVERAGE(AO10:AO13,AO15:AO19)</f>
        <v>14.558888888888889</v>
      </c>
      <c r="AP22" s="20">
        <f>AVERAGE(AP10:AP13,AP15:AP19)</f>
        <v>12.555249829177734</v>
      </c>
      <c r="AQ22" s="20">
        <f>AVERAGE(AQ10:AQ13,AQ15:AQ19)</f>
        <v>26.042222222222222</v>
      </c>
      <c r="AR22" s="20">
        <f>AVERAGE(AR10:AR13,AR15:AR19)</f>
        <v>17.244444444444444</v>
      </c>
    </row>
    <row r="23" spans="1:59" x14ac:dyDescent="0.2">
      <c r="B23" s="49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</row>
    <row r="24" spans="1:59" ht="16" x14ac:dyDescent="0.2">
      <c r="B24" s="49"/>
      <c r="AT24" s="202" t="s">
        <v>235</v>
      </c>
      <c r="AU24" s="202"/>
      <c r="AV24" s="202"/>
      <c r="AW24" s="202"/>
      <c r="AX24" s="202"/>
      <c r="AY24" s="202"/>
      <c r="BA24" s="56"/>
      <c r="BB24" s="56"/>
      <c r="BC24" s="56"/>
      <c r="BD24" s="56"/>
      <c r="BE24" s="56"/>
      <c r="BF24" s="56"/>
    </row>
    <row r="25" spans="1:59" x14ac:dyDescent="0.2">
      <c r="B25" s="40" t="s">
        <v>219</v>
      </c>
      <c r="C25" s="41"/>
      <c r="Q25" s="195"/>
      <c r="R25" s="195"/>
      <c r="T25" s="195"/>
      <c r="U25" s="195"/>
      <c r="V25" s="195"/>
      <c r="W25" s="195"/>
      <c r="Y25" s="195"/>
      <c r="Z25" s="195"/>
      <c r="AA25" s="195"/>
      <c r="AC25" s="195"/>
      <c r="AD25" s="195"/>
      <c r="AF25" s="195"/>
      <c r="AG25" s="195"/>
      <c r="AH25" s="195"/>
      <c r="AI25" s="195"/>
      <c r="AJ25" s="195"/>
      <c r="AO25" s="195"/>
      <c r="AP25" s="195"/>
      <c r="AQ25" s="195"/>
      <c r="AR25" s="195"/>
      <c r="BA25" s="56"/>
      <c r="BB25" s="56"/>
      <c r="BC25" s="56"/>
      <c r="BD25" s="56"/>
      <c r="BE25" s="56"/>
      <c r="BF25" s="56"/>
    </row>
    <row r="26" spans="1:59" s="47" customFormat="1" ht="43" x14ac:dyDescent="0.2">
      <c r="A26" s="48"/>
      <c r="B26" s="37" t="s">
        <v>90</v>
      </c>
      <c r="C26" s="34" t="s">
        <v>91</v>
      </c>
      <c r="D26" s="34" t="s">
        <v>155</v>
      </c>
      <c r="E26" s="34" t="s">
        <v>154</v>
      </c>
      <c r="F26" s="34" t="s">
        <v>3</v>
      </c>
      <c r="G26" s="32"/>
      <c r="H26" s="34" t="s">
        <v>153</v>
      </c>
      <c r="I26" s="32"/>
      <c r="J26" s="34" t="s">
        <v>152</v>
      </c>
      <c r="K26" s="34" t="s">
        <v>19</v>
      </c>
      <c r="L26" s="34" t="s">
        <v>22</v>
      </c>
      <c r="M26" s="34" t="s">
        <v>151</v>
      </c>
      <c r="N26" s="34" t="s">
        <v>24</v>
      </c>
      <c r="O26" s="34" t="s">
        <v>218</v>
      </c>
      <c r="P26" s="32"/>
      <c r="Q26" s="34" t="s">
        <v>217</v>
      </c>
      <c r="R26" s="34" t="s">
        <v>216</v>
      </c>
      <c r="S26" s="32"/>
      <c r="T26" s="34" t="s">
        <v>215</v>
      </c>
      <c r="U26" s="34" t="s">
        <v>214</v>
      </c>
      <c r="V26" s="34" t="s">
        <v>145</v>
      </c>
      <c r="W26" s="34" t="s">
        <v>213</v>
      </c>
      <c r="X26" s="32"/>
      <c r="Y26" s="34" t="s">
        <v>212</v>
      </c>
      <c r="Z26" s="34" t="s">
        <v>144</v>
      </c>
      <c r="AA26" s="34" t="s">
        <v>143</v>
      </c>
      <c r="AB26" s="32"/>
      <c r="AC26" s="34" t="s">
        <v>142</v>
      </c>
      <c r="AD26" s="34" t="s">
        <v>141</v>
      </c>
      <c r="AE26" s="32"/>
      <c r="AF26" s="34" t="s">
        <v>140</v>
      </c>
      <c r="AG26" s="34" t="s">
        <v>92</v>
      </c>
      <c r="AH26" s="34" t="s">
        <v>139</v>
      </c>
      <c r="AI26" s="32"/>
      <c r="AJ26" s="34" t="s">
        <v>138</v>
      </c>
      <c r="AK26" s="34" t="s">
        <v>137</v>
      </c>
      <c r="AL26" s="32"/>
      <c r="AM26" s="33" t="s">
        <v>136</v>
      </c>
      <c r="AN26" s="32"/>
      <c r="AO26" s="34" t="s">
        <v>135</v>
      </c>
      <c r="AP26" s="34" t="s">
        <v>134</v>
      </c>
      <c r="AQ26" s="30" t="s">
        <v>244</v>
      </c>
      <c r="AR26" s="30" t="s">
        <v>211</v>
      </c>
      <c r="AT26" s="38"/>
      <c r="AU26" s="38"/>
      <c r="AV26" s="57" t="s">
        <v>230</v>
      </c>
      <c r="AW26" s="57" t="s">
        <v>97</v>
      </c>
      <c r="AX26" s="57" t="s">
        <v>98</v>
      </c>
      <c r="AY26" s="57" t="s">
        <v>231</v>
      </c>
    </row>
    <row r="27" spans="1:59" ht="16" x14ac:dyDescent="0.2">
      <c r="B27" s="28" t="s">
        <v>210</v>
      </c>
      <c r="C27" s="14" t="s">
        <v>209</v>
      </c>
      <c r="D27" s="14">
        <v>66.400000000000006</v>
      </c>
      <c r="E27" s="14">
        <v>3100</v>
      </c>
      <c r="F27" s="14">
        <v>2320</v>
      </c>
      <c r="H27" s="14">
        <v>1.55</v>
      </c>
      <c r="J27" s="14">
        <v>3160</v>
      </c>
      <c r="K27" s="14">
        <v>946.9</v>
      </c>
      <c r="L27" s="14">
        <v>443</v>
      </c>
      <c r="M27" s="14">
        <v>411.4</v>
      </c>
      <c r="N27" s="14">
        <v>221.8</v>
      </c>
      <c r="O27" s="14">
        <v>1450</v>
      </c>
      <c r="Q27" s="26">
        <v>0.1236</v>
      </c>
      <c r="R27" s="26">
        <v>7.0300000000000001E-2</v>
      </c>
      <c r="S27" s="26"/>
      <c r="T27" s="26">
        <v>6.3200000000000006E-2</v>
      </c>
      <c r="U27" s="26">
        <v>9.1399999999999995E-2</v>
      </c>
      <c r="V27" s="26">
        <v>1.05</v>
      </c>
      <c r="W27" s="26">
        <v>1.05</v>
      </c>
      <c r="X27" s="26"/>
      <c r="Y27" s="26">
        <v>1.2498</v>
      </c>
      <c r="Z27" s="14">
        <v>4.0999999999999996</v>
      </c>
      <c r="AA27" s="14">
        <v>0.15</v>
      </c>
      <c r="AC27" s="14">
        <v>8.09</v>
      </c>
      <c r="AD27" s="14">
        <v>4.5999999999999996</v>
      </c>
      <c r="AE27" s="26"/>
      <c r="AF27" s="26">
        <v>6.6500000000000004E-2</v>
      </c>
      <c r="AG27" s="26">
        <v>0.13880000000000001</v>
      </c>
      <c r="AH27" s="26">
        <v>3.5799999999999998E-2</v>
      </c>
      <c r="AI27" s="26"/>
      <c r="AJ27" s="26">
        <v>5.16E-2</v>
      </c>
      <c r="AK27" s="26">
        <v>7.8200000000000006E-2</v>
      </c>
      <c r="AL27" s="26"/>
      <c r="AM27" s="17">
        <v>1</v>
      </c>
      <c r="AN27" s="26"/>
      <c r="AO27" s="15">
        <v>7.95</v>
      </c>
      <c r="AP27" s="16">
        <f t="shared" ref="AP27:AP37" si="4">E27/M27</f>
        <v>7.5352455031599419</v>
      </c>
      <c r="AQ27" s="15">
        <v>21.91</v>
      </c>
      <c r="AR27" s="15">
        <v>11.42</v>
      </c>
      <c r="AT27" s="7"/>
      <c r="AU27" s="7"/>
      <c r="BA27" s="56"/>
      <c r="BB27" s="56"/>
      <c r="BC27" s="56"/>
      <c r="BD27" s="56"/>
      <c r="BE27" s="56"/>
      <c r="BF27" s="56"/>
    </row>
    <row r="28" spans="1:59" ht="16" x14ac:dyDescent="0.2">
      <c r="B28" s="19" t="s">
        <v>208</v>
      </c>
      <c r="C28" s="14" t="s">
        <v>207</v>
      </c>
      <c r="D28" s="14">
        <v>153.66</v>
      </c>
      <c r="E28" s="14">
        <v>2130</v>
      </c>
      <c r="F28" s="14">
        <v>1520</v>
      </c>
      <c r="H28" s="14">
        <v>0.7</v>
      </c>
      <c r="J28" s="14">
        <v>833.97</v>
      </c>
      <c r="K28" s="14">
        <v>303.17</v>
      </c>
      <c r="L28" s="14">
        <v>146.56</v>
      </c>
      <c r="M28" s="14">
        <v>156.27000000000001</v>
      </c>
      <c r="N28" s="14">
        <v>99.77</v>
      </c>
      <c r="O28" s="14">
        <v>62.55</v>
      </c>
      <c r="Q28" s="26">
        <v>0.1535</v>
      </c>
      <c r="R28" s="26">
        <v>0.1196</v>
      </c>
      <c r="S28" s="26"/>
      <c r="T28" s="26">
        <v>0.21110000000000001</v>
      </c>
      <c r="U28" s="26">
        <v>0.51849999999999996</v>
      </c>
      <c r="V28" s="26">
        <v>0.96250000000000002</v>
      </c>
      <c r="W28" s="26">
        <v>0.96250000000000002</v>
      </c>
      <c r="X28" s="26"/>
      <c r="Y28" s="26">
        <v>3.95E-2</v>
      </c>
      <c r="Z28" s="14">
        <v>0.15</v>
      </c>
      <c r="AA28" s="14">
        <v>-0.6</v>
      </c>
      <c r="AC28" s="14">
        <v>140.43</v>
      </c>
      <c r="AD28" s="14">
        <v>109.47</v>
      </c>
      <c r="AE28" s="26"/>
      <c r="AF28" s="26">
        <v>0.1615</v>
      </c>
      <c r="AG28" s="26">
        <v>0.1739</v>
      </c>
      <c r="AH28" s="26">
        <v>0.1081</v>
      </c>
      <c r="AI28" s="26"/>
      <c r="AJ28" s="26">
        <v>2.7199999999999998E-2</v>
      </c>
      <c r="AK28" s="26">
        <v>2.3400000000000001E-2</v>
      </c>
      <c r="AL28" s="26"/>
      <c r="AM28" s="17">
        <v>1</v>
      </c>
      <c r="AN28" s="26"/>
      <c r="AO28" s="15">
        <v>17.32</v>
      </c>
      <c r="AP28" s="16">
        <f t="shared" si="4"/>
        <v>13.630255327318102</v>
      </c>
      <c r="AQ28" s="15">
        <v>34.39</v>
      </c>
      <c r="AR28" s="15">
        <v>17.309999999999999</v>
      </c>
      <c r="AT28" s="27" t="s">
        <v>229</v>
      </c>
      <c r="AV28" s="74">
        <v>443</v>
      </c>
      <c r="AW28" s="74">
        <v>443</v>
      </c>
      <c r="AX28" s="74">
        <v>443</v>
      </c>
      <c r="AY28" s="74">
        <v>443</v>
      </c>
      <c r="BA28" s="56"/>
      <c r="BB28" s="56"/>
      <c r="BC28" s="56"/>
      <c r="BD28" s="56"/>
      <c r="BE28" s="56"/>
      <c r="BF28" s="56"/>
    </row>
    <row r="29" spans="1:59" ht="16" x14ac:dyDescent="0.2">
      <c r="B29" s="19" t="s">
        <v>206</v>
      </c>
      <c r="C29" s="14" t="s">
        <v>205</v>
      </c>
      <c r="D29" s="14">
        <v>46.48</v>
      </c>
      <c r="E29" s="14">
        <v>7240</v>
      </c>
      <c r="F29" s="14">
        <v>5290</v>
      </c>
      <c r="H29" s="14">
        <v>1.33</v>
      </c>
      <c r="J29" s="14">
        <v>3220</v>
      </c>
      <c r="K29" s="14" t="s">
        <v>93</v>
      </c>
      <c r="L29" s="14">
        <v>576.79999999999995</v>
      </c>
      <c r="M29" s="14">
        <v>650.79</v>
      </c>
      <c r="N29" s="14">
        <v>547.17999999999995</v>
      </c>
      <c r="O29" s="14">
        <v>372.11</v>
      </c>
      <c r="Q29" s="26">
        <v>0.23699999999999999</v>
      </c>
      <c r="R29" s="26">
        <v>0.1699</v>
      </c>
      <c r="S29" s="26"/>
      <c r="T29" s="26">
        <v>0.14119999999999999</v>
      </c>
      <c r="U29" s="26">
        <v>0.40839999999999999</v>
      </c>
      <c r="V29" s="26">
        <v>2.0754999999999999</v>
      </c>
      <c r="W29" s="26">
        <v>2.0754999999999999</v>
      </c>
      <c r="X29" s="26"/>
      <c r="Y29" s="26">
        <v>0.2586</v>
      </c>
      <c r="Z29" s="14">
        <v>0.8</v>
      </c>
      <c r="AA29" s="14">
        <v>0.92</v>
      </c>
      <c r="AC29" s="14">
        <v>43.86</v>
      </c>
      <c r="AD29" s="14">
        <v>31.43</v>
      </c>
      <c r="AE29" s="26"/>
      <c r="AF29" s="26">
        <v>9.6699999999999994E-2</v>
      </c>
      <c r="AG29" s="26">
        <v>0.1177</v>
      </c>
      <c r="AH29" s="26">
        <v>6.6799999999999998E-2</v>
      </c>
      <c r="AI29" s="26"/>
      <c r="AJ29" s="26">
        <v>2.1700000000000001E-2</v>
      </c>
      <c r="AK29" s="26">
        <v>2.2800000000000001E-2</v>
      </c>
      <c r="AL29" s="26"/>
      <c r="AM29" s="17">
        <v>1</v>
      </c>
      <c r="AN29" s="26"/>
      <c r="AO29" s="15">
        <v>9.8800000000000008</v>
      </c>
      <c r="AP29" s="16">
        <f t="shared" si="4"/>
        <v>11.124940456983053</v>
      </c>
      <c r="AQ29" s="15">
        <v>17.87</v>
      </c>
      <c r="AR29" s="15">
        <v>14.79</v>
      </c>
      <c r="AT29" s="27" t="s">
        <v>236</v>
      </c>
      <c r="AV29" s="15">
        <f>AP49</f>
        <v>1.4038655039409693</v>
      </c>
      <c r="AW29" s="15">
        <f>AP45</f>
        <v>12.058299255531089</v>
      </c>
      <c r="AX29" s="15">
        <f>AP46</f>
        <v>12.343481052867693</v>
      </c>
      <c r="AY29" s="15">
        <f>AP48</f>
        <v>24.041702242394283</v>
      </c>
      <c r="BA29" s="56"/>
      <c r="BB29" s="56"/>
      <c r="BC29" s="56"/>
      <c r="BD29" s="56"/>
      <c r="BE29" s="56"/>
      <c r="BF29" s="56"/>
    </row>
    <row r="30" spans="1:59" ht="16" x14ac:dyDescent="0.2">
      <c r="B30" s="19" t="s">
        <v>204</v>
      </c>
      <c r="C30" s="14" t="s">
        <v>203</v>
      </c>
      <c r="D30" s="14">
        <v>453.58</v>
      </c>
      <c r="E30" s="14">
        <v>334.85</v>
      </c>
      <c r="F30" s="14">
        <v>731.76</v>
      </c>
      <c r="H30" s="14">
        <v>0.88</v>
      </c>
      <c r="J30" s="14">
        <v>2530</v>
      </c>
      <c r="K30" s="14" t="s">
        <v>93</v>
      </c>
      <c r="L30" s="14">
        <v>179.42</v>
      </c>
      <c r="M30" s="14">
        <v>238.52</v>
      </c>
      <c r="N30" s="14">
        <v>75.11</v>
      </c>
      <c r="O30" s="14">
        <v>-8.8000000000000007</v>
      </c>
      <c r="Q30" s="26">
        <v>7.6999999999999999E-2</v>
      </c>
      <c r="R30" s="26">
        <v>3.1800000000000002E-2</v>
      </c>
      <c r="S30" s="26"/>
      <c r="T30" s="26">
        <v>6.1499999999999999E-2</v>
      </c>
      <c r="U30" s="26">
        <v>0.18440000000000001</v>
      </c>
      <c r="V30" s="14" t="s">
        <v>93</v>
      </c>
      <c r="W30" s="14" t="s">
        <v>93</v>
      </c>
      <c r="Y30" s="26">
        <v>8.5800000000000001E-2</v>
      </c>
      <c r="Z30" s="14">
        <v>0.35</v>
      </c>
      <c r="AA30" s="14">
        <v>-2.11</v>
      </c>
      <c r="AC30" s="14">
        <v>14.48</v>
      </c>
      <c r="AD30" s="14">
        <v>5.97</v>
      </c>
      <c r="AE30" s="26"/>
      <c r="AF30" s="26">
        <v>-4.0000000000000002E-4</v>
      </c>
      <c r="AG30" s="26">
        <v>-1.8800000000000001E-2</v>
      </c>
      <c r="AH30" s="26">
        <v>-5.1000000000000004E-3</v>
      </c>
      <c r="AI30" s="26"/>
      <c r="AJ30" s="26">
        <v>2.0299999999999999E-2</v>
      </c>
      <c r="AK30" s="26">
        <v>0.20699999999999999</v>
      </c>
      <c r="AL30" s="26"/>
      <c r="AM30" s="17">
        <v>1</v>
      </c>
      <c r="AN30" s="26"/>
      <c r="AO30" s="15">
        <v>1.82</v>
      </c>
      <c r="AP30" s="16">
        <f t="shared" si="4"/>
        <v>1.4038655039409693</v>
      </c>
      <c r="AQ30" s="15">
        <v>8.6199999999999992</v>
      </c>
      <c r="AR30" s="15">
        <v>8.0399999999999991</v>
      </c>
      <c r="AT30" s="8" t="s">
        <v>40</v>
      </c>
      <c r="AU30" s="8"/>
      <c r="AV30" s="4">
        <f>AV28*AV29</f>
        <v>621.91241824584938</v>
      </c>
      <c r="AW30" s="4">
        <f>AW28*AW29</f>
        <v>5341.8265702002727</v>
      </c>
      <c r="AX30" s="4">
        <f t="shared" ref="AX30:AY30" si="5">AX28*AX29</f>
        <v>5468.1621064203882</v>
      </c>
      <c r="AY30" s="4">
        <f t="shared" si="5"/>
        <v>10650.474093380668</v>
      </c>
      <c r="BA30" s="56"/>
      <c r="BB30" s="56"/>
      <c r="BC30" s="56"/>
      <c r="BD30" s="56"/>
      <c r="BE30" s="56"/>
      <c r="BF30" s="56"/>
    </row>
    <row r="31" spans="1:59" ht="16" x14ac:dyDescent="0.2">
      <c r="B31" s="19" t="s">
        <v>202</v>
      </c>
      <c r="C31" s="14" t="s">
        <v>201</v>
      </c>
      <c r="D31" s="14">
        <v>41.72</v>
      </c>
      <c r="E31" s="14">
        <v>7640</v>
      </c>
      <c r="F31" s="14">
        <v>4620</v>
      </c>
      <c r="H31" s="14">
        <v>0.92</v>
      </c>
      <c r="J31" s="14">
        <v>1730</v>
      </c>
      <c r="K31" s="14">
        <v>621.33000000000004</v>
      </c>
      <c r="L31" s="14">
        <v>403.35</v>
      </c>
      <c r="M31" s="14">
        <v>461.91</v>
      </c>
      <c r="N31" s="14">
        <v>318.99</v>
      </c>
      <c r="O31" s="14">
        <v>198.94</v>
      </c>
      <c r="Q31" s="26">
        <v>0.2351</v>
      </c>
      <c r="R31" s="26">
        <v>0.18390000000000001</v>
      </c>
      <c r="S31" s="26"/>
      <c r="T31" s="26">
        <v>0.29520000000000002</v>
      </c>
      <c r="U31" s="26">
        <v>0.32219999999999999</v>
      </c>
      <c r="V31" s="26">
        <v>0.15040000000000001</v>
      </c>
      <c r="W31" s="26">
        <v>0.15040000000000001</v>
      </c>
      <c r="X31" s="26"/>
      <c r="Y31" s="26">
        <v>0.63</v>
      </c>
      <c r="Z31" s="14">
        <v>2.2400000000000002</v>
      </c>
      <c r="AA31" s="14">
        <v>1.33</v>
      </c>
      <c r="AC31" s="14">
        <v>88.83</v>
      </c>
      <c r="AD31" s="14">
        <v>69.489999999999995</v>
      </c>
      <c r="AE31" s="26"/>
      <c r="AF31" s="26">
        <v>0.1047</v>
      </c>
      <c r="AG31" s="26">
        <v>0.15640000000000001</v>
      </c>
      <c r="AH31" s="26">
        <v>7.8399999999999997E-2</v>
      </c>
      <c r="AI31" s="26"/>
      <c r="AJ31" s="26">
        <v>6.7999999999999996E-3</v>
      </c>
      <c r="AK31" s="26">
        <v>2.2599999999999999E-2</v>
      </c>
      <c r="AL31" s="26"/>
      <c r="AM31" s="17">
        <v>1</v>
      </c>
      <c r="AN31" s="26"/>
      <c r="AO31" s="15">
        <v>19.52</v>
      </c>
      <c r="AP31" s="16">
        <f t="shared" si="4"/>
        <v>16.540018618345563</v>
      </c>
      <c r="AQ31" s="15">
        <v>35.1</v>
      </c>
      <c r="AR31" s="15">
        <v>17.57</v>
      </c>
      <c r="AT31" s="6" t="s">
        <v>46</v>
      </c>
      <c r="AU31" s="6"/>
      <c r="AV31" s="5">
        <v>1598.8999999999999</v>
      </c>
      <c r="AW31" s="5">
        <v>1598.8999999999999</v>
      </c>
      <c r="AX31" s="5">
        <v>1598.8999999999999</v>
      </c>
      <c r="AY31" s="5">
        <v>1598.8999999999999</v>
      </c>
      <c r="BA31" s="56"/>
      <c r="BB31" s="56"/>
      <c r="BC31" s="56"/>
      <c r="BD31" s="56"/>
      <c r="BE31" s="56"/>
      <c r="BF31" s="56"/>
    </row>
    <row r="32" spans="1:59" ht="16" x14ac:dyDescent="0.2">
      <c r="B32" s="19" t="s">
        <v>200</v>
      </c>
      <c r="C32" s="14" t="s">
        <v>199</v>
      </c>
      <c r="D32" s="14">
        <v>20.399999999999999</v>
      </c>
      <c r="E32" s="14">
        <v>10700</v>
      </c>
      <c r="F32" s="14">
        <v>7720</v>
      </c>
      <c r="H32" s="14">
        <v>1.19</v>
      </c>
      <c r="J32" s="14">
        <v>2310</v>
      </c>
      <c r="K32" s="14">
        <v>810.9</v>
      </c>
      <c r="L32" s="14">
        <v>421.81</v>
      </c>
      <c r="M32" s="14">
        <v>445.06</v>
      </c>
      <c r="N32" s="14">
        <v>301.60000000000002</v>
      </c>
      <c r="O32" s="14">
        <v>2170</v>
      </c>
      <c r="Q32" s="26">
        <v>0.17899999999999999</v>
      </c>
      <c r="R32" s="26">
        <v>0.1303</v>
      </c>
      <c r="S32" s="26"/>
      <c r="T32" s="26">
        <v>0.1845</v>
      </c>
      <c r="U32" s="26">
        <v>0.29899999999999999</v>
      </c>
      <c r="V32" s="26">
        <v>0.25219999999999998</v>
      </c>
      <c r="W32" s="26">
        <v>0.25219999999999998</v>
      </c>
      <c r="X32" s="26"/>
      <c r="Y32" s="26">
        <v>0.64049999999999996</v>
      </c>
      <c r="Z32" s="14">
        <v>1.7</v>
      </c>
      <c r="AA32" s="14">
        <v>1.3</v>
      </c>
      <c r="AC32" s="14">
        <v>38.5</v>
      </c>
      <c r="AD32" s="14">
        <v>28.02</v>
      </c>
      <c r="AE32" s="26"/>
      <c r="AF32" s="26">
        <v>0.13550000000000001</v>
      </c>
      <c r="AG32" s="26">
        <v>0.2286</v>
      </c>
      <c r="AH32" s="26">
        <v>0.1082</v>
      </c>
      <c r="AI32" s="26"/>
      <c r="AJ32" s="26">
        <v>1.06E-2</v>
      </c>
      <c r="AK32" s="26">
        <v>2.4899999999999999E-2</v>
      </c>
      <c r="AL32" s="26"/>
      <c r="AM32" s="17">
        <v>0</v>
      </c>
      <c r="AN32" s="26"/>
      <c r="AO32" s="15">
        <v>27.29</v>
      </c>
      <c r="AP32" s="16">
        <f t="shared" si="4"/>
        <v>24.041702242394283</v>
      </c>
      <c r="AQ32" s="15">
        <v>48.13</v>
      </c>
      <c r="AR32" s="15">
        <v>27.96</v>
      </c>
      <c r="AT32" s="6" t="s">
        <v>49</v>
      </c>
      <c r="AU32" s="6"/>
      <c r="AV32" s="5">
        <v>0</v>
      </c>
      <c r="AW32" s="5">
        <v>0</v>
      </c>
      <c r="AX32" s="5">
        <v>0</v>
      </c>
      <c r="AY32" s="5">
        <v>0</v>
      </c>
      <c r="BA32" s="56"/>
      <c r="BB32" s="56"/>
      <c r="BC32" s="56"/>
      <c r="BD32" s="56"/>
      <c r="BE32" s="56"/>
      <c r="BF32" s="56"/>
    </row>
    <row r="33" spans="1:58" ht="16" x14ac:dyDescent="0.2">
      <c r="B33" s="19" t="s">
        <v>198</v>
      </c>
      <c r="C33" s="14" t="s">
        <v>197</v>
      </c>
      <c r="D33" s="14">
        <v>3.23</v>
      </c>
      <c r="E33" s="14">
        <v>3650</v>
      </c>
      <c r="F33" s="14">
        <v>2780</v>
      </c>
      <c r="H33" s="14">
        <v>1.1100000000000001</v>
      </c>
      <c r="J33" s="14">
        <v>715.86</v>
      </c>
      <c r="K33" s="14">
        <v>330.5</v>
      </c>
      <c r="L33" s="14">
        <v>182.89</v>
      </c>
      <c r="M33" s="14">
        <v>191.09</v>
      </c>
      <c r="N33" s="14">
        <v>132.96</v>
      </c>
      <c r="O33" s="14">
        <v>80.86</v>
      </c>
      <c r="Q33" s="26">
        <v>0.23200000000000001</v>
      </c>
      <c r="R33" s="26">
        <v>0.1857</v>
      </c>
      <c r="S33" s="26"/>
      <c r="T33" s="26">
        <v>-5.8500000000000003E-2</v>
      </c>
      <c r="U33" s="26">
        <v>-8.5500000000000007E-2</v>
      </c>
      <c r="V33" s="26">
        <v>-6.1199999999999997E-2</v>
      </c>
      <c r="W33" s="26">
        <v>-6.1199999999999997E-2</v>
      </c>
      <c r="X33" s="26"/>
      <c r="Y33" s="26">
        <v>1.7500000000000002E-2</v>
      </c>
      <c r="Z33" s="14">
        <v>7.0000000000000007E-2</v>
      </c>
      <c r="AA33" s="14">
        <v>-0.78</v>
      </c>
      <c r="AC33" s="14">
        <v>161.41999999999999</v>
      </c>
      <c r="AD33" s="14">
        <v>129.22999999999999</v>
      </c>
      <c r="AE33" s="26"/>
      <c r="AF33" s="26">
        <v>0.15890000000000001</v>
      </c>
      <c r="AG33" s="26">
        <v>0.1643</v>
      </c>
      <c r="AH33" s="26">
        <v>0.12790000000000001</v>
      </c>
      <c r="AI33" s="26"/>
      <c r="AJ33" s="26">
        <v>2.4E-2</v>
      </c>
      <c r="AK33" s="26">
        <v>2.3300000000000001E-2</v>
      </c>
      <c r="AL33" s="26"/>
      <c r="AM33" s="17">
        <v>1</v>
      </c>
      <c r="AN33" s="26"/>
      <c r="AO33" s="15">
        <v>22.41</v>
      </c>
      <c r="AP33" s="16">
        <f t="shared" si="4"/>
        <v>19.100947197655554</v>
      </c>
      <c r="AQ33" s="15">
        <v>38.83</v>
      </c>
      <c r="AR33" s="15">
        <v>20.6</v>
      </c>
      <c r="AT33" s="6" t="s">
        <v>51</v>
      </c>
      <c r="AU33" s="6"/>
      <c r="AV33" s="5">
        <v>5.5</v>
      </c>
      <c r="AW33" s="5">
        <v>5.5</v>
      </c>
      <c r="AX33" s="5">
        <v>5.5</v>
      </c>
      <c r="AY33" s="5">
        <v>5.5</v>
      </c>
      <c r="BA33" s="56"/>
      <c r="BB33" s="56"/>
      <c r="BC33" s="56"/>
      <c r="BD33" s="56"/>
      <c r="BE33" s="56"/>
      <c r="BF33" s="56"/>
    </row>
    <row r="34" spans="1:58" ht="16" x14ac:dyDescent="0.2">
      <c r="B34" s="19" t="s">
        <v>196</v>
      </c>
      <c r="C34" s="14" t="s">
        <v>195</v>
      </c>
      <c r="D34" s="14">
        <v>16.2</v>
      </c>
      <c r="E34" s="14">
        <v>6650</v>
      </c>
      <c r="F34" s="14">
        <v>4290</v>
      </c>
      <c r="H34" s="14">
        <v>1.1299999999999999</v>
      </c>
      <c r="J34" s="14">
        <v>2350</v>
      </c>
      <c r="K34" s="14">
        <v>1080</v>
      </c>
      <c r="L34" s="14">
        <v>505.87</v>
      </c>
      <c r="M34" s="14">
        <v>535.19000000000005</v>
      </c>
      <c r="N34" s="14">
        <v>315.07</v>
      </c>
      <c r="O34" s="14">
        <v>207.94</v>
      </c>
      <c r="Q34" s="26">
        <v>0.18759999999999999</v>
      </c>
      <c r="R34" s="26">
        <v>0.13420000000000001</v>
      </c>
      <c r="S34" s="26"/>
      <c r="T34" s="26">
        <v>2.2499999999999999E-2</v>
      </c>
      <c r="U34" s="26">
        <v>5.3400000000000003E-2</v>
      </c>
      <c r="V34" s="26">
        <v>0.17219999999999999</v>
      </c>
      <c r="W34" s="26">
        <v>0.17219999999999999</v>
      </c>
      <c r="X34" s="26"/>
      <c r="Y34" s="26">
        <v>0.92079999999999995</v>
      </c>
      <c r="Z34" s="14">
        <v>2.0499999999999998</v>
      </c>
      <c r="AA34" s="14">
        <v>1.54</v>
      </c>
      <c r="AC34" s="14">
        <v>24.14</v>
      </c>
      <c r="AD34" s="14">
        <v>17.28</v>
      </c>
      <c r="AE34" s="26"/>
      <c r="AF34" s="26">
        <v>0.1837</v>
      </c>
      <c r="AG34" s="26">
        <v>0.34110000000000001</v>
      </c>
      <c r="AH34" s="26">
        <v>0.1305</v>
      </c>
      <c r="AI34" s="26"/>
      <c r="AJ34" s="26">
        <v>1.7399999999999999E-2</v>
      </c>
      <c r="AK34" s="26">
        <v>4.3099999999999999E-2</v>
      </c>
      <c r="AL34" s="26"/>
      <c r="AM34" s="17">
        <v>1</v>
      </c>
      <c r="AN34" s="26"/>
      <c r="AO34" s="15">
        <v>15.41</v>
      </c>
      <c r="AP34" s="16">
        <f t="shared" si="4"/>
        <v>12.425493749883218</v>
      </c>
      <c r="AQ34" s="15">
        <v>23.62</v>
      </c>
      <c r="AR34" s="15">
        <v>12.95</v>
      </c>
      <c r="AT34" s="6" t="s">
        <v>53</v>
      </c>
      <c r="AU34" s="6"/>
      <c r="AV34" s="5">
        <v>1532.1</v>
      </c>
      <c r="AW34" s="5">
        <v>1532.1</v>
      </c>
      <c r="AX34" s="5">
        <v>1532.1</v>
      </c>
      <c r="AY34" s="5">
        <v>1532.1</v>
      </c>
      <c r="BA34" s="56"/>
      <c r="BB34" s="56"/>
      <c r="BC34" s="56"/>
      <c r="BD34" s="56"/>
      <c r="BE34" s="56"/>
      <c r="BF34" s="56"/>
    </row>
    <row r="35" spans="1:58" ht="16" x14ac:dyDescent="0.2">
      <c r="B35" s="19" t="s">
        <v>194</v>
      </c>
      <c r="C35" s="14" t="s">
        <v>193</v>
      </c>
      <c r="D35" s="14">
        <v>9.8800000000000008</v>
      </c>
      <c r="E35" s="14">
        <v>77390</v>
      </c>
      <c r="F35" s="14">
        <v>48940</v>
      </c>
      <c r="H35" s="14">
        <v>1.1100000000000001</v>
      </c>
      <c r="J35" s="14">
        <v>11820</v>
      </c>
      <c r="K35" s="14">
        <v>4960</v>
      </c>
      <c r="L35" s="14">
        <v>3050</v>
      </c>
      <c r="M35" s="14">
        <v>3310</v>
      </c>
      <c r="N35" s="14">
        <v>2470</v>
      </c>
      <c r="O35" s="14">
        <v>18410</v>
      </c>
      <c r="Q35" s="26">
        <v>0.25669999999999998</v>
      </c>
      <c r="R35" s="26">
        <v>0.20860000000000001</v>
      </c>
      <c r="S35" s="26"/>
      <c r="T35" s="26">
        <v>0.14169999999999999</v>
      </c>
      <c r="U35" s="26">
        <v>0.21340000000000001</v>
      </c>
      <c r="V35" s="26">
        <v>0.22450000000000001</v>
      </c>
      <c r="W35" s="26">
        <v>0.22450000000000001</v>
      </c>
      <c r="X35" s="26"/>
      <c r="Y35" s="26">
        <v>0.36780000000000002</v>
      </c>
      <c r="Z35" s="14">
        <v>0.87</v>
      </c>
      <c r="AA35" s="14">
        <v>0.18</v>
      </c>
      <c r="AC35" s="14">
        <v>79.510000000000005</v>
      </c>
      <c r="AD35" s="14">
        <v>64.61</v>
      </c>
      <c r="AE35" s="26"/>
      <c r="AF35" s="26">
        <v>0.20469999999999999</v>
      </c>
      <c r="AG35" s="26">
        <v>0.30209999999999998</v>
      </c>
      <c r="AH35" s="26">
        <v>0.14599999999999999</v>
      </c>
      <c r="AI35" s="26"/>
      <c r="AJ35" s="26">
        <v>7.1499999999999994E-2</v>
      </c>
      <c r="AK35" s="26">
        <v>2.7699999999999999E-2</v>
      </c>
      <c r="AL35" s="26"/>
      <c r="AM35" s="17">
        <v>1</v>
      </c>
      <c r="AN35" s="26"/>
      <c r="AO35" s="15">
        <v>26.96</v>
      </c>
      <c r="AP35" s="16">
        <f t="shared" si="4"/>
        <v>23.380664652567976</v>
      </c>
      <c r="AQ35" s="15">
        <v>42.03</v>
      </c>
      <c r="AR35" s="15">
        <v>23.59</v>
      </c>
      <c r="AT35" s="11"/>
      <c r="AU35" s="11"/>
      <c r="AW35" s="13"/>
      <c r="AX35" s="13"/>
      <c r="BA35" s="56"/>
      <c r="BB35" s="56"/>
      <c r="BC35" s="56"/>
      <c r="BD35" s="56"/>
      <c r="BE35" s="56"/>
      <c r="BF35" s="56"/>
    </row>
    <row r="36" spans="1:58" ht="16" x14ac:dyDescent="0.2">
      <c r="B36" s="19" t="s">
        <v>192</v>
      </c>
      <c r="C36" s="14" t="s">
        <v>191</v>
      </c>
      <c r="D36" s="14">
        <v>467.5</v>
      </c>
      <c r="E36" s="14">
        <v>1150</v>
      </c>
      <c r="F36" s="14">
        <v>1610</v>
      </c>
      <c r="H36" s="14">
        <v>1.26</v>
      </c>
      <c r="J36" s="14">
        <v>658.58</v>
      </c>
      <c r="K36" s="14">
        <v>166.16</v>
      </c>
      <c r="L36" s="14">
        <v>81.650000000000006</v>
      </c>
      <c r="M36" s="14">
        <v>95.37</v>
      </c>
      <c r="N36" s="14">
        <v>60.55</v>
      </c>
      <c r="O36" s="14">
        <v>46.64</v>
      </c>
      <c r="Q36" s="26">
        <v>0.124</v>
      </c>
      <c r="R36" s="26">
        <v>9.1899999999999996E-2</v>
      </c>
      <c r="S36" s="26"/>
      <c r="T36" s="26">
        <v>-2.58E-2</v>
      </c>
      <c r="U36" s="26">
        <v>-2.9700000000000001E-2</v>
      </c>
      <c r="V36" s="26">
        <v>0.35980000000000001</v>
      </c>
      <c r="W36" s="26">
        <v>0.35980000000000001</v>
      </c>
      <c r="X36" s="26"/>
      <c r="Y36" s="26">
        <v>0.71860000000000002</v>
      </c>
      <c r="Z36" s="14">
        <v>1.93</v>
      </c>
      <c r="AA36" s="14">
        <v>1.01</v>
      </c>
      <c r="AC36" s="14">
        <v>24.94</v>
      </c>
      <c r="AD36" s="14">
        <v>18.489999999999998</v>
      </c>
      <c r="AE36" s="26"/>
      <c r="AF36" s="26">
        <v>0.1066</v>
      </c>
      <c r="AG36" s="26">
        <v>0.17879999999999999</v>
      </c>
      <c r="AH36" s="26">
        <v>5.2400000000000002E-2</v>
      </c>
      <c r="AI36" s="26"/>
      <c r="AJ36" s="26">
        <v>1.37E-2</v>
      </c>
      <c r="AK36" s="26">
        <v>0.1076</v>
      </c>
      <c r="AL36" s="26"/>
      <c r="AM36" s="17">
        <v>1</v>
      </c>
      <c r="AN36" s="26"/>
      <c r="AO36" s="15">
        <v>14.09</v>
      </c>
      <c r="AP36" s="16">
        <f t="shared" si="4"/>
        <v>12.058299255531089</v>
      </c>
      <c r="AQ36" s="15">
        <v>24.23</v>
      </c>
      <c r="AR36" s="15">
        <v>21.76</v>
      </c>
      <c r="AT36" s="9" t="s">
        <v>57</v>
      </c>
      <c r="AU36" s="9"/>
      <c r="AV36" s="3">
        <f t="shared" ref="AV36:AY36" si="6">AV30-SUM(AV31:AV34)</f>
        <v>-2514.5875817541505</v>
      </c>
      <c r="AW36" s="3">
        <f t="shared" si="6"/>
        <v>2205.3265702002727</v>
      </c>
      <c r="AX36" s="3">
        <f t="shared" si="6"/>
        <v>2331.6621064203882</v>
      </c>
      <c r="AY36" s="3">
        <f t="shared" si="6"/>
        <v>7513.9740933806679</v>
      </c>
    </row>
    <row r="37" spans="1:58" ht="16" x14ac:dyDescent="0.2">
      <c r="B37" s="19" t="s">
        <v>190</v>
      </c>
      <c r="C37" s="14" t="s">
        <v>189</v>
      </c>
      <c r="D37" s="14">
        <v>50.75</v>
      </c>
      <c r="E37" s="14">
        <v>5600</v>
      </c>
      <c r="F37" s="14">
        <v>4310</v>
      </c>
      <c r="H37" s="14">
        <v>1.1299999999999999</v>
      </c>
      <c r="J37" s="14">
        <v>3720</v>
      </c>
      <c r="K37" s="14" t="s">
        <v>93</v>
      </c>
      <c r="L37" s="14">
        <v>408</v>
      </c>
      <c r="M37" s="14">
        <v>472</v>
      </c>
      <c r="N37" s="14">
        <v>278</v>
      </c>
      <c r="O37" s="14">
        <v>231.39</v>
      </c>
      <c r="Q37" s="26">
        <v>0.11070000000000001</v>
      </c>
      <c r="R37" s="26">
        <v>7.4700000000000003E-2</v>
      </c>
      <c r="S37" s="26"/>
      <c r="T37" s="26">
        <v>0.16900000000000001</v>
      </c>
      <c r="U37" s="26">
        <v>0.39729999999999999</v>
      </c>
      <c r="V37" s="26">
        <v>0.86370000000000002</v>
      </c>
      <c r="W37" s="26">
        <v>0.86370000000000002</v>
      </c>
      <c r="X37" s="26"/>
      <c r="Y37" s="26">
        <v>0.5675</v>
      </c>
      <c r="Z37" s="14">
        <v>2.06</v>
      </c>
      <c r="AA37" s="14">
        <v>-0.23</v>
      </c>
      <c r="AC37" s="14">
        <v>18.73</v>
      </c>
      <c r="AD37" s="14">
        <v>12.64</v>
      </c>
      <c r="AE37" s="26"/>
      <c r="AF37" s="26">
        <v>9.1999999999999998E-2</v>
      </c>
      <c r="AG37" s="26">
        <v>0.1527</v>
      </c>
      <c r="AH37" s="26">
        <v>5.9799999999999999E-2</v>
      </c>
      <c r="AI37" s="26"/>
      <c r="AJ37" s="26">
        <v>1.9E-2</v>
      </c>
      <c r="AK37" s="26">
        <v>2.75E-2</v>
      </c>
      <c r="AL37" s="26"/>
      <c r="AM37" s="17">
        <v>1</v>
      </c>
      <c r="AN37" s="26"/>
      <c r="AO37" s="15">
        <v>13.59</v>
      </c>
      <c r="AP37" s="16">
        <f t="shared" si="4"/>
        <v>11.864406779661017</v>
      </c>
      <c r="AQ37" s="15">
        <v>26.54</v>
      </c>
      <c r="AR37" s="15">
        <v>16.11</v>
      </c>
      <c r="AT37" s="11"/>
      <c r="AU37" s="11"/>
      <c r="AW37" s="13"/>
      <c r="AX37" s="13"/>
    </row>
    <row r="38" spans="1:58" ht="16" x14ac:dyDescent="0.2">
      <c r="AT38" s="72" t="s">
        <v>247</v>
      </c>
      <c r="AU38" s="72"/>
      <c r="AV38" s="71">
        <v>34.5</v>
      </c>
      <c r="AW38" s="71">
        <v>34.5</v>
      </c>
      <c r="AX38" s="71">
        <v>34.5</v>
      </c>
      <c r="AY38" s="71">
        <v>34.5</v>
      </c>
    </row>
    <row r="39" spans="1:58" ht="16" x14ac:dyDescent="0.2">
      <c r="B39" s="23" t="s">
        <v>97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2"/>
      <c r="AN39" s="21"/>
      <c r="AO39" s="20">
        <f>MEDIAN(AO28:AO31,AO33:AO37)</f>
        <v>15.41</v>
      </c>
      <c r="AP39" s="20">
        <f t="shared" ref="AP39:AR39" si="7">MEDIAN(AP28:AP31,AP33:AP37)</f>
        <v>12.425493749883218</v>
      </c>
      <c r="AQ39" s="20">
        <f t="shared" si="7"/>
        <v>26.54</v>
      </c>
      <c r="AR39" s="20">
        <f t="shared" si="7"/>
        <v>17.309999999999999</v>
      </c>
      <c r="AT39" s="12" t="s">
        <v>60</v>
      </c>
      <c r="AU39" s="12"/>
      <c r="AV39" s="68">
        <f>AV36/AV38</f>
        <v>-72.886596572584068</v>
      </c>
      <c r="AW39" s="68">
        <f>AW36/AW38</f>
        <v>63.922509281167322</v>
      </c>
      <c r="AX39" s="68">
        <f t="shared" ref="AX39:AY39" si="8">AX36/AX38</f>
        <v>67.584408881750377</v>
      </c>
      <c r="AY39" s="68">
        <f t="shared" si="8"/>
        <v>217.79635053277298</v>
      </c>
    </row>
    <row r="40" spans="1:58" ht="16" x14ac:dyDescent="0.2">
      <c r="B40" s="23" t="s">
        <v>98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2"/>
      <c r="AN40" s="21"/>
      <c r="AO40" s="20">
        <f>AVERAGE(AO28:AO31,AO33:AO37)</f>
        <v>15.666666666666666</v>
      </c>
      <c r="AP40" s="20">
        <f t="shared" ref="AP40:AR40" si="9">AVERAGE(AP28:AP31,AP33:AP37)</f>
        <v>13.503210171320726</v>
      </c>
      <c r="AQ40" s="20">
        <f t="shared" si="9"/>
        <v>27.914444444444442</v>
      </c>
      <c r="AR40" s="20">
        <f t="shared" si="9"/>
        <v>16.968888888888891</v>
      </c>
      <c r="AT40" s="67"/>
      <c r="AU40" s="67"/>
      <c r="AV40" s="2"/>
      <c r="AW40" s="2"/>
      <c r="AX40" s="2"/>
      <c r="AY40" s="2"/>
    </row>
    <row r="41" spans="1:58" x14ac:dyDescent="0.2">
      <c r="Q41" s="195"/>
      <c r="R41" s="195"/>
      <c r="T41" s="195"/>
      <c r="U41" s="195"/>
      <c r="V41" s="195"/>
      <c r="W41" s="195"/>
      <c r="Y41" s="195"/>
      <c r="Z41" s="195"/>
      <c r="AA41" s="195"/>
      <c r="AC41" s="195"/>
      <c r="AD41" s="195"/>
      <c r="AF41" s="195"/>
      <c r="AG41" s="195"/>
      <c r="AH41" s="195"/>
      <c r="AI41" s="195"/>
      <c r="AJ41" s="195"/>
      <c r="AO41" s="195"/>
      <c r="AP41" s="195"/>
      <c r="AQ41" s="195"/>
      <c r="AR41" s="195"/>
    </row>
    <row r="42" spans="1:58" s="47" customFormat="1" ht="16" x14ac:dyDescent="0.2">
      <c r="A42" s="48"/>
      <c r="B42" s="40" t="s">
        <v>234</v>
      </c>
      <c r="C42" s="19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18"/>
      <c r="O42" s="74"/>
      <c r="P42" s="18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17"/>
      <c r="AN42" s="60"/>
      <c r="AO42" s="15"/>
      <c r="AP42" s="16"/>
      <c r="AQ42" s="15"/>
      <c r="AR42" s="15"/>
      <c r="AT42" s="196" t="s">
        <v>240</v>
      </c>
      <c r="AU42" s="197"/>
      <c r="AV42" s="197"/>
      <c r="AW42" s="197"/>
      <c r="AX42" s="197"/>
      <c r="AY42" s="198"/>
    </row>
    <row r="43" spans="1:58" ht="29" x14ac:dyDescent="0.2">
      <c r="B43" s="70"/>
      <c r="C43" s="19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18"/>
      <c r="O43" s="74"/>
      <c r="P43" s="18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N43" s="60"/>
      <c r="AO43" s="30" t="s">
        <v>135</v>
      </c>
      <c r="AP43" s="31" t="s">
        <v>134</v>
      </c>
      <c r="AQ43" s="30" t="s">
        <v>244</v>
      </c>
      <c r="AR43" s="30" t="s">
        <v>211</v>
      </c>
      <c r="AT43" s="199"/>
      <c r="AU43" s="200"/>
      <c r="AV43" s="200"/>
      <c r="AW43" s="200"/>
      <c r="AX43" s="200"/>
      <c r="AY43" s="201"/>
    </row>
    <row r="44" spans="1:58" ht="16" x14ac:dyDescent="0.2">
      <c r="C44" s="19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18"/>
      <c r="O44" s="74"/>
      <c r="P44" s="18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N44" s="60"/>
      <c r="AO44" s="15"/>
      <c r="AP44" s="16"/>
      <c r="AQ44" s="15"/>
      <c r="AR44" s="15"/>
    </row>
    <row r="45" spans="1:58" ht="16" x14ac:dyDescent="0.2">
      <c r="B45" s="23" t="s">
        <v>97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4"/>
      <c r="R45" s="24"/>
      <c r="S45" s="21"/>
      <c r="T45" s="21"/>
      <c r="U45" s="24"/>
      <c r="V45" s="24"/>
      <c r="W45" s="24"/>
      <c r="X45" s="24"/>
      <c r="Y45" s="24"/>
      <c r="Z45" s="25"/>
      <c r="AA45" s="25"/>
      <c r="AB45" s="25"/>
      <c r="AC45" s="25"/>
      <c r="AD45" s="25"/>
      <c r="AE45" s="24"/>
      <c r="AF45" s="24"/>
      <c r="AG45" s="24"/>
      <c r="AH45" s="24"/>
      <c r="AI45" s="24"/>
      <c r="AJ45" s="24"/>
      <c r="AK45" s="24"/>
      <c r="AL45" s="21"/>
      <c r="AM45" s="22"/>
      <c r="AN45" s="63" t="s">
        <v>97</v>
      </c>
      <c r="AO45" s="20">
        <f>MEDIAN(AO10:AO13,AO15:AO19,AO28:AO31,AO33:AO37)</f>
        <v>14.75</v>
      </c>
      <c r="AP45" s="20">
        <f t="shared" ref="AP45:AR45" si="10">MEDIAN(,AP10:AP13,AP15:AP19,AP28:AP31,AP33:AP37)</f>
        <v>12.058299255531089</v>
      </c>
      <c r="AQ45" s="20">
        <f t="shared" si="10"/>
        <v>24.23</v>
      </c>
      <c r="AR45" s="20">
        <f t="shared" si="10"/>
        <v>17.309999999999999</v>
      </c>
      <c r="AT45" s="202" t="s">
        <v>232</v>
      </c>
      <c r="AU45" s="202"/>
      <c r="AV45" s="202"/>
      <c r="AW45" s="202"/>
      <c r="AX45" s="202"/>
      <c r="AY45" s="202"/>
    </row>
    <row r="46" spans="1:58" x14ac:dyDescent="0.2">
      <c r="B46" s="23" t="s">
        <v>98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2"/>
      <c r="AN46" s="63" t="s">
        <v>98</v>
      </c>
      <c r="AO46" s="20">
        <f>AVERAGE(,AO10:AO13,AO15:AO19,AO28:AO31,AO33:AO37)</f>
        <v>14.317368421052629</v>
      </c>
      <c r="AP46" s="20">
        <f t="shared" ref="AP46:AR46" si="11">AVERAGE(,AP10:AP13,AP15:AP19,AP28:AP31,AP33:AP37)</f>
        <v>12.343481052867693</v>
      </c>
      <c r="AQ46" s="20">
        <f t="shared" si="11"/>
        <v>25.558421052631584</v>
      </c>
      <c r="AR46" s="20">
        <f t="shared" si="11"/>
        <v>16.206315789473681</v>
      </c>
    </row>
    <row r="47" spans="1:58" ht="16" x14ac:dyDescent="0.2">
      <c r="C47" s="19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18"/>
      <c r="O47" s="74"/>
      <c r="P47" s="18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N47" s="60"/>
      <c r="AO47" s="15"/>
      <c r="AP47" s="16"/>
      <c r="AQ47" s="15"/>
      <c r="AR47" s="15"/>
      <c r="AV47" s="57" t="s">
        <v>230</v>
      </c>
      <c r="AW47" s="57" t="s">
        <v>97</v>
      </c>
      <c r="AX47" s="57" t="s">
        <v>98</v>
      </c>
      <c r="AY47" s="57" t="s">
        <v>231</v>
      </c>
    </row>
    <row r="48" spans="1:58" ht="16" x14ac:dyDescent="0.2">
      <c r="B48" s="23" t="s">
        <v>231</v>
      </c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4"/>
      <c r="R48" s="24"/>
      <c r="S48" s="21"/>
      <c r="T48" s="21"/>
      <c r="U48" s="24"/>
      <c r="V48" s="24"/>
      <c r="W48" s="24"/>
      <c r="X48" s="24"/>
      <c r="Y48" s="24"/>
      <c r="Z48" s="25"/>
      <c r="AA48" s="25"/>
      <c r="AB48" s="25"/>
      <c r="AC48" s="25"/>
      <c r="AD48" s="25"/>
      <c r="AE48" s="24"/>
      <c r="AF48" s="24"/>
      <c r="AG48" s="24"/>
      <c r="AH48" s="24"/>
      <c r="AI48" s="24"/>
      <c r="AJ48" s="24"/>
      <c r="AK48" s="24"/>
      <c r="AL48" s="21"/>
      <c r="AM48" s="22"/>
      <c r="AN48" s="63" t="s">
        <v>231</v>
      </c>
      <c r="AO48" s="20">
        <f>MAX(AO10:AO13,AO15:AO19,AO28:AO31,AO33:AO37)</f>
        <v>27.29</v>
      </c>
      <c r="AP48" s="20">
        <f t="shared" ref="AP48:AR48" si="12">MAX(AP10:AP13,AP15:AP19,AP28:AP31,AP33:AP37)</f>
        <v>24.041702242394283</v>
      </c>
      <c r="AQ48" s="20">
        <f t="shared" si="12"/>
        <v>48.13</v>
      </c>
      <c r="AR48" s="20">
        <f t="shared" si="12"/>
        <v>27.79</v>
      </c>
      <c r="AT48" s="7"/>
      <c r="AU48" s="7"/>
    </row>
    <row r="49" spans="2:52" x14ac:dyDescent="0.2">
      <c r="B49" s="23" t="s">
        <v>230</v>
      </c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2"/>
      <c r="AN49" s="63" t="s">
        <v>230</v>
      </c>
      <c r="AO49" s="20">
        <f>MIN(AO10:AO13,AO15:AO19,AO28:AO31,AO33:AO37)</f>
        <v>1.82</v>
      </c>
      <c r="AP49" s="20">
        <f t="shared" ref="AP49:AR49" si="13">MIN(AP10:AP13,AP15:AP19,AP28:AP31,AP33:AP37)</f>
        <v>1.4038655039409693</v>
      </c>
      <c r="AQ49" s="20">
        <f t="shared" si="13"/>
        <v>8.6199999999999992</v>
      </c>
      <c r="AR49" s="20">
        <f t="shared" si="13"/>
        <v>8.02</v>
      </c>
      <c r="AT49" s="27" t="s">
        <v>245</v>
      </c>
      <c r="AV49" s="18">
        <v>114.6</v>
      </c>
      <c r="AW49" s="18">
        <v>114.6</v>
      </c>
      <c r="AX49" s="18">
        <v>114.6</v>
      </c>
      <c r="AY49" s="18">
        <v>114.6</v>
      </c>
      <c r="AZ49" s="19"/>
    </row>
    <row r="50" spans="2:52" x14ac:dyDescent="0.2">
      <c r="Q50" s="26"/>
      <c r="R50" s="26"/>
      <c r="S50" s="26"/>
      <c r="T50" s="26"/>
      <c r="U50" s="26"/>
      <c r="V50" s="26"/>
      <c r="W50" s="26"/>
      <c r="X50" s="26"/>
      <c r="Y50" s="26"/>
      <c r="Z50" s="26"/>
      <c r="AE50" s="26"/>
      <c r="AF50" s="26"/>
      <c r="AG50" s="26"/>
      <c r="AH50" s="26"/>
      <c r="AI50" s="26"/>
      <c r="AJ50" s="26"/>
      <c r="AK50" s="26"/>
      <c r="AL50" s="26"/>
      <c r="AN50" s="26"/>
      <c r="AT50" s="27" t="s">
        <v>238</v>
      </c>
      <c r="AV50" s="15">
        <f>AQ49</f>
        <v>8.6199999999999992</v>
      </c>
      <c r="AW50" s="15">
        <f>AQ45</f>
        <v>24.23</v>
      </c>
      <c r="AX50" s="15">
        <f>AQ46</f>
        <v>25.558421052631584</v>
      </c>
      <c r="AY50" s="15">
        <f>AQ48</f>
        <v>48.13</v>
      </c>
    </row>
    <row r="51" spans="2:52" ht="16" x14ac:dyDescent="0.2">
      <c r="Q51" s="26"/>
      <c r="R51" s="26"/>
      <c r="S51" s="26"/>
      <c r="T51" s="26"/>
      <c r="U51" s="26"/>
      <c r="V51" s="26"/>
      <c r="W51" s="26"/>
      <c r="X51" s="26"/>
      <c r="Y51" s="26"/>
      <c r="Z51" s="26"/>
      <c r="AE51" s="26"/>
      <c r="AF51" s="26"/>
      <c r="AG51" s="26"/>
      <c r="AH51" s="26"/>
      <c r="AI51" s="26"/>
      <c r="AJ51" s="26"/>
      <c r="AK51" s="26"/>
      <c r="AL51" s="26"/>
      <c r="AN51" s="26"/>
      <c r="AT51" s="9" t="s">
        <v>57</v>
      </c>
      <c r="AU51" s="8"/>
      <c r="AV51" s="4">
        <f>AV49*AV50</f>
        <v>987.85199999999986</v>
      </c>
      <c r="AW51" s="4">
        <f>AW49*AW50</f>
        <v>2776.7579999999998</v>
      </c>
      <c r="AX51" s="4">
        <f t="shared" ref="AX51:AY51" si="14">AX49*AX50</f>
        <v>2928.9950526315793</v>
      </c>
      <c r="AY51" s="4">
        <f t="shared" si="14"/>
        <v>5515.6980000000003</v>
      </c>
    </row>
    <row r="52" spans="2:52" ht="16" x14ac:dyDescent="0.2">
      <c r="Q52" s="26"/>
      <c r="R52" s="26"/>
      <c r="S52" s="26"/>
      <c r="T52" s="26"/>
      <c r="U52" s="26"/>
      <c r="V52" s="26"/>
      <c r="W52" s="26"/>
      <c r="X52" s="26"/>
      <c r="Y52" s="26"/>
      <c r="Z52" s="26"/>
      <c r="AE52" s="26"/>
      <c r="AF52" s="26"/>
      <c r="AG52" s="26"/>
      <c r="AH52" s="26"/>
      <c r="AI52" s="26"/>
      <c r="AJ52" s="26"/>
      <c r="AK52" s="26"/>
      <c r="AL52" s="26"/>
      <c r="AN52" s="26"/>
      <c r="AT52" s="6"/>
      <c r="AU52" s="6"/>
      <c r="AV52" s="5"/>
      <c r="AW52" s="5"/>
      <c r="AX52" s="5"/>
      <c r="AY52" s="5"/>
    </row>
    <row r="53" spans="2:52" ht="16" x14ac:dyDescent="0.2">
      <c r="Q53" s="26"/>
      <c r="R53" s="26"/>
      <c r="S53" s="26"/>
      <c r="T53" s="26"/>
      <c r="U53" s="26"/>
      <c r="V53" s="26"/>
      <c r="W53" s="26"/>
      <c r="X53" s="26"/>
      <c r="Y53" s="26"/>
      <c r="Z53" s="26"/>
      <c r="AE53" s="26"/>
      <c r="AF53" s="26"/>
      <c r="AG53" s="26"/>
      <c r="AH53" s="26"/>
      <c r="AI53" s="26"/>
      <c r="AJ53" s="26"/>
      <c r="AK53" s="26"/>
      <c r="AL53" s="26"/>
      <c r="AN53" s="26"/>
      <c r="AT53" s="72" t="s">
        <v>247</v>
      </c>
      <c r="AU53" s="72"/>
      <c r="AV53" s="71">
        <v>34.5</v>
      </c>
      <c r="AW53" s="71">
        <v>34.5</v>
      </c>
      <c r="AX53" s="71">
        <v>34.5</v>
      </c>
      <c r="AY53" s="71">
        <v>34.5</v>
      </c>
    </row>
    <row r="54" spans="2:52" ht="16" x14ac:dyDescent="0.2">
      <c r="AT54" s="12" t="s">
        <v>60</v>
      </c>
      <c r="AU54" s="12"/>
      <c r="AV54" s="3">
        <f>AV51/AV53</f>
        <v>28.633391304347821</v>
      </c>
      <c r="AW54" s="3">
        <f>AW51/AW53</f>
        <v>80.48573913043478</v>
      </c>
      <c r="AX54" s="3">
        <f t="shared" ref="AX54:AY54" si="15">AX51/AX53</f>
        <v>84.898407322654478</v>
      </c>
      <c r="AY54" s="3">
        <f t="shared" si="15"/>
        <v>159.8753043478261</v>
      </c>
    </row>
    <row r="55" spans="2:52" ht="16" x14ac:dyDescent="0.2">
      <c r="AT55" s="6"/>
      <c r="AU55" s="6"/>
      <c r="AV55" s="5"/>
      <c r="AW55" s="5"/>
      <c r="AX55" s="5"/>
      <c r="AY55" s="5"/>
    </row>
    <row r="56" spans="2:52" ht="16" x14ac:dyDescent="0.2">
      <c r="AT56" s="11" t="s">
        <v>246</v>
      </c>
      <c r="AU56" s="11"/>
      <c r="AW56" s="13"/>
      <c r="AX56" s="13"/>
    </row>
    <row r="57" spans="2:52" ht="16" x14ac:dyDescent="0.2">
      <c r="AT57" s="9"/>
      <c r="AU57" s="9"/>
      <c r="AV57" s="2"/>
      <c r="AW57" s="2"/>
      <c r="AX57" s="2"/>
      <c r="AY57" s="2"/>
    </row>
    <row r="58" spans="2:52" s="74" customFormat="1" ht="16" x14ac:dyDescent="0.2">
      <c r="B58" s="19"/>
      <c r="AM58" s="17"/>
      <c r="AT58" s="73"/>
      <c r="AU58" s="73"/>
      <c r="AV58" s="2"/>
      <c r="AW58" s="2"/>
      <c r="AX58" s="2"/>
      <c r="AY58" s="2"/>
    </row>
    <row r="59" spans="2:52" ht="16" x14ac:dyDescent="0.2">
      <c r="AT59" s="202" t="s">
        <v>235</v>
      </c>
      <c r="AU59" s="202"/>
      <c r="AV59" s="202"/>
      <c r="AW59" s="202"/>
      <c r="AX59" s="202"/>
      <c r="AY59" s="202"/>
    </row>
    <row r="61" spans="2:52" x14ac:dyDescent="0.2">
      <c r="AV61" s="57" t="s">
        <v>230</v>
      </c>
      <c r="AW61" s="57" t="s">
        <v>97</v>
      </c>
      <c r="AX61" s="57" t="s">
        <v>98</v>
      </c>
      <c r="AY61" s="57" t="s">
        <v>231</v>
      </c>
    </row>
    <row r="62" spans="2:52" ht="16" x14ac:dyDescent="0.2">
      <c r="AT62" s="7"/>
      <c r="AU62" s="7"/>
    </row>
    <row r="63" spans="2:52" x14ac:dyDescent="0.2">
      <c r="AT63" s="27" t="s">
        <v>245</v>
      </c>
      <c r="AV63" s="18">
        <v>114.6</v>
      </c>
      <c r="AW63" s="18">
        <v>114.6</v>
      </c>
      <c r="AX63" s="18">
        <v>114.6</v>
      </c>
      <c r="AY63" s="18">
        <v>114.6</v>
      </c>
    </row>
    <row r="64" spans="2:52" x14ac:dyDescent="0.2">
      <c r="AT64" s="27" t="s">
        <v>239</v>
      </c>
      <c r="AV64" s="15">
        <f>AR49</f>
        <v>8.02</v>
      </c>
      <c r="AW64" s="15">
        <f>AR45</f>
        <v>17.309999999999999</v>
      </c>
      <c r="AX64" s="15">
        <f>AR46</f>
        <v>16.206315789473681</v>
      </c>
      <c r="AY64" s="15">
        <f>AR48</f>
        <v>27.79</v>
      </c>
    </row>
    <row r="65" spans="46:51" ht="16" x14ac:dyDescent="0.2">
      <c r="AT65" s="9" t="s">
        <v>57</v>
      </c>
      <c r="AU65" s="8"/>
      <c r="AV65" s="4">
        <f>AV63*AV64</f>
        <v>919.09199999999987</v>
      </c>
      <c r="AW65" s="4">
        <f>AW63*AW64</f>
        <v>1983.7259999999997</v>
      </c>
      <c r="AX65" s="4">
        <f t="shared" ref="AX65:AY65" si="16">AX63*AX64</f>
        <v>1857.2437894736838</v>
      </c>
      <c r="AY65" s="4">
        <f t="shared" si="16"/>
        <v>3184.7339999999999</v>
      </c>
    </row>
    <row r="66" spans="46:51" ht="16" x14ac:dyDescent="0.2">
      <c r="AT66" s="6"/>
      <c r="AU66" s="6"/>
      <c r="AV66" s="5"/>
      <c r="AW66" s="5"/>
      <c r="AX66" s="5"/>
      <c r="AY66" s="5"/>
    </row>
    <row r="67" spans="46:51" ht="16" x14ac:dyDescent="0.2">
      <c r="AT67" s="72" t="s">
        <v>247</v>
      </c>
      <c r="AU67" s="72"/>
      <c r="AV67" s="71">
        <v>34.5</v>
      </c>
      <c r="AW67" s="71">
        <v>34.5</v>
      </c>
      <c r="AX67" s="71">
        <v>34.5</v>
      </c>
      <c r="AY67" s="71">
        <v>34.5</v>
      </c>
    </row>
    <row r="68" spans="46:51" ht="16" x14ac:dyDescent="0.2">
      <c r="AT68" s="12" t="s">
        <v>60</v>
      </c>
      <c r="AU68" s="12"/>
      <c r="AV68" s="3">
        <f>AV65/AV67</f>
        <v>26.640347826086952</v>
      </c>
      <c r="AW68" s="3">
        <f>AW65/AW67</f>
        <v>57.499304347826076</v>
      </c>
      <c r="AX68" s="3">
        <f t="shared" ref="AX68:AY68" si="17">AX65/AX67</f>
        <v>53.833153318077791</v>
      </c>
      <c r="AY68" s="3">
        <f t="shared" si="17"/>
        <v>92.311130434782612</v>
      </c>
    </row>
    <row r="69" spans="46:51" ht="16" x14ac:dyDescent="0.2">
      <c r="AT69" s="9"/>
      <c r="AU69" s="9"/>
      <c r="AV69" s="2"/>
      <c r="AW69" s="2"/>
      <c r="AX69" s="2"/>
      <c r="AY69" s="2"/>
    </row>
    <row r="70" spans="46:51" ht="16" x14ac:dyDescent="0.2">
      <c r="AT70" s="72" t="s">
        <v>246</v>
      </c>
      <c r="AU70" s="65"/>
      <c r="AV70" s="66"/>
      <c r="AW70" s="66"/>
      <c r="AX70" s="66"/>
      <c r="AY70" s="66"/>
    </row>
    <row r="71" spans="46:51" ht="16" x14ac:dyDescent="0.2">
      <c r="AT71" s="65"/>
      <c r="AU71" s="65"/>
      <c r="AV71" s="66"/>
      <c r="AW71" s="66"/>
      <c r="AX71" s="66"/>
      <c r="AY71" s="66"/>
    </row>
    <row r="72" spans="46:51" ht="16" x14ac:dyDescent="0.2">
      <c r="AT72" s="65"/>
      <c r="AU72" s="65"/>
      <c r="AV72" s="66"/>
      <c r="AW72" s="66"/>
      <c r="AX72" s="66"/>
      <c r="AY72" s="66"/>
    </row>
    <row r="73" spans="46:51" ht="16" x14ac:dyDescent="0.2">
      <c r="AT73" s="65"/>
      <c r="AU73" s="65"/>
      <c r="AV73" s="66"/>
      <c r="AW73" s="66"/>
      <c r="AX73" s="66"/>
      <c r="AY73" s="66"/>
    </row>
    <row r="74" spans="46:51" ht="16" x14ac:dyDescent="0.2">
      <c r="AT74" s="10"/>
      <c r="AU74" s="10"/>
      <c r="AV74" s="64"/>
      <c r="AW74" s="1"/>
      <c r="AX74" s="1"/>
      <c r="AY74" s="64"/>
    </row>
    <row r="75" spans="46:51" ht="16" x14ac:dyDescent="0.2">
      <c r="AT75" s="9"/>
      <c r="AU75" s="9"/>
      <c r="AV75" s="2"/>
      <c r="AW75" s="2"/>
      <c r="AX75" s="2"/>
      <c r="AY75" s="2"/>
    </row>
    <row r="76" spans="46:51" ht="16" x14ac:dyDescent="0.2">
      <c r="AT76" s="10"/>
      <c r="AU76" s="10"/>
      <c r="AV76" s="64"/>
      <c r="AW76" s="1"/>
      <c r="AX76" s="1"/>
      <c r="AY76" s="64"/>
    </row>
    <row r="77" spans="46:51" ht="16" x14ac:dyDescent="0.2">
      <c r="AT77" s="10"/>
      <c r="AU77" s="10"/>
      <c r="AV77" s="1"/>
      <c r="AW77" s="1"/>
      <c r="AX77" s="1"/>
      <c r="AY77" s="1"/>
    </row>
    <row r="78" spans="46:51" ht="16" x14ac:dyDescent="0.2">
      <c r="AT78" s="67"/>
      <c r="AU78" s="67"/>
      <c r="AV78" s="2"/>
      <c r="AW78" s="2"/>
      <c r="AX78" s="2"/>
      <c r="AY78" s="2"/>
    </row>
    <row r="79" spans="46:51" ht="16" x14ac:dyDescent="0.2">
      <c r="AT79" s="65"/>
      <c r="AU79" s="65"/>
      <c r="AV79" s="66"/>
      <c r="AW79" s="66"/>
      <c r="AX79" s="66"/>
      <c r="AY79" s="66"/>
    </row>
    <row r="80" spans="46:51" ht="16" x14ac:dyDescent="0.2">
      <c r="AT80" s="65"/>
      <c r="AU80" s="65"/>
      <c r="AV80" s="66"/>
      <c r="AW80" s="66"/>
      <c r="AX80" s="66"/>
      <c r="AY80" s="66"/>
    </row>
    <row r="81" spans="46:51" ht="16" x14ac:dyDescent="0.2">
      <c r="AT81" s="65"/>
      <c r="AU81" s="65"/>
      <c r="AV81" s="66"/>
      <c r="AW81" s="66"/>
      <c r="AX81" s="66"/>
      <c r="AY81" s="66"/>
    </row>
    <row r="82" spans="46:51" ht="16" x14ac:dyDescent="0.2">
      <c r="AT82" s="10"/>
      <c r="AU82" s="10"/>
      <c r="AV82" s="64"/>
      <c r="AW82" s="1"/>
      <c r="AX82" s="1"/>
      <c r="AY82" s="64"/>
    </row>
    <row r="83" spans="46:51" ht="16" x14ac:dyDescent="0.2">
      <c r="AT83" s="9"/>
      <c r="AU83" s="9"/>
      <c r="AV83" s="2"/>
      <c r="AW83" s="2"/>
      <c r="AX83" s="2"/>
      <c r="AY83" s="2"/>
    </row>
    <row r="84" spans="46:51" ht="16" x14ac:dyDescent="0.2">
      <c r="AT84" s="10"/>
      <c r="AU84" s="10"/>
      <c r="AV84" s="64"/>
      <c r="AW84" s="1"/>
      <c r="AX84" s="1"/>
      <c r="AY84" s="64"/>
    </row>
    <row r="85" spans="46:51" ht="16" x14ac:dyDescent="0.2">
      <c r="AT85" s="10"/>
      <c r="AU85" s="10"/>
      <c r="AV85" s="1"/>
      <c r="AW85" s="1"/>
      <c r="AX85" s="1"/>
      <c r="AY85" s="1"/>
    </row>
    <row r="86" spans="46:51" ht="16" x14ac:dyDescent="0.2">
      <c r="AT86" s="67"/>
      <c r="AU86" s="67"/>
      <c r="AV86" s="2"/>
      <c r="AW86" s="2"/>
      <c r="AX86" s="2"/>
      <c r="AY86" s="2"/>
    </row>
  </sheetData>
  <mergeCells count="31">
    <mergeCell ref="AT45:AY45"/>
    <mergeCell ref="AT59:AY59"/>
    <mergeCell ref="AT3:AY4"/>
    <mergeCell ref="AT6:AY6"/>
    <mergeCell ref="AT24:AY24"/>
    <mergeCell ref="AT42:AY43"/>
    <mergeCell ref="BE16:BG16"/>
    <mergeCell ref="AO41:AR41"/>
    <mergeCell ref="AO25:AR25"/>
    <mergeCell ref="AO7:AR7"/>
    <mergeCell ref="B2:AR2"/>
    <mergeCell ref="B3:AR3"/>
    <mergeCell ref="B4:AR4"/>
    <mergeCell ref="Y7:AA7"/>
    <mergeCell ref="AC7:AD7"/>
    <mergeCell ref="T7:W7"/>
    <mergeCell ref="AF7:AH7"/>
    <mergeCell ref="D7:F7"/>
    <mergeCell ref="Q7:R7"/>
    <mergeCell ref="J7:O7"/>
    <mergeCell ref="AF41:AJ41"/>
    <mergeCell ref="Y41:AA41"/>
    <mergeCell ref="AJ7:AK7"/>
    <mergeCell ref="AC41:AD41"/>
    <mergeCell ref="Q41:R41"/>
    <mergeCell ref="T41:W41"/>
    <mergeCell ref="AF25:AJ25"/>
    <mergeCell ref="Y25:AA25"/>
    <mergeCell ref="AC25:AD25"/>
    <mergeCell ref="Q25:R25"/>
    <mergeCell ref="T25:W25"/>
  </mergeCells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6EEE0-5C27-1E44-B2DB-2299F1F5FFE1}">
  <dimension ref="B5:Q40"/>
  <sheetViews>
    <sheetView topLeftCell="A10" workbookViewId="0">
      <selection activeCell="V11" sqref="V11"/>
    </sheetView>
  </sheetViews>
  <sheetFormatPr baseColWidth="10" defaultRowHeight="16" x14ac:dyDescent="0.2"/>
  <cols>
    <col min="1" max="1" width="10.83203125" style="77"/>
    <col min="2" max="2" width="19" style="82" customWidth="1"/>
    <col min="3" max="3" width="12.6640625" style="56" customWidth="1"/>
    <col min="4" max="4" width="5" style="77" customWidth="1"/>
    <col min="5" max="6" width="12.6640625" style="56" customWidth="1"/>
    <col min="7" max="7" width="4.5" style="56" customWidth="1"/>
    <col min="8" max="11" width="12.6640625" style="56" customWidth="1"/>
    <col min="12" max="12" width="4.5" style="56" customWidth="1"/>
    <col min="13" max="15" width="12.6640625" style="56" customWidth="1"/>
    <col min="16" max="16" width="4.5" style="56" customWidth="1"/>
    <col min="17" max="17" width="12.6640625" style="78" customWidth="1"/>
    <col min="18" max="40" width="10.83203125" style="77" bestFit="1" customWidth="1"/>
    <col min="41" max="16384" width="10.83203125" style="77"/>
  </cols>
  <sheetData>
    <row r="5" spans="2:17" x14ac:dyDescent="0.2">
      <c r="B5" s="83" t="s">
        <v>187</v>
      </c>
    </row>
    <row r="6" spans="2:17" x14ac:dyDescent="0.2">
      <c r="B6" s="77"/>
    </row>
    <row r="7" spans="2:17" x14ac:dyDescent="0.2">
      <c r="C7" s="79" t="s">
        <v>186</v>
      </c>
      <c r="E7" s="206" t="s">
        <v>184</v>
      </c>
      <c r="F7" s="206"/>
      <c r="H7" s="206" t="s">
        <v>183</v>
      </c>
      <c r="I7" s="206"/>
      <c r="J7" s="206"/>
      <c r="K7" s="206"/>
      <c r="M7" s="206" t="s">
        <v>225</v>
      </c>
      <c r="N7" s="206"/>
      <c r="O7" s="206"/>
      <c r="Q7" s="80" t="s">
        <v>178</v>
      </c>
    </row>
    <row r="8" spans="2:17" ht="42" x14ac:dyDescent="0.15">
      <c r="B8" s="37" t="s">
        <v>90</v>
      </c>
      <c r="C8" s="34" t="s">
        <v>153</v>
      </c>
      <c r="E8" s="34" t="s">
        <v>217</v>
      </c>
      <c r="F8" s="34" t="s">
        <v>216</v>
      </c>
      <c r="G8" s="32"/>
      <c r="H8" s="34" t="s">
        <v>215</v>
      </c>
      <c r="I8" s="34" t="s">
        <v>214</v>
      </c>
      <c r="J8" s="34" t="s">
        <v>145</v>
      </c>
      <c r="K8" s="34" t="s">
        <v>213</v>
      </c>
      <c r="L8" s="32"/>
      <c r="M8" s="34" t="s">
        <v>212</v>
      </c>
      <c r="N8" s="34" t="s">
        <v>144</v>
      </c>
      <c r="O8" s="34" t="s">
        <v>143</v>
      </c>
      <c r="P8" s="32"/>
      <c r="Q8" s="33" t="s">
        <v>136</v>
      </c>
    </row>
    <row r="9" spans="2:17" x14ac:dyDescent="0.2">
      <c r="B9" s="84" t="s">
        <v>210</v>
      </c>
      <c r="C9" s="56">
        <v>1.55</v>
      </c>
      <c r="E9" s="81">
        <v>0.1236</v>
      </c>
      <c r="F9" s="81">
        <v>7.0300000000000001E-2</v>
      </c>
      <c r="G9" s="81"/>
      <c r="H9" s="81">
        <v>6.3200000000000006E-2</v>
      </c>
      <c r="I9" s="81">
        <v>9.1399999999999995E-2</v>
      </c>
      <c r="J9" s="81">
        <v>1.05</v>
      </c>
      <c r="K9" s="81">
        <v>1.05</v>
      </c>
      <c r="L9" s="81"/>
      <c r="M9" s="81">
        <v>1.2498</v>
      </c>
      <c r="N9" s="56">
        <v>4.0999999999999996</v>
      </c>
      <c r="O9" s="56">
        <v>0.15</v>
      </c>
      <c r="Q9" s="78">
        <v>1</v>
      </c>
    </row>
    <row r="10" spans="2:17" x14ac:dyDescent="0.2">
      <c r="B10" s="82" t="s">
        <v>200</v>
      </c>
      <c r="C10" s="56">
        <v>1.19</v>
      </c>
      <c r="E10" s="81">
        <v>0.17899999999999999</v>
      </c>
      <c r="F10" s="81">
        <v>0.1303</v>
      </c>
      <c r="G10" s="81"/>
      <c r="H10" s="81">
        <v>0.1845</v>
      </c>
      <c r="I10" s="81">
        <v>0.29899999999999999</v>
      </c>
      <c r="J10" s="81">
        <v>0.25219999999999998</v>
      </c>
      <c r="K10" s="81">
        <v>0.25219999999999998</v>
      </c>
      <c r="L10" s="81"/>
      <c r="M10" s="81">
        <v>0.64049999999999996</v>
      </c>
      <c r="N10" s="56">
        <v>1.7</v>
      </c>
      <c r="O10" s="56">
        <v>1.3</v>
      </c>
      <c r="Q10" s="78">
        <v>1</v>
      </c>
    </row>
    <row r="11" spans="2:17" x14ac:dyDescent="0.2">
      <c r="B11" s="82" t="s">
        <v>190</v>
      </c>
      <c r="C11" s="56">
        <v>1.1299999999999999</v>
      </c>
      <c r="E11" s="81">
        <v>0.11070000000000001</v>
      </c>
      <c r="F11" s="81">
        <v>7.4700000000000003E-2</v>
      </c>
      <c r="G11" s="81"/>
      <c r="H11" s="81">
        <v>0.16900000000000001</v>
      </c>
      <c r="I11" s="81">
        <v>0.39729999999999999</v>
      </c>
      <c r="J11" s="81">
        <v>0.86370000000000002</v>
      </c>
      <c r="K11" s="81">
        <v>0.86370000000000002</v>
      </c>
      <c r="L11" s="81"/>
      <c r="M11" s="81">
        <v>0.5675</v>
      </c>
      <c r="N11" s="56">
        <v>2.06</v>
      </c>
      <c r="O11" s="56">
        <v>-0.23</v>
      </c>
      <c r="Q11" s="78">
        <v>1</v>
      </c>
    </row>
    <row r="12" spans="2:17" x14ac:dyDescent="0.2">
      <c r="B12" s="82" t="s">
        <v>196</v>
      </c>
      <c r="C12" s="56">
        <v>1.1299999999999999</v>
      </c>
      <c r="E12" s="81">
        <v>0.18759999999999999</v>
      </c>
      <c r="F12" s="81">
        <v>0.13420000000000001</v>
      </c>
      <c r="G12" s="81"/>
      <c r="H12" s="81">
        <v>2.2499999999999999E-2</v>
      </c>
      <c r="I12" s="81">
        <v>5.3400000000000003E-2</v>
      </c>
      <c r="J12" s="81">
        <v>0.17219999999999999</v>
      </c>
      <c r="K12" s="81">
        <v>0.17219999999999999</v>
      </c>
      <c r="L12" s="81"/>
      <c r="M12" s="81">
        <v>0.92079999999999995</v>
      </c>
      <c r="N12" s="56">
        <v>2.0499999999999998</v>
      </c>
      <c r="O12" s="56">
        <v>1.54</v>
      </c>
      <c r="Q12" s="78">
        <v>1</v>
      </c>
    </row>
    <row r="13" spans="2:17" x14ac:dyDescent="0.2">
      <c r="B13" s="82" t="s">
        <v>204</v>
      </c>
      <c r="C13" s="56">
        <v>0.88</v>
      </c>
      <c r="E13" s="81">
        <v>7.6999999999999999E-2</v>
      </c>
      <c r="F13" s="81">
        <v>3.1800000000000002E-2</v>
      </c>
      <c r="G13" s="81"/>
      <c r="H13" s="81">
        <v>6.1499999999999999E-2</v>
      </c>
      <c r="I13" s="81">
        <v>0.18440000000000001</v>
      </c>
      <c r="J13" s="56" t="s">
        <v>93</v>
      </c>
      <c r="K13" s="56" t="s">
        <v>93</v>
      </c>
      <c r="M13" s="81">
        <v>8.5800000000000001E-2</v>
      </c>
      <c r="N13" s="56">
        <v>0.35</v>
      </c>
      <c r="O13" s="56">
        <v>-2.11</v>
      </c>
      <c r="Q13" s="78">
        <v>1</v>
      </c>
    </row>
    <row r="14" spans="2:17" x14ac:dyDescent="0.2">
      <c r="B14" s="82" t="s">
        <v>175</v>
      </c>
      <c r="C14" s="56">
        <v>1</v>
      </c>
      <c r="E14" s="81">
        <v>0.35020000000000001</v>
      </c>
      <c r="F14" s="81">
        <v>0.25640000000000002</v>
      </c>
      <c r="G14" s="81"/>
      <c r="H14" s="81">
        <v>0.13</v>
      </c>
      <c r="I14" s="81">
        <v>2.07E-2</v>
      </c>
      <c r="J14" s="81">
        <v>-0.14199999999999999</v>
      </c>
      <c r="K14" s="81">
        <v>-0.14199999999999999</v>
      </c>
      <c r="L14" s="81"/>
      <c r="M14" s="81">
        <v>0.58620000000000005</v>
      </c>
      <c r="N14" s="56">
        <v>2.5299999999999998</v>
      </c>
      <c r="O14" s="56">
        <v>2.2400000000000002</v>
      </c>
      <c r="Q14" s="78">
        <v>0</v>
      </c>
    </row>
    <row r="15" spans="2:17" x14ac:dyDescent="0.2">
      <c r="B15" s="82" t="s">
        <v>194</v>
      </c>
      <c r="C15" s="56">
        <v>1.1100000000000001</v>
      </c>
      <c r="E15" s="81">
        <v>0.25669999999999998</v>
      </c>
      <c r="F15" s="81">
        <v>0.20860000000000001</v>
      </c>
      <c r="G15" s="81"/>
      <c r="H15" s="81">
        <v>0.14169999999999999</v>
      </c>
      <c r="I15" s="81">
        <v>0.21340000000000001</v>
      </c>
      <c r="J15" s="81">
        <v>0.22450000000000001</v>
      </c>
      <c r="K15" s="81">
        <v>0.22450000000000001</v>
      </c>
      <c r="L15" s="81"/>
      <c r="M15" s="81">
        <v>0.36780000000000002</v>
      </c>
      <c r="N15" s="56">
        <v>0.87</v>
      </c>
      <c r="O15" s="56">
        <v>0.18</v>
      </c>
      <c r="Q15" s="78">
        <v>1</v>
      </c>
    </row>
    <row r="16" spans="2:17" x14ac:dyDescent="0.2">
      <c r="B16" s="82" t="s">
        <v>223</v>
      </c>
      <c r="C16" s="56">
        <v>1.31</v>
      </c>
      <c r="E16" s="81">
        <v>0.16819999999999999</v>
      </c>
      <c r="F16" s="81">
        <v>8.77E-2</v>
      </c>
      <c r="G16" s="81"/>
      <c r="H16" s="81">
        <v>0.15390000000000001</v>
      </c>
      <c r="I16" s="81">
        <v>0.15459999999999999</v>
      </c>
      <c r="J16" s="81">
        <v>6.6486000000000001</v>
      </c>
      <c r="K16" s="81">
        <v>6.6486000000000001</v>
      </c>
      <c r="L16" s="81"/>
      <c r="M16" s="81">
        <v>0.62870000000000004</v>
      </c>
      <c r="N16" s="56">
        <v>2.76</v>
      </c>
      <c r="O16" s="56">
        <v>1.8</v>
      </c>
      <c r="Q16" s="78">
        <v>1</v>
      </c>
    </row>
    <row r="17" spans="2:17" x14ac:dyDescent="0.2">
      <c r="B17" s="82" t="s">
        <v>192</v>
      </c>
      <c r="C17" s="56">
        <v>1.26</v>
      </c>
      <c r="E17" s="81">
        <v>0.124</v>
      </c>
      <c r="F17" s="81">
        <v>9.1899999999999996E-2</v>
      </c>
      <c r="G17" s="81"/>
      <c r="H17" s="81">
        <v>-2.58E-2</v>
      </c>
      <c r="I17" s="81">
        <v>-2.9700000000000001E-2</v>
      </c>
      <c r="J17" s="81">
        <v>0.35980000000000001</v>
      </c>
      <c r="K17" s="81">
        <v>0.35980000000000001</v>
      </c>
      <c r="L17" s="81"/>
      <c r="M17" s="81">
        <v>0.71860000000000002</v>
      </c>
      <c r="N17" s="56">
        <v>1.93</v>
      </c>
      <c r="O17" s="56">
        <v>1.01</v>
      </c>
      <c r="Q17" s="78">
        <v>1</v>
      </c>
    </row>
    <row r="18" spans="2:17" x14ac:dyDescent="0.2">
      <c r="B18" s="82" t="s">
        <v>221</v>
      </c>
      <c r="C18" s="56">
        <v>0.97</v>
      </c>
      <c r="E18" s="81">
        <v>4.82E-2</v>
      </c>
      <c r="F18" s="81">
        <v>3.6499999999999998E-2</v>
      </c>
      <c r="G18" s="81"/>
      <c r="H18" s="81">
        <v>0.1615</v>
      </c>
      <c r="I18" s="81">
        <v>0.70609999999999995</v>
      </c>
      <c r="J18" s="81">
        <v>3.7593000000000001</v>
      </c>
      <c r="K18" s="81">
        <v>3.7593000000000001</v>
      </c>
      <c r="L18" s="81"/>
      <c r="M18" s="81">
        <v>0.6804</v>
      </c>
      <c r="N18" s="56">
        <v>1.86</v>
      </c>
      <c r="O18" s="56">
        <v>0.8</v>
      </c>
      <c r="Q18" s="78">
        <v>1</v>
      </c>
    </row>
    <row r="19" spans="2:17" x14ac:dyDescent="0.2">
      <c r="B19" s="82" t="s">
        <v>208</v>
      </c>
      <c r="C19" s="56">
        <v>0.7</v>
      </c>
      <c r="E19" s="81">
        <v>0.1535</v>
      </c>
      <c r="F19" s="81">
        <v>0.1196</v>
      </c>
      <c r="G19" s="81"/>
      <c r="H19" s="81">
        <v>0.21110000000000001</v>
      </c>
      <c r="I19" s="81">
        <v>0.51849999999999996</v>
      </c>
      <c r="J19" s="81">
        <v>0.96250000000000002</v>
      </c>
      <c r="K19" s="81">
        <v>0.96250000000000002</v>
      </c>
      <c r="L19" s="81"/>
      <c r="M19" s="81">
        <v>3.95E-2</v>
      </c>
      <c r="N19" s="56">
        <v>0.15</v>
      </c>
      <c r="O19" s="56">
        <v>-0.6</v>
      </c>
      <c r="Q19" s="78">
        <v>1</v>
      </c>
    </row>
    <row r="21" spans="2:17" x14ac:dyDescent="0.2">
      <c r="B21" s="85"/>
    </row>
    <row r="22" spans="2:17" x14ac:dyDescent="0.2">
      <c r="B22" s="85"/>
    </row>
    <row r="23" spans="2:17" x14ac:dyDescent="0.2">
      <c r="B23" s="83" t="s">
        <v>219</v>
      </c>
      <c r="E23" s="207"/>
      <c r="F23" s="207"/>
      <c r="H23" s="207"/>
      <c r="I23" s="207"/>
      <c r="J23" s="207"/>
      <c r="K23" s="207"/>
      <c r="M23" s="207"/>
      <c r="N23" s="207"/>
      <c r="O23" s="207"/>
    </row>
    <row r="24" spans="2:17" ht="42" x14ac:dyDescent="0.15">
      <c r="B24" s="37" t="s">
        <v>90</v>
      </c>
      <c r="C24" s="34" t="s">
        <v>153</v>
      </c>
      <c r="E24" s="34" t="s">
        <v>217</v>
      </c>
      <c r="F24" s="34" t="s">
        <v>216</v>
      </c>
      <c r="G24" s="32"/>
      <c r="H24" s="34" t="s">
        <v>215</v>
      </c>
      <c r="I24" s="34" t="s">
        <v>214</v>
      </c>
      <c r="J24" s="34" t="s">
        <v>145</v>
      </c>
      <c r="K24" s="34" t="s">
        <v>213</v>
      </c>
      <c r="L24" s="32"/>
      <c r="M24" s="34" t="s">
        <v>212</v>
      </c>
      <c r="N24" s="34" t="s">
        <v>144</v>
      </c>
      <c r="O24" s="34" t="s">
        <v>143</v>
      </c>
      <c r="P24" s="32"/>
      <c r="Q24" s="33" t="s">
        <v>136</v>
      </c>
    </row>
    <row r="25" spans="2:17" x14ac:dyDescent="0.2">
      <c r="B25" s="84" t="s">
        <v>210</v>
      </c>
      <c r="C25" s="56">
        <v>1.55</v>
      </c>
      <c r="E25" s="81">
        <v>0.1236</v>
      </c>
      <c r="F25" s="81">
        <v>7.0300000000000001E-2</v>
      </c>
      <c r="G25" s="81"/>
      <c r="H25" s="81">
        <v>6.3200000000000006E-2</v>
      </c>
      <c r="I25" s="81">
        <v>9.1399999999999995E-2</v>
      </c>
      <c r="J25" s="81">
        <v>1.05</v>
      </c>
      <c r="K25" s="81">
        <v>1.05</v>
      </c>
      <c r="L25" s="81"/>
      <c r="M25" s="81">
        <v>1.2498</v>
      </c>
      <c r="N25" s="56">
        <v>4.0999999999999996</v>
      </c>
      <c r="O25" s="56">
        <v>0.15</v>
      </c>
      <c r="Q25" s="78">
        <v>1</v>
      </c>
    </row>
    <row r="26" spans="2:17" x14ac:dyDescent="0.2">
      <c r="B26" s="82" t="s">
        <v>208</v>
      </c>
      <c r="C26" s="56">
        <v>0.7</v>
      </c>
      <c r="E26" s="81">
        <v>0.1535</v>
      </c>
      <c r="F26" s="81">
        <v>0.1196</v>
      </c>
      <c r="G26" s="81"/>
      <c r="H26" s="81">
        <v>0.21110000000000001</v>
      </c>
      <c r="I26" s="81">
        <v>0.51849999999999996</v>
      </c>
      <c r="J26" s="81">
        <v>0.96250000000000002</v>
      </c>
      <c r="K26" s="81">
        <v>0.96250000000000002</v>
      </c>
      <c r="L26" s="81"/>
      <c r="M26" s="81">
        <v>3.95E-2</v>
      </c>
      <c r="N26" s="56">
        <v>0.15</v>
      </c>
      <c r="O26" s="56">
        <v>-0.6</v>
      </c>
      <c r="Q26" s="78">
        <v>1</v>
      </c>
    </row>
    <row r="27" spans="2:17" x14ac:dyDescent="0.2">
      <c r="B27" s="82" t="s">
        <v>206</v>
      </c>
      <c r="C27" s="56">
        <v>1.33</v>
      </c>
      <c r="E27" s="81">
        <v>0.23699999999999999</v>
      </c>
      <c r="F27" s="81">
        <v>0.1699</v>
      </c>
      <c r="G27" s="81"/>
      <c r="H27" s="81">
        <v>0.14119999999999999</v>
      </c>
      <c r="I27" s="81">
        <v>0.40839999999999999</v>
      </c>
      <c r="J27" s="81">
        <v>2.0754999999999999</v>
      </c>
      <c r="K27" s="81">
        <v>2.0754999999999999</v>
      </c>
      <c r="L27" s="81"/>
      <c r="M27" s="81">
        <v>0.2586</v>
      </c>
      <c r="N27" s="56">
        <v>0.8</v>
      </c>
      <c r="O27" s="56">
        <v>0.92</v>
      </c>
      <c r="Q27" s="78">
        <v>1</v>
      </c>
    </row>
    <row r="28" spans="2:17" x14ac:dyDescent="0.2">
      <c r="B28" s="82" t="s">
        <v>204</v>
      </c>
      <c r="C28" s="56">
        <v>0.88</v>
      </c>
      <c r="E28" s="81">
        <v>7.6999999999999999E-2</v>
      </c>
      <c r="F28" s="81">
        <v>3.1800000000000002E-2</v>
      </c>
      <c r="G28" s="81"/>
      <c r="H28" s="81">
        <v>6.1499999999999999E-2</v>
      </c>
      <c r="I28" s="81">
        <v>0.18440000000000001</v>
      </c>
      <c r="J28" s="56" t="s">
        <v>93</v>
      </c>
      <c r="K28" s="56" t="s">
        <v>93</v>
      </c>
      <c r="M28" s="81">
        <v>8.5800000000000001E-2</v>
      </c>
      <c r="N28" s="56">
        <v>0.35</v>
      </c>
      <c r="O28" s="56">
        <v>-2.11</v>
      </c>
      <c r="Q28" s="78">
        <v>1</v>
      </c>
    </row>
    <row r="29" spans="2:17" x14ac:dyDescent="0.2">
      <c r="B29" s="82" t="s">
        <v>202</v>
      </c>
      <c r="C29" s="56">
        <v>0.92</v>
      </c>
      <c r="E29" s="81">
        <v>0.2351</v>
      </c>
      <c r="F29" s="81">
        <v>0.18390000000000001</v>
      </c>
      <c r="G29" s="81"/>
      <c r="H29" s="81">
        <v>0.29520000000000002</v>
      </c>
      <c r="I29" s="81">
        <v>0.32219999999999999</v>
      </c>
      <c r="J29" s="81">
        <v>0.15040000000000001</v>
      </c>
      <c r="K29" s="81">
        <v>0.15040000000000001</v>
      </c>
      <c r="L29" s="81"/>
      <c r="M29" s="81">
        <v>0.63</v>
      </c>
      <c r="N29" s="56">
        <v>2.2400000000000002</v>
      </c>
      <c r="O29" s="56">
        <v>1.33</v>
      </c>
      <c r="Q29" s="78">
        <v>1</v>
      </c>
    </row>
    <row r="30" spans="2:17" x14ac:dyDescent="0.2">
      <c r="B30" s="82" t="s">
        <v>200</v>
      </c>
      <c r="C30" s="56">
        <v>1.19</v>
      </c>
      <c r="E30" s="81">
        <v>0.17899999999999999</v>
      </c>
      <c r="F30" s="81">
        <v>0.1303</v>
      </c>
      <c r="G30" s="81"/>
      <c r="H30" s="81">
        <v>0.1845</v>
      </c>
      <c r="I30" s="81">
        <v>0.29899999999999999</v>
      </c>
      <c r="J30" s="81">
        <v>0.25219999999999998</v>
      </c>
      <c r="K30" s="81">
        <v>0.25219999999999998</v>
      </c>
      <c r="L30" s="81"/>
      <c r="M30" s="81">
        <v>0.64049999999999996</v>
      </c>
      <c r="N30" s="56">
        <v>1.7</v>
      </c>
      <c r="O30" s="56">
        <v>1.3</v>
      </c>
      <c r="Q30" s="78">
        <v>0</v>
      </c>
    </row>
    <row r="31" spans="2:17" x14ac:dyDescent="0.2">
      <c r="B31" s="82" t="s">
        <v>198</v>
      </c>
      <c r="C31" s="56">
        <v>1.1100000000000001</v>
      </c>
      <c r="E31" s="81">
        <v>0.23200000000000001</v>
      </c>
      <c r="F31" s="81">
        <v>0.1857</v>
      </c>
      <c r="G31" s="81"/>
      <c r="H31" s="81">
        <v>-5.8500000000000003E-2</v>
      </c>
      <c r="I31" s="81">
        <v>-8.5500000000000007E-2</v>
      </c>
      <c r="J31" s="81">
        <v>-6.1199999999999997E-2</v>
      </c>
      <c r="K31" s="81">
        <v>-6.1199999999999997E-2</v>
      </c>
      <c r="L31" s="81"/>
      <c r="M31" s="81">
        <v>1.7500000000000002E-2</v>
      </c>
      <c r="N31" s="56">
        <v>7.0000000000000007E-2</v>
      </c>
      <c r="O31" s="56">
        <v>-0.78</v>
      </c>
      <c r="Q31" s="78">
        <v>1</v>
      </c>
    </row>
    <row r="32" spans="2:17" x14ac:dyDescent="0.2">
      <c r="B32" s="82" t="s">
        <v>196</v>
      </c>
      <c r="C32" s="56">
        <v>1.1299999999999999</v>
      </c>
      <c r="E32" s="81">
        <v>0.18759999999999999</v>
      </c>
      <c r="F32" s="81">
        <v>0.13420000000000001</v>
      </c>
      <c r="G32" s="81"/>
      <c r="H32" s="81">
        <v>2.2499999999999999E-2</v>
      </c>
      <c r="I32" s="81">
        <v>5.3400000000000003E-2</v>
      </c>
      <c r="J32" s="81">
        <v>0.17219999999999999</v>
      </c>
      <c r="K32" s="81">
        <v>0.17219999999999999</v>
      </c>
      <c r="L32" s="81"/>
      <c r="M32" s="81">
        <v>0.92079999999999995</v>
      </c>
      <c r="N32" s="56">
        <v>2.0499999999999998</v>
      </c>
      <c r="O32" s="56">
        <v>1.54</v>
      </c>
      <c r="Q32" s="78">
        <v>1</v>
      </c>
    </row>
    <row r="33" spans="2:17" x14ac:dyDescent="0.2">
      <c r="B33" s="82" t="s">
        <v>194</v>
      </c>
      <c r="C33" s="56">
        <v>1.1100000000000001</v>
      </c>
      <c r="E33" s="81">
        <v>0.25669999999999998</v>
      </c>
      <c r="F33" s="81">
        <v>0.20860000000000001</v>
      </c>
      <c r="G33" s="81"/>
      <c r="H33" s="81">
        <v>0.14169999999999999</v>
      </c>
      <c r="I33" s="81">
        <v>0.21340000000000001</v>
      </c>
      <c r="J33" s="81">
        <v>0.22450000000000001</v>
      </c>
      <c r="K33" s="81">
        <v>0.22450000000000001</v>
      </c>
      <c r="L33" s="81"/>
      <c r="M33" s="81">
        <v>0.36780000000000002</v>
      </c>
      <c r="N33" s="56">
        <v>0.87</v>
      </c>
      <c r="O33" s="56">
        <v>0.18</v>
      </c>
      <c r="Q33" s="78">
        <v>1</v>
      </c>
    </row>
    <row r="34" spans="2:17" x14ac:dyDescent="0.2">
      <c r="B34" s="82" t="s">
        <v>192</v>
      </c>
      <c r="C34" s="56">
        <v>1.26</v>
      </c>
      <c r="E34" s="81">
        <v>0.124</v>
      </c>
      <c r="F34" s="81">
        <v>9.1899999999999996E-2</v>
      </c>
      <c r="G34" s="81"/>
      <c r="H34" s="81">
        <v>-2.58E-2</v>
      </c>
      <c r="I34" s="81">
        <v>-2.9700000000000001E-2</v>
      </c>
      <c r="J34" s="81">
        <v>0.35980000000000001</v>
      </c>
      <c r="K34" s="81">
        <v>0.35980000000000001</v>
      </c>
      <c r="L34" s="81"/>
      <c r="M34" s="81">
        <v>0.71860000000000002</v>
      </c>
      <c r="N34" s="56">
        <v>1.93</v>
      </c>
      <c r="O34" s="56">
        <v>1.01</v>
      </c>
      <c r="Q34" s="78">
        <v>1</v>
      </c>
    </row>
    <row r="35" spans="2:17" x14ac:dyDescent="0.2">
      <c r="B35" s="82" t="s">
        <v>190</v>
      </c>
      <c r="C35" s="56">
        <v>1.1299999999999999</v>
      </c>
      <c r="E35" s="81">
        <v>0.11070000000000001</v>
      </c>
      <c r="F35" s="81">
        <v>7.4700000000000003E-2</v>
      </c>
      <c r="G35" s="81"/>
      <c r="H35" s="81">
        <v>0.16900000000000001</v>
      </c>
      <c r="I35" s="81">
        <v>0.39729999999999999</v>
      </c>
      <c r="J35" s="81">
        <v>0.86370000000000002</v>
      </c>
      <c r="K35" s="81">
        <v>0.86370000000000002</v>
      </c>
      <c r="L35" s="81"/>
      <c r="M35" s="81">
        <v>0.5675</v>
      </c>
      <c r="N35" s="56">
        <v>2.06</v>
      </c>
      <c r="O35" s="56">
        <v>-0.23</v>
      </c>
      <c r="Q35" s="78">
        <v>1</v>
      </c>
    </row>
    <row r="37" spans="2:17" x14ac:dyDescent="0.2">
      <c r="E37" s="81"/>
      <c r="F37" s="81"/>
      <c r="G37" s="81"/>
      <c r="H37" s="81"/>
      <c r="I37" s="81"/>
      <c r="J37" s="81"/>
      <c r="K37" s="81"/>
      <c r="L37" s="81"/>
      <c r="M37" s="81"/>
      <c r="N37" s="81"/>
    </row>
    <row r="38" spans="2:17" x14ac:dyDescent="0.2">
      <c r="E38" s="81"/>
      <c r="F38" s="81"/>
      <c r="G38" s="81"/>
      <c r="H38" s="81"/>
      <c r="I38" s="81"/>
      <c r="J38" s="81"/>
      <c r="K38" s="81"/>
      <c r="L38" s="81"/>
      <c r="M38" s="81"/>
      <c r="N38" s="81"/>
    </row>
    <row r="39" spans="2:17" x14ac:dyDescent="0.2">
      <c r="E39" s="81"/>
      <c r="F39" s="81"/>
      <c r="G39" s="81"/>
      <c r="H39" s="81"/>
      <c r="I39" s="81"/>
      <c r="J39" s="81"/>
      <c r="K39" s="81"/>
      <c r="L39" s="81"/>
      <c r="M39" s="81"/>
      <c r="N39" s="81"/>
    </row>
    <row r="40" spans="2:17" x14ac:dyDescent="0.2">
      <c r="E40" s="81"/>
      <c r="F40" s="81"/>
      <c r="G40" s="81"/>
      <c r="H40" s="81"/>
      <c r="I40" s="81"/>
      <c r="J40" s="81"/>
      <c r="K40" s="81"/>
      <c r="L40" s="81"/>
      <c r="M40" s="81"/>
      <c r="N40" s="81"/>
    </row>
  </sheetData>
  <mergeCells count="6">
    <mergeCell ref="E7:F7"/>
    <mergeCell ref="H7:K7"/>
    <mergeCell ref="M7:O7"/>
    <mergeCell ref="E23:F23"/>
    <mergeCell ref="H23:K23"/>
    <mergeCell ref="M23:O23"/>
  </mergeCells>
  <phoneticPr fontId="7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F3700-C657-43C6-BA21-5706BFDF672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 results</vt:lpstr>
      <vt:lpstr>DCF  SULZER</vt:lpstr>
      <vt:lpstr>DCF  OC</vt:lpstr>
      <vt:lpstr>Multiple OERL</vt:lpstr>
      <vt:lpstr>Multiple SUN</vt:lpstr>
      <vt:lpstr>comps for SUN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huangjunhao</dc:creator>
  <cp:lastModifiedBy>Tinghuan Liu</cp:lastModifiedBy>
  <dcterms:created xsi:type="dcterms:W3CDTF">2022-05-15T13:45:00Z</dcterms:created>
  <dcterms:modified xsi:type="dcterms:W3CDTF">2022-07-10T19:24:37Z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2052-4.2.2.6882</vt:lpwstr>
  </property>
  <property fmtid="{D5CDD505-2E9C-101B-9397-08002B2CF9AE}" pid="3" name="ContentTypeId">
    <vt:lpwstr>0x0101003D9BBE0535827240A0BE918A344264BB</vt:lpwstr>
  </property>
  <property fmtid="{D5CDD505-2E9C-101B-9397-08002B2CF9AE}" pid="4" name="ICV">
    <vt:lpwstr>5A30EE0F2CC7AEBBFBBD8F6259182D0C</vt:lpwstr>
  </property>
</Properties>
</file>