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973431f055122/Tools/Death Stranding/"/>
    </mc:Choice>
  </mc:AlternateContent>
  <xr:revisionPtr revIDLastSave="450" documentId="8_{1019A4E7-B47D-4C7A-9A18-0CF3D55B6A2E}" xr6:coauthVersionLast="47" xr6:coauthVersionMax="47" xr10:uidLastSave="{EBD28CF6-CF29-4D24-A216-048233A38BB1}"/>
  <bookViews>
    <workbookView xWindow="-120" yWindow="-120" windowWidth="29040" windowHeight="15720" firstSheet="2" activeTab="2" xr2:uid="{972418EC-0CBF-448B-9EF8-62D01859F381}"/>
  </bookViews>
  <sheets>
    <sheet name="Lists" sheetId="1" state="hidden" r:id="rId1"/>
    <sheet name="CostTemplate" sheetId="8" state="hidden" r:id="rId2"/>
    <sheet name="Ceramics" sheetId="9" r:id="rId3"/>
    <sheet name="Chemicals" sheetId="10" r:id="rId4"/>
    <sheet name="Metals" sheetId="11" r:id="rId5"/>
    <sheet name="Resins" sheetId="12" r:id="rId6"/>
    <sheet name="SpecialAlloys" sheetId="13" r:id="rId7"/>
  </sheets>
  <definedNames>
    <definedName name="BooleanValues">Lists!$B$3:$C$3</definedName>
    <definedName name="ResourceTypes">Lists!$B$1:$F$1</definedName>
    <definedName name="Status">Lists!$B$2:$C$2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3" l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G2" i="12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D2" i="12"/>
  <c r="G2" i="1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D2" i="11"/>
  <c r="D2" i="10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D2" i="9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D2" i="8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</calcChain>
</file>

<file path=xl/sharedStrings.xml><?xml version="1.0" encoding="utf-8"?>
<sst xmlns="http://schemas.openxmlformats.org/spreadsheetml/2006/main" count="130" uniqueCount="56">
  <si>
    <t>Ceramics</t>
  </si>
  <si>
    <t>Chemicals</t>
  </si>
  <si>
    <t>Metals</t>
  </si>
  <si>
    <t>Resins</t>
  </si>
  <si>
    <t>Special Alloys</t>
  </si>
  <si>
    <t>Name</t>
  </si>
  <si>
    <t>Cost</t>
  </si>
  <si>
    <t>Submitted</t>
  </si>
  <si>
    <t>Remaining</t>
  </si>
  <si>
    <t>Resource Types</t>
  </si>
  <si>
    <t>800</t>
  </si>
  <si>
    <t>640</t>
  </si>
  <si>
    <t>480</t>
  </si>
  <si>
    <t>320</t>
  </si>
  <si>
    <t>160</t>
  </si>
  <si>
    <t>80</t>
  </si>
  <si>
    <t>40</t>
  </si>
  <si>
    <t>Remain800</t>
  </si>
  <si>
    <t>Remain640</t>
  </si>
  <si>
    <t>Remain480</t>
  </si>
  <si>
    <t>Remain320</t>
  </si>
  <si>
    <t>Remain160</t>
  </si>
  <si>
    <t>Remain80</t>
  </si>
  <si>
    <t>Status</t>
  </si>
  <si>
    <t>Pending</t>
  </si>
  <si>
    <t>Completed</t>
  </si>
  <si>
    <t>1000</t>
  </si>
  <si>
    <t>Remain1000</t>
  </si>
  <si>
    <t>600</t>
  </si>
  <si>
    <t>Remain600</t>
  </si>
  <si>
    <t>400</t>
  </si>
  <si>
    <t>Remain400</t>
  </si>
  <si>
    <t>200</t>
  </si>
  <si>
    <t>Remain200</t>
  </si>
  <si>
    <t>100</t>
  </si>
  <si>
    <t>Remain100</t>
  </si>
  <si>
    <t>50</t>
  </si>
  <si>
    <t>360</t>
  </si>
  <si>
    <t>Remain360</t>
  </si>
  <si>
    <t>240</t>
  </si>
  <si>
    <t>Remain240</t>
  </si>
  <si>
    <t>120</t>
  </si>
  <si>
    <t>Remain120</t>
  </si>
  <si>
    <t>60</t>
  </si>
  <si>
    <t>Remain60</t>
  </si>
  <si>
    <t>1200</t>
  </si>
  <si>
    <t>Remain1200</t>
  </si>
  <si>
    <t>960</t>
  </si>
  <si>
    <t>Remain960</t>
  </si>
  <si>
    <t>720</t>
  </si>
  <si>
    <t>Remain720</t>
  </si>
  <si>
    <t>BooleanValues</t>
  </si>
  <si>
    <t>Collected</t>
  </si>
  <si>
    <t>Delivered</t>
  </si>
  <si>
    <t>30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</si>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</sst>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10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0BB22D-74FD-4786-A3C2-FE73809B5613}" name="CostCalculatorTemplate" displayName="CostCalculatorTemplate" ref="A1:S2" totalsRowShown="0">
  <autoFilter ref="A1:S2" xr:uid="{3F6BD637-DE49-4905-8D82-B35EFF026BD8}"/>
  <tableColumns count="19">
    <tableColumn id="1" xr3:uid="{C9110DB6-CE89-44FD-8049-4778C18C4A6E}" name="Name"/>
    <tableColumn id="2" xr3:uid="{C3C2C10B-A3DF-4444-A115-93BC973752B8}" name="Cost" dataDxfId="107"/>
    <tableColumn id="3" xr3:uid="{90AE43CD-2DB3-4173-8CAD-B27D9E15C6E4}" name="Submitted" dataDxfId="106"/>
    <tableColumn id="4" xr3:uid="{17EAFCAD-7B48-4736-9157-867608788B76}" name="Remaining" dataDxfId="105">
      <calculatedColumnFormula>CostCalculatorTemplate[[#This Row],[Cost]]-CostCalculatorTemplate[[#This Row],[Submitted]]</calculatedColumnFormula>
    </tableColumn>
    <tableColumn id="5" xr3:uid="{BEA79AC0-67E5-4FE0-B3B7-C22AB3B48B9D}" name="Collected" dataDxfId="91"/>
    <tableColumn id="19" xr3:uid="{80178694-BA20-4116-B93A-69B2B93A2FFE}" name="Delivered" dataDxfId="90"/>
    <tableColumn id="6" xr3:uid="{326583C8-80F0-4E5D-A199-216E0A00CA1A}" name="800" dataDxfId="104">
      <calculatedColumnFormula>_xlfn.FLOOR.MATH(CostCalculatorTemplate[[#This Row],[Remaining]]/CostCalculatorTemplate[[#Headers],[800]])</calculatedColumnFormula>
    </tableColumn>
    <tableColumn id="13" xr3:uid="{D19FABF0-AFF1-4B62-B7AF-CEF9AF7912D8}" name="Remain800" dataDxfId="103">
      <calculatedColumnFormula>IF(CostCalculatorTemplate[[#This Row],[800]] &gt; 0, CostCalculatorTemplate[[#This Row],[Remaining]]-(CostCalculatorTemplate[[#Headers],[800]] * CostCalculatorTemplate[[#This Row],[800]]), CostCalculatorTemplate[[#This Row],[Remaining]])</calculatedColumnFormula>
    </tableColumn>
    <tableColumn id="7" xr3:uid="{EDE91A8F-8E91-45FF-8446-B7538D8CFF4F}" name="640" dataDxfId="102">
      <calculatedColumnFormula>_xlfn.FLOOR.MATH(CostCalculatorTemplate[[#This Row],[Remain800]]/CostCalculatorTemplate[[#Headers],[640]])</calculatedColumnFormula>
    </tableColumn>
    <tableColumn id="14" xr3:uid="{7B1FDF5B-0B40-4EE2-9313-F0AB029D8515}" name="Remain640" dataDxfId="101">
      <calculatedColumnFormula>IF(CostCalculatorTemplate[[#This Row],[640]] &gt; 0, CostCalculatorTemplate[[#This Row],[Remain800]]-(CostCalculatorTemplate[[#Headers],[640]] * CostCalculatorTemplate[[#This Row],[640]]), CostCalculatorTemplate[[#This Row],[Remain800]])</calculatedColumnFormula>
    </tableColumn>
    <tableColumn id="8" xr3:uid="{B1C7C988-ECA4-4DC1-BF66-808F9E5FDCE9}" name="480" dataDxfId="100">
      <calculatedColumnFormula>_xlfn.FLOOR.MATH(CostCalculatorTemplate[[#This Row],[Remain640]]/CostCalculatorTemplate[[#Headers],[480]])</calculatedColumnFormula>
    </tableColumn>
    <tableColumn id="15" xr3:uid="{26337DC0-2EA3-4530-AB41-114101D21C6A}" name="Remain480" dataDxfId="99">
      <calculatedColumnFormula>IF(CostCalculatorTemplate[[#This Row],[480]] &gt; 0, CostCalculatorTemplate[[#This Row],[Remain640]]-(CostCalculatorTemplate[[#Headers],[480]] * CostCalculatorTemplate[[#This Row],[480]]), CostCalculatorTemplate[[#This Row],[Remain640]])</calculatedColumnFormula>
    </tableColumn>
    <tableColumn id="9" xr3:uid="{8FDE09B2-5628-46E8-AC34-D2857B9B7EB6}" name="320" dataDxfId="98">
      <calculatedColumnFormula>_xlfn.FLOOR.MATH(CostCalculatorTemplate[[#This Row],[Remain480]]/CostCalculatorTemplate[[#Headers],[320]])</calculatedColumnFormula>
    </tableColumn>
    <tableColumn id="16" xr3:uid="{3AD04202-835B-4CA5-BAF6-07B3C7D0CDD0}" name="Remain320" dataDxfId="97">
      <calculatedColumnFormula>IF(CostCalculatorTemplate[[#This Row],[320]] &gt; 0, CostCalculatorTemplate[[#This Row],[Remain480]]-(CostCalculatorTemplate[[#Headers],[320]] * CostCalculatorTemplate[[#This Row],[320]]), CostCalculatorTemplate[[#This Row],[Remain480]])</calculatedColumnFormula>
    </tableColumn>
    <tableColumn id="10" xr3:uid="{DD865525-8EAF-4A65-BEB4-46F98601C009}" name="160" dataDxfId="96">
      <calculatedColumnFormula>_xlfn.FLOOR.MATH(CostCalculatorTemplate[[#This Row],[Remain320]]/CostCalculatorTemplate[[#Headers],[160]])</calculatedColumnFormula>
    </tableColumn>
    <tableColumn id="17" xr3:uid="{106F7199-FAE7-4A3C-B61A-501D4E9D4F78}" name="Remain160" dataDxfId="95">
      <calculatedColumnFormula>IF(CostCalculatorTemplate[[#This Row],[160]] &gt; 0, CostCalculatorTemplate[[#This Row],[Remain320]]-(CostCalculatorTemplate[[#Headers],[160]] * CostCalculatorTemplate[[#This Row],[160]]), CostCalculatorTemplate[[#This Row],[Remain320]])</calculatedColumnFormula>
    </tableColumn>
    <tableColumn id="11" xr3:uid="{097E20F2-7A45-47CA-AE01-5282015C6B19}" name="80" dataDxfId="94">
      <calculatedColumnFormula>_xlfn.FLOOR.MATH(CostCalculatorTemplate[[#This Row],[Remain160]]/CostCalculatorTemplate[[#Headers],[80]])</calculatedColumnFormula>
    </tableColumn>
    <tableColumn id="18" xr3:uid="{CEA47FAE-1FF0-4EF1-A480-AAE316100FC3}" name="Remain80" dataDxfId="93">
      <calculatedColumnFormula>IF(CostCalculatorTemplate[[#This Row],[80]] &gt; 0, CostCalculatorTemplate[[#This Row],[Remain160]]-(CostCalculatorTemplate[[#Headers],[80]] * CostCalculatorTemplate[[#This Row],[80]]), CostCalculatorTemplate[[#This Row],[Remain160]])</calculatedColumnFormula>
    </tableColumn>
    <tableColumn id="12" xr3:uid="{EB5BC461-641F-4840-8A9B-F6A7B6CDE064}" name="40" dataDxfId="92">
      <calculatedColumnFormula>IF(CostCalculatorTemplate[[#This Row],[Remain80]] &gt; 0, _xlfn.CEILING.MATH(CostCalculatorTemplate[[#This Row],[Remain80]]/CostCalculatorTemplate[[#Headers],[40]]), 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3E16E-9957-4B05-A2F6-BCBCB46A4AAB}" name="CostCalculatorCeramics" displayName="CostCalculatorCeramics" ref="A1:S2" totalsRowShown="0">
  <autoFilter ref="A1:S2" xr:uid="{3F6BD637-DE49-4905-8D82-B35EFF026BD8}"/>
  <tableColumns count="19">
    <tableColumn id="1" xr3:uid="{D8A1F453-5D65-406A-8865-4D98CD03F5A0}" name="Name"/>
    <tableColumn id="2" xr3:uid="{0574C584-13A4-4272-B415-AAF7C7B18F35}" name="Cost" dataDxfId="89"/>
    <tableColumn id="3" xr3:uid="{A4E11753-DC9C-48DA-B408-C2B5A34DF66B}" name="Submitted" dataDxfId="88"/>
    <tableColumn id="4" xr3:uid="{D9BB916B-EC35-456F-86BF-8FC59B3A78B4}" name="Remaining" dataDxfId="87">
      <calculatedColumnFormula>CostCalculatorCeramics[[#This Row],[Cost]]-CostCalculatorCeramics[[#This Row],[Submitted]]</calculatedColumnFormula>
    </tableColumn>
    <tableColumn id="5" xr3:uid="{A46EB7A2-CF30-4427-B8C5-8B0720F54AC1}" name="Collected" dataDxfId="86"/>
    <tableColumn id="19" xr3:uid="{26F40EC9-7F44-4805-AFCB-92513FB4441A}" name="Delivered" dataDxfId="85"/>
    <tableColumn id="6" xr3:uid="{C259DFC7-73A9-4199-AE10-6F8C977FCD8C}" name="800" dataDxfId="84">
      <calculatedColumnFormula>_xlfn.FLOOR.MATH(CostCalculatorCeramics[[#This Row],[Remaining]]/CostCalculatorCeramics[[#Headers],[800]])</calculatedColumnFormula>
    </tableColumn>
    <tableColumn id="13" xr3:uid="{47F1617D-933A-467A-BDF4-EE7C2746BFF8}" name="Remain800" dataDxfId="83">
      <calculatedColumnFormula>IF(CostCalculatorCeramics[[#This Row],[800]] &gt; 0, CostCalculatorCeramics[[#This Row],[Remaining]]-(CostCalculatorCeramics[[#Headers],[800]] * CostCalculatorCeramics[[#This Row],[800]]), CostCalculatorCeramics[[#This Row],[Remaining]])</calculatedColumnFormula>
    </tableColumn>
    <tableColumn id="7" xr3:uid="{A5929660-7CB2-4C4F-94BD-5A3BABDF724F}" name="640" dataDxfId="82">
      <calculatedColumnFormula>_xlfn.FLOOR.MATH(CostCalculatorCeramics[[#This Row],[Remain800]]/CostCalculatorCeramics[[#Headers],[640]])</calculatedColumnFormula>
    </tableColumn>
    <tableColumn id="14" xr3:uid="{5CF7F542-5D39-43E9-A5A7-54B39A182854}" name="Remain640" dataDxfId="81">
      <calculatedColumnFormula>IF(CostCalculatorCeramics[[#This Row],[640]] &gt; 0, CostCalculatorCeramics[[#This Row],[Remain800]]-(CostCalculatorCeramics[[#Headers],[640]] * CostCalculatorCeramics[[#This Row],[640]]), CostCalculatorCeramics[[#This Row],[Remain800]])</calculatedColumnFormula>
    </tableColumn>
    <tableColumn id="8" xr3:uid="{9F2364C7-8236-4D15-BCF9-91B7D9761AB8}" name="480" dataDxfId="80">
      <calculatedColumnFormula>_xlfn.FLOOR.MATH(CostCalculatorCeramics[[#This Row],[Remain640]]/CostCalculatorCeramics[[#Headers],[480]])</calculatedColumnFormula>
    </tableColumn>
    <tableColumn id="15" xr3:uid="{02854A94-F10A-4A35-99DB-8F0C7F4AE280}" name="Remain480" dataDxfId="79">
      <calculatedColumnFormula>IF(CostCalculatorCeramics[[#This Row],[480]] &gt; 0, CostCalculatorCeramics[[#This Row],[Remain640]]-(CostCalculatorCeramics[[#Headers],[480]] * CostCalculatorCeramics[[#This Row],[480]]), CostCalculatorCeramics[[#This Row],[Remain640]])</calculatedColumnFormula>
    </tableColumn>
    <tableColumn id="9" xr3:uid="{8A2EBCA9-8A42-4D06-BA94-2C27BC9C08C7}" name="320" dataDxfId="78">
      <calculatedColumnFormula>_xlfn.FLOOR.MATH(CostCalculatorCeramics[[#This Row],[Remain480]]/CostCalculatorCeramics[[#Headers],[320]])</calculatedColumnFormula>
    </tableColumn>
    <tableColumn id="16" xr3:uid="{DBF81C79-CD27-4AFE-A278-D3068A2B4228}" name="Remain320" dataDxfId="77">
      <calculatedColumnFormula>IF(CostCalculatorCeramics[[#This Row],[320]] &gt; 0, CostCalculatorCeramics[[#This Row],[Remain480]]-(CostCalculatorCeramics[[#Headers],[320]] * CostCalculatorCeramics[[#This Row],[320]]), CostCalculatorCeramics[[#This Row],[Remain480]])</calculatedColumnFormula>
    </tableColumn>
    <tableColumn id="10" xr3:uid="{57FAC3E8-E15C-4F7C-A1AA-2C7729A8B3CA}" name="160" dataDxfId="76">
      <calculatedColumnFormula>_xlfn.FLOOR.MATH(CostCalculatorCeramics[[#This Row],[Remain320]]/CostCalculatorCeramics[[#Headers],[160]])</calculatedColumnFormula>
    </tableColumn>
    <tableColumn id="17" xr3:uid="{F28FC8B8-DC55-465C-9C88-DAFA1EB53FD2}" name="Remain160" dataDxfId="75">
      <calculatedColumnFormula>IF(CostCalculatorCeramics[[#This Row],[160]] &gt; 0, CostCalculatorCeramics[[#This Row],[Remain320]]-(CostCalculatorCeramics[[#Headers],[160]] * CostCalculatorCeramics[[#This Row],[160]]), CostCalculatorCeramics[[#This Row],[Remain320]])</calculatedColumnFormula>
    </tableColumn>
    <tableColumn id="11" xr3:uid="{4940BD88-9D6D-4524-A83B-D563C58B4FF1}" name="80" dataDxfId="74">
      <calculatedColumnFormula>_xlfn.FLOOR.MATH(CostCalculatorCeramics[[#This Row],[Remain160]]/CostCalculatorCeramics[[#Headers],[80]])</calculatedColumnFormula>
    </tableColumn>
    <tableColumn id="18" xr3:uid="{BA2350BD-0E98-405A-8BB6-83A9B1F6CF28}" name="Remain80" dataDxfId="73">
      <calculatedColumnFormula>IF(CostCalculatorCeramics[[#This Row],[80]] &gt; 0, CostCalculatorCeramics[[#This Row],[Remain160]]-(CostCalculatorCeramics[[#Headers],[80]] * CostCalculatorCeramics[[#This Row],[80]]), CostCalculatorCeramics[[#This Row],[Remain160]])</calculatedColumnFormula>
    </tableColumn>
    <tableColumn id="12" xr3:uid="{EC32E063-2AAE-42D2-8D93-20C0A8FF80B0}" name="40" dataDxfId="72">
      <calculatedColumnFormula>IF(CostCalculatorCeramics[[#This Row],[Remain80]] &gt; 0, _xlfn.CEILING.MATH(CostCalculatorCeramics[[#This Row],[Remain80]]/CostCalculatorCeramics[[#Headers],[40]]), 0)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764731-F82C-425F-8740-4EC31E05074C}" name="CostCalculatorChemicals" displayName="CostCalculatorChemicals" ref="A1:S2" totalsRowShown="0">
  <autoFilter ref="A1:S2" xr:uid="{3F6BD637-DE49-4905-8D82-B35EFF026BD8}"/>
  <tableColumns count="19">
    <tableColumn id="1" xr3:uid="{A77F7B7F-508C-494F-8AD3-1200A006659A}" name="Name"/>
    <tableColumn id="2" xr3:uid="{CE0A37F7-9D55-48F4-AD00-B1BF972BBFCA}" name="Cost" dataDxfId="71"/>
    <tableColumn id="3" xr3:uid="{92C285EB-00C3-4BFC-AEE6-67B2F26B7E17}" name="Submitted" dataDxfId="70"/>
    <tableColumn id="4" xr3:uid="{96BA1241-8DFB-44B4-85A0-A0DABDF8AC08}" name="Remaining" dataDxfId="69">
      <calculatedColumnFormula>CostCalculatorChemicals[[#This Row],[Cost]]-CostCalculatorChemicals[[#This Row],[Submitted]]</calculatedColumnFormula>
    </tableColumn>
    <tableColumn id="5" xr3:uid="{B8860BBE-E5F5-4EC1-A9DA-9AF5060C59FC}" name="Collected" dataDxfId="68"/>
    <tableColumn id="19" xr3:uid="{0604FCBB-399A-49A3-B714-9EA23DEFB4BC}" name="Delivered" dataDxfId="67"/>
    <tableColumn id="6" xr3:uid="{865B8720-2DA7-4C1E-85B4-772BE36134AF}" name="600" dataDxfId="66">
      <calculatedColumnFormula>_xlfn.FLOOR.MATH(CostCalculatorChemicals[[#This Row],[Remaining]]/CostCalculatorChemicals[[#Headers],[600]])</calculatedColumnFormula>
    </tableColumn>
    <tableColumn id="13" xr3:uid="{98F95843-3B03-428B-B0A5-AEC6040F573D}" name="Remain600" dataDxfId="65">
      <calculatedColumnFormula>IF(CostCalculatorChemicals[[#This Row],[600]] &gt; 0, CostCalculatorChemicals[[#This Row],[Remaining]]-(CostCalculatorChemicals[[#Headers],[600]] * CostCalculatorChemicals[[#This Row],[600]]), CostCalculatorChemicals[[#This Row],[Remaining]])</calculatedColumnFormula>
    </tableColumn>
    <tableColumn id="7" xr3:uid="{93E44FB4-61CA-49FB-940F-F5C2FE075AEC}" name="480" dataDxfId="64">
      <calculatedColumnFormula>_xlfn.FLOOR.MATH(CostCalculatorChemicals[[#This Row],[Remain600]]/CostCalculatorChemicals[[#Headers],[480]])</calculatedColumnFormula>
    </tableColumn>
    <tableColumn id="14" xr3:uid="{8D736A60-2AB3-44A7-83F3-15CAC6773DC8}" name="Remain480" dataDxfId="63">
      <calculatedColumnFormula>IF(CostCalculatorChemicals[[#This Row],[480]] &gt; 0, CostCalculatorChemicals[[#This Row],[Remain600]]-(CostCalculatorChemicals[[#Headers],[480]] * CostCalculatorChemicals[[#This Row],[480]]), CostCalculatorChemicals[[#This Row],[Remain600]])</calculatedColumnFormula>
    </tableColumn>
    <tableColumn id="8" xr3:uid="{1517D3D5-8AE2-47DB-B570-FDACB8ADBDCD}" name="360" dataDxfId="62">
      <calculatedColumnFormula>_xlfn.FLOOR.MATH(CostCalculatorChemicals[[#This Row],[Remain480]]/CostCalculatorChemicals[[#Headers],[360]])</calculatedColumnFormula>
    </tableColumn>
    <tableColumn id="15" xr3:uid="{95E16DEB-68C4-4BC6-96C4-B5850F5FFE4F}" name="Remain360" dataDxfId="61">
      <calculatedColumnFormula>IF(CostCalculatorChemicals[[#This Row],[360]] &gt; 0, CostCalculatorChemicals[[#This Row],[Remain480]]-(CostCalculatorChemicals[[#Headers],[360]] * CostCalculatorChemicals[[#This Row],[360]]), CostCalculatorChemicals[[#This Row],[Remain480]])</calculatedColumnFormula>
    </tableColumn>
    <tableColumn id="9" xr3:uid="{375071FB-06F6-41B8-A327-E0FAEDD2D404}" name="240" dataDxfId="60">
      <calculatedColumnFormula>_xlfn.FLOOR.MATH(CostCalculatorChemicals[[#This Row],[Remain360]]/CostCalculatorChemicals[[#Headers],[240]])</calculatedColumnFormula>
    </tableColumn>
    <tableColumn id="16" xr3:uid="{E1028DAE-F302-4B24-BB5F-C2FEDC10E118}" name="Remain240" dataDxfId="59">
      <calculatedColumnFormula>IF(CostCalculatorChemicals[[#This Row],[240]] &gt; 0, CostCalculatorChemicals[[#This Row],[Remain360]]-(CostCalculatorChemicals[[#Headers],[240]] * CostCalculatorChemicals[[#This Row],[240]]), CostCalculatorChemicals[[#This Row],[Remain360]])</calculatedColumnFormula>
    </tableColumn>
    <tableColumn id="10" xr3:uid="{E9A29597-ECCD-4C9F-8DA6-7DCE9DB6E1A4}" name="120" dataDxfId="58">
      <calculatedColumnFormula>_xlfn.FLOOR.MATH(CostCalculatorChemicals[[#This Row],[Remain240]]/CostCalculatorChemicals[[#Headers],[120]])</calculatedColumnFormula>
    </tableColumn>
    <tableColumn id="17" xr3:uid="{5539614E-667E-471B-8316-650D3976BEC6}" name="Remain120" dataDxfId="57">
      <calculatedColumnFormula>IF(CostCalculatorChemicals[[#This Row],[120]] &gt; 0, CostCalculatorChemicals[[#This Row],[Remain240]]-(CostCalculatorChemicals[[#Headers],[120]] * CostCalculatorChemicals[[#This Row],[120]]), CostCalculatorChemicals[[#This Row],[Remain240]])</calculatedColumnFormula>
    </tableColumn>
    <tableColumn id="11" xr3:uid="{D4F6D1CF-6C54-4A4E-9009-E61481C41027}" name="60" dataDxfId="56">
      <calculatedColumnFormula>_xlfn.FLOOR.MATH(CostCalculatorChemicals[[#This Row],[Remain120]]/CostCalculatorChemicals[[#Headers],[60]])</calculatedColumnFormula>
    </tableColumn>
    <tableColumn id="18" xr3:uid="{74EE4E05-A827-41DB-B888-2082C56C09A5}" name="Remain60" dataDxfId="55">
      <calculatedColumnFormula>IF(CostCalculatorChemicals[[#This Row],[60]] &gt; 0, CostCalculatorChemicals[[#This Row],[Remain120]]-(CostCalculatorChemicals[[#Headers],[60]] * CostCalculatorChemicals[[#This Row],[60]]), CostCalculatorChemicals[[#This Row],[Remain120]])</calculatedColumnFormula>
    </tableColumn>
    <tableColumn id="12" xr3:uid="{AB751960-4D20-45CB-9959-FEF59E7FF947}" name="30" dataDxfId="54">
      <calculatedColumnFormula>IF(CostCalculatorChemicals[[#This Row],[Remain60]] &gt; 0, _xlfn.CEILING.MATH(CostCalculatorChemicals[[#This Row],[Remain60]]/CostCalculatorChemicals[[#Headers],[30]]), 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3EA739-7AEF-4548-A6AB-73EC62444921}" name="CostCalculatorMetals" displayName="CostCalculatorMetals" ref="A1:S2" totalsRowShown="0">
  <autoFilter ref="A1:S2" xr:uid="{3F6BD637-DE49-4905-8D82-B35EFF026BD8}"/>
  <tableColumns count="19">
    <tableColumn id="1" xr3:uid="{3BEF788E-2354-4C85-A06C-9A6570B881BB}" name="Name"/>
    <tableColumn id="2" xr3:uid="{82C83167-4020-4B59-8A94-A431E16C5768}" name="Cost" dataDxfId="53"/>
    <tableColumn id="3" xr3:uid="{B02AE8B8-43F8-4C8C-9F06-FE8737018C81}" name="Submitted" dataDxfId="52"/>
    <tableColumn id="4" xr3:uid="{A58C61D8-C700-4AD4-A7E8-9FAFD1705463}" name="Remaining" dataDxfId="51">
      <calculatedColumnFormula>CostCalculatorMetals[[#This Row],[Cost]]-CostCalculatorMetals[[#This Row],[Submitted]]</calculatedColumnFormula>
    </tableColumn>
    <tableColumn id="5" xr3:uid="{4D79AE12-28D9-42E9-850C-CC0BFF04ADC9}" name="Collected" dataDxfId="50"/>
    <tableColumn id="19" xr3:uid="{A62F81B9-847F-4D30-8A45-338E19AD8A05}" name="Delivered" dataDxfId="49"/>
    <tableColumn id="6" xr3:uid="{F3B89A1E-0DC5-4A9F-A129-ED8BB93EE027}" name="1000" dataDxfId="48">
      <calculatedColumnFormula>_xlfn.FLOOR.MATH(CostCalculatorMetals[[#This Row],[Remaining]]/CostCalculatorMetals[[#Headers],[1000]])</calculatedColumnFormula>
    </tableColumn>
    <tableColumn id="13" xr3:uid="{4ABEEBC7-0526-4E4A-B498-D43BE7F436DD}" name="Remain1000" dataDxfId="47">
      <calculatedColumnFormula>IF(CostCalculatorMetals[[#This Row],[1000]] &gt; 0, CostCalculatorMetals[[#This Row],[Remaining]]-(CostCalculatorMetals[[#Headers],[1000]] * CostCalculatorMetals[[#This Row],[1000]]), CostCalculatorMetals[[#This Row],[Remaining]])</calculatedColumnFormula>
    </tableColumn>
    <tableColumn id="7" xr3:uid="{62E36DA5-80FE-42C6-832F-6DB1CD75B2EA}" name="800" dataDxfId="46">
      <calculatedColumnFormula>_xlfn.FLOOR.MATH(CostCalculatorMetals[[#This Row],[Remain1000]]/CostCalculatorMetals[[#Headers],[800]])</calculatedColumnFormula>
    </tableColumn>
    <tableColumn id="14" xr3:uid="{3DEA2509-DDC9-4478-83B2-740B5BA280CE}" name="Remain800" dataDxfId="45">
      <calculatedColumnFormula>IF(CostCalculatorMetals[[#This Row],[800]] &gt; 0, CostCalculatorMetals[[#This Row],[Remain1000]]-(CostCalculatorMetals[[#Headers],[800]] * CostCalculatorMetals[[#This Row],[800]]), CostCalculatorMetals[[#This Row],[Remain1000]])</calculatedColumnFormula>
    </tableColumn>
    <tableColumn id="8" xr3:uid="{6E52855D-7540-4DE3-9B46-C1EE5DF5007A}" name="600" dataDxfId="44">
      <calculatedColumnFormula>_xlfn.FLOOR.MATH(CostCalculatorMetals[[#This Row],[Remain800]]/CostCalculatorMetals[[#Headers],[600]])</calculatedColumnFormula>
    </tableColumn>
    <tableColumn id="15" xr3:uid="{D31AA123-5A88-487C-9D84-98889B78998B}" name="Remain600" dataDxfId="43">
      <calculatedColumnFormula>IF(CostCalculatorMetals[[#This Row],[600]] &gt; 0, CostCalculatorMetals[[#This Row],[Remain800]]-(CostCalculatorMetals[[#Headers],[600]] * CostCalculatorMetals[[#This Row],[600]]), CostCalculatorMetals[[#This Row],[Remain800]])</calculatedColumnFormula>
    </tableColumn>
    <tableColumn id="9" xr3:uid="{B4B394A0-AB0D-4C9E-A321-AAB0DCB2E86F}" name="400" dataDxfId="42">
      <calculatedColumnFormula>_xlfn.FLOOR.MATH(CostCalculatorMetals[[#This Row],[Remain600]]/CostCalculatorMetals[[#Headers],[400]])</calculatedColumnFormula>
    </tableColumn>
    <tableColumn id="16" xr3:uid="{BCEA4A89-60B2-4082-8F8C-DEC550A7F306}" name="Remain400" dataDxfId="41">
      <calculatedColumnFormula>IF(CostCalculatorMetals[[#This Row],[400]] &gt; 0, CostCalculatorMetals[[#This Row],[Remain600]]-(CostCalculatorMetals[[#Headers],[400]] * CostCalculatorMetals[[#This Row],[400]]), CostCalculatorMetals[[#This Row],[Remain600]])</calculatedColumnFormula>
    </tableColumn>
    <tableColumn id="10" xr3:uid="{5E052C1C-9F5B-4639-84F5-89479C685913}" name="200" dataDxfId="40">
      <calculatedColumnFormula>_xlfn.FLOOR.MATH(CostCalculatorMetals[[#This Row],[Remain400]]/CostCalculatorMetals[[#Headers],[200]])</calculatedColumnFormula>
    </tableColumn>
    <tableColumn id="17" xr3:uid="{7E4A39AA-AD38-4EF2-8D14-7E0417D19247}" name="Remain200" dataDxfId="39">
      <calculatedColumnFormula>IF(CostCalculatorMetals[[#This Row],[200]] &gt; 0, CostCalculatorMetals[[#This Row],[Remain400]]-(CostCalculatorMetals[[#Headers],[200]] * CostCalculatorMetals[[#This Row],[200]]), CostCalculatorMetals[[#This Row],[Remain400]])</calculatedColumnFormula>
    </tableColumn>
    <tableColumn id="11" xr3:uid="{9DFA46D1-FC0D-4F9A-A8FD-6822F5CB0FAE}" name="100" dataDxfId="38">
      <calculatedColumnFormula>_xlfn.FLOOR.MATH(CostCalculatorMetals[[#This Row],[Remain200]]/CostCalculatorMetals[[#Headers],[100]])</calculatedColumnFormula>
    </tableColumn>
    <tableColumn id="18" xr3:uid="{ABB27B1B-375A-4BDE-8AEA-33F5F10C8EA3}" name="Remain100" dataDxfId="37">
      <calculatedColumnFormula>IF(CostCalculatorMetals[[#This Row],[100]] &gt; 0, CostCalculatorMetals[[#This Row],[Remain200]]-(CostCalculatorMetals[[#Headers],[100]] * CostCalculatorMetals[[#This Row],[100]]), CostCalculatorMetals[[#This Row],[Remain200]])</calculatedColumnFormula>
    </tableColumn>
    <tableColumn id="12" xr3:uid="{6CA86911-93F6-4F5A-A626-ABE9DE918DE0}" name="50" dataDxfId="36">
      <calculatedColumnFormula>IF(CostCalculatorMetals[[#This Row],[Remain100]] &gt; 0, _xlfn.CEILING.MATH(CostCalculatorMetals[[#This Row],[Remain100]]/CostCalculatorMetals[[#Headers],[50]]), 0)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384807-3205-48A6-BE20-901662EBA329}" name="CostCalculatorResins" displayName="CostCalculatorResins" ref="A1:S2" totalsRowShown="0">
  <autoFilter ref="A1:S2" xr:uid="{3F6BD637-DE49-4905-8D82-B35EFF026BD8}"/>
  <tableColumns count="19">
    <tableColumn id="1" xr3:uid="{932E1B65-3B84-42B0-B64B-996F74781FE8}" name="Name"/>
    <tableColumn id="2" xr3:uid="{CA8E345D-F23D-4CEB-BD2E-8A6FC0092579}" name="Cost" dataDxfId="35"/>
    <tableColumn id="3" xr3:uid="{AE5CA599-3051-413B-ACDD-6D78CCAFA35E}" name="Submitted" dataDxfId="34"/>
    <tableColumn id="4" xr3:uid="{060FE6E0-0FEF-4E89-9155-707C0D9B514C}" name="Remaining" dataDxfId="33">
      <calculatedColumnFormula>CostCalculatorResins[[#This Row],[Cost]]-CostCalculatorResins[[#This Row],[Submitted]]</calculatedColumnFormula>
    </tableColumn>
    <tableColumn id="5" xr3:uid="{A3497E8A-4F10-4520-A001-1442C0B541AF}" name="Collected" dataDxfId="32"/>
    <tableColumn id="19" xr3:uid="{8DAE38F1-09A4-4598-A55D-13EF92A73288}" name="Delivered" dataDxfId="31"/>
    <tableColumn id="6" xr3:uid="{0DA505AA-2572-4CB5-BFA8-4D4241A25E3A}" name="800" dataDxfId="30">
      <calculatedColumnFormula>_xlfn.FLOOR.MATH(CostCalculatorResins[[#This Row],[Remaining]]/CostCalculatorResins[[#Headers],[800]])</calculatedColumnFormula>
    </tableColumn>
    <tableColumn id="13" xr3:uid="{0250FD10-21B2-4D06-A9D5-484C7992C319}" name="Remain800" dataDxfId="29">
      <calculatedColumnFormula>IF(CostCalculatorResins[[#This Row],[800]] &gt; 0, CostCalculatorResins[[#This Row],[Remaining]]-(CostCalculatorResins[[#Headers],[800]] * CostCalculatorResins[[#This Row],[800]]), CostCalculatorResins[[#This Row],[Remaining]])</calculatedColumnFormula>
    </tableColumn>
    <tableColumn id="7" xr3:uid="{A09FFB38-F1CE-46AB-89EF-C3E6E0008F0D}" name="640" dataDxfId="28">
      <calculatedColumnFormula>_xlfn.FLOOR.MATH(CostCalculatorResins[[#This Row],[Remain800]]/CostCalculatorResins[[#Headers],[640]])</calculatedColumnFormula>
    </tableColumn>
    <tableColumn id="14" xr3:uid="{F71765C4-8B1F-454B-A20F-BCB5959698B8}" name="Remain640" dataDxfId="27">
      <calculatedColumnFormula>IF(CostCalculatorResins[[#This Row],[640]] &gt; 0, CostCalculatorResins[[#This Row],[Remain800]]-(CostCalculatorResins[[#Headers],[640]] * CostCalculatorResins[[#This Row],[640]]), CostCalculatorResins[[#This Row],[Remain800]])</calculatedColumnFormula>
    </tableColumn>
    <tableColumn id="8" xr3:uid="{B87FE129-8E88-452D-986F-E875CD384DE9}" name="480" dataDxfId="26">
      <calculatedColumnFormula>_xlfn.FLOOR.MATH(CostCalculatorResins[[#This Row],[Remain640]]/CostCalculatorResins[[#Headers],[480]])</calculatedColumnFormula>
    </tableColumn>
    <tableColumn id="15" xr3:uid="{574D7895-650B-479D-8B0E-2A277FD60E1D}" name="Remain480" dataDxfId="25">
      <calculatedColumnFormula>IF(CostCalculatorResins[[#This Row],[480]] &gt; 0, CostCalculatorResins[[#This Row],[Remain640]]-(CostCalculatorResins[[#Headers],[480]] * CostCalculatorResins[[#This Row],[480]]), CostCalculatorResins[[#This Row],[Remain640]])</calculatedColumnFormula>
    </tableColumn>
    <tableColumn id="9" xr3:uid="{B9831695-EF2B-491B-AB69-F666DFF218EB}" name="320" dataDxfId="24">
      <calculatedColumnFormula>_xlfn.FLOOR.MATH(CostCalculatorResins[[#This Row],[Remain480]]/CostCalculatorResins[[#Headers],[320]])</calculatedColumnFormula>
    </tableColumn>
    <tableColumn id="16" xr3:uid="{9318170D-B2D2-4696-B3A9-9CE27C0053FB}" name="Remain320" dataDxfId="23">
      <calculatedColumnFormula>IF(CostCalculatorResins[[#This Row],[320]] &gt; 0, CostCalculatorResins[[#This Row],[Remain480]]-(CostCalculatorResins[[#Headers],[320]] * CostCalculatorResins[[#This Row],[320]]), CostCalculatorResins[[#This Row],[Remain480]])</calculatedColumnFormula>
    </tableColumn>
    <tableColumn id="10" xr3:uid="{D3CA2B3A-D29D-4A0B-AF77-8D5BF46F07AB}" name="160" dataDxfId="22">
      <calculatedColumnFormula>_xlfn.FLOOR.MATH(CostCalculatorResins[[#This Row],[Remain320]]/CostCalculatorResins[[#Headers],[160]])</calculatedColumnFormula>
    </tableColumn>
    <tableColumn id="17" xr3:uid="{698694FC-C171-475B-B2E1-322183D9DD19}" name="Remain160" dataDxfId="21">
      <calculatedColumnFormula>IF(CostCalculatorResins[[#This Row],[160]] &gt; 0, CostCalculatorResins[[#This Row],[Remain320]]-(CostCalculatorResins[[#Headers],[160]] * CostCalculatorResins[[#This Row],[160]]), CostCalculatorResins[[#This Row],[Remain320]])</calculatedColumnFormula>
    </tableColumn>
    <tableColumn id="11" xr3:uid="{108C73C5-4C90-48FC-9BD4-5BAF1F64C42D}" name="80" dataDxfId="20">
      <calculatedColumnFormula>_xlfn.FLOOR.MATH(CostCalculatorResins[[#This Row],[Remain160]]/CostCalculatorResins[[#Headers],[80]])</calculatedColumnFormula>
    </tableColumn>
    <tableColumn id="18" xr3:uid="{83CF0B84-9787-4943-9A1D-494891BF3637}" name="Remain80" dataDxfId="19">
      <calculatedColumnFormula>IF(CostCalculatorResins[[#This Row],[80]] &gt; 0, CostCalculatorResins[[#This Row],[Remain160]]-(CostCalculatorResins[[#Headers],[80]] * CostCalculatorResins[[#This Row],[80]]), CostCalculatorResins[[#This Row],[Remain160]])</calculatedColumnFormula>
    </tableColumn>
    <tableColumn id="12" xr3:uid="{A8DB54F9-35D4-4D75-BC48-DF98DDC2C5E5}" name="40" dataDxfId="18">
      <calculatedColumnFormula>IF(CostCalculatorResins[[#This Row],[Remain80]] &gt; 0, _xlfn.CEILING.MATH(CostCalculatorResins[[#This Row],[Remain80]]/CostCalculatorResins[[#Headers],[40]]), 0)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72FDA9-93F8-4A1B-966F-F6AE8F92E274}" name="CostCalculatorSpecialAlloys" displayName="CostCalculatorSpecialAlloys" ref="A1:S2" totalsRowShown="0">
  <autoFilter ref="A1:S2" xr:uid="{3F6BD637-DE49-4905-8D82-B35EFF026BD8}"/>
  <tableColumns count="19">
    <tableColumn id="1" xr3:uid="{0DADA9D2-8D66-4B18-B8B8-1EB5FAADA0C3}" name="Name"/>
    <tableColumn id="2" xr3:uid="{A0D6DDB9-8F19-4C41-9346-170E0C3F7C8A}" name="Cost" dataDxfId="17"/>
    <tableColumn id="3" xr3:uid="{1CE9E8E5-F5D8-4D6A-87EB-930F0DB244FC}" name="Submitted" dataDxfId="16"/>
    <tableColumn id="4" xr3:uid="{A35FD39F-03E7-403F-98BE-948E07A402C3}" name="Remaining" dataDxfId="15">
      <calculatedColumnFormula>CostCalculatorSpecialAlloys[[#This Row],[Cost]]-CostCalculatorSpecialAlloys[[#This Row],[Submitted]]</calculatedColumnFormula>
    </tableColumn>
    <tableColumn id="5" xr3:uid="{EDEE4ACA-CEF7-41BF-A614-0697C5E09D26}" name="Collected" dataDxfId="14"/>
    <tableColumn id="19" xr3:uid="{B0025FA8-5B6A-4913-B6FC-DF4542B26AAA}" name="Delivered" dataDxfId="13"/>
    <tableColumn id="6" xr3:uid="{A1E20287-C2EC-4591-94F4-5CB345ADA08F}" name="1200" dataDxfId="12">
      <calculatedColumnFormula>_xlfn.FLOOR.MATH(CostCalculatorSpecialAlloys[[#This Row],[Remaining]]/CostCalculatorSpecialAlloys[[#Headers],[1200]])</calculatedColumnFormula>
    </tableColumn>
    <tableColumn id="13" xr3:uid="{C3EA41EF-1EF0-4987-9505-0DF8EE2E1C6A}" name="Remain1200" dataDxfId="11">
      <calculatedColumnFormula>IF(CostCalculatorSpecialAlloys[[#This Row],[1200]] &gt; 0, CostCalculatorSpecialAlloys[[#This Row],[Remaining]]-(CostCalculatorSpecialAlloys[[#Headers],[1200]] * CostCalculatorSpecialAlloys[[#This Row],[1200]]), CostCalculatorSpecialAlloys[[#This Row],[Remaining]])</calculatedColumnFormula>
    </tableColumn>
    <tableColumn id="7" xr3:uid="{AE4D8943-DAF5-4244-AF7A-61160A55A96C}" name="960" dataDxfId="10">
      <calculatedColumnFormula>_xlfn.FLOOR.MATH(CostCalculatorSpecialAlloys[[#This Row],[Remain1200]]/CostCalculatorSpecialAlloys[[#Headers],[960]])</calculatedColumnFormula>
    </tableColumn>
    <tableColumn id="14" xr3:uid="{C2FF662E-3AB1-4833-AEA7-6358EEAA1996}" name="Remain960" dataDxfId="9">
      <calculatedColumnFormula>IF(CostCalculatorSpecialAlloys[[#This Row],[960]] &gt; 0, CostCalculatorSpecialAlloys[[#This Row],[Remain1200]]-(CostCalculatorSpecialAlloys[[#Headers],[960]] * CostCalculatorSpecialAlloys[[#This Row],[960]]), CostCalculatorSpecialAlloys[[#This Row],[Remain1200]])</calculatedColumnFormula>
    </tableColumn>
    <tableColumn id="8" xr3:uid="{42FB1322-8140-46EB-B05B-5E1F443D257B}" name="720" dataDxfId="8">
      <calculatedColumnFormula>_xlfn.FLOOR.MATH(CostCalculatorSpecialAlloys[[#This Row],[Remain960]]/CostCalculatorSpecialAlloys[[#Headers],[720]])</calculatedColumnFormula>
    </tableColumn>
    <tableColumn id="15" xr3:uid="{29CFC43B-1F43-44A6-BE9C-A3385331783B}" name="Remain720" dataDxfId="7">
      <calculatedColumnFormula>IF(CostCalculatorSpecialAlloys[[#This Row],[720]] &gt; 0, CostCalculatorSpecialAlloys[[#This Row],[Remain960]]-(CostCalculatorSpecialAlloys[[#Headers],[720]] * CostCalculatorSpecialAlloys[[#This Row],[720]]), CostCalculatorSpecialAlloys[[#This Row],[Remain960]])</calculatedColumnFormula>
    </tableColumn>
    <tableColumn id="9" xr3:uid="{D4E4F9EC-D73F-49E2-8C74-B5618C57632A}" name="480" dataDxfId="6">
      <calculatedColumnFormula>_xlfn.FLOOR.MATH(CostCalculatorSpecialAlloys[[#This Row],[Remain720]]/CostCalculatorSpecialAlloys[[#Headers],[480]])</calculatedColumnFormula>
    </tableColumn>
    <tableColumn id="16" xr3:uid="{F1B2C5CE-5ABA-4191-9D40-676DED44BE8E}" name="Remain480" dataDxfId="5">
      <calculatedColumnFormula>IF(CostCalculatorSpecialAlloys[[#This Row],[480]] &gt; 0, CostCalculatorSpecialAlloys[[#This Row],[Remain720]]-(CostCalculatorSpecialAlloys[[#Headers],[480]] * CostCalculatorSpecialAlloys[[#This Row],[480]]), CostCalculatorSpecialAlloys[[#This Row],[Remain720]])</calculatedColumnFormula>
    </tableColumn>
    <tableColumn id="10" xr3:uid="{6958EF9E-013F-4052-B38B-8DF2A6F40CFF}" name="240" dataDxfId="4">
      <calculatedColumnFormula>_xlfn.FLOOR.MATH(CostCalculatorSpecialAlloys[[#This Row],[Remain480]]/CostCalculatorSpecialAlloys[[#Headers],[240]])</calculatedColumnFormula>
    </tableColumn>
    <tableColumn id="17" xr3:uid="{C991DFF3-2644-42BC-9D31-A4CED66F6219}" name="Remain240" dataDxfId="3">
      <calculatedColumnFormula>IF(CostCalculatorSpecialAlloys[[#This Row],[240]] &gt; 0, CostCalculatorSpecialAlloys[[#This Row],[Remain480]]-(CostCalculatorSpecialAlloys[[#Headers],[240]] * CostCalculatorSpecialAlloys[[#This Row],[240]]), CostCalculatorSpecialAlloys[[#This Row],[Remain480]])</calculatedColumnFormula>
    </tableColumn>
    <tableColumn id="11" xr3:uid="{2ED3465D-286E-4CE7-B593-48A33667BA31}" name="120" dataDxfId="2">
      <calculatedColumnFormula>_xlfn.FLOOR.MATH(CostCalculatorSpecialAlloys[[#This Row],[Remain240]]/CostCalculatorSpecialAlloys[[#Headers],[120]])</calculatedColumnFormula>
    </tableColumn>
    <tableColumn id="18" xr3:uid="{E55E3986-510F-4D28-B5B6-A368D1DE3B2E}" name="Remain120" dataDxfId="1">
      <calculatedColumnFormula>IF(CostCalculatorSpecialAlloys[[#This Row],[120]] &gt; 0, CostCalculatorSpecialAlloys[[#This Row],[Remain240]]-(CostCalculatorSpecialAlloys[[#Headers],[120]] * CostCalculatorSpecialAlloys[[#This Row],[120]]), CostCalculatorSpecialAlloys[[#This Row],[Remain240]])</calculatedColumnFormula>
    </tableColumn>
    <tableColumn id="12" xr3:uid="{B66EB791-B07A-4E16-B44D-68C5DCA4270B}" name="60" dataDxfId="0">
      <calculatedColumnFormula>IF(CostCalculatorSpecialAlloys[[#This Row],[Remain120]] &gt; 0, _xlfn.CEILING.MATH(CostCalculatorSpecialAlloys[[#This Row],[Remain120]]/CostCalculatorSpecialAlloys[[#Headers],[60]]), 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CD68-5570-4AFC-B1C4-682D632C2038}">
  <sheetPr codeName="Sheet1"/>
  <dimension ref="A1:F3"/>
  <sheetViews>
    <sheetView workbookViewId="0">
      <selection activeCell="A4" sqref="A4"/>
    </sheetView>
  </sheetViews>
  <sheetFormatPr defaultRowHeight="15" x14ac:dyDescent="0.25"/>
  <cols>
    <col min="1" max="1" width="14.85546875" bestFit="1" customWidth="1"/>
    <col min="2" max="2" width="9" bestFit="1" customWidth="1"/>
    <col min="3" max="3" width="10" bestFit="1" customWidth="1"/>
    <col min="4" max="4" width="7" bestFit="1" customWidth="1"/>
    <col min="5" max="5" width="6.7109375" bestFit="1" customWidth="1"/>
    <col min="6" max="6" width="13.28515625" bestFit="1" customWidth="1"/>
  </cols>
  <sheetData>
    <row r="1" spans="1:6" x14ac:dyDescent="0.25">
      <c r="A1" s="2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 t="s">
        <v>23</v>
      </c>
      <c r="B2" t="s">
        <v>24</v>
      </c>
      <c r="C2" t="s">
        <v>25</v>
      </c>
    </row>
    <row r="3" spans="1:6" x14ac:dyDescent="0.25">
      <c r="A3" s="2" t="s">
        <v>51</v>
      </c>
      <c r="B3" t="b">
        <v>0</v>
      </c>
      <c r="C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E908-7294-4A9F-9037-849BE1EB3E7B}">
  <sheetPr codeName="Sheet7"/>
  <dimension ref="A1:S2"/>
  <sheetViews>
    <sheetView workbookViewId="0">
      <selection activeCell="F2" sqref="F2"/>
    </sheetView>
  </sheetViews>
  <sheetFormatPr defaultRowHeight="15" x14ac:dyDescent="0.25"/>
  <cols>
    <col min="3" max="3" width="12.42578125" customWidth="1"/>
    <col min="4" max="4" width="12.5703125" customWidth="1"/>
    <col min="5" max="5" width="11.42578125" bestFit="1" customWidth="1"/>
    <col min="6" max="6" width="13.140625" bestFit="1" customWidth="1"/>
    <col min="7" max="7" width="13.28515625" bestFit="1" customWidth="1"/>
    <col min="8" max="8" width="13.28515625" customWidth="1"/>
    <col min="10" max="10" width="13" customWidth="1"/>
    <col min="12" max="12" width="13" customWidth="1"/>
    <col min="14" max="14" width="13" customWidth="1"/>
    <col min="16" max="16" width="13" customWidth="1"/>
    <col min="18" max="18" width="12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52</v>
      </c>
      <c r="F1" t="s">
        <v>53</v>
      </c>
      <c r="G1" t="s">
        <v>10</v>
      </c>
      <c r="H1" t="s">
        <v>17</v>
      </c>
      <c r="I1" t="s">
        <v>11</v>
      </c>
      <c r="J1" t="s">
        <v>18</v>
      </c>
      <c r="K1" t="s">
        <v>12</v>
      </c>
      <c r="L1" t="s">
        <v>19</v>
      </c>
      <c r="M1" t="s">
        <v>13</v>
      </c>
      <c r="N1" t="s">
        <v>20</v>
      </c>
      <c r="O1" t="s">
        <v>14</v>
      </c>
      <c r="P1" t="s">
        <v>21</v>
      </c>
      <c r="Q1" t="s">
        <v>15</v>
      </c>
      <c r="R1" t="s">
        <v>22</v>
      </c>
      <c r="S1" t="s">
        <v>16</v>
      </c>
    </row>
    <row r="2" spans="1:19" x14ac:dyDescent="0.25">
      <c r="A2" t="s">
        <v>55</v>
      </c>
      <c r="B2" s="1">
        <v>1920</v>
      </c>
      <c r="C2" s="1">
        <v>200</v>
      </c>
      <c r="D2" s="1">
        <f>CostCalculatorTemplate[[#This Row],[Cost]]-CostCalculatorTemplate[[#This Row],[Submitted]]</f>
        <v>1720</v>
      </c>
      <c r="E2" s="1" t="b">
        <v>1</v>
      </c>
      <c r="F2" s="1" t="b">
        <v>0</v>
      </c>
      <c r="G2" s="1">
        <f>_xlfn.FLOOR.MATH(CostCalculatorTemplate[[#This Row],[Remaining]]/CostCalculatorTemplate[[#Headers],[800]])</f>
        <v>2</v>
      </c>
      <c r="H2" s="1">
        <f>IF(CostCalculatorTemplate[[#This Row],[800]] &gt; 0, CostCalculatorTemplate[[#This Row],[Remaining]]-(CostCalculatorTemplate[[#Headers],[800]] * CostCalculatorTemplate[[#This Row],[800]]), CostCalculatorTemplate[[#This Row],[Remaining]])</f>
        <v>120</v>
      </c>
      <c r="I2" s="1">
        <f>_xlfn.FLOOR.MATH(CostCalculatorTemplate[[#This Row],[Remain800]]/CostCalculatorTemplate[[#Headers],[640]])</f>
        <v>0</v>
      </c>
      <c r="J2" s="1">
        <f>IF(CostCalculatorTemplate[[#This Row],[640]] &gt; 0, CostCalculatorTemplate[[#This Row],[Remain800]]-(CostCalculatorTemplate[[#Headers],[640]] * CostCalculatorTemplate[[#This Row],[640]]), CostCalculatorTemplate[[#This Row],[Remain800]])</f>
        <v>120</v>
      </c>
      <c r="K2" s="1">
        <f>_xlfn.FLOOR.MATH(CostCalculatorTemplate[[#This Row],[Remain640]]/CostCalculatorTemplate[[#Headers],[480]])</f>
        <v>0</v>
      </c>
      <c r="L2" s="1">
        <f>IF(CostCalculatorTemplate[[#This Row],[480]] &gt; 0, CostCalculatorTemplate[[#This Row],[Remain640]]-(CostCalculatorTemplate[[#Headers],[480]] * CostCalculatorTemplate[[#This Row],[480]]), CostCalculatorTemplate[[#This Row],[Remain640]])</f>
        <v>120</v>
      </c>
      <c r="M2" s="1">
        <f>_xlfn.FLOOR.MATH(CostCalculatorTemplate[[#This Row],[Remain480]]/CostCalculatorTemplate[[#Headers],[320]])</f>
        <v>0</v>
      </c>
      <c r="N2" s="1">
        <f>IF(CostCalculatorTemplate[[#This Row],[320]] &gt; 0, CostCalculatorTemplate[[#This Row],[Remain480]]-(CostCalculatorTemplate[[#Headers],[320]] * CostCalculatorTemplate[[#This Row],[320]]), CostCalculatorTemplate[[#This Row],[Remain480]])</f>
        <v>120</v>
      </c>
      <c r="O2" s="1">
        <f>_xlfn.FLOOR.MATH(CostCalculatorTemplate[[#This Row],[Remain320]]/CostCalculatorTemplate[[#Headers],[160]])</f>
        <v>0</v>
      </c>
      <c r="P2" s="1">
        <f>IF(CostCalculatorTemplate[[#This Row],[160]] &gt; 0, CostCalculatorTemplate[[#This Row],[Remain320]]-(CostCalculatorTemplate[[#Headers],[160]] * CostCalculatorTemplate[[#This Row],[160]]), CostCalculatorTemplate[[#This Row],[Remain320]])</f>
        <v>120</v>
      </c>
      <c r="Q2" s="1">
        <f>_xlfn.FLOOR.MATH(CostCalculatorTemplate[[#This Row],[Remain160]]/CostCalculatorTemplate[[#Headers],[80]])</f>
        <v>1</v>
      </c>
      <c r="R2" s="1">
        <f>IF(CostCalculatorTemplate[[#This Row],[80]] &gt; 0, CostCalculatorTemplate[[#This Row],[Remain160]]-(CostCalculatorTemplate[[#Headers],[80]] * CostCalculatorTemplate[[#This Row],[80]]), CostCalculatorTemplate[[#This Row],[Remain160]])</f>
        <v>40</v>
      </c>
      <c r="S2" s="1">
        <f>IF(CostCalculatorTemplate[[#This Row],[Remain80]] &gt; 0, _xlfn.CEILING.MATH(CostCalculatorTemplate[[#This Row],[Remain80]]/CostCalculatorTemplate[[#Headers],[40]]), 0)</f>
        <v>1</v>
      </c>
    </row>
  </sheetData>
  <phoneticPr fontId="1" alignment="center"/>
  <dataValidations count="1">
    <dataValidation type="list" allowBlank="1" showInputMessage="1" showErrorMessage="1" sqref="F2 E2" xr:uid="{58E5ECCF-865B-4FDE-AF90-A5950C04F111}">
      <formula1>BooleanValues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E784-6636-48FE-82A6-C60CA34A77C7}">
  <dimension ref="A1:S2"/>
  <sheetViews>
    <sheetView tabSelected="1" workbookViewId="0">
      <selection activeCell="A2" sqref="A2"/>
    </sheetView>
  </sheetViews>
  <sheetFormatPr defaultRowHeight="15" x14ac:dyDescent="0.25"/>
  <cols>
    <col min="3" max="3" width="12.42578125" customWidth="1"/>
    <col min="4" max="4" width="12.5703125" customWidth="1"/>
    <col min="5" max="5" width="11.42578125" bestFit="1" customWidth="1"/>
    <col min="6" max="6" width="13.140625" bestFit="1" customWidth="1"/>
    <col min="7" max="7" width="13.28515625" bestFit="1" customWidth="1"/>
    <col min="8" max="8" width="13.28515625" hidden="1" customWidth="1"/>
    <col min="10" max="10" width="13" hidden="1" customWidth="1"/>
    <col min="12" max="12" width="13" hidden="1" customWidth="1"/>
    <col min="14" max="14" width="13" hidden="1" customWidth="1"/>
    <col min="16" max="16" width="13" hidden="1" customWidth="1"/>
    <col min="18" max="18" width="12" hidden="1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52</v>
      </c>
      <c r="F1" t="s">
        <v>53</v>
      </c>
      <c r="G1" t="s">
        <v>10</v>
      </c>
      <c r="H1" t="s">
        <v>17</v>
      </c>
      <c r="I1" t="s">
        <v>11</v>
      </c>
      <c r="J1" t="s">
        <v>18</v>
      </c>
      <c r="K1" t="s">
        <v>12</v>
      </c>
      <c r="L1" t="s">
        <v>19</v>
      </c>
      <c r="M1" t="s">
        <v>13</v>
      </c>
      <c r="N1" t="s">
        <v>20</v>
      </c>
      <c r="O1" t="s">
        <v>14</v>
      </c>
      <c r="P1" t="s">
        <v>21</v>
      </c>
      <c r="Q1" t="s">
        <v>15</v>
      </c>
      <c r="R1" t="s">
        <v>22</v>
      </c>
      <c r="S1" t="s">
        <v>16</v>
      </c>
    </row>
    <row r="2" spans="1:19" x14ac:dyDescent="0.25">
      <c r="A2" t="s">
        <v>55</v>
      </c>
      <c r="B2" s="1">
        <v>1920</v>
      </c>
      <c r="C2" s="1">
        <v>200</v>
      </c>
      <c r="D2" s="1">
        <f>CostCalculatorCeramics[[#This Row],[Cost]]-CostCalculatorCeramics[[#This Row],[Submitted]]</f>
        <v>1720</v>
      </c>
      <c r="E2" s="1" t="b">
        <v>1</v>
      </c>
      <c r="F2" s="1" t="b">
        <v>0</v>
      </c>
      <c r="G2" s="1">
        <f>_xlfn.FLOOR.MATH(CostCalculatorCeramics[[#This Row],[Remaining]]/CostCalculatorCeramics[[#Headers],[800]])</f>
        <v>2</v>
      </c>
      <c r="H2" s="1">
        <f>IF(CostCalculatorCeramics[[#This Row],[800]] &gt; 0, CostCalculatorCeramics[[#This Row],[Remaining]]-(CostCalculatorCeramics[[#Headers],[800]] * CostCalculatorCeramics[[#This Row],[800]]), CostCalculatorCeramics[[#This Row],[Remaining]])</f>
        <v>120</v>
      </c>
      <c r="I2" s="1">
        <f>_xlfn.FLOOR.MATH(CostCalculatorCeramics[[#This Row],[Remain800]]/CostCalculatorCeramics[[#Headers],[640]])</f>
        <v>0</v>
      </c>
      <c r="J2" s="1">
        <f>IF(CostCalculatorCeramics[[#This Row],[640]] &gt; 0, CostCalculatorCeramics[[#This Row],[Remain800]]-(CostCalculatorCeramics[[#Headers],[640]] * CostCalculatorCeramics[[#This Row],[640]]), CostCalculatorCeramics[[#This Row],[Remain800]])</f>
        <v>120</v>
      </c>
      <c r="K2" s="1">
        <f>_xlfn.FLOOR.MATH(CostCalculatorCeramics[[#This Row],[Remain640]]/CostCalculatorCeramics[[#Headers],[480]])</f>
        <v>0</v>
      </c>
      <c r="L2" s="1">
        <f>IF(CostCalculatorCeramics[[#This Row],[480]] &gt; 0, CostCalculatorCeramics[[#This Row],[Remain640]]-(CostCalculatorCeramics[[#Headers],[480]] * CostCalculatorCeramics[[#This Row],[480]]), CostCalculatorCeramics[[#This Row],[Remain640]])</f>
        <v>120</v>
      </c>
      <c r="M2" s="1">
        <f>_xlfn.FLOOR.MATH(CostCalculatorCeramics[[#This Row],[Remain480]]/CostCalculatorCeramics[[#Headers],[320]])</f>
        <v>0</v>
      </c>
      <c r="N2" s="1">
        <f>IF(CostCalculatorCeramics[[#This Row],[320]] &gt; 0, CostCalculatorCeramics[[#This Row],[Remain480]]-(CostCalculatorCeramics[[#Headers],[320]] * CostCalculatorCeramics[[#This Row],[320]]), CostCalculatorCeramics[[#This Row],[Remain480]])</f>
        <v>120</v>
      </c>
      <c r="O2" s="1">
        <f>_xlfn.FLOOR.MATH(CostCalculatorCeramics[[#This Row],[Remain320]]/CostCalculatorCeramics[[#Headers],[160]])</f>
        <v>0</v>
      </c>
      <c r="P2" s="1">
        <f>IF(CostCalculatorCeramics[[#This Row],[160]] &gt; 0, CostCalculatorCeramics[[#This Row],[Remain320]]-(CostCalculatorCeramics[[#Headers],[160]] * CostCalculatorCeramics[[#This Row],[160]]), CostCalculatorCeramics[[#This Row],[Remain320]])</f>
        <v>120</v>
      </c>
      <c r="Q2" s="1">
        <f>_xlfn.FLOOR.MATH(CostCalculatorCeramics[[#This Row],[Remain160]]/CostCalculatorCeramics[[#Headers],[80]])</f>
        <v>1</v>
      </c>
      <c r="R2" s="1">
        <f>IF(CostCalculatorCeramics[[#This Row],[80]] &gt; 0, CostCalculatorCeramics[[#This Row],[Remain160]]-(CostCalculatorCeramics[[#Headers],[80]] * CostCalculatorCeramics[[#This Row],[80]]), CostCalculatorCeramics[[#This Row],[Remain160]])</f>
        <v>40</v>
      </c>
      <c r="S2" s="1">
        <f>IF(CostCalculatorCeramics[[#This Row],[Remain80]] &gt; 0, _xlfn.CEILING.MATH(CostCalculatorCeramics[[#This Row],[Remain80]]/CostCalculatorCeramics[[#Headers],[40]]), 0)</f>
        <v>1</v>
      </c>
    </row>
  </sheetData>
  <dataValidations count="1">
    <dataValidation type="list" allowBlank="1" showInputMessage="1" showErrorMessage="1" sqref="E2:F2" xr:uid="{A504ECB3-E0D9-4E9A-AA2C-05AEB1D32B37}">
      <formula1>BooleanValues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B3FF-4971-4B64-872B-889FF693888D}">
  <dimension ref="A1:S2"/>
  <sheetViews>
    <sheetView workbookViewId="0">
      <selection activeCell="A2" sqref="A2"/>
    </sheetView>
  </sheetViews>
  <sheetFormatPr defaultRowHeight="15" x14ac:dyDescent="0.25"/>
  <cols>
    <col min="3" max="3" width="12.42578125" customWidth="1"/>
    <col min="4" max="4" width="12.5703125" customWidth="1"/>
    <col min="5" max="5" width="11.42578125" bestFit="1" customWidth="1"/>
    <col min="6" max="6" width="13.140625" bestFit="1" customWidth="1"/>
    <col min="7" max="7" width="13.28515625" bestFit="1" customWidth="1"/>
    <col min="8" max="8" width="13.28515625" hidden="1" customWidth="1"/>
    <col min="10" max="10" width="13" hidden="1" customWidth="1"/>
    <col min="12" max="12" width="13" hidden="1" customWidth="1"/>
    <col min="14" max="14" width="13" hidden="1" customWidth="1"/>
    <col min="16" max="16" width="13" hidden="1" customWidth="1"/>
    <col min="18" max="18" width="12" hidden="1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52</v>
      </c>
      <c r="F1" t="s">
        <v>53</v>
      </c>
      <c r="G1" t="s">
        <v>28</v>
      </c>
      <c r="H1" t="s">
        <v>29</v>
      </c>
      <c r="I1" t="s">
        <v>12</v>
      </c>
      <c r="J1" t="s">
        <v>19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54</v>
      </c>
    </row>
    <row r="2" spans="1:19" x14ac:dyDescent="0.25">
      <c r="A2" t="s">
        <v>55</v>
      </c>
      <c r="B2" s="1">
        <v>1920</v>
      </c>
      <c r="C2" s="1">
        <v>200</v>
      </c>
      <c r="D2" s="1">
        <f>CostCalculatorChemicals[[#This Row],[Cost]]-CostCalculatorChemicals[[#This Row],[Submitted]]</f>
        <v>1720</v>
      </c>
      <c r="E2" s="1" t="b">
        <v>1</v>
      </c>
      <c r="F2" s="1" t="b">
        <v>0</v>
      </c>
      <c r="G2" s="1">
        <f>_xlfn.FLOOR.MATH(CostCalculatorChemicals[[#This Row],[Remaining]]/CostCalculatorChemicals[[#Headers],[600]])</f>
        <v>2</v>
      </c>
      <c r="H2" s="1">
        <f>IF(CostCalculatorChemicals[[#This Row],[600]] &gt; 0, CostCalculatorChemicals[[#This Row],[Remaining]]-(CostCalculatorChemicals[[#Headers],[600]] * CostCalculatorChemicals[[#This Row],[600]]), CostCalculatorChemicals[[#This Row],[Remaining]])</f>
        <v>520</v>
      </c>
      <c r="I2" s="1">
        <f>_xlfn.FLOOR.MATH(CostCalculatorChemicals[[#This Row],[Remain600]]/CostCalculatorChemicals[[#Headers],[480]])</f>
        <v>1</v>
      </c>
      <c r="J2" s="1">
        <f>IF(CostCalculatorChemicals[[#This Row],[480]] &gt; 0, CostCalculatorChemicals[[#This Row],[Remain600]]-(CostCalculatorChemicals[[#Headers],[480]] * CostCalculatorChemicals[[#This Row],[480]]), CostCalculatorChemicals[[#This Row],[Remain600]])</f>
        <v>40</v>
      </c>
      <c r="K2" s="1">
        <f>_xlfn.FLOOR.MATH(CostCalculatorChemicals[[#This Row],[Remain480]]/CostCalculatorChemicals[[#Headers],[360]])</f>
        <v>0</v>
      </c>
      <c r="L2" s="1">
        <f>IF(CostCalculatorChemicals[[#This Row],[360]] &gt; 0, CostCalculatorChemicals[[#This Row],[Remain480]]-(CostCalculatorChemicals[[#Headers],[360]] * CostCalculatorChemicals[[#This Row],[360]]), CostCalculatorChemicals[[#This Row],[Remain480]])</f>
        <v>40</v>
      </c>
      <c r="M2" s="1">
        <f>_xlfn.FLOOR.MATH(CostCalculatorChemicals[[#This Row],[Remain360]]/CostCalculatorChemicals[[#Headers],[240]])</f>
        <v>0</v>
      </c>
      <c r="N2" s="1">
        <f>IF(CostCalculatorChemicals[[#This Row],[240]] &gt; 0, CostCalculatorChemicals[[#This Row],[Remain360]]-(CostCalculatorChemicals[[#Headers],[240]] * CostCalculatorChemicals[[#This Row],[240]]), CostCalculatorChemicals[[#This Row],[Remain360]])</f>
        <v>40</v>
      </c>
      <c r="O2" s="1">
        <f>_xlfn.FLOOR.MATH(CostCalculatorChemicals[[#This Row],[Remain240]]/CostCalculatorChemicals[[#Headers],[120]])</f>
        <v>0</v>
      </c>
      <c r="P2" s="1">
        <f>IF(CostCalculatorChemicals[[#This Row],[120]] &gt; 0, CostCalculatorChemicals[[#This Row],[Remain240]]-(CostCalculatorChemicals[[#Headers],[120]] * CostCalculatorChemicals[[#This Row],[120]]), CostCalculatorChemicals[[#This Row],[Remain240]])</f>
        <v>40</v>
      </c>
      <c r="Q2" s="1">
        <f>_xlfn.FLOOR.MATH(CostCalculatorChemicals[[#This Row],[Remain120]]/CostCalculatorChemicals[[#Headers],[60]])</f>
        <v>0</v>
      </c>
      <c r="R2" s="1">
        <f>IF(CostCalculatorChemicals[[#This Row],[60]] &gt; 0, CostCalculatorChemicals[[#This Row],[Remain120]]-(CostCalculatorChemicals[[#Headers],[60]] * CostCalculatorChemicals[[#This Row],[60]]), CostCalculatorChemicals[[#This Row],[Remain120]])</f>
        <v>40</v>
      </c>
      <c r="S2" s="1">
        <f>IF(CostCalculatorChemicals[[#This Row],[Remain60]] &gt; 0, _xlfn.CEILING.MATH(CostCalculatorChemicals[[#This Row],[Remain60]]/CostCalculatorChemicals[[#Headers],[30]]), 0)</f>
        <v>2</v>
      </c>
    </row>
  </sheetData>
  <dataValidations count="1">
    <dataValidation type="list" allowBlank="1" showInputMessage="1" showErrorMessage="1" sqref="E2:F2" xr:uid="{75B3A9D9-DE7A-4102-8A04-D6DA8E4EF497}">
      <formula1>BooleanValues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F5AD-F0DC-4904-923D-E3FEBC2159CF}">
  <dimension ref="A1:S2"/>
  <sheetViews>
    <sheetView workbookViewId="0">
      <selection activeCell="A2" sqref="A2"/>
    </sheetView>
  </sheetViews>
  <sheetFormatPr defaultRowHeight="15" x14ac:dyDescent="0.25"/>
  <cols>
    <col min="3" max="3" width="12.42578125" customWidth="1"/>
    <col min="4" max="4" width="12.5703125" customWidth="1"/>
    <col min="5" max="5" width="11.42578125" bestFit="1" customWidth="1"/>
    <col min="6" max="6" width="13.140625" bestFit="1" customWidth="1"/>
    <col min="7" max="7" width="13.28515625" bestFit="1" customWidth="1"/>
    <col min="8" max="8" width="13.28515625" hidden="1" customWidth="1"/>
    <col min="10" max="10" width="13" hidden="1" customWidth="1"/>
    <col min="12" max="12" width="13" hidden="1" customWidth="1"/>
    <col min="14" max="14" width="13" hidden="1" customWidth="1"/>
    <col min="16" max="16" width="13" hidden="1" customWidth="1"/>
    <col min="18" max="18" width="12" hidden="1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52</v>
      </c>
      <c r="F1" t="s">
        <v>53</v>
      </c>
      <c r="G1" t="s">
        <v>26</v>
      </c>
      <c r="H1" t="s">
        <v>27</v>
      </c>
      <c r="I1" t="s">
        <v>10</v>
      </c>
      <c r="J1" t="s">
        <v>17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 x14ac:dyDescent="0.25">
      <c r="A2" t="s">
        <v>55</v>
      </c>
      <c r="B2" s="1">
        <v>1920</v>
      </c>
      <c r="C2" s="1">
        <v>200</v>
      </c>
      <c r="D2" s="1">
        <f>CostCalculatorMetals[[#This Row],[Cost]]-CostCalculatorMetals[[#This Row],[Submitted]]</f>
        <v>1720</v>
      </c>
      <c r="E2" s="1" t="b">
        <v>1</v>
      </c>
      <c r="F2" s="1" t="b">
        <v>0</v>
      </c>
      <c r="G2" s="1">
        <f>_xlfn.FLOOR.MATH(CostCalculatorMetals[[#This Row],[Remaining]]/CostCalculatorMetals[[#Headers],[1000]])</f>
        <v>1</v>
      </c>
      <c r="H2" s="1">
        <f>IF(CostCalculatorMetals[[#This Row],[1000]] &gt; 0, CostCalculatorMetals[[#This Row],[Remaining]]-(CostCalculatorMetals[[#Headers],[1000]] * CostCalculatorMetals[[#This Row],[1000]]), CostCalculatorMetals[[#This Row],[Remaining]])</f>
        <v>720</v>
      </c>
      <c r="I2" s="1">
        <f>_xlfn.FLOOR.MATH(CostCalculatorMetals[[#This Row],[Remain1000]]/CostCalculatorMetals[[#Headers],[800]])</f>
        <v>0</v>
      </c>
      <c r="J2" s="1">
        <f>IF(CostCalculatorMetals[[#This Row],[800]] &gt; 0, CostCalculatorMetals[[#This Row],[Remain1000]]-(CostCalculatorMetals[[#Headers],[800]] * CostCalculatorMetals[[#This Row],[800]]), CostCalculatorMetals[[#This Row],[Remain1000]])</f>
        <v>720</v>
      </c>
      <c r="K2" s="1">
        <f>_xlfn.FLOOR.MATH(CostCalculatorMetals[[#This Row],[Remain800]]/CostCalculatorMetals[[#Headers],[600]])</f>
        <v>1</v>
      </c>
      <c r="L2" s="1">
        <f>IF(CostCalculatorMetals[[#This Row],[600]] &gt; 0, CostCalculatorMetals[[#This Row],[Remain800]]-(CostCalculatorMetals[[#Headers],[600]] * CostCalculatorMetals[[#This Row],[600]]), CostCalculatorMetals[[#This Row],[Remain800]])</f>
        <v>120</v>
      </c>
      <c r="M2" s="1">
        <f>_xlfn.FLOOR.MATH(CostCalculatorMetals[[#This Row],[Remain600]]/CostCalculatorMetals[[#Headers],[400]])</f>
        <v>0</v>
      </c>
      <c r="N2" s="1">
        <f>IF(CostCalculatorMetals[[#This Row],[400]] &gt; 0, CostCalculatorMetals[[#This Row],[Remain600]]-(CostCalculatorMetals[[#Headers],[400]] * CostCalculatorMetals[[#This Row],[400]]), CostCalculatorMetals[[#This Row],[Remain600]])</f>
        <v>120</v>
      </c>
      <c r="O2" s="1">
        <f>_xlfn.FLOOR.MATH(CostCalculatorMetals[[#This Row],[Remain400]]/CostCalculatorMetals[[#Headers],[200]])</f>
        <v>0</v>
      </c>
      <c r="P2" s="1">
        <f>IF(CostCalculatorMetals[[#This Row],[200]] &gt; 0, CostCalculatorMetals[[#This Row],[Remain400]]-(CostCalculatorMetals[[#Headers],[200]] * CostCalculatorMetals[[#This Row],[200]]), CostCalculatorMetals[[#This Row],[Remain400]])</f>
        <v>120</v>
      </c>
      <c r="Q2" s="1">
        <f>_xlfn.FLOOR.MATH(CostCalculatorMetals[[#This Row],[Remain200]]/CostCalculatorMetals[[#Headers],[100]])</f>
        <v>1</v>
      </c>
      <c r="R2" s="1">
        <f>IF(CostCalculatorMetals[[#This Row],[100]] &gt; 0, CostCalculatorMetals[[#This Row],[Remain200]]-(CostCalculatorMetals[[#Headers],[100]] * CostCalculatorMetals[[#This Row],[100]]), CostCalculatorMetals[[#This Row],[Remain200]])</f>
        <v>20</v>
      </c>
      <c r="S2" s="1">
        <f>IF(CostCalculatorMetals[[#This Row],[Remain100]] &gt; 0, _xlfn.CEILING.MATH(CostCalculatorMetals[[#This Row],[Remain100]]/CostCalculatorMetals[[#Headers],[50]]), 0)</f>
        <v>1</v>
      </c>
    </row>
  </sheetData>
  <dataValidations count="1">
    <dataValidation type="list" allowBlank="1" showInputMessage="1" showErrorMessage="1" sqref="E2:F2" xr:uid="{21DBE88A-6F30-404A-96A6-3AF565BB4D18}">
      <formula1>BooleanValues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0589-2C45-4FE8-8423-8509DB6D3C24}">
  <dimension ref="A1:S2"/>
  <sheetViews>
    <sheetView workbookViewId="0">
      <selection activeCell="A2" sqref="A2"/>
    </sheetView>
  </sheetViews>
  <sheetFormatPr defaultRowHeight="15" x14ac:dyDescent="0.25"/>
  <cols>
    <col min="3" max="3" width="12.42578125" customWidth="1"/>
    <col min="4" max="4" width="12.5703125" customWidth="1"/>
    <col min="5" max="5" width="11.42578125" bestFit="1" customWidth="1"/>
    <col min="6" max="6" width="13.140625" bestFit="1" customWidth="1"/>
    <col min="7" max="7" width="13.28515625" bestFit="1" customWidth="1"/>
    <col min="8" max="8" width="13.28515625" hidden="1" customWidth="1"/>
    <col min="10" max="10" width="13" hidden="1" customWidth="1"/>
    <col min="12" max="12" width="13" hidden="1" customWidth="1"/>
    <col min="14" max="14" width="13" hidden="1" customWidth="1"/>
    <col min="16" max="16" width="13" hidden="1" customWidth="1"/>
    <col min="18" max="18" width="12" hidden="1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52</v>
      </c>
      <c r="F1" t="s">
        <v>53</v>
      </c>
      <c r="G1" t="s">
        <v>10</v>
      </c>
      <c r="H1" t="s">
        <v>17</v>
      </c>
      <c r="I1" t="s">
        <v>11</v>
      </c>
      <c r="J1" t="s">
        <v>18</v>
      </c>
      <c r="K1" t="s">
        <v>12</v>
      </c>
      <c r="L1" t="s">
        <v>19</v>
      </c>
      <c r="M1" t="s">
        <v>13</v>
      </c>
      <c r="N1" t="s">
        <v>20</v>
      </c>
      <c r="O1" t="s">
        <v>14</v>
      </c>
      <c r="P1" t="s">
        <v>21</v>
      </c>
      <c r="Q1" t="s">
        <v>15</v>
      </c>
      <c r="R1" t="s">
        <v>22</v>
      </c>
      <c r="S1" t="s">
        <v>16</v>
      </c>
    </row>
    <row r="2" spans="1:19" x14ac:dyDescent="0.25">
      <c r="A2" t="s">
        <v>55</v>
      </c>
      <c r="B2" s="1">
        <v>1920</v>
      </c>
      <c r="C2" s="1">
        <v>200</v>
      </c>
      <c r="D2" s="1">
        <f>CostCalculatorResins[[#This Row],[Cost]]-CostCalculatorResins[[#This Row],[Submitted]]</f>
        <v>1720</v>
      </c>
      <c r="E2" s="1" t="b">
        <v>1</v>
      </c>
      <c r="F2" s="1" t="b">
        <v>0</v>
      </c>
      <c r="G2" s="1">
        <f>_xlfn.FLOOR.MATH(CostCalculatorResins[[#This Row],[Remaining]]/CostCalculatorResins[[#Headers],[800]])</f>
        <v>2</v>
      </c>
      <c r="H2" s="1">
        <f>IF(CostCalculatorResins[[#This Row],[800]] &gt; 0, CostCalculatorResins[[#This Row],[Remaining]]-(CostCalculatorResins[[#Headers],[800]] * CostCalculatorResins[[#This Row],[800]]), CostCalculatorResins[[#This Row],[Remaining]])</f>
        <v>120</v>
      </c>
      <c r="I2" s="1">
        <f>_xlfn.FLOOR.MATH(CostCalculatorResins[[#This Row],[Remain800]]/CostCalculatorResins[[#Headers],[640]])</f>
        <v>0</v>
      </c>
      <c r="J2" s="1">
        <f>IF(CostCalculatorResins[[#This Row],[640]] &gt; 0, CostCalculatorResins[[#This Row],[Remain800]]-(CostCalculatorResins[[#Headers],[640]] * CostCalculatorResins[[#This Row],[640]]), CostCalculatorResins[[#This Row],[Remain800]])</f>
        <v>120</v>
      </c>
      <c r="K2" s="1">
        <f>_xlfn.FLOOR.MATH(CostCalculatorResins[[#This Row],[Remain640]]/CostCalculatorResins[[#Headers],[480]])</f>
        <v>0</v>
      </c>
      <c r="L2" s="1">
        <f>IF(CostCalculatorResins[[#This Row],[480]] &gt; 0, CostCalculatorResins[[#This Row],[Remain640]]-(CostCalculatorResins[[#Headers],[480]] * CostCalculatorResins[[#This Row],[480]]), CostCalculatorResins[[#This Row],[Remain640]])</f>
        <v>120</v>
      </c>
      <c r="M2" s="1">
        <f>_xlfn.FLOOR.MATH(CostCalculatorResins[[#This Row],[Remain480]]/CostCalculatorResins[[#Headers],[320]])</f>
        <v>0</v>
      </c>
      <c r="N2" s="1">
        <f>IF(CostCalculatorResins[[#This Row],[320]] &gt; 0, CostCalculatorResins[[#This Row],[Remain480]]-(CostCalculatorResins[[#Headers],[320]] * CostCalculatorResins[[#This Row],[320]]), CostCalculatorResins[[#This Row],[Remain480]])</f>
        <v>120</v>
      </c>
      <c r="O2" s="1">
        <f>_xlfn.FLOOR.MATH(CostCalculatorResins[[#This Row],[Remain320]]/CostCalculatorResins[[#Headers],[160]])</f>
        <v>0</v>
      </c>
      <c r="P2" s="1">
        <f>IF(CostCalculatorResins[[#This Row],[160]] &gt; 0, CostCalculatorResins[[#This Row],[Remain320]]-(CostCalculatorResins[[#Headers],[160]] * CostCalculatorResins[[#This Row],[160]]), CostCalculatorResins[[#This Row],[Remain320]])</f>
        <v>120</v>
      </c>
      <c r="Q2" s="1">
        <f>_xlfn.FLOOR.MATH(CostCalculatorResins[[#This Row],[Remain160]]/CostCalculatorResins[[#Headers],[80]])</f>
        <v>1</v>
      </c>
      <c r="R2" s="1">
        <f>IF(CostCalculatorResins[[#This Row],[80]] &gt; 0, CostCalculatorResins[[#This Row],[Remain160]]-(CostCalculatorResins[[#Headers],[80]] * CostCalculatorResins[[#This Row],[80]]), CostCalculatorResins[[#This Row],[Remain160]])</f>
        <v>40</v>
      </c>
      <c r="S2" s="1">
        <f>IF(CostCalculatorResins[[#This Row],[Remain80]] &gt; 0, _xlfn.CEILING.MATH(CostCalculatorResins[[#This Row],[Remain80]]/CostCalculatorResins[[#Headers],[40]]), 0)</f>
        <v>1</v>
      </c>
    </row>
  </sheetData>
  <dataValidations count="1">
    <dataValidation type="list" allowBlank="1" showInputMessage="1" showErrorMessage="1" sqref="E2:F2" xr:uid="{25455F45-EEA6-47EB-804F-570A943FFA45}">
      <formula1>BooleanValues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EAAB-2F5A-434F-9B35-413A8298D174}">
  <dimension ref="A1:S2"/>
  <sheetViews>
    <sheetView workbookViewId="0">
      <selection activeCell="A2" sqref="A2"/>
    </sheetView>
  </sheetViews>
  <sheetFormatPr defaultRowHeight="15" x14ac:dyDescent="0.25"/>
  <cols>
    <col min="3" max="3" width="12.42578125" customWidth="1"/>
    <col min="4" max="4" width="12.5703125" customWidth="1"/>
    <col min="5" max="5" width="11.42578125" bestFit="1" customWidth="1"/>
    <col min="6" max="6" width="13.140625" bestFit="1" customWidth="1"/>
    <col min="7" max="7" width="13.28515625" bestFit="1" customWidth="1"/>
    <col min="8" max="8" width="13.28515625" hidden="1" customWidth="1"/>
    <col min="10" max="10" width="13" hidden="1" customWidth="1"/>
    <col min="12" max="12" width="13" hidden="1" customWidth="1"/>
    <col min="14" max="14" width="13" hidden="1" customWidth="1"/>
    <col min="16" max="16" width="13" hidden="1" customWidth="1"/>
    <col min="18" max="18" width="12" hidden="1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52</v>
      </c>
      <c r="F1" t="s">
        <v>53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12</v>
      </c>
      <c r="N1" t="s">
        <v>19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19" x14ac:dyDescent="0.25">
      <c r="A2" t="s">
        <v>55</v>
      </c>
      <c r="B2" s="1">
        <v>1920</v>
      </c>
      <c r="C2" s="1">
        <v>200</v>
      </c>
      <c r="D2" s="1">
        <f>CostCalculatorSpecialAlloys[[#This Row],[Cost]]-CostCalculatorSpecialAlloys[[#This Row],[Submitted]]</f>
        <v>1720</v>
      </c>
      <c r="E2" s="1" t="b">
        <v>1</v>
      </c>
      <c r="F2" s="1" t="b">
        <v>0</v>
      </c>
      <c r="G2" s="1">
        <f>_xlfn.FLOOR.MATH(CostCalculatorSpecialAlloys[[#This Row],[Remaining]]/CostCalculatorSpecialAlloys[[#Headers],[1200]])</f>
        <v>1</v>
      </c>
      <c r="H2" s="1">
        <f>IF(CostCalculatorSpecialAlloys[[#This Row],[1200]] &gt; 0, CostCalculatorSpecialAlloys[[#This Row],[Remaining]]-(CostCalculatorSpecialAlloys[[#Headers],[1200]] * CostCalculatorSpecialAlloys[[#This Row],[1200]]), CostCalculatorSpecialAlloys[[#This Row],[Remaining]])</f>
        <v>520</v>
      </c>
      <c r="I2" s="1">
        <f>_xlfn.FLOOR.MATH(CostCalculatorSpecialAlloys[[#This Row],[Remain1200]]/CostCalculatorSpecialAlloys[[#Headers],[960]])</f>
        <v>0</v>
      </c>
      <c r="J2" s="1">
        <f>IF(CostCalculatorSpecialAlloys[[#This Row],[960]] &gt; 0, CostCalculatorSpecialAlloys[[#This Row],[Remain1200]]-(CostCalculatorSpecialAlloys[[#Headers],[960]] * CostCalculatorSpecialAlloys[[#This Row],[960]]), CostCalculatorSpecialAlloys[[#This Row],[Remain1200]])</f>
        <v>520</v>
      </c>
      <c r="K2" s="1">
        <f>_xlfn.FLOOR.MATH(CostCalculatorSpecialAlloys[[#This Row],[Remain960]]/CostCalculatorSpecialAlloys[[#Headers],[720]])</f>
        <v>0</v>
      </c>
      <c r="L2" s="1">
        <f>IF(CostCalculatorSpecialAlloys[[#This Row],[720]] &gt; 0, CostCalculatorSpecialAlloys[[#This Row],[Remain960]]-(CostCalculatorSpecialAlloys[[#Headers],[720]] * CostCalculatorSpecialAlloys[[#This Row],[720]]), CostCalculatorSpecialAlloys[[#This Row],[Remain960]])</f>
        <v>520</v>
      </c>
      <c r="M2" s="1">
        <f>_xlfn.FLOOR.MATH(CostCalculatorSpecialAlloys[[#This Row],[Remain720]]/CostCalculatorSpecialAlloys[[#Headers],[480]])</f>
        <v>1</v>
      </c>
      <c r="N2" s="1">
        <f>IF(CostCalculatorSpecialAlloys[[#This Row],[480]] &gt; 0, CostCalculatorSpecialAlloys[[#This Row],[Remain720]]-(CostCalculatorSpecialAlloys[[#Headers],[480]] * CostCalculatorSpecialAlloys[[#This Row],[480]]), CostCalculatorSpecialAlloys[[#This Row],[Remain720]])</f>
        <v>40</v>
      </c>
      <c r="O2" s="1">
        <f>_xlfn.FLOOR.MATH(CostCalculatorSpecialAlloys[[#This Row],[Remain480]]/CostCalculatorSpecialAlloys[[#Headers],[240]])</f>
        <v>0</v>
      </c>
      <c r="P2" s="1">
        <f>IF(CostCalculatorSpecialAlloys[[#This Row],[240]] &gt; 0, CostCalculatorSpecialAlloys[[#This Row],[Remain480]]-(CostCalculatorSpecialAlloys[[#Headers],[240]] * CostCalculatorSpecialAlloys[[#This Row],[240]]), CostCalculatorSpecialAlloys[[#This Row],[Remain480]])</f>
        <v>40</v>
      </c>
      <c r="Q2" s="1">
        <f>_xlfn.FLOOR.MATH(CostCalculatorSpecialAlloys[[#This Row],[Remain240]]/CostCalculatorSpecialAlloys[[#Headers],[120]])</f>
        <v>0</v>
      </c>
      <c r="R2" s="1">
        <f>IF(CostCalculatorSpecialAlloys[[#This Row],[120]] &gt; 0, CostCalculatorSpecialAlloys[[#This Row],[Remain240]]-(CostCalculatorSpecialAlloys[[#Headers],[120]] * CostCalculatorSpecialAlloys[[#This Row],[120]]), CostCalculatorSpecialAlloys[[#This Row],[Remain240]])</f>
        <v>40</v>
      </c>
      <c r="S2" s="1">
        <f>IF(CostCalculatorSpecialAlloys[[#This Row],[Remain120]] &gt; 0, _xlfn.CEILING.MATH(CostCalculatorSpecialAlloys[[#This Row],[Remain120]]/CostCalculatorSpecialAlloys[[#Headers],[60]]), 0)</f>
        <v>1</v>
      </c>
    </row>
  </sheetData>
  <dataValidations count="1">
    <dataValidation type="list" allowBlank="1" showInputMessage="1" showErrorMessage="1" sqref="E2:F2" xr:uid="{C4CFC026-9366-460B-9FB0-0B01A9EA301E}">
      <formula1>BooleanValues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F60E10-BFEA-4255-A5A7-08E16AF5E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Lists</vt:lpstr>
      <vt:lpstr>CostTemplate</vt:lpstr>
      <vt:lpstr>Ceramics</vt:lpstr>
      <vt:lpstr>Chemicals</vt:lpstr>
      <vt:lpstr>Metals</vt:lpstr>
      <vt:lpstr>Resins</vt:lpstr>
      <vt:lpstr>SpecialAlloys</vt:lpstr>
      <vt:lpstr>BooleanValues</vt:lpstr>
      <vt:lpstr>ResourceTypes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Tinus</dc:creator>
  <cp:lastModifiedBy>Tinus Smit</cp:lastModifiedBy>
  <dcterms:created xsi:type="dcterms:W3CDTF">2023-02-22T11:59:59Z</dcterms:created>
  <dcterms:modified xsi:type="dcterms:W3CDTF">2023-02-23T10:34:23Z</dcterms:modified>
</cp:coreProperties>
</file>