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hidePivotFieldList="1"/>
  <mc:AlternateContent xmlns:mc="http://schemas.openxmlformats.org/markup-compatibility/2006">
    <mc:Choice Requires="x15">
      <x15ac:absPath xmlns:x15ac="http://schemas.microsoft.com/office/spreadsheetml/2010/11/ac" url="/Users/laovang/Downloads/"/>
    </mc:Choice>
  </mc:AlternateContent>
  <xr:revisionPtr revIDLastSave="0" documentId="13_ncr:1_{69D14E5D-02D7-854A-A16D-735F3E2DC297}" xr6:coauthVersionLast="47" xr6:coauthVersionMax="47" xr10:uidLastSave="{00000000-0000-0000-0000-000000000000}"/>
  <bookViews>
    <workbookView xWindow="2780" yWindow="620" windowWidth="25760" windowHeight="15720" activeTab="1" xr2:uid="{00000000-000D-0000-FFFF-FFFF00000000}"/>
  </bookViews>
  <sheets>
    <sheet name="Etapes - Resume" sheetId="4" r:id="rId1"/>
    <sheet name="Etapes - Details" sheetId="2" r:id="rId2"/>
    <sheet name="Ressources - Resume" sheetId="5" r:id="rId3"/>
    <sheet name="Ressources - Details" sheetId="7" r:id="rId4"/>
  </sheets>
  <definedNames>
    <definedName name="_xlnm._FilterDatabase" localSheetId="1" hidden="1">'Etapes - Details'!$A$1:$L$56</definedName>
  </definedNames>
  <calcPr calcId="191029"/>
  <pivotCaches>
    <pivotCache cacheId="2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0" i="7" l="1"/>
  <c r="E49" i="7"/>
  <c r="G50" i="7"/>
  <c r="E9" i="7"/>
  <c r="G9" i="7"/>
  <c r="G13" i="7" l="1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K12" i="2"/>
  <c r="K13" i="2"/>
  <c r="D14" i="2"/>
  <c r="D13" i="2"/>
  <c r="J10" i="2"/>
  <c r="O13" i="2"/>
  <c r="P13" i="2"/>
  <c r="Q13" i="2"/>
  <c r="R13" i="2"/>
  <c r="S13" i="2"/>
  <c r="T13" i="2"/>
  <c r="U13" i="2"/>
  <c r="V13" i="2"/>
  <c r="W13" i="2"/>
  <c r="X13" i="2"/>
  <c r="AE13" i="2"/>
  <c r="AF13" i="2"/>
  <c r="AG13" i="2"/>
  <c r="AI13" i="2"/>
  <c r="AE9" i="2"/>
  <c r="J56" i="2"/>
  <c r="J55" i="2"/>
  <c r="J54" i="2"/>
  <c r="J53" i="2"/>
  <c r="J52" i="2"/>
  <c r="J51" i="2"/>
  <c r="J50" i="2"/>
  <c r="J49" i="2"/>
  <c r="J48" i="2"/>
  <c r="J47" i="2"/>
  <c r="J46" i="2"/>
  <c r="J45" i="2"/>
  <c r="J44" i="2"/>
  <c r="J40" i="2"/>
  <c r="J39" i="2"/>
  <c r="J38" i="2"/>
  <c r="J37" i="2"/>
  <c r="J36" i="2"/>
  <c r="J35" i="2"/>
  <c r="J34" i="2"/>
  <c r="J33" i="2"/>
  <c r="J29" i="2"/>
  <c r="J28" i="2"/>
  <c r="J11" i="2"/>
  <c r="J9" i="2"/>
  <c r="J3" i="2"/>
  <c r="J8" i="2"/>
  <c r="J7" i="2"/>
  <c r="J6" i="2"/>
  <c r="J5" i="2"/>
  <c r="J4" i="2"/>
  <c r="K43" i="2"/>
  <c r="K42" i="2"/>
  <c r="K41" i="2"/>
  <c r="K32" i="2"/>
  <c r="K31" i="2"/>
  <c r="K30" i="2"/>
  <c r="J30" i="2" s="1"/>
  <c r="K27" i="2"/>
  <c r="K25" i="2"/>
  <c r="K24" i="2"/>
  <c r="K23" i="2"/>
  <c r="J23" i="2" s="1"/>
  <c r="K19" i="2"/>
  <c r="K22" i="2" s="1"/>
  <c r="K18" i="2"/>
  <c r="K17" i="2"/>
  <c r="J17" i="2" s="1"/>
  <c r="K16" i="2"/>
  <c r="K15" i="2"/>
  <c r="K14" i="2"/>
  <c r="J18" i="2" l="1"/>
  <c r="J15" i="2"/>
  <c r="J27" i="2"/>
  <c r="J24" i="2"/>
  <c r="K20" i="2"/>
  <c r="J20" i="2" s="1"/>
  <c r="J32" i="2"/>
  <c r="J31" i="2"/>
  <c r="J14" i="2"/>
  <c r="K21" i="2"/>
  <c r="J42" i="2"/>
  <c r="J19" i="2"/>
  <c r="J25" i="2"/>
  <c r="J22" i="2"/>
  <c r="J16" i="2"/>
  <c r="J43" i="2"/>
  <c r="J41" i="2"/>
  <c r="Q2" i="2"/>
  <c r="Q3" i="2"/>
  <c r="Q4" i="2"/>
  <c r="Q5" i="2"/>
  <c r="Q6" i="2"/>
  <c r="Q7" i="2"/>
  <c r="Q8" i="2"/>
  <c r="Q9" i="2"/>
  <c r="Q10" i="2"/>
  <c r="Q11" i="2"/>
  <c r="Q12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56" i="2"/>
  <c r="P2" i="2"/>
  <c r="P3" i="2"/>
  <c r="P4" i="2"/>
  <c r="P5" i="2"/>
  <c r="P6" i="2"/>
  <c r="P7" i="2"/>
  <c r="P8" i="2"/>
  <c r="P9" i="2"/>
  <c r="P10" i="2"/>
  <c r="P11" i="2"/>
  <c r="P12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O2" i="2"/>
  <c r="O3" i="2"/>
  <c r="O4" i="2"/>
  <c r="O5" i="2"/>
  <c r="O6" i="2"/>
  <c r="O7" i="2"/>
  <c r="O8" i="2"/>
  <c r="O9" i="2"/>
  <c r="O10" i="2"/>
  <c r="O11" i="2"/>
  <c r="O12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N2" i="2"/>
  <c r="N3" i="2"/>
  <c r="N4" i="2"/>
  <c r="N5" i="2"/>
  <c r="N6" i="2"/>
  <c r="N7" i="2"/>
  <c r="N8" i="2"/>
  <c r="N9" i="2"/>
  <c r="N10" i="2"/>
  <c r="N11" i="2"/>
  <c r="X2" i="2"/>
  <c r="X3" i="2"/>
  <c r="X4" i="2"/>
  <c r="X5" i="2"/>
  <c r="X6" i="2"/>
  <c r="X7" i="2"/>
  <c r="X8" i="2"/>
  <c r="X9" i="2"/>
  <c r="X10" i="2"/>
  <c r="X11" i="2"/>
  <c r="X12" i="2"/>
  <c r="X14" i="2"/>
  <c r="X15" i="2"/>
  <c r="X16" i="2"/>
  <c r="X17" i="2"/>
  <c r="X18" i="2"/>
  <c r="X19" i="2"/>
  <c r="X20" i="2"/>
  <c r="X21" i="2"/>
  <c r="X22" i="2"/>
  <c r="X23" i="2"/>
  <c r="X24" i="2"/>
  <c r="X25" i="2"/>
  <c r="X26" i="2"/>
  <c r="X27" i="2"/>
  <c r="X28" i="2"/>
  <c r="X29" i="2"/>
  <c r="X30" i="2"/>
  <c r="X31" i="2"/>
  <c r="X32" i="2"/>
  <c r="X33" i="2"/>
  <c r="X34" i="2"/>
  <c r="X35" i="2"/>
  <c r="X36" i="2"/>
  <c r="X37" i="2"/>
  <c r="X38" i="2"/>
  <c r="X39" i="2"/>
  <c r="X40" i="2"/>
  <c r="X41" i="2"/>
  <c r="X42" i="2"/>
  <c r="X43" i="2"/>
  <c r="X44" i="2"/>
  <c r="X45" i="2"/>
  <c r="X46" i="2"/>
  <c r="X47" i="2"/>
  <c r="X48" i="2"/>
  <c r="X49" i="2"/>
  <c r="X50" i="2"/>
  <c r="X51" i="2"/>
  <c r="X52" i="2"/>
  <c r="X53" i="2"/>
  <c r="X54" i="2"/>
  <c r="X55" i="2"/>
  <c r="X56" i="2"/>
  <c r="W2" i="2"/>
  <c r="W3" i="2"/>
  <c r="W4" i="2"/>
  <c r="W5" i="2"/>
  <c r="W6" i="2"/>
  <c r="W7" i="2"/>
  <c r="W8" i="2"/>
  <c r="W9" i="2"/>
  <c r="W10" i="2"/>
  <c r="W11" i="2"/>
  <c r="W12" i="2"/>
  <c r="W14" i="2"/>
  <c r="W15" i="2"/>
  <c r="W16" i="2"/>
  <c r="W17" i="2"/>
  <c r="W18" i="2"/>
  <c r="W19" i="2"/>
  <c r="W20" i="2"/>
  <c r="W21" i="2"/>
  <c r="W22" i="2"/>
  <c r="W23" i="2"/>
  <c r="W24" i="2"/>
  <c r="W25" i="2"/>
  <c r="W26" i="2"/>
  <c r="W27" i="2"/>
  <c r="W28" i="2"/>
  <c r="W29" i="2"/>
  <c r="W30" i="2"/>
  <c r="W31" i="2"/>
  <c r="W32" i="2"/>
  <c r="W33" i="2"/>
  <c r="W34" i="2"/>
  <c r="W35" i="2"/>
  <c r="W36" i="2"/>
  <c r="W37" i="2"/>
  <c r="W38" i="2"/>
  <c r="W39" i="2"/>
  <c r="W40" i="2"/>
  <c r="W41" i="2"/>
  <c r="W42" i="2"/>
  <c r="W43" i="2"/>
  <c r="W44" i="2"/>
  <c r="W45" i="2"/>
  <c r="W46" i="2"/>
  <c r="W47" i="2"/>
  <c r="W48" i="2"/>
  <c r="W49" i="2"/>
  <c r="W50" i="2"/>
  <c r="W51" i="2"/>
  <c r="W52" i="2"/>
  <c r="W53" i="2"/>
  <c r="W54" i="2"/>
  <c r="W55" i="2"/>
  <c r="W56" i="2"/>
  <c r="V2" i="2"/>
  <c r="V3" i="2"/>
  <c r="V4" i="2"/>
  <c r="V5" i="2"/>
  <c r="V6" i="2"/>
  <c r="V7" i="2"/>
  <c r="V8" i="2"/>
  <c r="V9" i="2"/>
  <c r="V10" i="2"/>
  <c r="V11" i="2"/>
  <c r="V12" i="2"/>
  <c r="V14" i="2"/>
  <c r="V15" i="2"/>
  <c r="V16" i="2"/>
  <c r="V17" i="2"/>
  <c r="V18" i="2"/>
  <c r="V19" i="2"/>
  <c r="V20" i="2"/>
  <c r="V21" i="2"/>
  <c r="V22" i="2"/>
  <c r="V23" i="2"/>
  <c r="V24" i="2"/>
  <c r="V25" i="2"/>
  <c r="V26" i="2"/>
  <c r="V27" i="2"/>
  <c r="V28" i="2"/>
  <c r="V29" i="2"/>
  <c r="V30" i="2"/>
  <c r="V31" i="2"/>
  <c r="V32" i="2"/>
  <c r="V33" i="2"/>
  <c r="V34" i="2"/>
  <c r="V35" i="2"/>
  <c r="V36" i="2"/>
  <c r="V37" i="2"/>
  <c r="V38" i="2"/>
  <c r="V39" i="2"/>
  <c r="V40" i="2"/>
  <c r="V41" i="2"/>
  <c r="V42" i="2"/>
  <c r="V43" i="2"/>
  <c r="V44" i="2"/>
  <c r="V45" i="2"/>
  <c r="V46" i="2"/>
  <c r="V47" i="2"/>
  <c r="V48" i="2"/>
  <c r="V49" i="2"/>
  <c r="V50" i="2"/>
  <c r="V51" i="2"/>
  <c r="V52" i="2"/>
  <c r="V53" i="2"/>
  <c r="V54" i="2"/>
  <c r="V55" i="2"/>
  <c r="V56" i="2"/>
  <c r="U2" i="2"/>
  <c r="U3" i="2"/>
  <c r="U4" i="2"/>
  <c r="U5" i="2"/>
  <c r="U6" i="2"/>
  <c r="U7" i="2"/>
  <c r="U8" i="2"/>
  <c r="U9" i="2"/>
  <c r="U10" i="2"/>
  <c r="U11" i="2"/>
  <c r="U12" i="2"/>
  <c r="U14" i="2"/>
  <c r="U15" i="2"/>
  <c r="U16" i="2"/>
  <c r="U17" i="2"/>
  <c r="U18" i="2"/>
  <c r="U19" i="2"/>
  <c r="U20" i="2"/>
  <c r="U21" i="2"/>
  <c r="U22" i="2"/>
  <c r="U23" i="2"/>
  <c r="U24" i="2"/>
  <c r="U25" i="2"/>
  <c r="U26" i="2"/>
  <c r="U27" i="2"/>
  <c r="U28" i="2"/>
  <c r="U29" i="2"/>
  <c r="U30" i="2"/>
  <c r="U31" i="2"/>
  <c r="U32" i="2"/>
  <c r="U33" i="2"/>
  <c r="U34" i="2"/>
  <c r="U35" i="2"/>
  <c r="U36" i="2"/>
  <c r="U37" i="2"/>
  <c r="U38" i="2"/>
  <c r="U39" i="2"/>
  <c r="U40" i="2"/>
  <c r="U41" i="2"/>
  <c r="U42" i="2"/>
  <c r="U43" i="2"/>
  <c r="U44" i="2"/>
  <c r="U45" i="2"/>
  <c r="U46" i="2"/>
  <c r="U47" i="2"/>
  <c r="U48" i="2"/>
  <c r="U49" i="2"/>
  <c r="U50" i="2"/>
  <c r="U51" i="2"/>
  <c r="U52" i="2"/>
  <c r="U53" i="2"/>
  <c r="U54" i="2"/>
  <c r="U55" i="2"/>
  <c r="U56" i="2"/>
  <c r="T3" i="2"/>
  <c r="T2" i="2"/>
  <c r="T4" i="2"/>
  <c r="T5" i="2"/>
  <c r="T6" i="2"/>
  <c r="T7" i="2"/>
  <c r="T8" i="2"/>
  <c r="T9" i="2"/>
  <c r="T10" i="2"/>
  <c r="T11" i="2"/>
  <c r="T12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T35" i="2"/>
  <c r="T36" i="2"/>
  <c r="T37" i="2"/>
  <c r="T38" i="2"/>
  <c r="T39" i="2"/>
  <c r="T40" i="2"/>
  <c r="T41" i="2"/>
  <c r="T42" i="2"/>
  <c r="T43" i="2"/>
  <c r="T44" i="2"/>
  <c r="T45" i="2"/>
  <c r="T46" i="2"/>
  <c r="T47" i="2"/>
  <c r="T48" i="2"/>
  <c r="T49" i="2"/>
  <c r="T50" i="2"/>
  <c r="T51" i="2"/>
  <c r="T52" i="2"/>
  <c r="T53" i="2"/>
  <c r="T54" i="2"/>
  <c r="T55" i="2"/>
  <c r="T56" i="2"/>
  <c r="S2" i="2"/>
  <c r="S3" i="2"/>
  <c r="S4" i="2"/>
  <c r="S5" i="2"/>
  <c r="S6" i="2"/>
  <c r="S7" i="2"/>
  <c r="S8" i="2"/>
  <c r="S9" i="2"/>
  <c r="S10" i="2"/>
  <c r="S11" i="2"/>
  <c r="S12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S35" i="2"/>
  <c r="S36" i="2"/>
  <c r="S37" i="2"/>
  <c r="S38" i="2"/>
  <c r="S39" i="2"/>
  <c r="S40" i="2"/>
  <c r="S41" i="2"/>
  <c r="S42" i="2"/>
  <c r="S43" i="2"/>
  <c r="S44" i="2"/>
  <c r="S45" i="2"/>
  <c r="S46" i="2"/>
  <c r="S47" i="2"/>
  <c r="S48" i="2"/>
  <c r="S49" i="2"/>
  <c r="S50" i="2"/>
  <c r="S51" i="2"/>
  <c r="S52" i="2"/>
  <c r="S53" i="2"/>
  <c r="S54" i="2"/>
  <c r="S55" i="2"/>
  <c r="S56" i="2"/>
  <c r="R2" i="2"/>
  <c r="R3" i="2"/>
  <c r="R4" i="2"/>
  <c r="R5" i="2"/>
  <c r="R6" i="2"/>
  <c r="R7" i="2"/>
  <c r="R8" i="2"/>
  <c r="R9" i="2"/>
  <c r="R10" i="2"/>
  <c r="R11" i="2"/>
  <c r="R12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42" i="2"/>
  <c r="R43" i="2"/>
  <c r="R44" i="2"/>
  <c r="R45" i="2"/>
  <c r="R46" i="2"/>
  <c r="R47" i="2"/>
  <c r="R48" i="2"/>
  <c r="R49" i="2"/>
  <c r="R50" i="2"/>
  <c r="R51" i="2"/>
  <c r="R52" i="2"/>
  <c r="R53" i="2"/>
  <c r="R54" i="2"/>
  <c r="R55" i="2"/>
  <c r="R56" i="2"/>
  <c r="G43" i="2"/>
  <c r="AI3" i="2"/>
  <c r="AI4" i="2"/>
  <c r="AI5" i="2"/>
  <c r="AI6" i="2"/>
  <c r="AI7" i="2"/>
  <c r="AI8" i="2"/>
  <c r="AI9" i="2"/>
  <c r="AI10" i="2"/>
  <c r="AI11" i="2"/>
  <c r="AI12" i="2"/>
  <c r="AI14" i="2"/>
  <c r="AI15" i="2"/>
  <c r="AI16" i="2"/>
  <c r="AI17" i="2"/>
  <c r="AI18" i="2"/>
  <c r="AI19" i="2"/>
  <c r="AI20" i="2"/>
  <c r="AI21" i="2"/>
  <c r="AI22" i="2"/>
  <c r="AI23" i="2"/>
  <c r="AI24" i="2"/>
  <c r="AI25" i="2"/>
  <c r="AI26" i="2"/>
  <c r="AI27" i="2"/>
  <c r="AI28" i="2"/>
  <c r="AI29" i="2"/>
  <c r="AI30" i="2"/>
  <c r="AI31" i="2"/>
  <c r="AI32" i="2"/>
  <c r="AI33" i="2"/>
  <c r="AI34" i="2"/>
  <c r="AI35" i="2"/>
  <c r="AI36" i="2"/>
  <c r="AI37" i="2"/>
  <c r="AI38" i="2"/>
  <c r="AI39" i="2"/>
  <c r="AI40" i="2"/>
  <c r="AI41" i="2"/>
  <c r="AI42" i="2"/>
  <c r="AI43" i="2"/>
  <c r="AI44" i="2"/>
  <c r="AI45" i="2"/>
  <c r="AI46" i="2"/>
  <c r="AI47" i="2"/>
  <c r="AI48" i="2"/>
  <c r="AI49" i="2"/>
  <c r="AI50" i="2"/>
  <c r="AI51" i="2"/>
  <c r="AI52" i="2"/>
  <c r="AI53" i="2"/>
  <c r="AI54" i="2"/>
  <c r="AI55" i="2"/>
  <c r="AI56" i="2"/>
  <c r="AI2" i="2"/>
  <c r="AG2" i="2"/>
  <c r="AG3" i="2"/>
  <c r="AG4" i="2"/>
  <c r="AG5" i="2"/>
  <c r="AG6" i="2"/>
  <c r="AG7" i="2"/>
  <c r="AG8" i="2"/>
  <c r="AG9" i="2"/>
  <c r="AG10" i="2"/>
  <c r="AG11" i="2"/>
  <c r="AG12" i="2"/>
  <c r="AG14" i="2"/>
  <c r="AG15" i="2"/>
  <c r="AG16" i="2"/>
  <c r="AG17" i="2"/>
  <c r="AG18" i="2"/>
  <c r="AG19" i="2"/>
  <c r="AG20" i="2"/>
  <c r="AG21" i="2"/>
  <c r="AG22" i="2"/>
  <c r="AG23" i="2"/>
  <c r="AG24" i="2"/>
  <c r="AG25" i="2"/>
  <c r="AG26" i="2"/>
  <c r="AG27" i="2"/>
  <c r="AG28" i="2"/>
  <c r="AG29" i="2"/>
  <c r="AG33" i="2"/>
  <c r="AG34" i="2"/>
  <c r="AG35" i="2"/>
  <c r="AG36" i="2"/>
  <c r="AG44" i="2"/>
  <c r="AG45" i="2"/>
  <c r="AG46" i="2"/>
  <c r="AG47" i="2"/>
  <c r="AG48" i="2"/>
  <c r="AG49" i="2"/>
  <c r="AG50" i="2"/>
  <c r="AG51" i="2"/>
  <c r="AG52" i="2"/>
  <c r="AG53" i="2"/>
  <c r="AG54" i="2"/>
  <c r="AG55" i="2"/>
  <c r="AG56" i="2"/>
  <c r="AF2" i="2"/>
  <c r="AF3" i="2"/>
  <c r="AF4" i="2"/>
  <c r="AF5" i="2"/>
  <c r="AF6" i="2"/>
  <c r="AF7" i="2"/>
  <c r="AF8" i="2"/>
  <c r="AF9" i="2"/>
  <c r="AF10" i="2"/>
  <c r="AF11" i="2"/>
  <c r="AF12" i="2"/>
  <c r="AF14" i="2"/>
  <c r="AF15" i="2"/>
  <c r="AF16" i="2"/>
  <c r="AF17" i="2"/>
  <c r="AF18" i="2"/>
  <c r="AF19" i="2"/>
  <c r="AF20" i="2"/>
  <c r="AF21" i="2"/>
  <c r="AF22" i="2"/>
  <c r="AF23" i="2"/>
  <c r="AF24" i="2"/>
  <c r="AF25" i="2"/>
  <c r="AF26" i="2"/>
  <c r="AF27" i="2"/>
  <c r="AF28" i="2"/>
  <c r="AF29" i="2"/>
  <c r="AF30" i="2"/>
  <c r="AF31" i="2"/>
  <c r="AF32" i="2"/>
  <c r="AF33" i="2"/>
  <c r="AF34" i="2"/>
  <c r="AF35" i="2"/>
  <c r="AF36" i="2"/>
  <c r="AF44" i="2"/>
  <c r="AF45" i="2"/>
  <c r="AF46" i="2"/>
  <c r="AF47" i="2"/>
  <c r="AF48" i="2"/>
  <c r="AF49" i="2"/>
  <c r="AF50" i="2"/>
  <c r="AF51" i="2"/>
  <c r="AF52" i="2"/>
  <c r="AF53" i="2"/>
  <c r="AF54" i="2"/>
  <c r="AF55" i="2"/>
  <c r="AF56" i="2"/>
  <c r="AE2" i="2"/>
  <c r="AE3" i="2"/>
  <c r="AE4" i="2"/>
  <c r="AE5" i="2"/>
  <c r="AE6" i="2"/>
  <c r="AE7" i="2"/>
  <c r="AE8" i="2"/>
  <c r="AE10" i="2"/>
  <c r="AE11" i="2"/>
  <c r="AE12" i="2"/>
  <c r="AE14" i="2"/>
  <c r="AE15" i="2"/>
  <c r="AE16" i="2"/>
  <c r="AE17" i="2"/>
  <c r="AE18" i="2"/>
  <c r="AE19" i="2"/>
  <c r="AE20" i="2"/>
  <c r="AE21" i="2"/>
  <c r="AE22" i="2"/>
  <c r="AE23" i="2"/>
  <c r="AE24" i="2"/>
  <c r="AE25" i="2"/>
  <c r="AE26" i="2"/>
  <c r="AE27" i="2"/>
  <c r="AE28" i="2"/>
  <c r="AE29" i="2"/>
  <c r="AE30" i="2"/>
  <c r="AE31" i="2"/>
  <c r="AE32" i="2"/>
  <c r="AE33" i="2"/>
  <c r="AE34" i="2"/>
  <c r="AE35" i="2"/>
  <c r="AE36" i="2"/>
  <c r="AE37" i="2"/>
  <c r="AE38" i="2"/>
  <c r="AE39" i="2"/>
  <c r="AE40" i="2"/>
  <c r="AE41" i="2"/>
  <c r="AE42" i="2"/>
  <c r="AE43" i="2"/>
  <c r="AE44" i="2"/>
  <c r="AE45" i="2"/>
  <c r="AE46" i="2"/>
  <c r="AE47" i="2"/>
  <c r="AE48" i="2"/>
  <c r="AE49" i="2"/>
  <c r="AE50" i="2"/>
  <c r="AE51" i="2"/>
  <c r="AE52" i="2"/>
  <c r="AE53" i="2"/>
  <c r="AE54" i="2"/>
  <c r="AE55" i="2"/>
  <c r="AE56" i="2"/>
  <c r="J21" i="2" l="1"/>
  <c r="G2" i="7"/>
  <c r="G3" i="7"/>
  <c r="G4" i="7"/>
  <c r="G5" i="7"/>
  <c r="G6" i="7"/>
  <c r="G7" i="7"/>
  <c r="G8" i="7"/>
  <c r="G10" i="7"/>
  <c r="G11" i="7"/>
  <c r="G12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E30" i="7"/>
  <c r="G30" i="7" s="1"/>
  <c r="D49" i="2"/>
  <c r="D50" i="2"/>
  <c r="D51" i="2"/>
  <c r="D52" i="2"/>
  <c r="D53" i="2"/>
  <c r="D54" i="2"/>
  <c r="D55" i="2"/>
  <c r="D56" i="2"/>
  <c r="H48" i="2"/>
  <c r="D45" i="2"/>
  <c r="D46" i="2"/>
  <c r="D47" i="2"/>
  <c r="D48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29" i="2"/>
  <c r="D30" i="2"/>
  <c r="D26" i="2"/>
  <c r="D27" i="2"/>
  <c r="D28" i="2"/>
  <c r="D5" i="2"/>
  <c r="D6" i="2"/>
  <c r="D7" i="2"/>
  <c r="D8" i="2"/>
  <c r="D9" i="2"/>
  <c r="D10" i="2"/>
  <c r="D11" i="2"/>
  <c r="D12" i="2"/>
  <c r="D15" i="2"/>
  <c r="D16" i="2"/>
  <c r="D17" i="2"/>
  <c r="D18" i="2"/>
  <c r="D19" i="2"/>
  <c r="D20" i="2"/>
  <c r="D21" i="2"/>
  <c r="D22" i="2"/>
  <c r="D23" i="2"/>
  <c r="D24" i="2"/>
  <c r="D25" i="2"/>
  <c r="D4" i="2"/>
  <c r="G49" i="2" l="1"/>
  <c r="G79" i="7"/>
</calcChain>
</file>

<file path=xl/sharedStrings.xml><?xml version="1.0" encoding="utf-8"?>
<sst xmlns="http://schemas.openxmlformats.org/spreadsheetml/2006/main" count="793" uniqueCount="217">
  <si>
    <t>LE BOURG-D'OISANS</t>
  </si>
  <si>
    <t>LE CHATELARD</t>
  </si>
  <si>
    <t>CLAVANS-LE-BAS</t>
  </si>
  <si>
    <t>LE CHAZELET</t>
  </si>
  <si>
    <t>LES TERRASSES</t>
  </si>
  <si>
    <t>VILLAR-D'ARÈNE</t>
  </si>
  <si>
    <t>LE CASSET</t>
  </si>
  <si>
    <t>LE MONÉTIER-LES-BAINS</t>
  </si>
  <si>
    <t>CHALETS DE CHAMBRAN</t>
  </si>
  <si>
    <t>VALLOUISE</t>
  </si>
  <si>
    <t>ENTRE-LES-AIGUES</t>
  </si>
  <si>
    <t>REFUGE DE VALLONPIERRE</t>
  </si>
  <si>
    <t>LE DESERT-EN-VALJOUFFREY</t>
  </si>
  <si>
    <t>LA GRAVE</t>
  </si>
  <si>
    <t>REFUGE DU PRÉ-DE-LA-CHAUMETTE</t>
  </si>
  <si>
    <t>REFUGE DES SOUFFLES</t>
  </si>
  <si>
    <t>BESSE-EN-OISANS</t>
  </si>
  <si>
    <t>Temps</t>
  </si>
  <si>
    <t>LA CHAPELLE-EN-VALGAUDEMAR</t>
  </si>
  <si>
    <t>D+</t>
  </si>
  <si>
    <t>D-</t>
  </si>
  <si>
    <t>Distance</t>
  </si>
  <si>
    <t>Localité Arrivée</t>
  </si>
  <si>
    <t>PELVOUX-SAINT-ANTOINE</t>
  </si>
  <si>
    <t>GR</t>
  </si>
  <si>
    <t>GR54</t>
  </si>
  <si>
    <t>GR54C</t>
  </si>
  <si>
    <t>Combe-Haute</t>
  </si>
  <si>
    <t>Col de la Sarenne</t>
  </si>
  <si>
    <t>Localité Départ</t>
  </si>
  <si>
    <t>Point A</t>
  </si>
  <si>
    <t>Point B</t>
  </si>
  <si>
    <t>Col du Souchet</t>
  </si>
  <si>
    <t>Col d'Arsine</t>
  </si>
  <si>
    <t>Grand Total</t>
  </si>
  <si>
    <t>Values</t>
  </si>
  <si>
    <t>Sum of D+</t>
  </si>
  <si>
    <t>Sum of D-</t>
  </si>
  <si>
    <t>Sum of Temps</t>
  </si>
  <si>
    <t>Col de l'Eychauda</t>
  </si>
  <si>
    <t>Pont sur la Sarenne</t>
  </si>
  <si>
    <t>Une intersection</t>
  </si>
  <si>
    <t>Chalet Josserand</t>
  </si>
  <si>
    <t>Confluent de torrents</t>
  </si>
  <si>
    <t>La cabane de Jas-Lacroix</t>
  </si>
  <si>
    <t>Col de l'Aup-Martin</t>
  </si>
  <si>
    <t>Pas de la Cavale</t>
  </si>
  <si>
    <t>PONT D'ARSINE</t>
  </si>
  <si>
    <t>Col de la Valette</t>
  </si>
  <si>
    <t>Col de Gouiran</t>
  </si>
  <si>
    <t>Col de Vallonpierre</t>
  </si>
  <si>
    <t>La cabane de Surette</t>
  </si>
  <si>
    <t>Refuge du Clot</t>
  </si>
  <si>
    <t>Les Andrieux</t>
  </si>
  <si>
    <t>VILLAR-LOUBIERE</t>
  </si>
  <si>
    <t>Col de la Vaurze</t>
  </si>
  <si>
    <t>Col de Côte-Belle</t>
  </si>
  <si>
    <t>Carrefour de Valsenestre</t>
  </si>
  <si>
    <t>Col de la Muzelle</t>
  </si>
  <si>
    <t>VALSENESTRE</t>
  </si>
  <si>
    <t>LAC DE LA MUZELLE</t>
  </si>
  <si>
    <t>Col du Vallon</t>
  </si>
  <si>
    <t>Lauvitel</t>
  </si>
  <si>
    <t>Pont</t>
  </si>
  <si>
    <t>Les Gauchoirs</t>
  </si>
  <si>
    <t>GR54B</t>
  </si>
  <si>
    <t>Gite d'étape ou  refuge gardé</t>
  </si>
  <si>
    <t>Abri non gardé</t>
  </si>
  <si>
    <t xml:space="preserve">Chambre </t>
  </si>
  <si>
    <t xml:space="preserve">Camping </t>
  </si>
  <si>
    <t>Ravitaillement</t>
  </si>
  <si>
    <t>Restaurant</t>
  </si>
  <si>
    <t>Café</t>
  </si>
  <si>
    <t>Office de tourisme</t>
  </si>
  <si>
    <t>Car</t>
  </si>
  <si>
    <t>Distributeur de billets</t>
  </si>
  <si>
    <t>Train</t>
  </si>
  <si>
    <t>x</t>
  </si>
  <si>
    <t>ALPE DE VILLAR D'ARENE</t>
  </si>
  <si>
    <t>LES GUIBERTES</t>
  </si>
  <si>
    <t>X</t>
  </si>
  <si>
    <t>ALLEFROIDE</t>
  </si>
  <si>
    <t>REFUGE DE CHABOURNEOU</t>
  </si>
  <si>
    <t>CHALET-HOTEL DU GIOBERNEY</t>
  </si>
  <si>
    <t>REFUGE DE LA MUZELLE</t>
  </si>
  <si>
    <t>LES OUGIERS</t>
  </si>
  <si>
    <t>L'ALLEAU</t>
  </si>
  <si>
    <t>LE BOURG D'ARUD</t>
  </si>
  <si>
    <t>VENOSC</t>
  </si>
  <si>
    <t>LE FRENEY D'OISANS</t>
  </si>
  <si>
    <t>BARRAGE DU CHAMBON</t>
  </si>
  <si>
    <t>MIZOEN</t>
  </si>
  <si>
    <t>LES CLOTS</t>
  </si>
  <si>
    <t>LE PERIER</t>
  </si>
  <si>
    <t>LOCALITÉ</t>
  </si>
  <si>
    <t>ARGENTEUIL</t>
  </si>
  <si>
    <t>Camping de la Meije</t>
  </si>
  <si>
    <t>Nom</t>
  </si>
  <si>
    <t>Date ouverture</t>
  </si>
  <si>
    <t>Date Fermeture</t>
  </si>
  <si>
    <t>Prix 2 personnes</t>
  </si>
  <si>
    <t>Aire de bivouac naturel Le Gay</t>
  </si>
  <si>
    <t>Camping Le Colporteur</t>
  </si>
  <si>
    <t>Hebergement selectionne</t>
  </si>
  <si>
    <t>Camping municipal des 2 glaciers</t>
  </si>
  <si>
    <t>Camping municipal du Freyssinet</t>
  </si>
  <si>
    <t>Huttopia</t>
  </si>
  <si>
    <t>Localité</t>
  </si>
  <si>
    <t>Camping GCU</t>
  </si>
  <si>
    <t>Cabane de Jas Lacroix</t>
  </si>
  <si>
    <t>REFUGE DU PRÉ-DE-LA-CHAUMETTE - DP</t>
  </si>
  <si>
    <t>REFUGE DE VALLONPIERRE - DP</t>
  </si>
  <si>
    <t>Gite d'etape les Arias - Bivouac</t>
  </si>
  <si>
    <t>Gite d'etape les Arias</t>
  </si>
  <si>
    <t>Gite d'etape les Arias - DP</t>
  </si>
  <si>
    <t>Gite d'etape le Beranger</t>
  </si>
  <si>
    <t>REFUGES DU PLATEAU D'EMPARIS</t>
  </si>
  <si>
    <t>Gite d'etape le Beranger - DP</t>
  </si>
  <si>
    <t>Bivouac de Valsenestre</t>
  </si>
  <si>
    <t>REFUGE DE LA MUZELLE -DP</t>
  </si>
  <si>
    <t>Dépense</t>
  </si>
  <si>
    <t>Ressources</t>
  </si>
  <si>
    <t>Caracteristiques techniques</t>
  </si>
  <si>
    <t>Hebergement</t>
  </si>
  <si>
    <t>Date fermeture</t>
  </si>
  <si>
    <t>Points de passage</t>
  </si>
  <si>
    <t>Date depart</t>
  </si>
  <si>
    <t>Planning</t>
  </si>
  <si>
    <t>Nuitée</t>
  </si>
  <si>
    <t>petit dej</t>
  </si>
  <si>
    <t>dej</t>
  </si>
  <si>
    <t>diner</t>
  </si>
  <si>
    <t>Repas</t>
  </si>
  <si>
    <t>Etape</t>
  </si>
  <si>
    <t>1.1</t>
  </si>
  <si>
    <t>1.2</t>
  </si>
  <si>
    <t>1.3</t>
  </si>
  <si>
    <t>1.4</t>
  </si>
  <si>
    <t>1.5</t>
  </si>
  <si>
    <t>1.6</t>
  </si>
  <si>
    <t>2.1</t>
  </si>
  <si>
    <t>3.1</t>
  </si>
  <si>
    <t>4.1</t>
  </si>
  <si>
    <t>5.1</t>
  </si>
  <si>
    <t>2.2</t>
  </si>
  <si>
    <t>2.3</t>
  </si>
  <si>
    <t>2.4</t>
  </si>
  <si>
    <t>3.2</t>
  </si>
  <si>
    <t>3.3</t>
  </si>
  <si>
    <t>3.4</t>
  </si>
  <si>
    <t>3.5</t>
  </si>
  <si>
    <t>3.6</t>
  </si>
  <si>
    <t>4.2</t>
  </si>
  <si>
    <t>4.3</t>
  </si>
  <si>
    <t>4.4</t>
  </si>
  <si>
    <t>5.2</t>
  </si>
  <si>
    <t>6.1</t>
  </si>
  <si>
    <t>7.1</t>
  </si>
  <si>
    <t>6.2</t>
  </si>
  <si>
    <t>8.1</t>
  </si>
  <si>
    <t>9.1</t>
  </si>
  <si>
    <t>10.1</t>
  </si>
  <si>
    <t>7.2</t>
  </si>
  <si>
    <t>7.3</t>
  </si>
  <si>
    <t>8.2</t>
  </si>
  <si>
    <t>8.3</t>
  </si>
  <si>
    <t>8.4</t>
  </si>
  <si>
    <t>11.1</t>
  </si>
  <si>
    <t>9.2</t>
  </si>
  <si>
    <t>12.1</t>
  </si>
  <si>
    <t>10.2</t>
  </si>
  <si>
    <t>11.2</t>
  </si>
  <si>
    <t>11.3</t>
  </si>
  <si>
    <t>12.2</t>
  </si>
  <si>
    <t>12.3</t>
  </si>
  <si>
    <t>0.0</t>
  </si>
  <si>
    <t>Distance cumulée</t>
  </si>
  <si>
    <t>Sum of Distance</t>
  </si>
  <si>
    <t>Auberge du Savel</t>
  </si>
  <si>
    <t>Ou bivouac Col de Sarenne</t>
  </si>
  <si>
    <t>Ou bivouac lac Noir ou Lérié</t>
  </si>
  <si>
    <t>Maison</t>
  </si>
  <si>
    <t>Pique nique</t>
  </si>
  <si>
    <t>Resto ou popote</t>
  </si>
  <si>
    <t>Sandwich</t>
  </si>
  <si>
    <t>Samedi</t>
  </si>
  <si>
    <t>Dimanche</t>
  </si>
  <si>
    <t>Lundi</t>
  </si>
  <si>
    <t>Mardi</t>
  </si>
  <si>
    <t>Mercredi</t>
  </si>
  <si>
    <t>Jeudi</t>
  </si>
  <si>
    <t>Vendredi</t>
  </si>
  <si>
    <t>LAC NOIR</t>
  </si>
  <si>
    <t>5.3</t>
  </si>
  <si>
    <t>5.4</t>
  </si>
  <si>
    <t>5.5</t>
  </si>
  <si>
    <t>9.3</t>
  </si>
  <si>
    <t>9.4</t>
  </si>
  <si>
    <t>9.5</t>
  </si>
  <si>
    <t>9.6</t>
  </si>
  <si>
    <t>9.7</t>
  </si>
  <si>
    <t>13.1</t>
  </si>
  <si>
    <t>13.2</t>
  </si>
  <si>
    <t>13.3</t>
  </si>
  <si>
    <t>13.4</t>
  </si>
  <si>
    <t>13.5</t>
  </si>
  <si>
    <t>Camping municipal de Villar d'Arène</t>
  </si>
  <si>
    <t>Popote</t>
  </si>
  <si>
    <t>Cookies</t>
  </si>
  <si>
    <t>Auberge du Pas de l'Ane ou Popote</t>
  </si>
  <si>
    <t>Auberge du Savel - DP</t>
  </si>
  <si>
    <t>Gite d'étape la Charrière</t>
  </si>
  <si>
    <t>Camping municipal des Eaux douces</t>
  </si>
  <si>
    <t>Stop ravito</t>
  </si>
  <si>
    <t>Besse en Oisans</t>
  </si>
  <si>
    <t>La Grave / Villar d'Arène</t>
  </si>
  <si>
    <t>Le Monêtier les Bains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</si>
</sst>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h]:mm:ss;@"/>
    <numFmt numFmtId="165" formatCode="[$-40C]d\-mmm;@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222222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8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3" borderId="2" xfId="0" applyFill="1" applyBorder="1"/>
    <xf numFmtId="0" fontId="0" fillId="3" borderId="1" xfId="0" applyFill="1" applyBorder="1"/>
    <xf numFmtId="0" fontId="0" fillId="0" borderId="1" xfId="0" applyBorder="1"/>
    <xf numFmtId="0" fontId="0" fillId="0" borderId="0" xfId="0" pivotButton="1"/>
    <xf numFmtId="164" fontId="0" fillId="0" borderId="0" xfId="0" applyNumberFormat="1"/>
    <xf numFmtId="0" fontId="0" fillId="0" borderId="0" xfId="0" applyAlignment="1">
      <alignment horizontal="center"/>
    </xf>
    <xf numFmtId="0" fontId="0" fillId="4" borderId="4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3" fillId="6" borderId="4" xfId="0" applyFont="1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164" fontId="0" fillId="0" borderId="0" xfId="0" applyNumberFormat="1" applyAlignment="1">
      <alignment wrapText="1"/>
    </xf>
    <xf numFmtId="16" fontId="0" fillId="0" borderId="0" xfId="0" applyNumberFormat="1"/>
    <xf numFmtId="0" fontId="2" fillId="4" borderId="4" xfId="0" applyFont="1" applyFill="1" applyBorder="1" applyAlignment="1">
      <alignment horizontal="center"/>
    </xf>
    <xf numFmtId="2" fontId="0" fillId="0" borderId="0" xfId="0" applyNumberFormat="1"/>
    <xf numFmtId="2" fontId="0" fillId="0" borderId="0" xfId="0" applyNumberFormat="1" applyAlignment="1">
      <alignment wrapText="1"/>
    </xf>
    <xf numFmtId="0" fontId="0" fillId="0" borderId="3" xfId="0" applyBorder="1"/>
    <xf numFmtId="165" fontId="0" fillId="0" borderId="0" xfId="0" applyNumberFormat="1" applyAlignment="1">
      <alignment horizontal="center"/>
    </xf>
    <xf numFmtId="165" fontId="0" fillId="0" borderId="0" xfId="0" applyNumberFormat="1"/>
    <xf numFmtId="49" fontId="0" fillId="0" borderId="0" xfId="0" applyNumberFormat="1" applyAlignment="1">
      <alignment wrapText="1"/>
    </xf>
    <xf numFmtId="49" fontId="0" fillId="0" borderId="0" xfId="0" applyNumberFormat="1"/>
    <xf numFmtId="1" fontId="0" fillId="0" borderId="0" xfId="0" applyNumberFormat="1" applyAlignment="1">
      <alignment wrapText="1"/>
    </xf>
    <xf numFmtId="1" fontId="0" fillId="0" borderId="0" xfId="0" applyNumberFormat="1"/>
    <xf numFmtId="0" fontId="0" fillId="0" borderId="0" xfId="0" applyAlignment="1">
      <alignment horizontal="center" vertical="center" wrapText="1"/>
    </xf>
    <xf numFmtId="0" fontId="0" fillId="4" borderId="7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3" fillId="6" borderId="7" xfId="0" applyFont="1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1" fontId="0" fillId="0" borderId="0" xfId="0" applyNumberFormat="1" applyAlignment="1">
      <alignment vertical="center" wrapText="1"/>
    </xf>
    <xf numFmtId="165" fontId="0" fillId="0" borderId="0" xfId="0" applyNumberFormat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165" fontId="1" fillId="2" borderId="6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73">
    <dxf>
      <numFmt numFmtId="165" formatCode="[$-40C]d\-mmm;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2" formatCode="0.00"/>
    </dxf>
    <dxf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/>
      </border>
    </dxf>
    <dxf>
      <numFmt numFmtId="0" formatCode="General"/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alignment horizontal="general" vertical="bottom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 tint="0.5999938962981048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8" tint="0.5999938962981048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8" tint="0.5999938962981048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8" tint="0.5999938962981048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rgb="FFCC99FF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rgb="FFCC99FF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5999938962981048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</dxf>
    <dxf>
      <numFmt numFmtId="165" formatCode="[$-40C]d\-mmm;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5" formatCode="[$-40C]d\-mmm;@"/>
      <alignment horizontal="center" vertical="bottom" textRotation="0" wrapText="0" indent="0" justifyLastLine="0" shrinkToFit="0" readingOrder="0"/>
    </dxf>
    <dxf>
      <numFmt numFmtId="165" formatCode="[$-40C]d\-mmm;@"/>
      <alignment horizontal="center" vertical="bottom" textRotation="0" wrapText="0" indent="0" justifyLastLine="0" shrinkToFit="0" readingOrder="0"/>
    </dxf>
    <dxf>
      <numFmt numFmtId="165" formatCode="[$-40C]d\-mmm;@"/>
      <alignment horizontal="center" vertical="bottom" textRotation="0" wrapText="0" indent="0" justifyLastLine="0" shrinkToFit="0" readingOrder="0"/>
    </dxf>
    <dxf>
      <numFmt numFmtId="165" formatCode="[$-40C]d\-mmm;@"/>
      <alignment horizontal="center" vertical="bottom" textRotation="0" wrapText="0" indent="0" justifyLastLine="0" shrinkToFit="0" readingOrder="0"/>
    </dxf>
    <dxf>
      <numFmt numFmtId="165" formatCode="[$-40C]d\-mmm;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5" formatCode="[$-40C]d\-mmm;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5" formatCode="[$-40C]d\-mmm;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5" formatCode="[$-40C]d\-mmm;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5" formatCode="[$-40C]d\-mmm;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4" formatCode="[h]:mm:ss;@"/>
    </dxf>
    <dxf>
      <numFmt numFmtId="164" formatCode="[h]:mm:ss;@"/>
    </dxf>
    <dxf>
      <numFmt numFmtId="164" formatCode="[h]:mm:ss;@"/>
    </dxf>
    <dxf>
      <numFmt numFmtId="164" formatCode="[h]:mm:ss;@"/>
    </dxf>
    <dxf>
      <numFmt numFmtId="1" formatCode="0"/>
    </dxf>
    <dxf>
      <numFmt numFmtId="1" formatCode="0"/>
    </dxf>
    <dxf>
      <alignment vertical="center" textRotation="0" wrapText="1" indent="0" justifyLastLine="0" shrinkToFit="0" readingOrder="0"/>
    </dxf>
  </dxfs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173.933597106479" createdVersion="6" refreshedVersion="8" minRefreshableVersion="3" recordCount="55" xr:uid="{00000000-000A-0000-FFFF-FFFF13000000}">
  <cacheSource type="worksheet">
    <worksheetSource name="Table2"/>
  </cacheSource>
  <cacheFields count="34">
    <cacheField name="Localité Départ" numFmtId="0">
      <sharedItems containsBlank="1" count="33">
        <s v="ARGENTEUIL"/>
        <s v="LE BOURG-D'OISANS"/>
        <s v="CLAVANS-LE-BAS"/>
        <s v="LAC NOIR"/>
        <s v="PONT D'ARSINE"/>
        <s v="LE MONÉTIER-LES-BAINS"/>
        <s v="VALLOUISE"/>
        <s v="La cabane de Jas-Lacroix"/>
        <s v="REFUGE DU PRÉ-DE-LA-CHAUMETTE"/>
        <s v="REFUGE DE VALLONPIERRE"/>
        <s v="REFUGE DES SOUFFLES"/>
        <s v="LE DESERT-EN-VALJOUFFREY"/>
        <s v="VALSENESTRE"/>
        <s v="LAC DE LA MUZELLE"/>
        <s v="LA GRAVE" u="1"/>
        <s v="PELVOUX-SAINT-ANTOINE" u="1"/>
        <s v="BESSE-EN-OISANS" u="1"/>
        <s v="VILLAR-LOUBIÈRE" u="1"/>
        <m u="1"/>
        <s v="LA CHAPELLE-EN-VALGAUDEMAR" u="1"/>
        <s v="LES OUGIERS (par GR° 50 à 20 min)" u="1"/>
        <s v="ARSINE" u="1"/>
        <s v="LE CHAZELET" u="1"/>
        <s v="LES TERRASSES" u="1"/>
        <s v="AILEFROIDE" u="1"/>
        <s v="| REFUGE DE LA MUZELLE (par GR® 54C à 10 min)" u="1"/>
        <s v="CHALETS DE CHAMBRAN" u="1"/>
        <s v="ENTRE-LES-AIGUES" u="1"/>
        <s v="ALPE DE VILLAR-D'ARÈNE" u="1"/>
        <s v="VILLAR-D'ARÈNE" u="1"/>
        <s v="REFUGE DU CLOT (EX XAVIER-BLANC)" u="1"/>
        <s v="| VALSENESTRE (par GR® 54B à 30 min)" u="1"/>
        <s v="LE CASSET" u="1"/>
      </sharedItems>
    </cacheField>
    <cacheField name="Localité Arrivée" numFmtId="0">
      <sharedItems containsBlank="1" count="38">
        <s v="LE BOURG-D'OISANS"/>
        <s v="CLAVANS-LE-BAS"/>
        <s v="LAC NOIR"/>
        <s v="PONT D'ARSINE"/>
        <s v="LE MONÉTIER-LES-BAINS"/>
        <s v="VALLOUISE"/>
        <s v="La cabane de Jas-Lacroix"/>
        <s v="REFUGE DU PRÉ-DE-LA-CHAUMETTE"/>
        <s v="REFUGE DE VALLONPIERRE"/>
        <s v="REFUGE DES SOUFFLES"/>
        <s v="LE DESERT-EN-VALJOUFFREY"/>
        <s v="VALSENESTRE"/>
        <s v="REFUGE DE LA MUZELLE"/>
        <s v="LA GRAVE" u="1"/>
        <s v="BESSE-EN-OISANS" u="1"/>
        <s v="PELVOUX-SAINT-ANTOINE" u="1"/>
        <s v="VILLAR-LOUBIÈRE" u="1"/>
        <m u="1"/>
        <s v="LA CHAPELLE-EN-VALGAUDEMAR" u="1"/>
        <s v="LES OUGIERS (par GR° 50 à 20 min)" u="1"/>
        <s v="LES GUIBERTES (hors GR® à 45 min)" u="1"/>
        <s v="LAC DE LA MUZELLE" u="1"/>
        <s v="ARSINE" u="1"/>
        <s v="REFUGE DE CHABOURNÉOU (hors GR® à 1 h 30)" u="1"/>
        <s v="LE CHAZELET" u="1"/>
        <s v="LES TERRASSES" u="1"/>
        <s v="REFUGE DE L'OLAN (par variante)" u="1"/>
        <s v="AILEFROIDE" u="1"/>
        <s v="AILEFROIDE (par variante à 2h)" u="1"/>
        <s v="REFUGE DE LA MUZELLE (par GR® 54C à 10 min)" u="1"/>
        <s v="CHALETS DE CHAMBRAN" u="1"/>
        <s v="ENTRE-LES-AIGUES" u="1"/>
        <s v="ALPE DE VILLAR-D'ARÈNE" u="1"/>
        <s v="VALSENESTRE (par GR® 54B à 30 min)" u="1"/>
        <s v="CHALET-HÔTEL DU GIOBERNEY (hors GR® à 1 h)" u="1"/>
        <s v="VILLAR-D'ARÈNE" u="1"/>
        <s v="REFUGE DU CLOT (EX XAVIER-BLANC)" u="1"/>
        <s v="LE CASSET" u="1"/>
      </sharedItems>
    </cacheField>
    <cacheField name="Etape" numFmtId="1">
      <sharedItems containsSemiMixedTypes="0" containsString="0" containsNumber="1" containsInteger="1" minValue="0" maxValue="13" count="14">
        <n v="0"/>
        <n v="1"/>
        <n v="2"/>
        <n v="3"/>
        <n v="4"/>
        <n v="5"/>
        <n v="6"/>
        <n v="7"/>
        <n v="8"/>
        <n v="9"/>
        <n v="10"/>
        <n v="11"/>
        <n v="12"/>
        <n v="13"/>
      </sharedItems>
    </cacheField>
    <cacheField name="Point A" numFmtId="0">
      <sharedItems containsBlank="1" count="53">
        <s v="ARGENTEUIL"/>
        <s v="LE BOURG-D'OISANS"/>
        <s v="LE CHATELARD"/>
        <s v="Pont sur la Sarenne"/>
        <s v="Combe-Haute"/>
        <s v="Une intersection"/>
        <s v="Col de la Sarenne"/>
        <s v="CLAVANS-LE-BAS"/>
        <s v="BESSE-EN-OISANS"/>
        <s v="Chalet Josserand"/>
        <s v="Confluent de torrents"/>
        <s v="LAC NOIR"/>
        <s v="Col du Souchet"/>
        <s v="LE CHAZELET"/>
        <s v="LES TERRASSES"/>
        <s v="LA GRAVE"/>
        <s v="VILLAR-D'ARÈNE"/>
        <s v="PONT D'ARSINE"/>
        <s v="ALPE DE VILLAR D'ARENE"/>
        <s v="Col d'Arsine"/>
        <s v="LE CASSET"/>
        <s v="LE MONÉTIER-LES-BAINS"/>
        <s v="Col de l'Eychauda"/>
        <s v="CHALETS DE CHAMBRAN"/>
        <s v="PELVOUX-SAINT-ANTOINE"/>
        <s v="VALLOUISE"/>
        <s v="ENTRE-LES-AIGUES"/>
        <s v="La cabane de Jas-Lacroix"/>
        <s v="Col de l'Aup-Martin"/>
        <s v="Pas de la Cavale"/>
        <s v="REFUGE DU PRÉ-DE-LA-CHAUMETTE"/>
        <s v="Col de la Valette"/>
        <s v="Col de Gouiran"/>
        <s v="Col de Vallonpierre"/>
        <s v="REFUGE DE VALLONPIERRE"/>
        <s v="La cabane de Surette"/>
        <s v="Refuge du Clot"/>
        <s v="LA CHAPELLE-EN-VALGAUDEMAR"/>
        <s v="Les Andrieux"/>
        <s v="VILLAR-LOUBIERE"/>
        <s v="REFUGE DES SOUFFLES"/>
        <s v="Col de la Vaurze"/>
        <s v="LE DESERT-EN-VALJOUFFREY"/>
        <s v="Col de Côte-Belle"/>
        <s v="Carrefour de Valsenestre"/>
        <s v="VALSENESTRE"/>
        <s v="Col de la Muzelle"/>
        <s v="REFUGE DE LA MUZELLE"/>
        <s v="Col du Vallon"/>
        <s v="Lauvitel"/>
        <s v="Pont"/>
        <s v="Les Gauchoirs"/>
        <m u="1"/>
      </sharedItems>
    </cacheField>
    <cacheField name="Point B" numFmtId="0">
      <sharedItems containsBlank="1" count="52">
        <s v="LE BOURG-D'OISANS"/>
        <s v="LE CHATELARD"/>
        <s v="Pont sur la Sarenne"/>
        <s v="Combe-Haute"/>
        <s v="Une intersection"/>
        <s v="Col de la Sarenne"/>
        <s v="CLAVANS-LE-BAS"/>
        <s v="BESSE-EN-OISANS"/>
        <s v="Chalet Josserand"/>
        <s v="Confluent de torrents"/>
        <s v="LAC NOIR"/>
        <s v="Col du Souchet"/>
        <s v="LE CHAZELET"/>
        <s v="LES TERRASSES"/>
        <s v="LA GRAVE"/>
        <s v="VILLAR-D'ARÈNE"/>
        <s v="PONT D'ARSINE"/>
        <s v="ALPE DE VILLAR D'ARENE"/>
        <s v="Col d'Arsine"/>
        <s v="LE CASSET"/>
        <s v="LE MONÉTIER-LES-BAINS"/>
        <s v="Col de l'Eychauda"/>
        <s v="CHALETS DE CHAMBRAN"/>
        <s v="PELVOUX-SAINT-ANTOINE"/>
        <s v="VALLOUISE"/>
        <s v="ENTRE-LES-AIGUES"/>
        <s v="La cabane de Jas-Lacroix"/>
        <s v="Col de l'Aup-Martin"/>
        <s v="Pas de la Cavale"/>
        <s v="REFUGE DU PRÉ-DE-LA-CHAUMETTE"/>
        <s v="Col de la Valette"/>
        <s v="Col de Gouiran"/>
        <s v="Col de Vallonpierre"/>
        <s v="REFUGE DE VALLONPIERRE"/>
        <s v="La cabane de Surette"/>
        <s v="Refuge du Clot"/>
        <s v="LA CHAPELLE-EN-VALGAUDEMAR"/>
        <s v="Les Andrieux"/>
        <s v="VILLAR-LOUBIERE"/>
        <s v="REFUGE DES SOUFFLES"/>
        <s v="Col de la Vaurze"/>
        <s v="LE DESERT-EN-VALJOUFFREY"/>
        <s v="Col de Côte-Belle"/>
        <s v="Carrefour de Valsenestre"/>
        <s v="VALSENESTRE"/>
        <s v="Col de la Muzelle"/>
        <s v="REFUGE DE LA MUZELLE"/>
        <s v="Col du Vallon"/>
        <s v="Lauvitel"/>
        <s v="Pont"/>
        <s v="Les Gauchoirs"/>
        <m u="1"/>
      </sharedItems>
    </cacheField>
    <cacheField name="Points de passage" numFmtId="0">
      <sharedItems containsBlank="1" count="70">
        <s v="0.0"/>
        <s v="1.1"/>
        <s v="1.2"/>
        <s v="1.3"/>
        <s v="1.4"/>
        <s v="1.5"/>
        <s v="1.6"/>
        <s v="2.1"/>
        <s v="2.2"/>
        <s v="2.3"/>
        <s v="2.4"/>
        <s v="3.1"/>
        <s v="3.2"/>
        <s v="3.3"/>
        <s v="3.4"/>
        <s v="3.5"/>
        <s v="3.6"/>
        <s v="4.1"/>
        <s v="4.2"/>
        <s v="4.3"/>
        <s v="4.4"/>
        <s v="5.1"/>
        <s v="5.2"/>
        <s v="5.3"/>
        <s v="5.4"/>
        <s v="5.5"/>
        <s v="6.1"/>
        <s v="6.2"/>
        <s v="7.1"/>
        <s v="7.2"/>
        <s v="7.3"/>
        <s v="8.1"/>
        <s v="8.2"/>
        <s v="8.3"/>
        <s v="8.4"/>
        <s v="9.1"/>
        <s v="9.2"/>
        <s v="9.3"/>
        <s v="9.4"/>
        <s v="9.5"/>
        <s v="9.6"/>
        <s v="9.7"/>
        <s v="10.1"/>
        <s v="10.2"/>
        <s v="11.1"/>
        <s v="11.2"/>
        <s v="11.3"/>
        <s v="12.1"/>
        <s v="12.2"/>
        <s v="12.3"/>
        <s v="13.1"/>
        <s v="13.2"/>
        <s v="13.3"/>
        <s v="13.4"/>
        <s v="13.5"/>
        <s v="2.5" u="1"/>
        <s v="2.6" u="1"/>
        <s v="2.7" u="1"/>
        <s v="2.8" u="1"/>
        <s v="4.5" u="1"/>
        <s v="6.3" u="1"/>
        <s v="7.4" u="1"/>
        <s v="8.5" u="1"/>
        <s v="8.6" u="1"/>
        <s v="8.7" u="1"/>
        <s v="10.3" u="1"/>
        <s v="12.4" u="1"/>
        <s v="12.5" u="1"/>
        <s v="1.7" u="1"/>
        <m u="1"/>
      </sharedItems>
    </cacheField>
    <cacheField name="D+" numFmtId="0">
      <sharedItems containsString="0" containsBlank="1" containsNumber="1" containsInteger="1" minValue="0" maxValue="1130"/>
    </cacheField>
    <cacheField name="D-" numFmtId="0">
      <sharedItems containsString="0" containsBlank="1" containsNumber="1" containsInteger="1" minValue="0" maxValue="1255"/>
    </cacheField>
    <cacheField name="Temps" numFmtId="164">
      <sharedItems containsNonDate="0" containsDate="1" containsString="0" containsBlank="1" minDate="1899-12-30T00:20:00" maxDate="1899-12-30T04:30:00"/>
    </cacheField>
    <cacheField name="Distance" numFmtId="0">
      <sharedItems containsString="0" containsBlank="1" containsNumber="1" minValue="0.90000000000000213" maxValue="8.8000000000000007"/>
    </cacheField>
    <cacheField name="Distance cumulée" numFmtId="0">
      <sharedItems containsString="0" containsBlank="1" containsNumber="1" minValue="1.8" maxValue="23.9"/>
    </cacheField>
    <cacheField name="GR" numFmtId="0">
      <sharedItems containsBlank="1"/>
    </cacheField>
    <cacheField name="Caracteristiques techniques" numFmtId="0">
      <sharedItems containsNonDate="0" containsString="0" containsBlank="1"/>
    </cacheField>
    <cacheField name="Gite d'étape ou  refuge gardé" numFmtId="0">
      <sharedItems containsMixedTypes="1" containsNumber="1" containsInteger="1" minValue="0" maxValue="0"/>
    </cacheField>
    <cacheField name="Abri non gardé" numFmtId="0">
      <sharedItems containsMixedTypes="1" containsNumber="1" containsInteger="1" minValue="0" maxValue="0"/>
    </cacheField>
    <cacheField name="Chambre " numFmtId="0">
      <sharedItems containsMixedTypes="1" containsNumber="1" containsInteger="1" minValue="0" maxValue="0"/>
    </cacheField>
    <cacheField name="Camping " numFmtId="0">
      <sharedItems containsMixedTypes="1" containsNumber="1" containsInteger="1" minValue="0" maxValue="0"/>
    </cacheField>
    <cacheField name="Ravitaillement" numFmtId="0">
      <sharedItems containsMixedTypes="1" containsNumber="1" containsInteger="1" minValue="0" maxValue="0"/>
    </cacheField>
    <cacheField name="Restaurant" numFmtId="0">
      <sharedItems containsMixedTypes="1" containsNumber="1" containsInteger="1" minValue="0" maxValue="0"/>
    </cacheField>
    <cacheField name="Café" numFmtId="0">
      <sharedItems containsMixedTypes="1" containsNumber="1" containsInteger="1" minValue="0" maxValue="0"/>
    </cacheField>
    <cacheField name="Office de tourisme" numFmtId="0">
      <sharedItems containsMixedTypes="1" containsNumber="1" containsInteger="1" minValue="0" maxValue="0"/>
    </cacheField>
    <cacheField name="Car" numFmtId="0">
      <sharedItems containsMixedTypes="1" containsNumber="1" containsInteger="1" minValue="0" maxValue="0"/>
    </cacheField>
    <cacheField name="Train" numFmtId="0">
      <sharedItems containsSemiMixedTypes="0" containsString="0" containsNumber="1" containsInteger="1" minValue="0" maxValue="0"/>
    </cacheField>
    <cacheField name="Distributeur de billets" numFmtId="0">
      <sharedItems containsMixedTypes="1" containsNumber="1" containsInteger="1" minValue="0" maxValue="0"/>
    </cacheField>
    <cacheField name="Ressources" numFmtId="0">
      <sharedItems containsNonDate="0" containsString="0" containsBlank="1"/>
    </cacheField>
    <cacheField name="petit dej" numFmtId="165">
      <sharedItems containsBlank="1"/>
    </cacheField>
    <cacheField name="dej" numFmtId="165">
      <sharedItems containsBlank="1"/>
    </cacheField>
    <cacheField name="diner" numFmtId="165">
      <sharedItems containsBlank="1"/>
    </cacheField>
    <cacheField name="Repas" numFmtId="165">
      <sharedItems containsNonDate="0" containsString="0" containsBlank="1"/>
    </cacheField>
    <cacheField name="Nuitée" numFmtId="0">
      <sharedItems containsMixedTypes="1" containsNumber="1" containsInteger="1" minValue="0" maxValue="0"/>
    </cacheField>
    <cacheField name="Date ouverture" numFmtId="165">
      <sharedItems containsSemiMixedTypes="0" containsNonDate="0" containsDate="1" containsString="0" minDate="2023-01-01T00:00:00" maxDate="2023-06-18T00:00:00"/>
    </cacheField>
    <cacheField name="Date fermeture" numFmtId="165">
      <sharedItems containsSemiMixedTypes="0" containsNonDate="0" containsDate="1" containsString="0" minDate="2023-09-17T00:00:00" maxDate="2024-01-01T00:00:00"/>
    </cacheField>
    <cacheField name="Hebergement" numFmtId="165">
      <sharedItems containsNonDate="0" containsString="0" containsBlank="1"/>
    </cacheField>
    <cacheField name="Planning" numFmtId="165">
      <sharedItems containsSemiMixedTypes="0" containsNonDate="0" containsDate="1" containsString="0" minDate="2023-09-03T00:00:00" maxDate="2023-09-23T00:00:00" count="20">
        <d v="2023-09-09T00:00:00"/>
        <d v="2023-09-10T00:00:00"/>
        <d v="2023-09-11T00:00:00"/>
        <d v="2023-09-12T00:00:00"/>
        <d v="2023-09-13T00:00:00"/>
        <d v="2023-09-14T00:00:00"/>
        <d v="2023-09-15T00:00:00"/>
        <d v="2023-09-16T00:00:00"/>
        <d v="2023-09-17T00:00:00"/>
        <d v="2023-09-18T00:00:00"/>
        <d v="2023-09-19T00:00:00"/>
        <d v="2023-09-20T00:00:00"/>
        <d v="2023-09-21T00:00:00"/>
        <d v="2023-09-22T00:00:00"/>
        <d v="2023-09-03T00:00:00" u="1"/>
        <d v="2023-09-04T00:00:00" u="1"/>
        <d v="2023-09-05T00:00:00" u="1"/>
        <d v="2023-09-06T00:00:00" u="1"/>
        <d v="2023-09-07T00:00:00" u="1"/>
        <d v="2023-09-08T00:00:00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5">
  <r>
    <x v="0"/>
    <x v="0"/>
    <x v="0"/>
    <x v="0"/>
    <x v="0"/>
    <x v="0"/>
    <m/>
    <m/>
    <m/>
    <m/>
    <m/>
    <m/>
    <m/>
    <s v="x"/>
    <s v="x"/>
    <n v="0"/>
    <s v="x"/>
    <s v="x"/>
    <s v="x"/>
    <s v="x"/>
    <s v="x"/>
    <s v="x"/>
    <n v="0"/>
    <s v="x"/>
    <m/>
    <s v="Maison"/>
    <s v="Pique nique"/>
    <s v="Resto ou popote"/>
    <m/>
    <s v="Camping Le Colporteur"/>
    <d v="2023-04-07T00:00:00"/>
    <d v="2023-10-01T00:00:00"/>
    <m/>
    <x v="0"/>
  </r>
  <r>
    <x v="1"/>
    <x v="1"/>
    <x v="1"/>
    <x v="1"/>
    <x v="1"/>
    <x v="1"/>
    <n v="840"/>
    <n v="130"/>
    <d v="1899-12-30T02:45:00"/>
    <n v="7"/>
    <n v="7"/>
    <s v="GR54"/>
    <m/>
    <n v="0"/>
    <s v="x"/>
    <n v="0"/>
    <n v="0"/>
    <n v="0"/>
    <s v="x"/>
    <s v="x"/>
    <n v="0"/>
    <n v="0"/>
    <n v="0"/>
    <n v="0"/>
    <m/>
    <s v="Sandwich"/>
    <s v="Pique nique"/>
    <s v="Resto ou popote"/>
    <m/>
    <s v="Auberge du Savel"/>
    <d v="2023-01-01T00:00:00"/>
    <d v="2023-12-31T00:00:00"/>
    <m/>
    <x v="1"/>
  </r>
  <r>
    <x v="1"/>
    <x v="1"/>
    <x v="1"/>
    <x v="2"/>
    <x v="2"/>
    <x v="2"/>
    <n v="130"/>
    <n v="130"/>
    <d v="1899-12-30T00:30:00"/>
    <n v="2"/>
    <n v="9"/>
    <s v="GR54"/>
    <m/>
    <n v="0"/>
    <n v="0"/>
    <n v="0"/>
    <n v="0"/>
    <n v="0"/>
    <n v="0"/>
    <n v="0"/>
    <n v="0"/>
    <n v="0"/>
    <n v="0"/>
    <n v="0"/>
    <m/>
    <m/>
    <m/>
    <m/>
    <m/>
    <s v="Auberge du Savel"/>
    <d v="2023-01-01T00:00:00"/>
    <d v="2023-12-31T00:00:00"/>
    <m/>
    <x v="1"/>
  </r>
  <r>
    <x v="1"/>
    <x v="1"/>
    <x v="1"/>
    <x v="3"/>
    <x v="3"/>
    <x v="3"/>
    <n v="180"/>
    <n v="30"/>
    <d v="1899-12-30T00:30:00"/>
    <n v="2"/>
    <n v="11"/>
    <s v="GR54"/>
    <m/>
    <n v="0"/>
    <n v="0"/>
    <n v="0"/>
    <n v="0"/>
    <n v="0"/>
    <n v="0"/>
    <n v="0"/>
    <n v="0"/>
    <n v="0"/>
    <n v="0"/>
    <n v="0"/>
    <m/>
    <m/>
    <m/>
    <m/>
    <m/>
    <s v="Auberge du Savel"/>
    <d v="2023-01-01T00:00:00"/>
    <d v="2023-12-31T00:00:00"/>
    <m/>
    <x v="1"/>
  </r>
  <r>
    <x v="1"/>
    <x v="1"/>
    <x v="1"/>
    <x v="4"/>
    <x v="4"/>
    <x v="4"/>
    <n v="130"/>
    <n v="0"/>
    <d v="1899-12-30T00:20:00"/>
    <n v="2"/>
    <n v="13"/>
    <s v="GR54"/>
    <m/>
    <n v="0"/>
    <n v="0"/>
    <n v="0"/>
    <n v="0"/>
    <n v="0"/>
    <n v="0"/>
    <n v="0"/>
    <n v="0"/>
    <n v="0"/>
    <n v="0"/>
    <n v="0"/>
    <m/>
    <m/>
    <m/>
    <m/>
    <m/>
    <s v="Auberge du Savel"/>
    <d v="2023-01-01T00:00:00"/>
    <d v="2023-12-31T00:00:00"/>
    <m/>
    <x v="1"/>
  </r>
  <r>
    <x v="1"/>
    <x v="1"/>
    <x v="1"/>
    <x v="5"/>
    <x v="5"/>
    <x v="5"/>
    <n v="270"/>
    <n v="0"/>
    <d v="1899-12-30T01:00:00"/>
    <n v="3.5"/>
    <n v="16.5"/>
    <s v="GR54"/>
    <m/>
    <n v="0"/>
    <n v="0"/>
    <n v="0"/>
    <n v="0"/>
    <n v="0"/>
    <n v="0"/>
    <n v="0"/>
    <n v="0"/>
    <n v="0"/>
    <n v="0"/>
    <n v="0"/>
    <m/>
    <m/>
    <m/>
    <m/>
    <m/>
    <s v="Auberge du Savel"/>
    <d v="2023-01-01T00:00:00"/>
    <d v="2023-12-31T00:00:00"/>
    <m/>
    <x v="1"/>
  </r>
  <r>
    <x v="1"/>
    <x v="1"/>
    <x v="1"/>
    <x v="6"/>
    <x v="6"/>
    <x v="6"/>
    <n v="30"/>
    <n v="680"/>
    <d v="1899-12-30T02:00:00"/>
    <n v="4.8999999999999986"/>
    <n v="21.4"/>
    <s v="GR54"/>
    <m/>
    <n v="0"/>
    <s v="x"/>
    <n v="0"/>
    <n v="0"/>
    <s v="x"/>
    <s v="x"/>
    <n v="0"/>
    <n v="0"/>
    <n v="0"/>
    <n v="0"/>
    <n v="0"/>
    <m/>
    <m/>
    <m/>
    <m/>
    <m/>
    <s v="Auberge du Savel"/>
    <d v="2023-01-01T00:00:00"/>
    <d v="2023-12-31T00:00:00"/>
    <m/>
    <x v="1"/>
  </r>
  <r>
    <x v="2"/>
    <x v="2"/>
    <x v="2"/>
    <x v="7"/>
    <x v="7"/>
    <x v="7"/>
    <n v="280"/>
    <n v="100"/>
    <d v="1899-12-30T01:10:00"/>
    <n v="1.8"/>
    <n v="1.8"/>
    <s v="GR54"/>
    <m/>
    <s v="x"/>
    <n v="0"/>
    <s v="x"/>
    <s v="x"/>
    <s v="x"/>
    <s v="x"/>
    <s v="x"/>
    <s v="x"/>
    <n v="0"/>
    <n v="0"/>
    <n v="0"/>
    <m/>
    <m/>
    <m/>
    <m/>
    <m/>
    <n v="0"/>
    <d v="2023-01-01T00:00:00"/>
    <d v="2023-12-31T00:00:00"/>
    <m/>
    <x v="2"/>
  </r>
  <r>
    <x v="2"/>
    <x v="2"/>
    <x v="2"/>
    <x v="8"/>
    <x v="8"/>
    <x v="8"/>
    <n v="720"/>
    <n v="30"/>
    <d v="1899-12-30T02:30:00"/>
    <n v="4.7"/>
    <n v="6.5"/>
    <s v="GR54"/>
    <m/>
    <n v="0"/>
    <s v="x"/>
    <n v="0"/>
    <n v="0"/>
    <n v="0"/>
    <n v="0"/>
    <n v="0"/>
    <n v="0"/>
    <n v="0"/>
    <n v="0"/>
    <n v="0"/>
    <m/>
    <s v="Sandwich"/>
    <s v="Pique nique"/>
    <s v="Resto ou popote"/>
    <m/>
    <n v="0"/>
    <d v="2023-01-01T00:00:00"/>
    <d v="2023-12-31T00:00:00"/>
    <m/>
    <x v="2"/>
  </r>
  <r>
    <x v="2"/>
    <x v="2"/>
    <x v="2"/>
    <x v="9"/>
    <x v="9"/>
    <x v="9"/>
    <n v="20"/>
    <n v="80"/>
    <d v="1899-12-30T00:30:00"/>
    <n v="1.6999999999999993"/>
    <n v="8.1999999999999993"/>
    <s v="GR54"/>
    <m/>
    <n v="0"/>
    <n v="0"/>
    <n v="0"/>
    <n v="0"/>
    <n v="0"/>
    <n v="0"/>
    <n v="0"/>
    <n v="0"/>
    <n v="0"/>
    <n v="0"/>
    <n v="0"/>
    <m/>
    <m/>
    <m/>
    <m/>
    <m/>
    <n v="0"/>
    <d v="2023-01-01T00:00:00"/>
    <d v="2023-12-31T00:00:00"/>
    <m/>
    <x v="2"/>
  </r>
  <r>
    <x v="2"/>
    <x v="2"/>
    <x v="2"/>
    <x v="10"/>
    <x v="10"/>
    <x v="10"/>
    <n v="251"/>
    <n v="18"/>
    <d v="1899-12-30T01:00:00"/>
    <n v="2"/>
    <n v="10.199999999999999"/>
    <s v="GR54"/>
    <m/>
    <n v="0"/>
    <n v="0"/>
    <n v="0"/>
    <n v="0"/>
    <n v="0"/>
    <n v="0"/>
    <n v="0"/>
    <n v="0"/>
    <n v="0"/>
    <n v="0"/>
    <n v="0"/>
    <m/>
    <m/>
    <m/>
    <m/>
    <m/>
    <n v="0"/>
    <d v="2023-01-01T00:00:00"/>
    <d v="2023-12-31T00:00:00"/>
    <m/>
    <x v="2"/>
  </r>
  <r>
    <x v="3"/>
    <x v="3"/>
    <x v="3"/>
    <x v="11"/>
    <x v="11"/>
    <x v="11"/>
    <n v="199"/>
    <n v="297"/>
    <d v="1899-12-30T01:00:00"/>
    <n v="2.2000000000000002"/>
    <n v="12.399999999999999"/>
    <s v="GR54"/>
    <m/>
    <n v="0"/>
    <n v="0"/>
    <n v="0"/>
    <n v="0"/>
    <n v="0"/>
    <n v="0"/>
    <n v="0"/>
    <n v="0"/>
    <n v="0"/>
    <n v="0"/>
    <n v="0"/>
    <m/>
    <m/>
    <m/>
    <m/>
    <m/>
    <n v="0"/>
    <d v="2023-01-01T00:00:00"/>
    <d v="2023-12-31T00:00:00"/>
    <m/>
    <x v="3"/>
  </r>
  <r>
    <x v="3"/>
    <x v="3"/>
    <x v="3"/>
    <x v="12"/>
    <x v="12"/>
    <x v="12"/>
    <n v="87"/>
    <n v="660"/>
    <d v="1899-12-30T01:30:00"/>
    <n v="5.6"/>
    <n v="15.799999999999999"/>
    <s v="GR54"/>
    <m/>
    <s v="x"/>
    <n v="0"/>
    <n v="0"/>
    <n v="0"/>
    <n v="0"/>
    <n v="0"/>
    <n v="0"/>
    <n v="0"/>
    <n v="0"/>
    <n v="0"/>
    <n v="0"/>
    <m/>
    <m/>
    <m/>
    <m/>
    <m/>
    <n v="0"/>
    <d v="2023-01-01T00:00:00"/>
    <d v="2023-12-31T00:00:00"/>
    <m/>
    <x v="3"/>
  </r>
  <r>
    <x v="3"/>
    <x v="3"/>
    <x v="3"/>
    <x v="13"/>
    <x v="13"/>
    <x v="13"/>
    <n v="48"/>
    <n v="51"/>
    <d v="1899-12-30T00:30:00"/>
    <n v="1.5000000000000018"/>
    <n v="17.3"/>
    <s v="GR54"/>
    <m/>
    <s v="x"/>
    <n v="0"/>
    <n v="0"/>
    <n v="0"/>
    <n v="0"/>
    <n v="0"/>
    <n v="0"/>
    <n v="0"/>
    <n v="0"/>
    <n v="0"/>
    <n v="0"/>
    <m/>
    <m/>
    <m/>
    <m/>
    <m/>
    <n v="0"/>
    <d v="2023-01-01T00:00:00"/>
    <d v="2023-12-31T00:00:00"/>
    <m/>
    <x v="3"/>
  </r>
  <r>
    <x v="3"/>
    <x v="3"/>
    <x v="3"/>
    <x v="14"/>
    <x v="14"/>
    <x v="14"/>
    <n v="11"/>
    <n v="298"/>
    <d v="1899-12-30T00:30:00"/>
    <n v="1.6999999999999993"/>
    <n v="19"/>
    <s v="GR54"/>
    <m/>
    <s v="x"/>
    <s v="x"/>
    <n v="0"/>
    <s v="x"/>
    <s v="x"/>
    <s v="x"/>
    <s v="x"/>
    <s v="x"/>
    <s v="x"/>
    <n v="0"/>
    <s v="x"/>
    <m/>
    <m/>
    <m/>
    <m/>
    <m/>
    <n v="0"/>
    <d v="2023-01-01T00:00:00"/>
    <d v="2023-12-31T00:00:00"/>
    <m/>
    <x v="3"/>
  </r>
  <r>
    <x v="3"/>
    <x v="3"/>
    <x v="3"/>
    <x v="15"/>
    <x v="15"/>
    <x v="15"/>
    <n v="301"/>
    <n v="163"/>
    <d v="1899-12-30T01:30:00"/>
    <n v="3.2000000000000011"/>
    <n v="3.2000000000000011"/>
    <s v="GR54"/>
    <m/>
    <s v="x"/>
    <s v="x"/>
    <s v="x"/>
    <n v="0"/>
    <s v="x"/>
    <s v="x"/>
    <s v="x"/>
    <n v="0"/>
    <s v="x"/>
    <n v="0"/>
    <n v="0"/>
    <m/>
    <m/>
    <m/>
    <m/>
    <m/>
    <n v="0"/>
    <d v="2023-01-01T00:00:00"/>
    <d v="2023-12-31T00:00:00"/>
    <m/>
    <x v="3"/>
  </r>
  <r>
    <x v="3"/>
    <x v="3"/>
    <x v="3"/>
    <x v="16"/>
    <x v="16"/>
    <x v="16"/>
    <n v="61"/>
    <n v="24"/>
    <d v="1899-12-30T00:35:00"/>
    <n v="2.5999999999999996"/>
    <n v="5.8000000000000007"/>
    <s v="GR54"/>
    <m/>
    <s v="x"/>
    <n v="0"/>
    <n v="0"/>
    <n v="0"/>
    <n v="0"/>
    <s v="x"/>
    <s v="x"/>
    <n v="0"/>
    <n v="0"/>
    <n v="0"/>
    <n v="0"/>
    <m/>
    <m/>
    <m/>
    <m/>
    <m/>
    <n v="0"/>
    <d v="2023-01-01T00:00:00"/>
    <d v="2023-12-31T00:00:00"/>
    <m/>
    <x v="3"/>
  </r>
  <r>
    <x v="4"/>
    <x v="4"/>
    <x v="4"/>
    <x v="17"/>
    <x v="17"/>
    <x v="17"/>
    <n v="467"/>
    <n v="60"/>
    <d v="1899-12-30T02:25:00"/>
    <n v="5.1000000000000014"/>
    <n v="10.900000000000002"/>
    <s v="GR54"/>
    <m/>
    <s v="x"/>
    <n v="0"/>
    <n v="0"/>
    <n v="0"/>
    <n v="0"/>
    <n v="0"/>
    <n v="0"/>
    <n v="0"/>
    <n v="0"/>
    <n v="0"/>
    <n v="0"/>
    <m/>
    <m/>
    <m/>
    <m/>
    <m/>
    <s v="Camping municipal des 2 glaciers"/>
    <d v="2023-05-26T00:00:00"/>
    <d v="2023-09-24T00:00:00"/>
    <m/>
    <x v="4"/>
  </r>
  <r>
    <x v="4"/>
    <x v="4"/>
    <x v="4"/>
    <x v="18"/>
    <x v="18"/>
    <x v="18"/>
    <n v="282"/>
    <n v="9"/>
    <d v="1899-12-30T01:00:00"/>
    <n v="3"/>
    <n v="13.900000000000002"/>
    <s v="GR54"/>
    <m/>
    <n v="0"/>
    <n v="0"/>
    <n v="0"/>
    <n v="0"/>
    <n v="0"/>
    <n v="0"/>
    <n v="0"/>
    <n v="0"/>
    <n v="0"/>
    <n v="0"/>
    <n v="0"/>
    <m/>
    <m/>
    <m/>
    <m/>
    <m/>
    <s v="Camping municipal des 2 glaciers"/>
    <d v="2023-05-26T00:00:00"/>
    <d v="2023-09-24T00:00:00"/>
    <m/>
    <x v="4"/>
  </r>
  <r>
    <x v="4"/>
    <x v="4"/>
    <x v="4"/>
    <x v="19"/>
    <x v="19"/>
    <x v="19"/>
    <n v="32"/>
    <n v="865"/>
    <d v="1899-12-30T02:00:00"/>
    <n v="7.3000000000000007"/>
    <n v="21.200000000000003"/>
    <s v="GR54"/>
    <m/>
    <s v="x"/>
    <n v="0"/>
    <n v="0"/>
    <n v="0"/>
    <n v="0"/>
    <s v="x"/>
    <n v="0"/>
    <n v="0"/>
    <s v="x"/>
    <n v="0"/>
    <n v="0"/>
    <m/>
    <m/>
    <m/>
    <m/>
    <m/>
    <s v="Camping municipal des 2 glaciers"/>
    <d v="2023-05-26T00:00:00"/>
    <d v="2023-09-24T00:00:00"/>
    <m/>
    <x v="4"/>
  </r>
  <r>
    <x v="4"/>
    <x v="4"/>
    <x v="4"/>
    <x v="20"/>
    <x v="20"/>
    <x v="20"/>
    <n v="6"/>
    <n v="53"/>
    <d v="1899-12-30T00:35:00"/>
    <n v="1.6999999999999993"/>
    <n v="22.900000000000002"/>
    <s v="GR54"/>
    <m/>
    <s v="x"/>
    <s v="x"/>
    <n v="0"/>
    <s v="x"/>
    <s v="x"/>
    <s v="x"/>
    <n v="0"/>
    <s v="x"/>
    <s v="x"/>
    <n v="0"/>
    <s v="x"/>
    <m/>
    <m/>
    <m/>
    <m/>
    <m/>
    <s v="Camping municipal des 2 glaciers"/>
    <d v="2023-05-26T00:00:00"/>
    <d v="2023-09-24T00:00:00"/>
    <m/>
    <x v="4"/>
  </r>
  <r>
    <x v="5"/>
    <x v="5"/>
    <x v="5"/>
    <x v="21"/>
    <x v="21"/>
    <x v="21"/>
    <n v="976"/>
    <n v="19"/>
    <d v="1899-12-30T03:20:00"/>
    <n v="7.7"/>
    <n v="7.7"/>
    <s v="GR54"/>
    <m/>
    <n v="0"/>
    <n v="0"/>
    <n v="0"/>
    <n v="0"/>
    <n v="0"/>
    <n v="0"/>
    <n v="0"/>
    <n v="0"/>
    <n v="0"/>
    <n v="0"/>
    <n v="0"/>
    <m/>
    <m/>
    <m/>
    <m/>
    <m/>
    <s v="Huttopia"/>
    <d v="2023-01-01T00:00:00"/>
    <d v="2023-09-24T00:00:00"/>
    <m/>
    <x v="5"/>
  </r>
  <r>
    <x v="5"/>
    <x v="5"/>
    <x v="5"/>
    <x v="22"/>
    <x v="22"/>
    <x v="22"/>
    <n v="63"/>
    <n v="774"/>
    <d v="1899-12-30T01:30:00"/>
    <n v="6.2"/>
    <n v="13.9"/>
    <s v="GR54"/>
    <m/>
    <n v="0"/>
    <n v="0"/>
    <n v="0"/>
    <n v="0"/>
    <n v="0"/>
    <s v="x"/>
    <n v="0"/>
    <n v="0"/>
    <n v="0"/>
    <n v="0"/>
    <n v="0"/>
    <m/>
    <m/>
    <m/>
    <m/>
    <m/>
    <s v="Huttopia"/>
    <d v="2023-01-01T00:00:00"/>
    <d v="2023-09-24T00:00:00"/>
    <m/>
    <x v="5"/>
  </r>
  <r>
    <x v="5"/>
    <x v="5"/>
    <x v="5"/>
    <x v="23"/>
    <x v="4"/>
    <x v="23"/>
    <n v="1"/>
    <n v="152"/>
    <d v="1899-12-30T00:30:00"/>
    <n v="2"/>
    <n v="15.9"/>
    <s v="GR54"/>
    <m/>
    <n v="0"/>
    <n v="0"/>
    <n v="0"/>
    <n v="0"/>
    <n v="0"/>
    <n v="0"/>
    <n v="0"/>
    <n v="0"/>
    <n v="0"/>
    <n v="0"/>
    <n v="0"/>
    <m/>
    <m/>
    <m/>
    <m/>
    <m/>
    <s v="Huttopia"/>
    <d v="2023-01-01T00:00:00"/>
    <d v="2023-09-24T00:00:00"/>
    <m/>
    <x v="5"/>
  </r>
  <r>
    <x v="5"/>
    <x v="5"/>
    <x v="5"/>
    <x v="5"/>
    <x v="23"/>
    <x v="24"/>
    <n v="0"/>
    <n v="247"/>
    <d v="1899-12-30T00:40:00"/>
    <m/>
    <m/>
    <s v="GR54"/>
    <m/>
    <s v="x"/>
    <s v="x"/>
    <s v="x"/>
    <s v="x"/>
    <s v="x"/>
    <s v="x"/>
    <n v="0"/>
    <n v="0"/>
    <s v="x"/>
    <n v="0"/>
    <n v="0"/>
    <m/>
    <m/>
    <m/>
    <m/>
    <m/>
    <s v="Huttopia"/>
    <d v="2023-01-01T00:00:00"/>
    <d v="2023-09-24T00:00:00"/>
    <m/>
    <x v="5"/>
  </r>
  <r>
    <x v="5"/>
    <x v="5"/>
    <x v="5"/>
    <x v="24"/>
    <x v="24"/>
    <x v="25"/>
    <n v="0"/>
    <n v="92"/>
    <d v="1899-12-30T01:00:00"/>
    <n v="5.2000000000000011"/>
    <n v="21.1"/>
    <s v="GR54"/>
    <m/>
    <s v="x"/>
    <s v="x"/>
    <n v="0"/>
    <s v="x"/>
    <s v="x"/>
    <s v="x"/>
    <s v="x"/>
    <s v="x"/>
    <s v="x"/>
    <n v="0"/>
    <s v="x"/>
    <m/>
    <m/>
    <m/>
    <m/>
    <m/>
    <s v="Huttopia"/>
    <d v="2023-01-01T00:00:00"/>
    <d v="2023-09-24T00:00:00"/>
    <m/>
    <x v="5"/>
  </r>
  <r>
    <x v="6"/>
    <x v="6"/>
    <x v="6"/>
    <x v="25"/>
    <x v="25"/>
    <x v="26"/>
    <n v="492"/>
    <n v="41"/>
    <d v="1899-12-30T02:00:00"/>
    <n v="8"/>
    <n v="8"/>
    <s v="GR54"/>
    <m/>
    <n v="0"/>
    <n v="0"/>
    <n v="0"/>
    <n v="0"/>
    <n v="0"/>
    <n v="0"/>
    <n v="0"/>
    <n v="0"/>
    <s v="x"/>
    <n v="0"/>
    <n v="0"/>
    <m/>
    <m/>
    <m/>
    <m/>
    <m/>
    <s v="Cabane de Jas Lacroix"/>
    <d v="2023-01-01T00:00:00"/>
    <d v="2023-12-31T00:00:00"/>
    <m/>
    <x v="6"/>
  </r>
  <r>
    <x v="6"/>
    <x v="6"/>
    <x v="6"/>
    <x v="26"/>
    <x v="26"/>
    <x v="27"/>
    <n v="347"/>
    <n v="29"/>
    <d v="1899-12-30T01:15:00"/>
    <n v="4"/>
    <n v="12"/>
    <s v="GR54"/>
    <m/>
    <n v="0"/>
    <s v="x"/>
    <n v="0"/>
    <n v="0"/>
    <n v="0"/>
    <n v="0"/>
    <n v="0"/>
    <n v="0"/>
    <n v="0"/>
    <n v="0"/>
    <n v="0"/>
    <m/>
    <m/>
    <m/>
    <m/>
    <m/>
    <s v="Cabane de Jas Lacroix"/>
    <d v="2023-01-01T00:00:00"/>
    <d v="2023-12-31T00:00:00"/>
    <m/>
    <x v="6"/>
  </r>
  <r>
    <x v="7"/>
    <x v="7"/>
    <x v="7"/>
    <x v="27"/>
    <x v="27"/>
    <x v="28"/>
    <n v="850"/>
    <n v="48"/>
    <d v="1899-12-30T03:00:00"/>
    <n v="5.8999999999999986"/>
    <n v="5.8999999999999986"/>
    <s v="GR54"/>
    <m/>
    <n v="0"/>
    <n v="0"/>
    <n v="0"/>
    <n v="0"/>
    <n v="0"/>
    <n v="0"/>
    <n v="0"/>
    <n v="0"/>
    <n v="0"/>
    <n v="0"/>
    <n v="0"/>
    <m/>
    <m/>
    <m/>
    <m/>
    <m/>
    <s v="REFUGE DU PRÉ-DE-LA-CHAUMETTE"/>
    <d v="2023-06-15T00:00:00"/>
    <d v="2023-09-17T00:00:00"/>
    <m/>
    <x v="7"/>
  </r>
  <r>
    <x v="7"/>
    <x v="7"/>
    <x v="7"/>
    <x v="28"/>
    <x v="28"/>
    <x v="29"/>
    <n v="64"/>
    <n v="62"/>
    <d v="1899-12-30T00:30:00"/>
    <n v="0.90000000000000213"/>
    <n v="6.8000000000000007"/>
    <s v="GR54"/>
    <m/>
    <n v="0"/>
    <n v="0"/>
    <n v="0"/>
    <n v="0"/>
    <n v="0"/>
    <n v="0"/>
    <n v="0"/>
    <n v="0"/>
    <n v="0"/>
    <n v="0"/>
    <n v="0"/>
    <m/>
    <m/>
    <m/>
    <m/>
    <m/>
    <s v="REFUGE DU PRÉ-DE-LA-CHAUMETTE"/>
    <d v="2023-06-15T00:00:00"/>
    <d v="2023-09-17T00:00:00"/>
    <m/>
    <x v="7"/>
  </r>
  <r>
    <x v="7"/>
    <x v="7"/>
    <x v="7"/>
    <x v="29"/>
    <x v="29"/>
    <x v="30"/>
    <n v="51"/>
    <n v="979"/>
    <d v="1899-12-30T02:00:00"/>
    <n v="5.1999999999999993"/>
    <n v="12"/>
    <s v="GR54"/>
    <m/>
    <s v="x"/>
    <n v="0"/>
    <n v="0"/>
    <n v="0"/>
    <n v="0"/>
    <s v="x"/>
    <n v="0"/>
    <n v="0"/>
    <n v="0"/>
    <n v="0"/>
    <n v="0"/>
    <m/>
    <m/>
    <m/>
    <m/>
    <m/>
    <s v="REFUGE DU PRÉ-DE-LA-CHAUMETTE"/>
    <d v="2023-06-15T00:00:00"/>
    <d v="2023-09-17T00:00:00"/>
    <m/>
    <x v="7"/>
  </r>
  <r>
    <x v="8"/>
    <x v="8"/>
    <x v="8"/>
    <x v="30"/>
    <x v="30"/>
    <x v="31"/>
    <n v="898"/>
    <n v="43"/>
    <d v="1899-12-30T03:00:00"/>
    <n v="4.6500000000000004"/>
    <n v="4.6500000000000004"/>
    <s v="GR54"/>
    <m/>
    <n v="0"/>
    <n v="0"/>
    <n v="0"/>
    <n v="0"/>
    <n v="0"/>
    <n v="0"/>
    <n v="0"/>
    <n v="0"/>
    <n v="0"/>
    <n v="0"/>
    <n v="0"/>
    <m/>
    <m/>
    <m/>
    <m/>
    <m/>
    <s v="REFUGE DE VALLONPIERRE"/>
    <d v="2023-06-10T00:00:00"/>
    <d v="2023-10-01T00:00:00"/>
    <m/>
    <x v="8"/>
  </r>
  <r>
    <x v="8"/>
    <x v="8"/>
    <x v="8"/>
    <x v="31"/>
    <x v="31"/>
    <x v="32"/>
    <n v="132"/>
    <n v="205"/>
    <d v="1899-12-30T00:50:00"/>
    <n v="1.6499999999999995"/>
    <n v="6.3"/>
    <s v="GR54"/>
    <m/>
    <n v="0"/>
    <n v="0"/>
    <n v="0"/>
    <n v="0"/>
    <n v="0"/>
    <n v="0"/>
    <n v="0"/>
    <n v="0"/>
    <n v="0"/>
    <n v="0"/>
    <n v="0"/>
    <m/>
    <m/>
    <m/>
    <m/>
    <m/>
    <s v="REFUGE DE VALLONPIERRE"/>
    <d v="2023-06-10T00:00:00"/>
    <d v="2023-10-01T00:00:00"/>
    <m/>
    <x v="8"/>
  </r>
  <r>
    <x v="8"/>
    <x v="8"/>
    <x v="8"/>
    <x v="32"/>
    <x v="32"/>
    <x v="33"/>
    <n v="235"/>
    <n v="219"/>
    <d v="1899-12-30T01:00:00"/>
    <n v="2.5000000000000009"/>
    <n v="8.8000000000000007"/>
    <s v="GR54"/>
    <m/>
    <n v="0"/>
    <n v="0"/>
    <n v="0"/>
    <n v="0"/>
    <n v="0"/>
    <n v="0"/>
    <n v="0"/>
    <n v="0"/>
    <n v="0"/>
    <n v="0"/>
    <n v="0"/>
    <m/>
    <m/>
    <m/>
    <m/>
    <m/>
    <s v="REFUGE DE VALLONPIERRE"/>
    <d v="2023-06-10T00:00:00"/>
    <d v="2023-10-01T00:00:00"/>
    <m/>
    <x v="8"/>
  </r>
  <r>
    <x v="8"/>
    <x v="8"/>
    <x v="8"/>
    <x v="33"/>
    <x v="33"/>
    <x v="34"/>
    <n v="21"/>
    <n v="364"/>
    <d v="1899-12-30T00:45:00"/>
    <n v="2.0999999999999996"/>
    <n v="10.9"/>
    <s v="GR54"/>
    <m/>
    <s v="x"/>
    <n v="0"/>
    <n v="0"/>
    <n v="0"/>
    <n v="0"/>
    <s v="x"/>
    <n v="0"/>
    <n v="0"/>
    <n v="0"/>
    <n v="0"/>
    <n v="0"/>
    <m/>
    <m/>
    <m/>
    <m/>
    <m/>
    <s v="REFUGE DE VALLONPIERRE"/>
    <d v="2023-06-10T00:00:00"/>
    <d v="2023-10-01T00:00:00"/>
    <m/>
    <x v="8"/>
  </r>
  <r>
    <x v="9"/>
    <x v="9"/>
    <x v="9"/>
    <x v="34"/>
    <x v="34"/>
    <x v="35"/>
    <n v="31"/>
    <n v="649"/>
    <d v="1899-12-30T01:00:00"/>
    <n v="3.5"/>
    <n v="3.5"/>
    <s v="GR54"/>
    <m/>
    <n v="0"/>
    <s v="x"/>
    <n v="0"/>
    <n v="0"/>
    <n v="0"/>
    <n v="0"/>
    <n v="0"/>
    <n v="0"/>
    <n v="0"/>
    <n v="0"/>
    <n v="0"/>
    <m/>
    <m/>
    <m/>
    <m/>
    <m/>
    <s v="REFUGE DES SOUFFLES"/>
    <d v="2023-06-17T00:00:00"/>
    <d v="2023-09-17T00:00:00"/>
    <m/>
    <x v="9"/>
  </r>
  <r>
    <x v="9"/>
    <x v="9"/>
    <x v="9"/>
    <x v="35"/>
    <x v="35"/>
    <x v="36"/>
    <n v="15"/>
    <n v="255"/>
    <d v="1899-12-30T01:00:00"/>
    <n v="3.3"/>
    <n v="6.8"/>
    <s v="GR54"/>
    <m/>
    <s v="x"/>
    <n v="0"/>
    <n v="0"/>
    <n v="0"/>
    <n v="0"/>
    <s v="x"/>
    <n v="0"/>
    <n v="0"/>
    <n v="0"/>
    <n v="0"/>
    <n v="0"/>
    <m/>
    <m/>
    <m/>
    <m/>
    <m/>
    <s v="REFUGE DES SOUFFLES"/>
    <d v="2023-06-17T00:00:00"/>
    <d v="2023-09-17T00:00:00"/>
    <m/>
    <x v="9"/>
  </r>
  <r>
    <x v="9"/>
    <x v="9"/>
    <x v="9"/>
    <x v="36"/>
    <x v="19"/>
    <x v="37"/>
    <n v="88"/>
    <n v="337"/>
    <d v="1899-12-30T01:05:00"/>
    <n v="5.2"/>
    <n v="12"/>
    <s v="GR54"/>
    <m/>
    <s v="x"/>
    <n v="0"/>
    <n v="0"/>
    <n v="0"/>
    <n v="0"/>
    <s v="x"/>
    <n v="0"/>
    <n v="0"/>
    <s v="x"/>
    <n v="0"/>
    <n v="0"/>
    <m/>
    <m/>
    <m/>
    <m/>
    <m/>
    <s v="REFUGE DES SOUFFLES"/>
    <d v="2023-06-17T00:00:00"/>
    <d v="2023-09-17T00:00:00"/>
    <m/>
    <x v="9"/>
  </r>
  <r>
    <x v="9"/>
    <x v="9"/>
    <x v="9"/>
    <x v="20"/>
    <x v="36"/>
    <x v="38"/>
    <n v="28"/>
    <n v="80"/>
    <d v="1899-12-30T00:30:00"/>
    <n v="1.9000000000000004"/>
    <n v="13.9"/>
    <s v="GR54"/>
    <m/>
    <s v="x"/>
    <s v="x"/>
    <n v="0"/>
    <s v="x"/>
    <s v="x"/>
    <s v="x"/>
    <n v="0"/>
    <s v="x"/>
    <s v="x"/>
    <n v="0"/>
    <n v="0"/>
    <m/>
    <m/>
    <m/>
    <m/>
    <m/>
    <s v="REFUGE DES SOUFFLES"/>
    <d v="2023-06-17T00:00:00"/>
    <d v="2023-09-17T00:00:00"/>
    <m/>
    <x v="9"/>
  </r>
  <r>
    <x v="9"/>
    <x v="9"/>
    <x v="9"/>
    <x v="37"/>
    <x v="37"/>
    <x v="39"/>
    <n v="11"/>
    <n v="64"/>
    <d v="1899-12-30T00:45:00"/>
    <n v="2.9999999999999982"/>
    <n v="16.899999999999999"/>
    <s v="GR54"/>
    <m/>
    <n v="0"/>
    <n v="0"/>
    <n v="0"/>
    <n v="0"/>
    <n v="0"/>
    <n v="0"/>
    <n v="0"/>
    <n v="0"/>
    <n v="0"/>
    <n v="0"/>
    <n v="0"/>
    <m/>
    <m/>
    <m/>
    <m/>
    <m/>
    <s v="REFUGE DES SOUFFLES"/>
    <d v="2023-06-17T00:00:00"/>
    <d v="2023-09-17T00:00:00"/>
    <m/>
    <x v="9"/>
  </r>
  <r>
    <x v="9"/>
    <x v="9"/>
    <x v="9"/>
    <x v="38"/>
    <x v="38"/>
    <x v="40"/>
    <n v="54"/>
    <n v="46"/>
    <d v="1899-12-30T00:40:00"/>
    <n v="2"/>
    <n v="18.899999999999999"/>
    <s v="GR54"/>
    <m/>
    <s v="x"/>
    <n v="0"/>
    <n v="0"/>
    <n v="0"/>
    <n v="0"/>
    <n v="0"/>
    <n v="0"/>
    <n v="0"/>
    <n v="0"/>
    <n v="0"/>
    <n v="0"/>
    <m/>
    <m/>
    <m/>
    <m/>
    <m/>
    <s v="REFUGE DES SOUFFLES"/>
    <d v="2023-06-17T00:00:00"/>
    <d v="2023-09-17T00:00:00"/>
    <m/>
    <x v="9"/>
  </r>
  <r>
    <x v="9"/>
    <x v="9"/>
    <x v="9"/>
    <x v="39"/>
    <x v="39"/>
    <x v="41"/>
    <n v="876"/>
    <n v="202"/>
    <d v="1899-12-30T02:30:00"/>
    <n v="5"/>
    <n v="23.9"/>
    <s v="GR54"/>
    <m/>
    <s v="x"/>
    <n v="0"/>
    <n v="0"/>
    <n v="0"/>
    <n v="0"/>
    <s v="x"/>
    <n v="0"/>
    <n v="0"/>
    <n v="0"/>
    <n v="0"/>
    <n v="0"/>
    <m/>
    <m/>
    <m/>
    <m/>
    <m/>
    <s v="REFUGE DES SOUFFLES"/>
    <d v="2023-06-17T00:00:00"/>
    <d v="2023-09-17T00:00:00"/>
    <m/>
    <x v="9"/>
  </r>
  <r>
    <x v="10"/>
    <x v="10"/>
    <x v="10"/>
    <x v="40"/>
    <x v="40"/>
    <x v="42"/>
    <n v="662"/>
    <n v="29"/>
    <d v="1899-12-30T02:30:00"/>
    <n v="5.8"/>
    <n v="5.8"/>
    <s v="GR54"/>
    <m/>
    <n v="0"/>
    <n v="0"/>
    <n v="0"/>
    <n v="0"/>
    <n v="0"/>
    <n v="0"/>
    <n v="0"/>
    <n v="0"/>
    <n v="0"/>
    <n v="0"/>
    <n v="0"/>
    <m/>
    <m/>
    <m/>
    <m/>
    <m/>
    <s v="Gite d'etape les Arias"/>
    <d v="2023-01-01T00:00:00"/>
    <d v="2023-12-31T00:00:00"/>
    <m/>
    <x v="10"/>
  </r>
  <r>
    <x v="10"/>
    <x v="10"/>
    <x v="10"/>
    <x v="41"/>
    <x v="41"/>
    <x v="43"/>
    <n v="0"/>
    <n v="1255"/>
    <d v="1899-12-30T03:00:00"/>
    <n v="5.2"/>
    <n v="11"/>
    <s v="GR54"/>
    <m/>
    <s v="x"/>
    <s v="x"/>
    <n v="0"/>
    <s v="x"/>
    <s v="x"/>
    <s v="x"/>
    <s v="x"/>
    <n v="0"/>
    <n v="0"/>
    <n v="0"/>
    <n v="0"/>
    <m/>
    <m/>
    <m/>
    <m/>
    <m/>
    <s v="Gite d'etape les Arias"/>
    <d v="2023-01-01T00:00:00"/>
    <d v="2023-12-31T00:00:00"/>
    <m/>
    <x v="10"/>
  </r>
  <r>
    <x v="11"/>
    <x v="11"/>
    <x v="11"/>
    <x v="42"/>
    <x v="42"/>
    <x v="44"/>
    <n v="1030"/>
    <n v="10"/>
    <d v="1899-12-30T03:30:00"/>
    <n v="5.0999999999999996"/>
    <n v="5.0999999999999996"/>
    <s v="GR54"/>
    <m/>
    <n v="0"/>
    <n v="0"/>
    <n v="0"/>
    <n v="0"/>
    <n v="0"/>
    <n v="0"/>
    <n v="0"/>
    <n v="0"/>
    <n v="0"/>
    <n v="0"/>
    <n v="0"/>
    <m/>
    <m/>
    <m/>
    <m/>
    <m/>
    <s v="Gite d'etape le Beranger"/>
    <d v="2023-01-01T00:00:00"/>
    <d v="2023-12-31T00:00:00"/>
    <m/>
    <x v="11"/>
  </r>
  <r>
    <x v="11"/>
    <x v="11"/>
    <x v="11"/>
    <x v="43"/>
    <x v="43"/>
    <x v="45"/>
    <n v="10"/>
    <n v="820"/>
    <d v="1899-12-30T01:45:00"/>
    <n v="4.4000000000000004"/>
    <n v="9.5"/>
    <s v="GR54"/>
    <m/>
    <n v="0"/>
    <n v="0"/>
    <n v="0"/>
    <n v="0"/>
    <n v="0"/>
    <n v="0"/>
    <n v="0"/>
    <n v="0"/>
    <n v="0"/>
    <n v="0"/>
    <n v="0"/>
    <m/>
    <m/>
    <m/>
    <m/>
    <m/>
    <s v="Gite d'etape le Beranger"/>
    <d v="2023-01-01T00:00:00"/>
    <d v="2023-12-31T00:00:00"/>
    <m/>
    <x v="11"/>
  </r>
  <r>
    <x v="11"/>
    <x v="11"/>
    <x v="11"/>
    <x v="44"/>
    <x v="44"/>
    <x v="46"/>
    <n v="0"/>
    <n v="197"/>
    <d v="1899-12-30T00:30:00"/>
    <n v="2"/>
    <n v="11.5"/>
    <s v="GR54B"/>
    <m/>
    <s v="x"/>
    <n v="0"/>
    <n v="0"/>
    <n v="0"/>
    <n v="0"/>
    <s v="x"/>
    <n v="0"/>
    <n v="0"/>
    <n v="0"/>
    <n v="0"/>
    <n v="0"/>
    <m/>
    <m/>
    <m/>
    <m/>
    <m/>
    <s v="Gite d'etape le Beranger"/>
    <d v="2023-01-01T00:00:00"/>
    <d v="2023-12-31T00:00:00"/>
    <m/>
    <x v="11"/>
  </r>
  <r>
    <x v="12"/>
    <x v="12"/>
    <x v="12"/>
    <x v="45"/>
    <x v="43"/>
    <x v="47"/>
    <n v="197"/>
    <n v="0"/>
    <d v="1899-12-30T01:00:00"/>
    <n v="2"/>
    <n v="2"/>
    <s v="GR54"/>
    <m/>
    <n v="0"/>
    <n v="0"/>
    <n v="0"/>
    <n v="0"/>
    <n v="0"/>
    <n v="0"/>
    <n v="0"/>
    <n v="0"/>
    <n v="0"/>
    <n v="0"/>
    <n v="0"/>
    <m/>
    <m/>
    <m/>
    <m/>
    <m/>
    <s v="REFUGE DE LA MUZELLE"/>
    <d v="2023-01-01T00:00:00"/>
    <d v="2023-09-30T00:00:00"/>
    <m/>
    <x v="12"/>
  </r>
  <r>
    <x v="12"/>
    <x v="12"/>
    <x v="12"/>
    <x v="44"/>
    <x v="45"/>
    <x v="48"/>
    <n v="1130"/>
    <n v="20"/>
    <d v="1899-12-30T04:30:00"/>
    <n v="4.4000000000000004"/>
    <n v="6.4"/>
    <s v="GR54"/>
    <m/>
    <n v="0"/>
    <n v="0"/>
    <n v="0"/>
    <n v="0"/>
    <n v="0"/>
    <n v="0"/>
    <n v="0"/>
    <n v="0"/>
    <n v="0"/>
    <n v="0"/>
    <n v="0"/>
    <m/>
    <m/>
    <m/>
    <m/>
    <m/>
    <s v="REFUGE DE LA MUZELLE"/>
    <d v="2023-01-01T00:00:00"/>
    <d v="2023-09-30T00:00:00"/>
    <m/>
    <x v="12"/>
  </r>
  <r>
    <x v="12"/>
    <x v="12"/>
    <x v="12"/>
    <x v="46"/>
    <x v="46"/>
    <x v="49"/>
    <n v="0"/>
    <n v="510"/>
    <d v="1899-12-30T01:00:00"/>
    <n v="2.5999999999999996"/>
    <n v="9"/>
    <s v="GR54"/>
    <m/>
    <s v="x"/>
    <n v="0"/>
    <n v="0"/>
    <n v="0"/>
    <n v="0"/>
    <s v="x"/>
    <s v="x"/>
    <n v="0"/>
    <n v="0"/>
    <n v="0"/>
    <n v="0"/>
    <m/>
    <m/>
    <m/>
    <m/>
    <m/>
    <s v="REFUGE DE LA MUZELLE"/>
    <d v="2023-01-01T00:00:00"/>
    <d v="2023-09-30T00:00:00"/>
    <m/>
    <x v="12"/>
  </r>
  <r>
    <x v="13"/>
    <x v="0"/>
    <x v="13"/>
    <x v="47"/>
    <x v="47"/>
    <x v="50"/>
    <n v="430"/>
    <n v="0"/>
    <d v="1899-12-30T01:30:00"/>
    <n v="2.4"/>
    <n v="2.4"/>
    <s v="GR54"/>
    <m/>
    <n v="0"/>
    <n v="0"/>
    <n v="0"/>
    <n v="0"/>
    <n v="0"/>
    <n v="0"/>
    <n v="0"/>
    <n v="0"/>
    <n v="0"/>
    <n v="0"/>
    <n v="0"/>
    <m/>
    <m/>
    <m/>
    <m/>
    <m/>
    <s v="Camping Le Colporteur"/>
    <d v="2023-04-07T00:00:00"/>
    <d v="2023-10-01T00:00:00"/>
    <m/>
    <x v="13"/>
  </r>
  <r>
    <x v="13"/>
    <x v="0"/>
    <x v="13"/>
    <x v="48"/>
    <x v="48"/>
    <x v="51"/>
    <n v="20"/>
    <n v="1070"/>
    <d v="1899-12-30T02:30:00"/>
    <n v="4.1999999999999993"/>
    <n v="6.6"/>
    <s v="GR54"/>
    <m/>
    <n v="0"/>
    <n v="0"/>
    <n v="0"/>
    <n v="0"/>
    <n v="0"/>
    <n v="0"/>
    <n v="0"/>
    <n v="0"/>
    <n v="0"/>
    <n v="0"/>
    <n v="0"/>
    <m/>
    <m/>
    <m/>
    <m/>
    <m/>
    <s v="Camping Le Colporteur"/>
    <d v="2023-04-07T00:00:00"/>
    <d v="2023-10-01T00:00:00"/>
    <m/>
    <x v="13"/>
  </r>
  <r>
    <x v="13"/>
    <x v="0"/>
    <x v="13"/>
    <x v="49"/>
    <x v="49"/>
    <x v="52"/>
    <n v="30"/>
    <n v="540"/>
    <d v="1899-12-30T01:00:00"/>
    <n v="2.9000000000000004"/>
    <n v="9.5"/>
    <s v="GR54"/>
    <m/>
    <n v="0"/>
    <n v="0"/>
    <n v="0"/>
    <n v="0"/>
    <n v="0"/>
    <n v="0"/>
    <n v="0"/>
    <n v="0"/>
    <n v="0"/>
    <n v="0"/>
    <n v="0"/>
    <m/>
    <m/>
    <m/>
    <m/>
    <m/>
    <s v="Camping Le Colporteur"/>
    <d v="2023-04-07T00:00:00"/>
    <d v="2023-10-01T00:00:00"/>
    <m/>
    <x v="13"/>
  </r>
  <r>
    <x v="13"/>
    <x v="0"/>
    <x v="13"/>
    <x v="50"/>
    <x v="50"/>
    <x v="53"/>
    <n v="0"/>
    <n v="170"/>
    <d v="1899-12-30T00:20:00"/>
    <n v="1"/>
    <n v="10.5"/>
    <s v="GR54"/>
    <m/>
    <n v="0"/>
    <n v="0"/>
    <n v="0"/>
    <n v="0"/>
    <n v="0"/>
    <n v="0"/>
    <n v="0"/>
    <n v="0"/>
    <n v="0"/>
    <n v="0"/>
    <n v="0"/>
    <m/>
    <m/>
    <m/>
    <m/>
    <m/>
    <s v="Camping Le Colporteur"/>
    <d v="2023-04-07T00:00:00"/>
    <d v="2023-10-01T00:00:00"/>
    <m/>
    <x v="13"/>
  </r>
  <r>
    <x v="13"/>
    <x v="0"/>
    <x v="13"/>
    <x v="51"/>
    <x v="0"/>
    <x v="54"/>
    <n v="110"/>
    <n v="240"/>
    <d v="1899-12-30T02:10:00"/>
    <n v="8.8000000000000007"/>
    <n v="19.3"/>
    <s v="GR54"/>
    <m/>
    <s v="x"/>
    <s v="x"/>
    <n v="0"/>
    <s v="x"/>
    <s v="x"/>
    <s v="x"/>
    <s v="x"/>
    <s v="x"/>
    <s v="x"/>
    <n v="0"/>
    <s v="x"/>
    <m/>
    <m/>
    <m/>
    <m/>
    <m/>
    <s v="Camping Le Colporteur"/>
    <d v="2023-04-07T00:00:00"/>
    <d v="2023-10-01T00:00:00"/>
    <m/>
    <x v="1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2" cacheId="2" applyNumberFormats="0" applyBorderFormats="0" applyFontFormats="0" applyPatternFormats="0" applyAlignmentFormats="0" applyWidthHeightFormats="1" dataCaption="Values" updatedVersion="8" minRefreshableVersion="3" useAutoFormatting="1" colGrandTotals="0" itemPrintTitles="1" createdVersion="6" indent="0" compact="0" compactData="0" gridDropZones="1" multipleFieldFilters="0">
  <location ref="A3:K19" firstHeaderRow="1" firstDataRow="2" firstDataCol="7"/>
  <pivotFields count="34">
    <pivotField axis="axisRow" compact="0" outline="0" showAll="0" defaultSubtotal="0">
      <items count="33">
        <item m="1" x="25"/>
        <item m="1" x="31"/>
        <item m="1" x="24"/>
        <item m="1" x="28"/>
        <item m="1" x="21"/>
        <item m="1" x="16"/>
        <item m="1" x="26"/>
        <item x="2"/>
        <item m="1" x="27"/>
        <item m="1" x="19"/>
        <item m="1" x="14"/>
        <item x="1"/>
        <item m="1" x="32"/>
        <item m="1" x="22"/>
        <item x="11"/>
        <item x="5"/>
        <item m="1" x="20"/>
        <item m="1" x="23"/>
        <item sd="0" m="1" x="15"/>
        <item x="9"/>
        <item x="10"/>
        <item m="1" x="30"/>
        <item x="8"/>
        <item x="6"/>
        <item m="1" x="29"/>
        <item m="1" x="17"/>
        <item x="7"/>
        <item x="12"/>
        <item x="13"/>
        <item x="0"/>
        <item m="1" x="18"/>
        <item x="3"/>
        <item x="4"/>
      </items>
    </pivotField>
    <pivotField axis="axisRow" compact="0" outline="0" showAll="0">
      <items count="39">
        <item m="1" x="27"/>
        <item m="1" x="28"/>
        <item m="1" x="32"/>
        <item m="1" x="22"/>
        <item m="1" x="14"/>
        <item m="1" x="34"/>
        <item m="1" x="30"/>
        <item sd="0" x="1"/>
        <item m="1" x="31"/>
        <item m="1" x="18"/>
        <item sd="0" m="1" x="13"/>
        <item sd="0" x="0"/>
        <item m="1" x="37"/>
        <item m="1" x="24"/>
        <item sd="0" x="10"/>
        <item sd="0" x="4"/>
        <item m="1" x="20"/>
        <item m="1" x="19"/>
        <item m="1" x="25"/>
        <item m="1" x="15"/>
        <item m="1" x="23"/>
        <item m="1" x="29"/>
        <item m="1" x="26"/>
        <item sd="0" x="8"/>
        <item sd="0" x="9"/>
        <item m="1" x="36"/>
        <item sd="0" x="7"/>
        <item sd="0" x="5"/>
        <item m="1" x="33"/>
        <item m="1" x="35"/>
        <item m="1" x="16"/>
        <item sd="0" x="6"/>
        <item sd="0" x="11"/>
        <item m="1" x="21"/>
        <item sd="0" x="12"/>
        <item m="1" x="17"/>
        <item sd="0" x="2"/>
        <item sd="0" x="3"/>
        <item t="default"/>
      </items>
    </pivotField>
    <pivotField axis="axisRow" compact="0" outline="0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axis="axisRow" compact="0" outline="0" showAll="0" defaultSubtotal="0">
      <items count="53">
        <item x="0"/>
        <item x="8"/>
        <item x="44"/>
        <item x="9"/>
        <item x="23"/>
        <item x="7"/>
        <item x="19"/>
        <item x="43"/>
        <item x="32"/>
        <item x="46"/>
        <item x="6"/>
        <item x="31"/>
        <item x="41"/>
        <item x="28"/>
        <item x="22"/>
        <item x="33"/>
        <item x="12"/>
        <item x="48"/>
        <item x="4"/>
        <item x="10"/>
        <item x="26"/>
        <item x="27"/>
        <item x="35"/>
        <item x="37"/>
        <item x="15"/>
        <item x="49"/>
        <item x="1"/>
        <item x="20"/>
        <item x="2"/>
        <item x="13"/>
        <item x="42"/>
        <item x="21"/>
        <item x="38"/>
        <item x="51"/>
        <item x="14"/>
        <item x="29"/>
        <item x="24"/>
        <item x="50"/>
        <item x="17"/>
        <item x="3"/>
        <item x="47"/>
        <item x="34"/>
        <item x="40"/>
        <item x="36"/>
        <item x="30"/>
        <item x="5"/>
        <item x="25"/>
        <item x="45"/>
        <item x="16"/>
        <item x="39"/>
        <item x="18"/>
        <item m="1" x="52"/>
        <item x="11"/>
      </items>
    </pivotField>
    <pivotField axis="axisRow" compact="0" outline="0" showAll="0" defaultSubtotal="0">
      <items count="52">
        <item x="7"/>
        <item x="43"/>
        <item x="8"/>
        <item x="22"/>
        <item x="6"/>
        <item x="18"/>
        <item x="42"/>
        <item x="31"/>
        <item x="45"/>
        <item x="5"/>
        <item x="30"/>
        <item x="40"/>
        <item x="27"/>
        <item x="21"/>
        <item x="32"/>
        <item x="11"/>
        <item x="47"/>
        <item x="3"/>
        <item x="9"/>
        <item x="25"/>
        <item x="26"/>
        <item x="34"/>
        <item x="36"/>
        <item x="14"/>
        <item x="48"/>
        <item x="0"/>
        <item x="19"/>
        <item x="1"/>
        <item x="12"/>
        <item x="41"/>
        <item x="20"/>
        <item x="37"/>
        <item x="50"/>
        <item x="13"/>
        <item x="28"/>
        <item x="23"/>
        <item x="49"/>
        <item x="16"/>
        <item x="2"/>
        <item x="46"/>
        <item x="33"/>
        <item x="39"/>
        <item x="35"/>
        <item x="29"/>
        <item x="4"/>
        <item x="24"/>
        <item x="44"/>
        <item x="15"/>
        <item x="38"/>
        <item x="17"/>
        <item m="1" x="51"/>
        <item x="10"/>
      </items>
    </pivotField>
    <pivotField axis="axisRow" compact="0" outline="0" showAll="0" defaultSubtotal="0">
      <items count="70">
        <item m="1" x="69"/>
        <item x="0"/>
        <item x="1"/>
        <item x="2"/>
        <item x="3"/>
        <item x="4"/>
        <item x="5"/>
        <item x="6"/>
        <item m="1" x="68"/>
        <item x="7"/>
        <item x="8"/>
        <item x="9"/>
        <item x="10"/>
        <item m="1" x="55"/>
        <item m="1" x="56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6"/>
        <item x="27"/>
        <item m="1" x="60"/>
        <item x="28"/>
        <item x="29"/>
        <item x="30"/>
        <item m="1" x="61"/>
        <item x="31"/>
        <item x="32"/>
        <item x="33"/>
        <item x="34"/>
        <item m="1" x="62"/>
        <item m="1" x="63"/>
        <item m="1" x="64"/>
        <item x="35"/>
        <item x="36"/>
        <item x="42"/>
        <item x="43"/>
        <item m="1" x="65"/>
        <item x="44"/>
        <item x="45"/>
        <item x="46"/>
        <item x="47"/>
        <item x="48"/>
        <item x="49"/>
        <item m="1" x="66"/>
        <item m="1" x="67"/>
        <item m="1" x="57"/>
        <item m="1" x="59"/>
        <item m="1" x="58"/>
        <item x="24"/>
        <item x="25"/>
        <item x="37"/>
        <item x="38"/>
        <item x="39"/>
        <item x="40"/>
        <item x="41"/>
        <item x="50"/>
        <item x="51"/>
        <item x="52"/>
        <item x="53"/>
        <item x="54"/>
      </items>
    </pivotField>
    <pivotField dataField="1" compact="0" outline="0" showAll="0"/>
    <pivotField dataField="1" compact="0" outline="0" showAll="0"/>
    <pivotField dataField="1" compact="0" numFmtId="20" outline="0" showAll="0"/>
    <pivotField dataField="1" compact="0" outline="0" showAll="0"/>
    <pivotField compact="0" outline="0" showAll="0"/>
    <pivotField compact="0" outline="0" showAl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numFmtId="165" outline="0" showAll="0" defaultSubtotal="0"/>
    <pivotField compact="0" numFmtId="165" outline="0" showAll="0" defaultSubtotal="0"/>
    <pivotField compact="0" outline="0" showAll="0" defaultSubtotal="0"/>
    <pivotField axis="axisRow" compact="0" numFmtId="165" outline="0" showAll="0" defaultSubtotal="0">
      <items count="20">
        <item m="1" x="14"/>
        <item m="1" x="15"/>
        <item m="1" x="16"/>
        <item m="1" x="17"/>
        <item m="1" x="18"/>
        <item m="1" x="19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</pivotFields>
  <rowFields count="7">
    <field x="2"/>
    <field x="0"/>
    <field x="1"/>
    <field x="5"/>
    <field x="3"/>
    <field x="4"/>
    <field x="33"/>
  </rowFields>
  <rowItems count="15">
    <i>
      <x/>
      <x v="29"/>
      <x v="11"/>
    </i>
    <i>
      <x v="1"/>
      <x v="11"/>
      <x v="7"/>
    </i>
    <i>
      <x v="2"/>
      <x v="7"/>
      <x v="36"/>
    </i>
    <i>
      <x v="3"/>
      <x v="31"/>
      <x v="37"/>
    </i>
    <i>
      <x v="4"/>
      <x v="32"/>
      <x v="15"/>
    </i>
    <i>
      <x v="5"/>
      <x v="15"/>
      <x v="27"/>
    </i>
    <i>
      <x v="6"/>
      <x v="23"/>
      <x v="31"/>
    </i>
    <i>
      <x v="7"/>
      <x v="26"/>
      <x v="26"/>
    </i>
    <i>
      <x v="8"/>
      <x v="22"/>
      <x v="23"/>
    </i>
    <i>
      <x v="9"/>
      <x v="19"/>
      <x v="24"/>
    </i>
    <i>
      <x v="10"/>
      <x v="20"/>
      <x v="14"/>
    </i>
    <i>
      <x v="11"/>
      <x v="14"/>
      <x v="32"/>
    </i>
    <i>
      <x v="12"/>
      <x v="27"/>
      <x v="34"/>
    </i>
    <i>
      <x v="13"/>
      <x v="28"/>
      <x v="11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Sum of D+" fld="6" baseField="0" baseItem="11"/>
    <dataField name="Sum of D-" fld="7" baseField="0" baseItem="11"/>
    <dataField name="Sum of Temps" fld="8" baseField="0" baseItem="11" numFmtId="164"/>
    <dataField name="Sum of Distance" fld="9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AI56" totalsRowShown="0" headerRowDxfId="72">
  <autoFilter ref="A1:AI56" xr:uid="{00000000-0009-0000-0100-000002000000}"/>
  <tableColumns count="35">
    <tableColumn id="12" xr3:uid="{00000000-0010-0000-0000-00000C000000}" name="Localité Départ"/>
    <tableColumn id="7" xr3:uid="{00000000-0010-0000-0000-000007000000}" name="Localité Arrivée"/>
    <tableColumn id="14" xr3:uid="{00000000-0010-0000-0000-00000E000000}" name="Etape" dataDxfId="71" totalsRowDxfId="70"/>
    <tableColumn id="2" xr3:uid="{00000000-0010-0000-0000-000002000000}" name="Point A"/>
    <tableColumn id="9" xr3:uid="{00000000-0010-0000-0000-000009000000}" name="Point B"/>
    <tableColumn id="31" xr3:uid="{00000000-0010-0000-0000-00001F000000}" name="Points de passage"/>
    <tableColumn id="5" xr3:uid="{00000000-0010-0000-0000-000005000000}" name="D+"/>
    <tableColumn id="6" xr3:uid="{00000000-0010-0000-0000-000006000000}" name="D-"/>
    <tableColumn id="10" xr3:uid="{00000000-0010-0000-0000-00000A000000}" name="Temps" dataDxfId="69" totalsRowDxfId="68"/>
    <tableColumn id="3" xr3:uid="{7982F6C5-AAC6-2240-8CEB-FD563A774256}" name="Distance" dataDxfId="67" totalsRowDxfId="66"/>
    <tableColumn id="4" xr3:uid="{00000000-0010-0000-0000-000004000000}" name="Distance cumulée"/>
    <tableColumn id="11" xr3:uid="{00000000-0010-0000-0000-00000B000000}" name="GR"/>
    <tableColumn id="1" xr3:uid="{00000000-0010-0000-0000-000001000000}" name="Caracteristiques techniques"/>
    <tableColumn id="15" xr3:uid="{00000000-0010-0000-0000-00000F000000}" name="Gite d'étape ou  refuge gardé" dataDxfId="65" totalsRowDxfId="64">
      <calculatedColumnFormula>VLOOKUP(Table2[[#This Row],[Point B]],Table3[[LOCALITÉ]:[Distributeur de billets]],2,FALSE)</calculatedColumnFormula>
    </tableColumn>
    <tableColumn id="16" xr3:uid="{00000000-0010-0000-0000-000010000000}" name="Abri non gardé" dataDxfId="63" totalsRowDxfId="62">
      <calculatedColumnFormula>VLOOKUP(Table2[[#This Row],[Point B]],Table3[[LOCALITÉ]:[Distributeur de billets]],3,FALSE)</calculatedColumnFormula>
    </tableColumn>
    <tableColumn id="17" xr3:uid="{00000000-0010-0000-0000-000011000000}" name="Chambre " dataDxfId="61" totalsRowDxfId="60">
      <calculatedColumnFormula>VLOOKUP(Table2[[#This Row],[Point B]],Table3[[LOCALITÉ]:[Distributeur de billets]],4,FALSE)</calculatedColumnFormula>
    </tableColumn>
    <tableColumn id="18" xr3:uid="{00000000-0010-0000-0000-000012000000}" name="Camping " dataDxfId="59" totalsRowDxfId="58">
      <calculatedColumnFormula>VLOOKUP(Table2[[#This Row],[Point B]],Table3[[LOCALITÉ]:[Distributeur de billets]],5,FALSE)</calculatedColumnFormula>
    </tableColumn>
    <tableColumn id="19" xr3:uid="{00000000-0010-0000-0000-000013000000}" name="Ravitaillement" dataDxfId="57" totalsRowDxfId="56">
      <calculatedColumnFormula>VLOOKUP(Table2[[#This Row],[Point B]],Table3[[LOCALITÉ]:[Distributeur de billets]],6,FALSE)</calculatedColumnFormula>
    </tableColumn>
    <tableColumn id="20" xr3:uid="{00000000-0010-0000-0000-000014000000}" name="Restaurant" dataDxfId="55" totalsRowDxfId="54">
      <calculatedColumnFormula>VLOOKUP(Table2[[#This Row],[Point B]],Table3[[LOCALITÉ]:[Distributeur de billets]],7,FALSE)</calculatedColumnFormula>
    </tableColumn>
    <tableColumn id="21" xr3:uid="{00000000-0010-0000-0000-000015000000}" name="Café" dataDxfId="53" totalsRowDxfId="52">
      <calculatedColumnFormula>VLOOKUP(Table2[[#This Row],[Point B]],Table3[[LOCALITÉ]:[Distributeur de billets]],8,FALSE)</calculatedColumnFormula>
    </tableColumn>
    <tableColumn id="22" xr3:uid="{00000000-0010-0000-0000-000016000000}" name="Office de tourisme" dataDxfId="51" totalsRowDxfId="50">
      <calculatedColumnFormula>VLOOKUP(Table2[[#This Row],[Point B]],Table3[[LOCALITÉ]:[Distributeur de billets]],9,FALSE)</calculatedColumnFormula>
    </tableColumn>
    <tableColumn id="23" xr3:uid="{00000000-0010-0000-0000-000017000000}" name="Car" dataDxfId="49" totalsRowDxfId="48">
      <calculatedColumnFormula>VLOOKUP(Table2[[#This Row],[Point B]],Table3[[LOCALITÉ]:[Distributeur de billets]],10,FALSE)</calculatedColumnFormula>
    </tableColumn>
    <tableColumn id="24" xr3:uid="{00000000-0010-0000-0000-000018000000}" name="Train" dataDxfId="47" totalsRowDxfId="46">
      <calculatedColumnFormula>VLOOKUP(Table2[[#This Row],[Point B]],Table3[[LOCALITÉ]:[Distributeur de billets]],11,FALSE)</calculatedColumnFormula>
    </tableColumn>
    <tableColumn id="25" xr3:uid="{00000000-0010-0000-0000-000019000000}" name="Distributeur de billets" dataDxfId="45" totalsRowDxfId="44">
      <calculatedColumnFormula>VLOOKUP(Table2[[#This Row],[Point B]],Table3[[LOCALITÉ]:[Distributeur de billets]],12,FALSE)</calculatedColumnFormula>
    </tableColumn>
    <tableColumn id="8" xr3:uid="{00000000-0010-0000-0000-000008000000}" name="Ressources" dataDxfId="43" totalsRowDxfId="42"/>
    <tableColumn id="34" xr3:uid="{00000000-0010-0000-0000-000022000000}" name="petit dej" dataDxfId="41" totalsRowDxfId="40"/>
    <tableColumn id="33" xr3:uid="{00000000-0010-0000-0000-000021000000}" name="dej" dataDxfId="39" totalsRowDxfId="38"/>
    <tableColumn id="13" xr3:uid="{FE0D36CF-9FC8-0F4C-8EE6-A10BDCC59689}" name="Stop ravito" dataDxfId="0" totalsRowDxfId="1"/>
    <tableColumn id="32" xr3:uid="{00000000-0010-0000-0000-000020000000}" name="diner" dataDxfId="37" totalsRowDxfId="36"/>
    <tableColumn id="35" xr3:uid="{00000000-0010-0000-0000-000023000000}" name="Repas" dataDxfId="35" totalsRowDxfId="34"/>
    <tableColumn id="28" xr3:uid="{00000000-0010-0000-0000-00001C000000}" name="Nuitée" dataDxfId="33" totalsRowDxfId="32">
      <calculatedColumnFormula>VLOOKUP(Table2[[#This Row],[Localité Arrivée]],Table4[],2,FALSE)</calculatedColumnFormula>
    </tableColumn>
    <tableColumn id="27" xr3:uid="{00000000-0010-0000-0000-00001B000000}" name="Date ouverture" dataDxfId="31" totalsRowDxfId="30">
      <calculatedColumnFormula>VLOOKUP(Table2[[#This Row],[Localité Arrivée]],Table4[],3,FALSE)</calculatedColumnFormula>
    </tableColumn>
    <tableColumn id="26" xr3:uid="{00000000-0010-0000-0000-00001A000000}" name="Date fermeture" dataDxfId="29" totalsRowDxfId="28">
      <calculatedColumnFormula>VLOOKUP(Table2[[#This Row],[Localité Arrivée]],Table4[],4,FALSE)</calculatedColumnFormula>
    </tableColumn>
    <tableColumn id="29" xr3:uid="{00000000-0010-0000-0000-00001D000000}" name="Hebergement" dataDxfId="27" totalsRowDxfId="26"/>
    <tableColumn id="30" xr3:uid="{00000000-0010-0000-0000-00001E000000}" name="Planning" dataDxfId="25" totalsRowDxfId="24">
      <calculatedColumnFormula>$AP$3+Table2[[#This Row],[Etape]]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A1:M68" totalsRowShown="0" headerRowDxfId="23" headerRowBorderDxfId="22">
  <autoFilter ref="A1:M68" xr:uid="{00000000-0009-0000-0100-000003000000}"/>
  <tableColumns count="13">
    <tableColumn id="1" xr3:uid="{00000000-0010-0000-0100-000001000000}" name="LOCALITÉ"/>
    <tableColumn id="2" xr3:uid="{00000000-0010-0000-0100-000002000000}" name="Gite d'étape ou  refuge gardé" dataDxfId="21"/>
    <tableColumn id="3" xr3:uid="{00000000-0010-0000-0100-000003000000}" name="Abri non gardé" dataDxfId="20"/>
    <tableColumn id="4" xr3:uid="{00000000-0010-0000-0100-000004000000}" name="Chambre " dataDxfId="19"/>
    <tableColumn id="5" xr3:uid="{00000000-0010-0000-0100-000005000000}" name="Camping " dataDxfId="18"/>
    <tableColumn id="6" xr3:uid="{00000000-0010-0000-0100-000006000000}" name="Ravitaillement" dataDxfId="17"/>
    <tableColumn id="7" xr3:uid="{00000000-0010-0000-0100-000007000000}" name="Restaurant" dataDxfId="16"/>
    <tableColumn id="8" xr3:uid="{00000000-0010-0000-0100-000008000000}" name="Café" dataDxfId="15"/>
    <tableColumn id="9" xr3:uid="{00000000-0010-0000-0100-000009000000}" name="Office de tourisme" dataDxfId="14"/>
    <tableColumn id="10" xr3:uid="{00000000-0010-0000-0100-00000A000000}" name="Car" dataDxfId="13"/>
    <tableColumn id="11" xr3:uid="{00000000-0010-0000-0100-00000B000000}" name="Train" dataDxfId="12"/>
    <tableColumn id="12" xr3:uid="{00000000-0010-0000-0100-00000C000000}" name="Distributeur de billets" dataDxfId="11"/>
    <tableColumn id="13" xr3:uid="{00000000-0010-0000-0100-00000D000000}" name="GR" dataDxfId="1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4" displayName="Table4" ref="A1:G79" totalsRowCount="1" headerRowDxfId="9">
  <autoFilter ref="A1:G78" xr:uid="{00000000-0009-0000-0100-000004000000}"/>
  <tableColumns count="7">
    <tableColumn id="1" xr3:uid="{00000000-0010-0000-0200-000001000000}" name="Localité" dataDxfId="8" totalsRowDxfId="5"/>
    <tableColumn id="2" xr3:uid="{00000000-0010-0000-0200-000002000000}" name="Nom"/>
    <tableColumn id="3" xr3:uid="{00000000-0010-0000-0200-000003000000}" name="Date ouverture"/>
    <tableColumn id="4" xr3:uid="{00000000-0010-0000-0200-000004000000}" name="Date Fermeture"/>
    <tableColumn id="5" xr3:uid="{00000000-0010-0000-0200-000005000000}" name="Prix 2 personnes" dataDxfId="7" totalsRowDxfId="4"/>
    <tableColumn id="6" xr3:uid="{00000000-0010-0000-0200-000006000000}" name="Hebergement selectionne"/>
    <tableColumn id="8" xr3:uid="{00000000-0010-0000-0200-000008000000}" name="Dépense" totalsRowFunction="sum" dataDxfId="6">
      <calculatedColumnFormula>Table4[[#This Row],[Hebergement selectionne]]*Table4[[#This Row],[Prix 2 personnes]]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K19"/>
  <sheetViews>
    <sheetView workbookViewId="0">
      <selection activeCell="M14" sqref="M14"/>
    </sheetView>
  </sheetViews>
  <sheetFormatPr baseColWidth="10" defaultColWidth="8.83203125" defaultRowHeight="15" x14ac:dyDescent="0.2"/>
  <cols>
    <col min="1" max="1" width="20.5" customWidth="1"/>
    <col min="2" max="3" width="31.33203125" customWidth="1"/>
    <col min="4" max="4" width="20.1640625" customWidth="1"/>
    <col min="5" max="5" width="18" customWidth="1"/>
    <col min="6" max="7" width="10.33203125" bestFit="1" customWidth="1"/>
    <col min="8" max="8" width="8.6640625" bestFit="1" customWidth="1"/>
    <col min="9" max="9" width="8.33203125" bestFit="1" customWidth="1"/>
    <col min="10" max="10" width="11.6640625" bestFit="1" customWidth="1"/>
    <col min="11" max="11" width="13.33203125" bestFit="1" customWidth="1"/>
    <col min="12" max="12" width="9.33203125" customWidth="1"/>
    <col min="13" max="13" width="18.5" customWidth="1"/>
    <col min="14" max="14" width="9.6640625" customWidth="1"/>
    <col min="15" max="15" width="11.83203125" customWidth="1"/>
    <col min="16" max="16" width="25.1640625" customWidth="1"/>
    <col min="17" max="17" width="22.1640625" customWidth="1"/>
    <col min="18" max="18" width="31" customWidth="1"/>
    <col min="19" max="19" width="30.5" bestFit="1" customWidth="1"/>
    <col min="20" max="20" width="13.83203125" customWidth="1"/>
    <col min="21" max="21" width="23.5" customWidth="1"/>
    <col min="22" max="22" width="41" bestFit="1" customWidth="1"/>
    <col min="23" max="23" width="41.33203125" customWidth="1"/>
    <col min="24" max="24" width="29.1640625" customWidth="1"/>
    <col min="25" max="25" width="23.83203125" bestFit="1" customWidth="1"/>
    <col min="26" max="26" width="20.1640625" customWidth="1"/>
    <col min="27" max="27" width="32.83203125" bestFit="1" customWidth="1"/>
    <col min="28" max="28" width="31.83203125" bestFit="1" customWidth="1"/>
    <col min="29" max="29" width="10.5" customWidth="1"/>
    <col min="30" max="30" width="32.83203125" bestFit="1" customWidth="1"/>
    <col min="31" max="31" width="15" customWidth="1"/>
    <col min="32" max="32" width="16" customWidth="1"/>
    <col min="33" max="33" width="10.83203125" customWidth="1"/>
    <col min="34" max="35" width="31" bestFit="1" customWidth="1"/>
    <col min="36" max="36" width="27" bestFit="1" customWidth="1"/>
    <col min="37" max="37" width="32.5" bestFit="1" customWidth="1"/>
    <col min="38" max="38" width="35.1640625" bestFit="1" customWidth="1"/>
    <col min="39" max="39" width="15.83203125" bestFit="1" customWidth="1"/>
    <col min="40" max="40" width="18.6640625" bestFit="1" customWidth="1"/>
    <col min="41" max="41" width="25.5" bestFit="1" customWidth="1"/>
    <col min="42" max="42" width="28.33203125" bestFit="1" customWidth="1"/>
    <col min="43" max="45" width="41.1640625" bestFit="1" customWidth="1"/>
    <col min="46" max="46" width="28.5" bestFit="1" customWidth="1"/>
    <col min="47" max="47" width="25.1640625" bestFit="1" customWidth="1"/>
    <col min="48" max="48" width="25" bestFit="1" customWidth="1"/>
    <col min="49" max="49" width="34.83203125" bestFit="1" customWidth="1"/>
    <col min="50" max="50" width="37.5" bestFit="1" customWidth="1"/>
    <col min="51" max="51" width="33.83203125" bestFit="1" customWidth="1"/>
    <col min="52" max="52" width="36.5" bestFit="1" customWidth="1"/>
    <col min="53" max="53" width="17.1640625" bestFit="1" customWidth="1"/>
    <col min="54" max="54" width="15.1640625" bestFit="1" customWidth="1"/>
    <col min="55" max="55" width="17" bestFit="1" customWidth="1"/>
    <col min="56" max="56" width="19.83203125" bestFit="1" customWidth="1"/>
    <col min="57" max="57" width="20.1640625" bestFit="1" customWidth="1"/>
    <col min="58" max="58" width="20.83203125" bestFit="1" customWidth="1"/>
    <col min="59" max="59" width="10.83203125" bestFit="1" customWidth="1"/>
  </cols>
  <sheetData>
    <row r="3" spans="1:11" x14ac:dyDescent="0.2">
      <c r="H3" s="4" t="s">
        <v>35</v>
      </c>
    </row>
    <row r="4" spans="1:11" x14ac:dyDescent="0.2">
      <c r="A4" s="4" t="s">
        <v>133</v>
      </c>
      <c r="B4" s="4" t="s">
        <v>29</v>
      </c>
      <c r="C4" s="4" t="s">
        <v>22</v>
      </c>
      <c r="D4" s="4" t="s">
        <v>125</v>
      </c>
      <c r="E4" s="4" t="s">
        <v>30</v>
      </c>
      <c r="F4" s="4" t="s">
        <v>31</v>
      </c>
      <c r="G4" s="4" t="s">
        <v>127</v>
      </c>
      <c r="H4" t="s">
        <v>36</v>
      </c>
      <c r="I4" t="s">
        <v>37</v>
      </c>
      <c r="J4" t="s">
        <v>38</v>
      </c>
      <c r="K4" t="s">
        <v>177</v>
      </c>
    </row>
    <row r="5" spans="1:11" x14ac:dyDescent="0.2">
      <c r="A5">
        <v>0</v>
      </c>
      <c r="B5" t="s">
        <v>95</v>
      </c>
      <c r="C5" t="s">
        <v>0</v>
      </c>
      <c r="J5" s="5"/>
    </row>
    <row r="6" spans="1:11" x14ac:dyDescent="0.2">
      <c r="A6">
        <v>1</v>
      </c>
      <c r="B6" t="s">
        <v>0</v>
      </c>
      <c r="C6" t="s">
        <v>2</v>
      </c>
      <c r="H6">
        <v>1580</v>
      </c>
      <c r="I6">
        <v>970</v>
      </c>
      <c r="J6" s="5">
        <v>0.2951388888888889</v>
      </c>
      <c r="K6">
        <v>21.4</v>
      </c>
    </row>
    <row r="7" spans="1:11" x14ac:dyDescent="0.2">
      <c r="A7">
        <v>2</v>
      </c>
      <c r="B7" t="s">
        <v>2</v>
      </c>
      <c r="C7" t="s">
        <v>192</v>
      </c>
      <c r="H7">
        <v>1271</v>
      </c>
      <c r="I7">
        <v>228</v>
      </c>
      <c r="J7" s="5">
        <v>0.21527777777777779</v>
      </c>
      <c r="K7">
        <v>10.199999999999999</v>
      </c>
    </row>
    <row r="8" spans="1:11" x14ac:dyDescent="0.2">
      <c r="A8">
        <v>3</v>
      </c>
      <c r="B8" t="s">
        <v>192</v>
      </c>
      <c r="C8" t="s">
        <v>47</v>
      </c>
      <c r="H8">
        <v>707</v>
      </c>
      <c r="I8">
        <v>1493</v>
      </c>
      <c r="J8" s="5">
        <v>0.23263888888888887</v>
      </c>
      <c r="K8">
        <v>16.8</v>
      </c>
    </row>
    <row r="9" spans="1:11" x14ac:dyDescent="0.2">
      <c r="A9">
        <v>4</v>
      </c>
      <c r="B9" t="s">
        <v>47</v>
      </c>
      <c r="C9" t="s">
        <v>7</v>
      </c>
      <c r="H9">
        <v>787</v>
      </c>
      <c r="I9">
        <v>987</v>
      </c>
      <c r="J9" s="5">
        <v>0.24999999999999997</v>
      </c>
      <c r="K9">
        <v>17.100000000000001</v>
      </c>
    </row>
    <row r="10" spans="1:11" x14ac:dyDescent="0.2">
      <c r="A10">
        <v>5</v>
      </c>
      <c r="B10" t="s">
        <v>7</v>
      </c>
      <c r="C10" t="s">
        <v>9</v>
      </c>
      <c r="H10">
        <v>1040</v>
      </c>
      <c r="I10">
        <v>1284</v>
      </c>
      <c r="J10" s="5">
        <v>0.29166666666666669</v>
      </c>
      <c r="K10">
        <v>21.1</v>
      </c>
    </row>
    <row r="11" spans="1:11" x14ac:dyDescent="0.2">
      <c r="A11">
        <v>6</v>
      </c>
      <c r="B11" t="s">
        <v>9</v>
      </c>
      <c r="C11" t="s">
        <v>44</v>
      </c>
      <c r="H11">
        <v>839</v>
      </c>
      <c r="I11">
        <v>70</v>
      </c>
      <c r="J11" s="5">
        <v>0.13541666666666666</v>
      </c>
      <c r="K11">
        <v>12</v>
      </c>
    </row>
    <row r="12" spans="1:11" x14ac:dyDescent="0.2">
      <c r="A12">
        <v>7</v>
      </c>
      <c r="B12" t="s">
        <v>44</v>
      </c>
      <c r="C12" t="s">
        <v>14</v>
      </c>
      <c r="H12">
        <v>965</v>
      </c>
      <c r="I12">
        <v>1089</v>
      </c>
      <c r="J12" s="5">
        <v>0.22916666666666669</v>
      </c>
      <c r="K12">
        <v>12</v>
      </c>
    </row>
    <row r="13" spans="1:11" x14ac:dyDescent="0.2">
      <c r="A13">
        <v>8</v>
      </c>
      <c r="B13" t="s">
        <v>14</v>
      </c>
      <c r="C13" t="s">
        <v>11</v>
      </c>
      <c r="H13">
        <v>1286</v>
      </c>
      <c r="I13">
        <v>831</v>
      </c>
      <c r="J13" s="5">
        <v>0.23263888888888887</v>
      </c>
      <c r="K13">
        <v>10.9</v>
      </c>
    </row>
    <row r="14" spans="1:11" x14ac:dyDescent="0.2">
      <c r="A14">
        <v>9</v>
      </c>
      <c r="B14" t="s">
        <v>11</v>
      </c>
      <c r="C14" t="s">
        <v>15</v>
      </c>
      <c r="H14">
        <v>1103</v>
      </c>
      <c r="I14">
        <v>1633</v>
      </c>
      <c r="J14" s="5">
        <v>0.3125</v>
      </c>
      <c r="K14">
        <v>23.9</v>
      </c>
    </row>
    <row r="15" spans="1:11" x14ac:dyDescent="0.2">
      <c r="A15">
        <v>10</v>
      </c>
      <c r="B15" t="s">
        <v>15</v>
      </c>
      <c r="C15" t="s">
        <v>12</v>
      </c>
      <c r="H15">
        <v>662</v>
      </c>
      <c r="I15">
        <v>1284</v>
      </c>
      <c r="J15" s="5">
        <v>0.22916666666666669</v>
      </c>
      <c r="K15">
        <v>11</v>
      </c>
    </row>
    <row r="16" spans="1:11" x14ac:dyDescent="0.2">
      <c r="A16">
        <v>11</v>
      </c>
      <c r="B16" t="s">
        <v>12</v>
      </c>
      <c r="C16" t="s">
        <v>59</v>
      </c>
      <c r="H16">
        <v>1040</v>
      </c>
      <c r="I16">
        <v>1027</v>
      </c>
      <c r="J16" s="5">
        <v>0.23958333333333334</v>
      </c>
      <c r="K16">
        <v>11.5</v>
      </c>
    </row>
    <row r="17" spans="1:11" x14ac:dyDescent="0.2">
      <c r="A17">
        <v>12</v>
      </c>
      <c r="B17" t="s">
        <v>59</v>
      </c>
      <c r="C17" t="s">
        <v>84</v>
      </c>
      <c r="H17">
        <v>1327</v>
      </c>
      <c r="I17">
        <v>530</v>
      </c>
      <c r="J17" s="5">
        <v>0.27083333333333331</v>
      </c>
      <c r="K17">
        <v>9</v>
      </c>
    </row>
    <row r="18" spans="1:11" x14ac:dyDescent="0.2">
      <c r="A18">
        <v>13</v>
      </c>
      <c r="B18" t="s">
        <v>60</v>
      </c>
      <c r="C18" t="s">
        <v>0</v>
      </c>
      <c r="H18">
        <v>590</v>
      </c>
      <c r="I18">
        <v>2020</v>
      </c>
      <c r="J18" s="5">
        <v>0.3125</v>
      </c>
      <c r="K18">
        <v>19.3</v>
      </c>
    </row>
    <row r="19" spans="1:11" x14ac:dyDescent="0.2">
      <c r="A19" t="s">
        <v>34</v>
      </c>
      <c r="H19">
        <v>13197</v>
      </c>
      <c r="I19">
        <v>13446</v>
      </c>
      <c r="J19" s="5">
        <v>3.2465277777777781</v>
      </c>
      <c r="K19">
        <v>196.20000000000002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P56"/>
  <sheetViews>
    <sheetView tabSelected="1" zoomScale="90" zoomScaleNormal="90" workbookViewId="0">
      <pane xSplit="2" ySplit="1" topLeftCell="R2" activePane="bottomRight" state="frozen"/>
      <selection pane="topRight" activeCell="C1" sqref="C1"/>
      <selection pane="bottomLeft" activeCell="A2" sqref="A2"/>
      <selection pane="bottomRight" activeCell="AC19" sqref="AC19"/>
    </sheetView>
  </sheetViews>
  <sheetFormatPr baseColWidth="10" defaultColWidth="8.83203125" defaultRowHeight="15" outlineLevelCol="1" x14ac:dyDescent="0.2"/>
  <cols>
    <col min="1" max="1" width="41.83203125" customWidth="1" outlineLevel="1"/>
    <col min="2" max="2" width="31.83203125" customWidth="1" outlineLevel="1"/>
    <col min="3" max="3" width="6.5" style="30" customWidth="1"/>
    <col min="4" max="5" width="41.83203125" customWidth="1" outlineLevel="1"/>
    <col min="6" max="6" width="8.83203125" customWidth="1"/>
    <col min="7" max="11" width="8.83203125" customWidth="1" outlineLevel="1"/>
    <col min="12" max="12" width="10.1640625" style="6" customWidth="1" outlineLevel="1"/>
    <col min="13" max="13" width="14.83203125" style="6" customWidth="1"/>
    <col min="14" max="14" width="14" style="6" customWidth="1" outlineLevel="1"/>
    <col min="15" max="15" width="9.5" style="6" customWidth="1" outlineLevel="1"/>
    <col min="16" max="16" width="14.6640625" style="6" customWidth="1" outlineLevel="1"/>
    <col min="17" max="17" width="11.1640625" style="6" customWidth="1" outlineLevel="1"/>
    <col min="18" max="18" width="12.83203125" style="6" customWidth="1" outlineLevel="1"/>
    <col min="19" max="19" width="10.6640625" style="6" customWidth="1" outlineLevel="1"/>
    <col min="20" max="21" width="8.83203125" style="6" customWidth="1" outlineLevel="1"/>
    <col min="22" max="22" width="12.1640625" style="6" customWidth="1" outlineLevel="1"/>
    <col min="23" max="23" width="8.83203125" customWidth="1" outlineLevel="1"/>
    <col min="24" max="24" width="11" customWidth="1" outlineLevel="1" collapsed="1"/>
    <col min="25" max="25" width="19" customWidth="1"/>
    <col min="26" max="26" width="8.83203125" customWidth="1" outlineLevel="1"/>
    <col min="27" max="28" width="18.1640625" customWidth="1" outlineLevel="1"/>
    <col min="29" max="29" width="15.83203125" customWidth="1" outlineLevel="1"/>
    <col min="31" max="31" width="31.33203125" style="26" customWidth="1" outlineLevel="1"/>
    <col min="32" max="32" width="9.83203125" style="26" customWidth="1" outlineLevel="1"/>
    <col min="33" max="33" width="9.6640625" customWidth="1" outlineLevel="1"/>
    <col min="38" max="38" width="21.33203125" bestFit="1" customWidth="1"/>
  </cols>
  <sheetData>
    <row r="1" spans="1:42" s="38" customFormat="1" ht="32" x14ac:dyDescent="0.2">
      <c r="A1" s="38" t="s">
        <v>29</v>
      </c>
      <c r="B1" s="38" t="s">
        <v>22</v>
      </c>
      <c r="C1" s="39" t="s">
        <v>133</v>
      </c>
      <c r="D1" s="38" t="s">
        <v>30</v>
      </c>
      <c r="E1" s="38" t="s">
        <v>31</v>
      </c>
      <c r="F1" s="38" t="s">
        <v>125</v>
      </c>
      <c r="G1" s="38" t="s">
        <v>19</v>
      </c>
      <c r="H1" s="38" t="s">
        <v>20</v>
      </c>
      <c r="I1" s="38" t="s">
        <v>17</v>
      </c>
      <c r="J1" s="38" t="s">
        <v>21</v>
      </c>
      <c r="K1" s="38" t="s">
        <v>176</v>
      </c>
      <c r="L1" s="38" t="s">
        <v>24</v>
      </c>
      <c r="M1" s="38" t="s">
        <v>122</v>
      </c>
      <c r="N1" s="31" t="s">
        <v>66</v>
      </c>
      <c r="O1" s="31" t="s">
        <v>67</v>
      </c>
      <c r="P1" s="31" t="s">
        <v>68</v>
      </c>
      <c r="Q1" s="31" t="s">
        <v>69</v>
      </c>
      <c r="R1" s="31" t="s">
        <v>70</v>
      </c>
      <c r="S1" s="31" t="s">
        <v>71</v>
      </c>
      <c r="T1" s="31" t="s">
        <v>72</v>
      </c>
      <c r="U1" s="31" t="s">
        <v>73</v>
      </c>
      <c r="V1" s="31" t="s">
        <v>74</v>
      </c>
      <c r="W1" s="31" t="s">
        <v>76</v>
      </c>
      <c r="X1" s="31" t="s">
        <v>75</v>
      </c>
      <c r="Y1" s="31" t="s">
        <v>121</v>
      </c>
      <c r="Z1" s="40" t="s">
        <v>129</v>
      </c>
      <c r="AA1" s="40" t="s">
        <v>130</v>
      </c>
      <c r="AB1" s="40" t="s">
        <v>213</v>
      </c>
      <c r="AC1" s="40" t="s">
        <v>131</v>
      </c>
      <c r="AD1" s="40" t="s">
        <v>132</v>
      </c>
      <c r="AE1" s="31" t="s">
        <v>128</v>
      </c>
      <c r="AF1" s="40" t="s">
        <v>98</v>
      </c>
      <c r="AG1" s="40" t="s">
        <v>124</v>
      </c>
      <c r="AH1" s="40" t="s">
        <v>123</v>
      </c>
      <c r="AI1" s="40" t="s">
        <v>127</v>
      </c>
      <c r="AN1" s="41" t="s">
        <v>29</v>
      </c>
      <c r="AO1" s="42" t="s">
        <v>22</v>
      </c>
      <c r="AP1" s="43" t="s">
        <v>126</v>
      </c>
    </row>
    <row r="2" spans="1:42" s="16" customFormat="1" ht="16" x14ac:dyDescent="0.2">
      <c r="A2" s="16" t="s">
        <v>95</v>
      </c>
      <c r="B2" t="s">
        <v>0</v>
      </c>
      <c r="C2" s="29">
        <v>0</v>
      </c>
      <c r="D2" s="16" t="s">
        <v>95</v>
      </c>
      <c r="E2" t="s">
        <v>0</v>
      </c>
      <c r="F2" s="27" t="s">
        <v>175</v>
      </c>
      <c r="I2" s="19"/>
      <c r="N2" s="6" t="str">
        <f>VLOOKUP(Table2[[#This Row],[Point B]],Table3[[LOCALITÉ]:[Distributeur de billets]],2,FALSE)</f>
        <v>x</v>
      </c>
      <c r="O2" s="6" t="str">
        <f>VLOOKUP(Table2[[#This Row],[Point B]],Table3[[LOCALITÉ]:[Distributeur de billets]],3,FALSE)</f>
        <v>x</v>
      </c>
      <c r="P2" s="6">
        <f>VLOOKUP(Table2[[#This Row],[Point B]],Table3[[LOCALITÉ]:[Distributeur de billets]],4,FALSE)</f>
        <v>0</v>
      </c>
      <c r="Q2" s="6" t="str">
        <f>VLOOKUP(Table2[[#This Row],[Point B]],Table3[[LOCALITÉ]:[Distributeur de billets]],5,FALSE)</f>
        <v>x</v>
      </c>
      <c r="R2" s="6" t="str">
        <f>VLOOKUP(Table2[[#This Row],[Point B]],Table3[[LOCALITÉ]:[Distributeur de billets]],6,FALSE)</f>
        <v>x</v>
      </c>
      <c r="S2" s="6" t="str">
        <f>VLOOKUP(Table2[[#This Row],[Point B]],Table3[[LOCALITÉ]:[Distributeur de billets]],7,FALSE)</f>
        <v>x</v>
      </c>
      <c r="T2" s="6" t="str">
        <f>VLOOKUP(Table2[[#This Row],[Point B]],Table3[[LOCALITÉ]:[Distributeur de billets]],8,FALSE)</f>
        <v>x</v>
      </c>
      <c r="U2" s="6" t="str">
        <f>VLOOKUP(Table2[[#This Row],[Point B]],Table3[[LOCALITÉ]:[Distributeur de billets]],9,FALSE)</f>
        <v>x</v>
      </c>
      <c r="V2" s="6" t="str">
        <f>VLOOKUP(Table2[[#This Row],[Point B]],Table3[[LOCALITÉ]:[Distributeur de billets]],10,FALSE)</f>
        <v>x</v>
      </c>
      <c r="W2" s="6">
        <f>VLOOKUP(Table2[[#This Row],[Point B]],Table3[[LOCALITÉ]:[Distributeur de billets]],11,FALSE)</f>
        <v>0</v>
      </c>
      <c r="X2" s="6" t="str">
        <f>VLOOKUP(Table2[[#This Row],[Point B]],Table3[[LOCALITÉ]:[Distributeur de billets]],12,FALSE)</f>
        <v>x</v>
      </c>
      <c r="Y2" s="6"/>
      <c r="Z2" s="25" t="s">
        <v>181</v>
      </c>
      <c r="AA2" s="25" t="s">
        <v>182</v>
      </c>
      <c r="AB2" s="25"/>
      <c r="AC2" s="25" t="s">
        <v>183</v>
      </c>
      <c r="AD2" s="25"/>
      <c r="AE2" s="6" t="str">
        <f>VLOOKUP(Table2[[#This Row],[Localité Arrivée]],Table4[],2,FALSE)</f>
        <v>Camping Le Colporteur</v>
      </c>
      <c r="AF2" s="25">
        <f>VLOOKUP(Table2[[#This Row],[Localité Arrivée]],Table4[],3,FALSE)</f>
        <v>45023</v>
      </c>
      <c r="AG2" s="25">
        <f>VLOOKUP(Table2[[#This Row],[Localité Arrivée]],Table4[],4,FALSE)</f>
        <v>45200</v>
      </c>
      <c r="AH2" s="25"/>
      <c r="AI2" s="25">
        <f>$AP$3+Table2[[#This Row],[Etape]]</f>
        <v>45178</v>
      </c>
      <c r="AK2" s="16" t="s">
        <v>185</v>
      </c>
      <c r="AN2" s="17"/>
      <c r="AO2" s="18"/>
    </row>
    <row r="3" spans="1:42" x14ac:dyDescent="0.2">
      <c r="A3" t="s">
        <v>0</v>
      </c>
      <c r="B3" t="s">
        <v>2</v>
      </c>
      <c r="C3" s="30">
        <v>1</v>
      </c>
      <c r="D3" t="s">
        <v>0</v>
      </c>
      <c r="E3" t="s">
        <v>1</v>
      </c>
      <c r="F3" s="28" t="s">
        <v>134</v>
      </c>
      <c r="G3">
        <v>840</v>
      </c>
      <c r="H3">
        <v>130</v>
      </c>
      <c r="I3" s="5">
        <v>0.11458333333333333</v>
      </c>
      <c r="J3">
        <f>Table2[[#This Row],[Distance cumulée]]</f>
        <v>7</v>
      </c>
      <c r="K3">
        <v>7</v>
      </c>
      <c r="L3" t="s">
        <v>25</v>
      </c>
      <c r="M3"/>
      <c r="N3" s="6">
        <f>VLOOKUP(Table2[[#This Row],[Point B]],Table3[[LOCALITÉ]:[Distributeur de billets]],2,FALSE)</f>
        <v>0</v>
      </c>
      <c r="O3" s="6" t="str">
        <f>VLOOKUP(Table2[[#This Row],[Point B]],Table3[[LOCALITÉ]:[Distributeur de billets]],3,FALSE)</f>
        <v>x</v>
      </c>
      <c r="P3" s="6">
        <f>VLOOKUP(Table2[[#This Row],[Point B]],Table3[[LOCALITÉ]:[Distributeur de billets]],4,FALSE)</f>
        <v>0</v>
      </c>
      <c r="Q3" s="6">
        <f>VLOOKUP(Table2[[#This Row],[Point B]],Table3[[LOCALITÉ]:[Distributeur de billets]],5,FALSE)</f>
        <v>0</v>
      </c>
      <c r="R3" s="6">
        <f>VLOOKUP(Table2[[#This Row],[Point B]],Table3[[LOCALITÉ]:[Distributeur de billets]],6,FALSE)</f>
        <v>0</v>
      </c>
      <c r="S3" s="6" t="str">
        <f>VLOOKUP(Table2[[#This Row],[Point B]],Table3[[LOCALITÉ]:[Distributeur de billets]],7,FALSE)</f>
        <v>x</v>
      </c>
      <c r="T3" s="6" t="str">
        <f>VLOOKUP(Table2[[#This Row],[Point B]],Table3[[LOCALITÉ]:[Distributeur de billets]],8,FALSE)</f>
        <v>x</v>
      </c>
      <c r="U3" s="6">
        <f>VLOOKUP(Table2[[#This Row],[Point B]],Table3[[LOCALITÉ]:[Distributeur de billets]],9,FALSE)</f>
        <v>0</v>
      </c>
      <c r="V3" s="6">
        <f>VLOOKUP(Table2[[#This Row],[Point B]],Table3[[LOCALITÉ]:[Distributeur de billets]],10,FALSE)</f>
        <v>0</v>
      </c>
      <c r="W3" s="6">
        <f>VLOOKUP(Table2[[#This Row],[Point B]],Table3[[LOCALITÉ]:[Distributeur de billets]],11,FALSE)</f>
        <v>0</v>
      </c>
      <c r="X3" s="6">
        <f>VLOOKUP(Table2[[#This Row],[Point B]],Table3[[LOCALITÉ]:[Distributeur de billets]],12,FALSE)</f>
        <v>0</v>
      </c>
      <c r="Y3" s="6"/>
      <c r="Z3" s="25" t="s">
        <v>184</v>
      </c>
      <c r="AA3" s="25" t="s">
        <v>182</v>
      </c>
      <c r="AB3" s="25"/>
      <c r="AC3" s="25" t="s">
        <v>178</v>
      </c>
      <c r="AD3" s="25"/>
      <c r="AE3" s="6" t="str">
        <f>VLOOKUP(Table2[[#This Row],[Localité Arrivée]],Table4[],2,FALSE)</f>
        <v>Auberge du Savel</v>
      </c>
      <c r="AF3" s="25">
        <f>VLOOKUP(Table2[[#This Row],[Localité Arrivée]],Table4[],3,FALSE)</f>
        <v>44927</v>
      </c>
      <c r="AG3" s="25">
        <f>VLOOKUP(Table2[[#This Row],[Localité Arrivée]],Table4[],4,FALSE)</f>
        <v>45291</v>
      </c>
      <c r="AH3" s="25"/>
      <c r="AI3" s="25">
        <f>$AP$3+Table2[[#This Row],[Etape]]</f>
        <v>45179</v>
      </c>
      <c r="AK3" t="s">
        <v>186</v>
      </c>
      <c r="AL3" t="s">
        <v>179</v>
      </c>
      <c r="AN3" s="3" t="s">
        <v>0</v>
      </c>
      <c r="AO3" s="1"/>
      <c r="AP3" s="20">
        <v>45178</v>
      </c>
    </row>
    <row r="4" spans="1:42" x14ac:dyDescent="0.2">
      <c r="A4" t="s">
        <v>0</v>
      </c>
      <c r="B4" t="s">
        <v>2</v>
      </c>
      <c r="C4" s="30">
        <v>1</v>
      </c>
      <c r="D4" t="str">
        <f>E3</f>
        <v>LE CHATELARD</v>
      </c>
      <c r="E4" t="s">
        <v>40</v>
      </c>
      <c r="F4" s="28" t="s">
        <v>135</v>
      </c>
      <c r="G4">
        <v>130</v>
      </c>
      <c r="H4">
        <v>130</v>
      </c>
      <c r="I4" s="5">
        <v>2.0833333333333332E-2</v>
      </c>
      <c r="J4">
        <f>Table2[[#This Row],[Distance cumulée]]-K3</f>
        <v>2</v>
      </c>
      <c r="K4">
        <v>9</v>
      </c>
      <c r="L4" t="s">
        <v>25</v>
      </c>
      <c r="M4"/>
      <c r="N4" s="6">
        <f>VLOOKUP(Table2[[#This Row],[Point B]],Table3[[LOCALITÉ]:[Distributeur de billets]],2,FALSE)</f>
        <v>0</v>
      </c>
      <c r="O4" s="6">
        <f>VLOOKUP(Table2[[#This Row],[Point B]],Table3[[LOCALITÉ]:[Distributeur de billets]],3,FALSE)</f>
        <v>0</v>
      </c>
      <c r="P4" s="6">
        <f>VLOOKUP(Table2[[#This Row],[Point B]],Table3[[LOCALITÉ]:[Distributeur de billets]],4,FALSE)</f>
        <v>0</v>
      </c>
      <c r="Q4" s="6">
        <f>VLOOKUP(Table2[[#This Row],[Point B]],Table3[[LOCALITÉ]:[Distributeur de billets]],5,FALSE)</f>
        <v>0</v>
      </c>
      <c r="R4" s="6">
        <f>VLOOKUP(Table2[[#This Row],[Point B]],Table3[[LOCALITÉ]:[Distributeur de billets]],6,FALSE)</f>
        <v>0</v>
      </c>
      <c r="S4" s="6">
        <f>VLOOKUP(Table2[[#This Row],[Point B]],Table3[[LOCALITÉ]:[Distributeur de billets]],7,FALSE)</f>
        <v>0</v>
      </c>
      <c r="T4" s="6">
        <f>VLOOKUP(Table2[[#This Row],[Point B]],Table3[[LOCALITÉ]:[Distributeur de billets]],8,FALSE)</f>
        <v>0</v>
      </c>
      <c r="U4" s="6">
        <f>VLOOKUP(Table2[[#This Row],[Point B]],Table3[[LOCALITÉ]:[Distributeur de billets]],9,FALSE)</f>
        <v>0</v>
      </c>
      <c r="V4" s="6">
        <f>VLOOKUP(Table2[[#This Row],[Point B]],Table3[[LOCALITÉ]:[Distributeur de billets]],10,FALSE)</f>
        <v>0</v>
      </c>
      <c r="W4" s="6">
        <f>VLOOKUP(Table2[[#This Row],[Point B]],Table3[[LOCALITÉ]:[Distributeur de billets]],11,FALSE)</f>
        <v>0</v>
      </c>
      <c r="X4" s="6">
        <f>VLOOKUP(Table2[[#This Row],[Point B]],Table3[[LOCALITÉ]:[Distributeur de billets]],12,FALSE)</f>
        <v>0</v>
      </c>
      <c r="Y4" s="6"/>
      <c r="Z4" s="25"/>
      <c r="AA4" s="25"/>
      <c r="AB4" s="25"/>
      <c r="AC4" s="25"/>
      <c r="AD4" s="25"/>
      <c r="AE4" s="6" t="str">
        <f>VLOOKUP(Table2[[#This Row],[Localité Arrivée]],Table4[],2,FALSE)</f>
        <v>Auberge du Savel</v>
      </c>
      <c r="AF4" s="25">
        <f>VLOOKUP(Table2[[#This Row],[Localité Arrivée]],Table4[],3,FALSE)</f>
        <v>44927</v>
      </c>
      <c r="AG4" s="25">
        <f>VLOOKUP(Table2[[#This Row],[Localité Arrivée]],Table4[],4,FALSE)</f>
        <v>45291</v>
      </c>
      <c r="AH4" s="25"/>
      <c r="AI4" s="25">
        <f>$AP$3+Table2[[#This Row],[Etape]]</f>
        <v>45179</v>
      </c>
      <c r="AN4" s="2"/>
      <c r="AO4" s="1" t="s">
        <v>16</v>
      </c>
    </row>
    <row r="5" spans="1:42" x14ac:dyDescent="0.2">
      <c r="A5" t="s">
        <v>0</v>
      </c>
      <c r="B5" t="s">
        <v>2</v>
      </c>
      <c r="C5" s="30">
        <v>1</v>
      </c>
      <c r="D5" t="str">
        <f t="shared" ref="D5:D56" si="0">E4</f>
        <v>Pont sur la Sarenne</v>
      </c>
      <c r="E5" t="s">
        <v>27</v>
      </c>
      <c r="F5" s="28" t="s">
        <v>136</v>
      </c>
      <c r="G5">
        <v>180</v>
      </c>
      <c r="H5">
        <v>30</v>
      </c>
      <c r="I5" s="5">
        <v>2.0833333333333332E-2</v>
      </c>
      <c r="J5">
        <f>Table2[[#This Row],[Distance cumulée]]-K4</f>
        <v>2</v>
      </c>
      <c r="K5">
        <v>11</v>
      </c>
      <c r="L5" t="s">
        <v>25</v>
      </c>
      <c r="M5"/>
      <c r="N5" s="6">
        <f>VLOOKUP(Table2[[#This Row],[Point B]],Table3[[LOCALITÉ]:[Distributeur de billets]],2,FALSE)</f>
        <v>0</v>
      </c>
      <c r="O5" s="6">
        <f>VLOOKUP(Table2[[#This Row],[Point B]],Table3[[LOCALITÉ]:[Distributeur de billets]],3,FALSE)</f>
        <v>0</v>
      </c>
      <c r="P5" s="6">
        <f>VLOOKUP(Table2[[#This Row],[Point B]],Table3[[LOCALITÉ]:[Distributeur de billets]],4,FALSE)</f>
        <v>0</v>
      </c>
      <c r="Q5" s="6">
        <f>VLOOKUP(Table2[[#This Row],[Point B]],Table3[[LOCALITÉ]:[Distributeur de billets]],5,FALSE)</f>
        <v>0</v>
      </c>
      <c r="R5" s="6">
        <f>VLOOKUP(Table2[[#This Row],[Point B]],Table3[[LOCALITÉ]:[Distributeur de billets]],6,FALSE)</f>
        <v>0</v>
      </c>
      <c r="S5" s="6">
        <f>VLOOKUP(Table2[[#This Row],[Point B]],Table3[[LOCALITÉ]:[Distributeur de billets]],7,FALSE)</f>
        <v>0</v>
      </c>
      <c r="T5" s="6">
        <f>VLOOKUP(Table2[[#This Row],[Point B]],Table3[[LOCALITÉ]:[Distributeur de billets]],8,FALSE)</f>
        <v>0</v>
      </c>
      <c r="U5" s="6">
        <f>VLOOKUP(Table2[[#This Row],[Point B]],Table3[[LOCALITÉ]:[Distributeur de billets]],9,FALSE)</f>
        <v>0</v>
      </c>
      <c r="V5" s="6">
        <f>VLOOKUP(Table2[[#This Row],[Point B]],Table3[[LOCALITÉ]:[Distributeur de billets]],10,FALSE)</f>
        <v>0</v>
      </c>
      <c r="W5" s="6">
        <f>VLOOKUP(Table2[[#This Row],[Point B]],Table3[[LOCALITÉ]:[Distributeur de billets]],11,FALSE)</f>
        <v>0</v>
      </c>
      <c r="X5" s="6">
        <f>VLOOKUP(Table2[[#This Row],[Point B]],Table3[[LOCALITÉ]:[Distributeur de billets]],12,FALSE)</f>
        <v>0</v>
      </c>
      <c r="Y5" s="6"/>
      <c r="Z5" s="25"/>
      <c r="AA5" s="25"/>
      <c r="AB5" s="25"/>
      <c r="AC5" s="25"/>
      <c r="AD5" s="25"/>
      <c r="AE5" s="6" t="str">
        <f>VLOOKUP(Table2[[#This Row],[Localité Arrivée]],Table4[],2,FALSE)</f>
        <v>Auberge du Savel</v>
      </c>
      <c r="AF5" s="25">
        <f>VLOOKUP(Table2[[#This Row],[Localité Arrivée]],Table4[],3,FALSE)</f>
        <v>44927</v>
      </c>
      <c r="AG5" s="25">
        <f>VLOOKUP(Table2[[#This Row],[Localité Arrivée]],Table4[],4,FALSE)</f>
        <v>45291</v>
      </c>
      <c r="AH5" s="25"/>
      <c r="AI5" s="25">
        <f>$AP$3+Table2[[#This Row],[Etape]]</f>
        <v>45179</v>
      </c>
    </row>
    <row r="6" spans="1:42" x14ac:dyDescent="0.2">
      <c r="A6" t="s">
        <v>0</v>
      </c>
      <c r="B6" t="s">
        <v>2</v>
      </c>
      <c r="C6" s="30">
        <v>1</v>
      </c>
      <c r="D6" t="str">
        <f t="shared" si="0"/>
        <v>Combe-Haute</v>
      </c>
      <c r="E6" t="s">
        <v>41</v>
      </c>
      <c r="F6" s="28" t="s">
        <v>137</v>
      </c>
      <c r="G6">
        <v>130</v>
      </c>
      <c r="H6">
        <v>0</v>
      </c>
      <c r="I6" s="5">
        <v>1.3888888888888888E-2</v>
      </c>
      <c r="J6">
        <f>Table2[[#This Row],[Distance cumulée]]-K5</f>
        <v>2</v>
      </c>
      <c r="K6">
        <v>13</v>
      </c>
      <c r="L6" t="s">
        <v>25</v>
      </c>
      <c r="M6"/>
      <c r="N6" s="6">
        <f>VLOOKUP(Table2[[#This Row],[Point B]],Table3[[LOCALITÉ]:[Distributeur de billets]],2,FALSE)</f>
        <v>0</v>
      </c>
      <c r="O6" s="6">
        <f>VLOOKUP(Table2[[#This Row],[Point B]],Table3[[LOCALITÉ]:[Distributeur de billets]],3,FALSE)</f>
        <v>0</v>
      </c>
      <c r="P6" s="6">
        <f>VLOOKUP(Table2[[#This Row],[Point B]],Table3[[LOCALITÉ]:[Distributeur de billets]],4,FALSE)</f>
        <v>0</v>
      </c>
      <c r="Q6" s="6">
        <f>VLOOKUP(Table2[[#This Row],[Point B]],Table3[[LOCALITÉ]:[Distributeur de billets]],5,FALSE)</f>
        <v>0</v>
      </c>
      <c r="R6" s="6">
        <f>VLOOKUP(Table2[[#This Row],[Point B]],Table3[[LOCALITÉ]:[Distributeur de billets]],6,FALSE)</f>
        <v>0</v>
      </c>
      <c r="S6" s="6">
        <f>VLOOKUP(Table2[[#This Row],[Point B]],Table3[[LOCALITÉ]:[Distributeur de billets]],7,FALSE)</f>
        <v>0</v>
      </c>
      <c r="T6" s="6">
        <f>VLOOKUP(Table2[[#This Row],[Point B]],Table3[[LOCALITÉ]:[Distributeur de billets]],8,FALSE)</f>
        <v>0</v>
      </c>
      <c r="U6" s="6">
        <f>VLOOKUP(Table2[[#This Row],[Point B]],Table3[[LOCALITÉ]:[Distributeur de billets]],9,FALSE)</f>
        <v>0</v>
      </c>
      <c r="V6" s="6">
        <f>VLOOKUP(Table2[[#This Row],[Point B]],Table3[[LOCALITÉ]:[Distributeur de billets]],10,FALSE)</f>
        <v>0</v>
      </c>
      <c r="W6" s="6">
        <f>VLOOKUP(Table2[[#This Row],[Point B]],Table3[[LOCALITÉ]:[Distributeur de billets]],11,FALSE)</f>
        <v>0</v>
      </c>
      <c r="X6" s="6">
        <f>VLOOKUP(Table2[[#This Row],[Point B]],Table3[[LOCALITÉ]:[Distributeur de billets]],12,FALSE)</f>
        <v>0</v>
      </c>
      <c r="Y6" s="6"/>
      <c r="Z6" s="25"/>
      <c r="AA6" s="25"/>
      <c r="AB6" s="25"/>
      <c r="AC6" s="25"/>
      <c r="AD6" s="25"/>
      <c r="AE6" s="6" t="str">
        <f>VLOOKUP(Table2[[#This Row],[Localité Arrivée]],Table4[],2,FALSE)</f>
        <v>Auberge du Savel</v>
      </c>
      <c r="AF6" s="25">
        <f>VLOOKUP(Table2[[#This Row],[Localité Arrivée]],Table4[],3,FALSE)</f>
        <v>44927</v>
      </c>
      <c r="AG6" s="25">
        <f>VLOOKUP(Table2[[#This Row],[Localité Arrivée]],Table4[],4,FALSE)</f>
        <v>45291</v>
      </c>
      <c r="AH6" s="25"/>
      <c r="AI6" s="25">
        <f>$AP$3+Table2[[#This Row],[Etape]]</f>
        <v>45179</v>
      </c>
    </row>
    <row r="7" spans="1:42" x14ac:dyDescent="0.2">
      <c r="A7" t="s">
        <v>0</v>
      </c>
      <c r="B7" t="s">
        <v>2</v>
      </c>
      <c r="C7" s="30">
        <v>1</v>
      </c>
      <c r="D7" t="str">
        <f t="shared" si="0"/>
        <v>Une intersection</v>
      </c>
      <c r="E7" t="s">
        <v>28</v>
      </c>
      <c r="F7" s="28" t="s">
        <v>138</v>
      </c>
      <c r="G7">
        <v>270</v>
      </c>
      <c r="H7">
        <v>0</v>
      </c>
      <c r="I7" s="5">
        <v>4.1666666666666664E-2</v>
      </c>
      <c r="J7">
        <f>Table2[[#This Row],[Distance cumulée]]-K6</f>
        <v>3.5</v>
      </c>
      <c r="K7">
        <v>16.5</v>
      </c>
      <c r="L7" t="s">
        <v>25</v>
      </c>
      <c r="M7"/>
      <c r="N7" s="6">
        <f>VLOOKUP(Table2[[#This Row],[Point B]],Table3[[LOCALITÉ]:[Distributeur de billets]],2,FALSE)</f>
        <v>0</v>
      </c>
      <c r="O7" s="6">
        <f>VLOOKUP(Table2[[#This Row],[Point B]],Table3[[LOCALITÉ]:[Distributeur de billets]],3,FALSE)</f>
        <v>0</v>
      </c>
      <c r="P7" s="6">
        <f>VLOOKUP(Table2[[#This Row],[Point B]],Table3[[LOCALITÉ]:[Distributeur de billets]],4,FALSE)</f>
        <v>0</v>
      </c>
      <c r="Q7" s="6">
        <f>VLOOKUP(Table2[[#This Row],[Point B]],Table3[[LOCALITÉ]:[Distributeur de billets]],5,FALSE)</f>
        <v>0</v>
      </c>
      <c r="R7" s="6">
        <f>VLOOKUP(Table2[[#This Row],[Point B]],Table3[[LOCALITÉ]:[Distributeur de billets]],6,FALSE)</f>
        <v>0</v>
      </c>
      <c r="S7" s="6">
        <f>VLOOKUP(Table2[[#This Row],[Point B]],Table3[[LOCALITÉ]:[Distributeur de billets]],7,FALSE)</f>
        <v>0</v>
      </c>
      <c r="T7" s="6">
        <f>VLOOKUP(Table2[[#This Row],[Point B]],Table3[[LOCALITÉ]:[Distributeur de billets]],8,FALSE)</f>
        <v>0</v>
      </c>
      <c r="U7" s="6">
        <f>VLOOKUP(Table2[[#This Row],[Point B]],Table3[[LOCALITÉ]:[Distributeur de billets]],9,FALSE)</f>
        <v>0</v>
      </c>
      <c r="V7" s="6">
        <f>VLOOKUP(Table2[[#This Row],[Point B]],Table3[[LOCALITÉ]:[Distributeur de billets]],10,FALSE)</f>
        <v>0</v>
      </c>
      <c r="W7" s="6">
        <f>VLOOKUP(Table2[[#This Row],[Point B]],Table3[[LOCALITÉ]:[Distributeur de billets]],11,FALSE)</f>
        <v>0</v>
      </c>
      <c r="X7" s="6">
        <f>VLOOKUP(Table2[[#This Row],[Point B]],Table3[[LOCALITÉ]:[Distributeur de billets]],12,FALSE)</f>
        <v>0</v>
      </c>
      <c r="Y7" s="6"/>
      <c r="Z7" s="25"/>
      <c r="AA7" s="25"/>
      <c r="AB7" s="25"/>
      <c r="AC7" s="25"/>
      <c r="AD7" s="25"/>
      <c r="AE7" s="6" t="str">
        <f>VLOOKUP(Table2[[#This Row],[Localité Arrivée]],Table4[],2,FALSE)</f>
        <v>Auberge du Savel</v>
      </c>
      <c r="AF7" s="25">
        <f>VLOOKUP(Table2[[#This Row],[Localité Arrivée]],Table4[],3,FALSE)</f>
        <v>44927</v>
      </c>
      <c r="AG7" s="25">
        <f>VLOOKUP(Table2[[#This Row],[Localité Arrivée]],Table4[],4,FALSE)</f>
        <v>45291</v>
      </c>
      <c r="AH7" s="25"/>
      <c r="AI7" s="25">
        <f>$AP$3+Table2[[#This Row],[Etape]]</f>
        <v>45179</v>
      </c>
    </row>
    <row r="8" spans="1:42" x14ac:dyDescent="0.2">
      <c r="A8" t="s">
        <v>0</v>
      </c>
      <c r="B8" t="s">
        <v>2</v>
      </c>
      <c r="C8" s="30">
        <v>1</v>
      </c>
      <c r="D8" t="str">
        <f t="shared" si="0"/>
        <v>Col de la Sarenne</v>
      </c>
      <c r="E8" t="s">
        <v>2</v>
      </c>
      <c r="F8" s="28" t="s">
        <v>139</v>
      </c>
      <c r="G8">
        <v>30</v>
      </c>
      <c r="H8">
        <v>680</v>
      </c>
      <c r="I8" s="5">
        <v>8.3333333333333329E-2</v>
      </c>
      <c r="J8">
        <f>Table2[[#This Row],[Distance cumulée]]-K7</f>
        <v>4.8999999999999986</v>
      </c>
      <c r="K8">
        <v>21.4</v>
      </c>
      <c r="L8" t="s">
        <v>25</v>
      </c>
      <c r="M8"/>
      <c r="N8" s="6">
        <f>VLOOKUP(Table2[[#This Row],[Point B]],Table3[[LOCALITÉ]:[Distributeur de billets]],2,FALSE)</f>
        <v>0</v>
      </c>
      <c r="O8" s="6" t="str">
        <f>VLOOKUP(Table2[[#This Row],[Point B]],Table3[[LOCALITÉ]:[Distributeur de billets]],3,FALSE)</f>
        <v>x</v>
      </c>
      <c r="P8" s="6">
        <f>VLOOKUP(Table2[[#This Row],[Point B]],Table3[[LOCALITÉ]:[Distributeur de billets]],4,FALSE)</f>
        <v>0</v>
      </c>
      <c r="Q8" s="6">
        <f>VLOOKUP(Table2[[#This Row],[Point B]],Table3[[LOCALITÉ]:[Distributeur de billets]],5,FALSE)</f>
        <v>0</v>
      </c>
      <c r="R8" s="6" t="str">
        <f>VLOOKUP(Table2[[#This Row],[Point B]],Table3[[LOCALITÉ]:[Distributeur de billets]],6,FALSE)</f>
        <v>x</v>
      </c>
      <c r="S8" s="6" t="str">
        <f>VLOOKUP(Table2[[#This Row],[Point B]],Table3[[LOCALITÉ]:[Distributeur de billets]],7,FALSE)</f>
        <v>x</v>
      </c>
      <c r="T8" s="6">
        <f>VLOOKUP(Table2[[#This Row],[Point B]],Table3[[LOCALITÉ]:[Distributeur de billets]],8,FALSE)</f>
        <v>0</v>
      </c>
      <c r="U8" s="6">
        <f>VLOOKUP(Table2[[#This Row],[Point B]],Table3[[LOCALITÉ]:[Distributeur de billets]],9,FALSE)</f>
        <v>0</v>
      </c>
      <c r="V8" s="6">
        <f>VLOOKUP(Table2[[#This Row],[Point B]],Table3[[LOCALITÉ]:[Distributeur de billets]],10,FALSE)</f>
        <v>0</v>
      </c>
      <c r="W8" s="6">
        <f>VLOOKUP(Table2[[#This Row],[Point B]],Table3[[LOCALITÉ]:[Distributeur de billets]],11,FALSE)</f>
        <v>0</v>
      </c>
      <c r="X8" s="6">
        <f>VLOOKUP(Table2[[#This Row],[Point B]],Table3[[LOCALITÉ]:[Distributeur de billets]],12,FALSE)</f>
        <v>0</v>
      </c>
      <c r="Y8" s="6"/>
      <c r="Z8" s="25"/>
      <c r="AA8" s="25"/>
      <c r="AB8" s="25"/>
      <c r="AC8" s="25"/>
      <c r="AD8" s="25"/>
      <c r="AE8" s="6" t="str">
        <f>VLOOKUP(Table2[[#This Row],[Localité Arrivée]],Table4[],2,FALSE)</f>
        <v>Auberge du Savel</v>
      </c>
      <c r="AF8" s="25">
        <f>VLOOKUP(Table2[[#This Row],[Localité Arrivée]],Table4[],3,FALSE)</f>
        <v>44927</v>
      </c>
      <c r="AG8" s="25">
        <f>VLOOKUP(Table2[[#This Row],[Localité Arrivée]],Table4[],4,FALSE)</f>
        <v>45291</v>
      </c>
      <c r="AH8" s="25"/>
      <c r="AI8" s="25">
        <f>$AP$3+Table2[[#This Row],[Etape]]</f>
        <v>45179</v>
      </c>
    </row>
    <row r="9" spans="1:42" x14ac:dyDescent="0.2">
      <c r="A9" t="s">
        <v>2</v>
      </c>
      <c r="B9" t="s">
        <v>192</v>
      </c>
      <c r="C9" s="30">
        <v>2</v>
      </c>
      <c r="D9" t="str">
        <f t="shared" si="0"/>
        <v>CLAVANS-LE-BAS</v>
      </c>
      <c r="E9" t="s">
        <v>16</v>
      </c>
      <c r="F9" s="28" t="s">
        <v>140</v>
      </c>
      <c r="G9">
        <v>280</v>
      </c>
      <c r="H9">
        <v>100</v>
      </c>
      <c r="I9" s="5">
        <v>4.8611111111111112E-2</v>
      </c>
      <c r="J9">
        <f>Table2[[#This Row],[Distance cumulée]]</f>
        <v>1.8</v>
      </c>
      <c r="K9">
        <v>1.8</v>
      </c>
      <c r="L9" t="s">
        <v>25</v>
      </c>
      <c r="M9"/>
      <c r="N9" s="6" t="str">
        <f>VLOOKUP(Table2[[#This Row],[Point B]],Table3[[LOCALITÉ]:[Distributeur de billets]],2,FALSE)</f>
        <v>x</v>
      </c>
      <c r="O9" s="6">
        <f>VLOOKUP(Table2[[#This Row],[Point B]],Table3[[LOCALITÉ]:[Distributeur de billets]],3,FALSE)</f>
        <v>0</v>
      </c>
      <c r="P9" s="6" t="str">
        <f>VLOOKUP(Table2[[#This Row],[Point B]],Table3[[LOCALITÉ]:[Distributeur de billets]],4,FALSE)</f>
        <v>x</v>
      </c>
      <c r="Q9" s="6" t="str">
        <f>VLOOKUP(Table2[[#This Row],[Point B]],Table3[[LOCALITÉ]:[Distributeur de billets]],5,FALSE)</f>
        <v>x</v>
      </c>
      <c r="R9" s="6" t="str">
        <f>VLOOKUP(Table2[[#This Row],[Point B]],Table3[[LOCALITÉ]:[Distributeur de billets]],6,FALSE)</f>
        <v>x</v>
      </c>
      <c r="S9" s="6" t="str">
        <f>VLOOKUP(Table2[[#This Row],[Point B]],Table3[[LOCALITÉ]:[Distributeur de billets]],7,FALSE)</f>
        <v>x</v>
      </c>
      <c r="T9" s="6" t="str">
        <f>VLOOKUP(Table2[[#This Row],[Point B]],Table3[[LOCALITÉ]:[Distributeur de billets]],8,FALSE)</f>
        <v>x</v>
      </c>
      <c r="U9" s="6" t="str">
        <f>VLOOKUP(Table2[[#This Row],[Point B]],Table3[[LOCALITÉ]:[Distributeur de billets]],9,FALSE)</f>
        <v>x</v>
      </c>
      <c r="V9" s="6">
        <f>VLOOKUP(Table2[[#This Row],[Point B]],Table3[[LOCALITÉ]:[Distributeur de billets]],10,FALSE)</f>
        <v>0</v>
      </c>
      <c r="W9" s="6">
        <f>VLOOKUP(Table2[[#This Row],[Point B]],Table3[[LOCALITÉ]:[Distributeur de billets]],11,FALSE)</f>
        <v>0</v>
      </c>
      <c r="X9" s="6">
        <f>VLOOKUP(Table2[[#This Row],[Point B]],Table3[[LOCALITÉ]:[Distributeur de billets]],12,FALSE)</f>
        <v>0</v>
      </c>
      <c r="Y9" s="6"/>
      <c r="Z9" s="25" t="s">
        <v>178</v>
      </c>
      <c r="AA9" s="25" t="s">
        <v>182</v>
      </c>
      <c r="AB9" s="25" t="s">
        <v>214</v>
      </c>
      <c r="AC9" s="25" t="s">
        <v>207</v>
      </c>
      <c r="AD9" s="25"/>
      <c r="AE9" s="6">
        <f>VLOOKUP(Table2[[#This Row],[Localité Arrivée]],Table4[],2,FALSE)</f>
        <v>0</v>
      </c>
      <c r="AF9" s="25">
        <f>VLOOKUP(Table2[[#This Row],[Localité Arrivée]],Table4[],3,FALSE)</f>
        <v>44927</v>
      </c>
      <c r="AG9" s="25">
        <f>VLOOKUP(Table2[[#This Row],[Localité Arrivée]],Table4[],4,FALSE)</f>
        <v>45291</v>
      </c>
      <c r="AH9" s="25"/>
      <c r="AI9" s="25">
        <f>$AP$3+Table2[[#This Row],[Etape]]</f>
        <v>45180</v>
      </c>
      <c r="AK9" t="s">
        <v>187</v>
      </c>
    </row>
    <row r="10" spans="1:42" x14ac:dyDescent="0.2">
      <c r="A10" t="s">
        <v>2</v>
      </c>
      <c r="B10" t="s">
        <v>192</v>
      </c>
      <c r="C10" s="30">
        <v>2</v>
      </c>
      <c r="D10" t="str">
        <f t="shared" si="0"/>
        <v>BESSE-EN-OISANS</v>
      </c>
      <c r="E10" t="s">
        <v>42</v>
      </c>
      <c r="F10" s="28" t="s">
        <v>144</v>
      </c>
      <c r="G10">
        <v>720</v>
      </c>
      <c r="H10">
        <v>30</v>
      </c>
      <c r="I10" s="5">
        <v>0.10416666666666667</v>
      </c>
      <c r="J10">
        <f>Table2[[#This Row],[Distance cumulée]]-K9</f>
        <v>4.7</v>
      </c>
      <c r="K10">
        <v>6.5</v>
      </c>
      <c r="L10" t="s">
        <v>25</v>
      </c>
      <c r="M10"/>
      <c r="N10" s="6">
        <f>VLOOKUP(Table2[[#This Row],[Point B]],Table3[[LOCALITÉ]:[Distributeur de billets]],2,FALSE)</f>
        <v>0</v>
      </c>
      <c r="O10" s="6" t="str">
        <f>VLOOKUP(Table2[[#This Row],[Point B]],Table3[[LOCALITÉ]:[Distributeur de billets]],3,FALSE)</f>
        <v>x</v>
      </c>
      <c r="P10" s="6">
        <f>VLOOKUP(Table2[[#This Row],[Point B]],Table3[[LOCALITÉ]:[Distributeur de billets]],4,FALSE)</f>
        <v>0</v>
      </c>
      <c r="Q10" s="6">
        <f>VLOOKUP(Table2[[#This Row],[Point B]],Table3[[LOCALITÉ]:[Distributeur de billets]],5,FALSE)</f>
        <v>0</v>
      </c>
      <c r="R10" s="6">
        <f>VLOOKUP(Table2[[#This Row],[Point B]],Table3[[LOCALITÉ]:[Distributeur de billets]],6,FALSE)</f>
        <v>0</v>
      </c>
      <c r="S10" s="6">
        <f>VLOOKUP(Table2[[#This Row],[Point B]],Table3[[LOCALITÉ]:[Distributeur de billets]],7,FALSE)</f>
        <v>0</v>
      </c>
      <c r="T10" s="6">
        <f>VLOOKUP(Table2[[#This Row],[Point B]],Table3[[LOCALITÉ]:[Distributeur de billets]],8,FALSE)</f>
        <v>0</v>
      </c>
      <c r="U10" s="6">
        <f>VLOOKUP(Table2[[#This Row],[Point B]],Table3[[LOCALITÉ]:[Distributeur de billets]],9,FALSE)</f>
        <v>0</v>
      </c>
      <c r="V10" s="6">
        <f>VLOOKUP(Table2[[#This Row],[Point B]],Table3[[LOCALITÉ]:[Distributeur de billets]],10,FALSE)</f>
        <v>0</v>
      </c>
      <c r="W10" s="6">
        <f>VLOOKUP(Table2[[#This Row],[Point B]],Table3[[LOCALITÉ]:[Distributeur de billets]],11,FALSE)</f>
        <v>0</v>
      </c>
      <c r="X10" s="6">
        <f>VLOOKUP(Table2[[#This Row],[Point B]],Table3[[LOCALITÉ]:[Distributeur de billets]],12,FALSE)</f>
        <v>0</v>
      </c>
      <c r="Y10" s="6"/>
      <c r="Z10" s="25"/>
      <c r="AA10" s="25"/>
      <c r="AB10" s="25"/>
      <c r="AC10" s="25"/>
      <c r="AD10" s="25"/>
      <c r="AE10" s="6">
        <f>VLOOKUP(Table2[[#This Row],[Localité Arrivée]],Table4[],2,FALSE)</f>
        <v>0</v>
      </c>
      <c r="AF10" s="25">
        <f>VLOOKUP(Table2[[#This Row],[Localité Arrivée]],Table4[],3,FALSE)</f>
        <v>44927</v>
      </c>
      <c r="AG10" s="25">
        <f>VLOOKUP(Table2[[#This Row],[Localité Arrivée]],Table4[],4,FALSE)</f>
        <v>45291</v>
      </c>
      <c r="AH10" s="25"/>
      <c r="AI10" s="25">
        <f>$AP$3+Table2[[#This Row],[Etape]]</f>
        <v>45180</v>
      </c>
      <c r="AL10" t="s">
        <v>180</v>
      </c>
    </row>
    <row r="11" spans="1:42" x14ac:dyDescent="0.2">
      <c r="A11" t="s">
        <v>2</v>
      </c>
      <c r="B11" t="s">
        <v>192</v>
      </c>
      <c r="C11" s="30">
        <v>2</v>
      </c>
      <c r="D11" t="str">
        <f t="shared" si="0"/>
        <v>Chalet Josserand</v>
      </c>
      <c r="E11" t="s">
        <v>43</v>
      </c>
      <c r="F11" s="28" t="s">
        <v>145</v>
      </c>
      <c r="G11">
        <v>20</v>
      </c>
      <c r="H11">
        <v>80</v>
      </c>
      <c r="I11" s="5">
        <v>2.0833333333333332E-2</v>
      </c>
      <c r="J11">
        <f>Table2[[#This Row],[Distance cumulée]]-K10</f>
        <v>1.6999999999999993</v>
      </c>
      <c r="K11">
        <v>8.1999999999999993</v>
      </c>
      <c r="L11" t="s">
        <v>25</v>
      </c>
      <c r="M11"/>
      <c r="N11" s="6">
        <f>VLOOKUP(Table2[[#This Row],[Point B]],Table3[[LOCALITÉ]:[Distributeur de billets]],2,FALSE)</f>
        <v>0</v>
      </c>
      <c r="O11" s="6">
        <f>VLOOKUP(Table2[[#This Row],[Point B]],Table3[[LOCALITÉ]:[Distributeur de billets]],3,FALSE)</f>
        <v>0</v>
      </c>
      <c r="P11" s="6">
        <f>VLOOKUP(Table2[[#This Row],[Point B]],Table3[[LOCALITÉ]:[Distributeur de billets]],4,FALSE)</f>
        <v>0</v>
      </c>
      <c r="Q11" s="6">
        <f>VLOOKUP(Table2[[#This Row],[Point B]],Table3[[LOCALITÉ]:[Distributeur de billets]],5,FALSE)</f>
        <v>0</v>
      </c>
      <c r="R11" s="6">
        <f>VLOOKUP(Table2[[#This Row],[Point B]],Table3[[LOCALITÉ]:[Distributeur de billets]],6,FALSE)</f>
        <v>0</v>
      </c>
      <c r="S11" s="6">
        <f>VLOOKUP(Table2[[#This Row],[Point B]],Table3[[LOCALITÉ]:[Distributeur de billets]],7,FALSE)</f>
        <v>0</v>
      </c>
      <c r="T11" s="6">
        <f>VLOOKUP(Table2[[#This Row],[Point B]],Table3[[LOCALITÉ]:[Distributeur de billets]],8,FALSE)</f>
        <v>0</v>
      </c>
      <c r="U11" s="6">
        <f>VLOOKUP(Table2[[#This Row],[Point B]],Table3[[LOCALITÉ]:[Distributeur de billets]],9,FALSE)</f>
        <v>0</v>
      </c>
      <c r="V11" s="6">
        <f>VLOOKUP(Table2[[#This Row],[Point B]],Table3[[LOCALITÉ]:[Distributeur de billets]],10,FALSE)</f>
        <v>0</v>
      </c>
      <c r="W11" s="6">
        <f>VLOOKUP(Table2[[#This Row],[Point B]],Table3[[LOCALITÉ]:[Distributeur de billets]],11,FALSE)</f>
        <v>0</v>
      </c>
      <c r="X11" s="6">
        <f>VLOOKUP(Table2[[#This Row],[Point B]],Table3[[LOCALITÉ]:[Distributeur de billets]],12,FALSE)</f>
        <v>0</v>
      </c>
      <c r="Y11" s="6"/>
      <c r="Z11" s="25"/>
      <c r="AA11" s="25"/>
      <c r="AB11" s="25"/>
      <c r="AC11" s="25"/>
      <c r="AD11" s="25"/>
      <c r="AE11" s="6">
        <f>VLOOKUP(Table2[[#This Row],[Localité Arrivée]],Table4[],2,FALSE)</f>
        <v>0</v>
      </c>
      <c r="AF11" s="25">
        <f>VLOOKUP(Table2[[#This Row],[Localité Arrivée]],Table4[],3,FALSE)</f>
        <v>44927</v>
      </c>
      <c r="AG11" s="25">
        <f>VLOOKUP(Table2[[#This Row],[Localité Arrivée]],Table4[],4,FALSE)</f>
        <v>45291</v>
      </c>
      <c r="AH11" s="25"/>
      <c r="AI11" s="25">
        <f>$AP$3+Table2[[#This Row],[Etape]]</f>
        <v>45180</v>
      </c>
    </row>
    <row r="12" spans="1:42" x14ac:dyDescent="0.2">
      <c r="A12" t="s">
        <v>2</v>
      </c>
      <c r="B12" t="s">
        <v>192</v>
      </c>
      <c r="C12" s="30">
        <v>2</v>
      </c>
      <c r="D12" t="str">
        <f t="shared" si="0"/>
        <v>Confluent de torrents</v>
      </c>
      <c r="E12" t="s">
        <v>192</v>
      </c>
      <c r="F12" s="28" t="s">
        <v>146</v>
      </c>
      <c r="G12">
        <v>251</v>
      </c>
      <c r="H12">
        <v>18</v>
      </c>
      <c r="I12" s="5">
        <v>4.1666666666666664E-2</v>
      </c>
      <c r="J12">
        <v>2</v>
      </c>
      <c r="K12">
        <f>K11+Table2[[#This Row],[Distance]]</f>
        <v>10.199999999999999</v>
      </c>
      <c r="L12" t="s">
        <v>25</v>
      </c>
      <c r="M12"/>
      <c r="N12" s="6">
        <f>VLOOKUP(Table2[[#This Row],[Point B]],Table3[[LOCALITÉ]:[Distributeur de billets]],2,FALSE)</f>
        <v>0</v>
      </c>
      <c r="O12" s="6">
        <f>VLOOKUP(Table2[[#This Row],[Point B]],Table3[[LOCALITÉ]:[Distributeur de billets]],3,FALSE)</f>
        <v>0</v>
      </c>
      <c r="P12" s="6">
        <f>VLOOKUP(Table2[[#This Row],[Point B]],Table3[[LOCALITÉ]:[Distributeur de billets]],4,FALSE)</f>
        <v>0</v>
      </c>
      <c r="Q12" s="6">
        <f>VLOOKUP(Table2[[#This Row],[Point B]],Table3[[LOCALITÉ]:[Distributeur de billets]],5,FALSE)</f>
        <v>0</v>
      </c>
      <c r="R12" s="6">
        <f>VLOOKUP(Table2[[#This Row],[Point B]],Table3[[LOCALITÉ]:[Distributeur de billets]],6,FALSE)</f>
        <v>0</v>
      </c>
      <c r="S12" s="6">
        <f>VLOOKUP(Table2[[#This Row],[Point B]],Table3[[LOCALITÉ]:[Distributeur de billets]],7,FALSE)</f>
        <v>0</v>
      </c>
      <c r="T12" s="6">
        <f>VLOOKUP(Table2[[#This Row],[Point B]],Table3[[LOCALITÉ]:[Distributeur de billets]],8,FALSE)</f>
        <v>0</v>
      </c>
      <c r="U12" s="6">
        <f>VLOOKUP(Table2[[#This Row],[Point B]],Table3[[LOCALITÉ]:[Distributeur de billets]],9,FALSE)</f>
        <v>0</v>
      </c>
      <c r="V12" s="6">
        <f>VLOOKUP(Table2[[#This Row],[Point B]],Table3[[LOCALITÉ]:[Distributeur de billets]],10,FALSE)</f>
        <v>0</v>
      </c>
      <c r="W12" s="6">
        <f>VLOOKUP(Table2[[#This Row],[Point B]],Table3[[LOCALITÉ]:[Distributeur de billets]],11,FALSE)</f>
        <v>0</v>
      </c>
      <c r="X12" s="6">
        <f>VLOOKUP(Table2[[#This Row],[Point B]],Table3[[LOCALITÉ]:[Distributeur de billets]],12,FALSE)</f>
        <v>0</v>
      </c>
      <c r="Y12" s="6"/>
      <c r="Z12" s="25"/>
      <c r="AA12" s="25"/>
      <c r="AB12" s="25"/>
      <c r="AC12" s="25"/>
      <c r="AD12" s="25"/>
      <c r="AE12" s="6">
        <f>VLOOKUP(Table2[[#This Row],[Localité Arrivée]],Table4[],2,FALSE)</f>
        <v>0</v>
      </c>
      <c r="AF12" s="25">
        <f>VLOOKUP(Table2[[#This Row],[Localité Arrivée]],Table4[],3,FALSE)</f>
        <v>44927</v>
      </c>
      <c r="AG12" s="25">
        <f>VLOOKUP(Table2[[#This Row],[Localité Arrivée]],Table4[],4,FALSE)</f>
        <v>45291</v>
      </c>
      <c r="AH12" s="25"/>
      <c r="AI12" s="25">
        <f>$AP$3+Table2[[#This Row],[Etape]]</f>
        <v>45180</v>
      </c>
    </row>
    <row r="13" spans="1:42" x14ac:dyDescent="0.2">
      <c r="A13" t="s">
        <v>192</v>
      </c>
      <c r="B13" t="s">
        <v>47</v>
      </c>
      <c r="C13" s="30">
        <v>3</v>
      </c>
      <c r="D13" t="str">
        <f>E12</f>
        <v>LAC NOIR</v>
      </c>
      <c r="E13" t="s">
        <v>32</v>
      </c>
      <c r="F13" s="28" t="s">
        <v>141</v>
      </c>
      <c r="G13">
        <v>199</v>
      </c>
      <c r="H13">
        <v>297</v>
      </c>
      <c r="I13" s="5">
        <v>4.1666666666666664E-2</v>
      </c>
      <c r="J13">
        <v>2.2000000000000002</v>
      </c>
      <c r="K13">
        <f>K12+Table2[[#This Row],[Distance]]</f>
        <v>12.399999999999999</v>
      </c>
      <c r="L13" t="s">
        <v>25</v>
      </c>
      <c r="M13"/>
      <c r="N13" s="6">
        <f>VLOOKUP(Table2[[#This Row],[Point B]],Table3[[LOCALITÉ]:[Distributeur de billets]],2,FALSE)</f>
        <v>0</v>
      </c>
      <c r="O13" s="6">
        <f>VLOOKUP(Table2[[#This Row],[Point B]],Table3[[LOCALITÉ]:[Distributeur de billets]],3,FALSE)</f>
        <v>0</v>
      </c>
      <c r="P13" s="6">
        <f>VLOOKUP(Table2[[#This Row],[Point B]],Table3[[LOCALITÉ]:[Distributeur de billets]],4,FALSE)</f>
        <v>0</v>
      </c>
      <c r="Q13" s="6">
        <f>VLOOKUP(Table2[[#This Row],[Point B]],Table3[[LOCALITÉ]:[Distributeur de billets]],5,FALSE)</f>
        <v>0</v>
      </c>
      <c r="R13" s="6">
        <f>VLOOKUP(Table2[[#This Row],[Point B]],Table3[[LOCALITÉ]:[Distributeur de billets]],6,FALSE)</f>
        <v>0</v>
      </c>
      <c r="S13" s="6">
        <f>VLOOKUP(Table2[[#This Row],[Point B]],Table3[[LOCALITÉ]:[Distributeur de billets]],7,FALSE)</f>
        <v>0</v>
      </c>
      <c r="T13" s="6">
        <f>VLOOKUP(Table2[[#This Row],[Point B]],Table3[[LOCALITÉ]:[Distributeur de billets]],8,FALSE)</f>
        <v>0</v>
      </c>
      <c r="U13" s="6">
        <f>VLOOKUP(Table2[[#This Row],[Point B]],Table3[[LOCALITÉ]:[Distributeur de billets]],9,FALSE)</f>
        <v>0</v>
      </c>
      <c r="V13" s="6">
        <f>VLOOKUP(Table2[[#This Row],[Point B]],Table3[[LOCALITÉ]:[Distributeur de billets]],10,FALSE)</f>
        <v>0</v>
      </c>
      <c r="W13" s="6">
        <f>VLOOKUP(Table2[[#This Row],[Point B]],Table3[[LOCALITÉ]:[Distributeur de billets]],11,FALSE)</f>
        <v>0</v>
      </c>
      <c r="X13" s="6">
        <f>VLOOKUP(Table2[[#This Row],[Point B]],Table3[[LOCALITÉ]:[Distributeur de billets]],12,FALSE)</f>
        <v>0</v>
      </c>
      <c r="Y13" s="6"/>
      <c r="Z13" s="25" t="s">
        <v>208</v>
      </c>
      <c r="AA13" s="25" t="s">
        <v>215</v>
      </c>
      <c r="AB13" s="25" t="s">
        <v>215</v>
      </c>
      <c r="AC13" s="25" t="s">
        <v>209</v>
      </c>
      <c r="AD13" s="25"/>
      <c r="AE13" s="6" t="str">
        <f>VLOOKUP(Table2[[#This Row],[Localité Arrivée]],Table4[],2,FALSE)</f>
        <v>Camping municipal de Villar d'Arène</v>
      </c>
      <c r="AF13" s="25">
        <f>VLOOKUP(Table2[[#This Row],[Localité Arrivée]],Table4[],3,FALSE)</f>
        <v>45078</v>
      </c>
      <c r="AG13" s="25">
        <f>VLOOKUP(Table2[[#This Row],[Localité Arrivée]],Table4[],4,FALSE)</f>
        <v>45199</v>
      </c>
      <c r="AH13" s="25"/>
      <c r="AI13" s="25">
        <f>$AP$3+Table2[[#This Row],[Etape]]</f>
        <v>45181</v>
      </c>
      <c r="AK13" t="s">
        <v>188</v>
      </c>
    </row>
    <row r="14" spans="1:42" x14ac:dyDescent="0.2">
      <c r="A14" t="s">
        <v>192</v>
      </c>
      <c r="B14" t="s">
        <v>47</v>
      </c>
      <c r="C14" s="30">
        <v>3</v>
      </c>
      <c r="D14" t="str">
        <f>E13</f>
        <v>Col du Souchet</v>
      </c>
      <c r="E14" t="s">
        <v>3</v>
      </c>
      <c r="F14" s="28" t="s">
        <v>147</v>
      </c>
      <c r="G14">
        <v>87</v>
      </c>
      <c r="H14">
        <v>660</v>
      </c>
      <c r="I14" s="5">
        <v>6.25E-2</v>
      </c>
      <c r="J14">
        <f>Table2[[#This Row],[Distance cumulée]]-K12</f>
        <v>5.6</v>
      </c>
      <c r="K14">
        <f>K11+9-1.4</f>
        <v>15.799999999999999</v>
      </c>
      <c r="L14" t="s">
        <v>25</v>
      </c>
      <c r="M14"/>
      <c r="N14" s="6" t="str">
        <f>VLOOKUP(Table2[[#This Row],[Point B]],Table3[[LOCALITÉ]:[Distributeur de billets]],2,FALSE)</f>
        <v>x</v>
      </c>
      <c r="O14" s="6">
        <f>VLOOKUP(Table2[[#This Row],[Point B]],Table3[[LOCALITÉ]:[Distributeur de billets]],3,FALSE)</f>
        <v>0</v>
      </c>
      <c r="P14" s="6">
        <f>VLOOKUP(Table2[[#This Row],[Point B]],Table3[[LOCALITÉ]:[Distributeur de billets]],4,FALSE)</f>
        <v>0</v>
      </c>
      <c r="Q14" s="6">
        <f>VLOOKUP(Table2[[#This Row],[Point B]],Table3[[LOCALITÉ]:[Distributeur de billets]],5,FALSE)</f>
        <v>0</v>
      </c>
      <c r="R14" s="6">
        <f>VLOOKUP(Table2[[#This Row],[Point B]],Table3[[LOCALITÉ]:[Distributeur de billets]],6,FALSE)</f>
        <v>0</v>
      </c>
      <c r="S14" s="6">
        <f>VLOOKUP(Table2[[#This Row],[Point B]],Table3[[LOCALITÉ]:[Distributeur de billets]],7,FALSE)</f>
        <v>0</v>
      </c>
      <c r="T14" s="6">
        <f>VLOOKUP(Table2[[#This Row],[Point B]],Table3[[LOCALITÉ]:[Distributeur de billets]],8,FALSE)</f>
        <v>0</v>
      </c>
      <c r="U14" s="6">
        <f>VLOOKUP(Table2[[#This Row],[Point B]],Table3[[LOCALITÉ]:[Distributeur de billets]],9,FALSE)</f>
        <v>0</v>
      </c>
      <c r="V14" s="6">
        <f>VLOOKUP(Table2[[#This Row],[Point B]],Table3[[LOCALITÉ]:[Distributeur de billets]],10,FALSE)</f>
        <v>0</v>
      </c>
      <c r="W14" s="6">
        <f>VLOOKUP(Table2[[#This Row],[Point B]],Table3[[LOCALITÉ]:[Distributeur de billets]],11,FALSE)</f>
        <v>0</v>
      </c>
      <c r="X14" s="6">
        <f>VLOOKUP(Table2[[#This Row],[Point B]],Table3[[LOCALITÉ]:[Distributeur de billets]],12,FALSE)</f>
        <v>0</v>
      </c>
      <c r="Y14" s="6"/>
      <c r="Z14" s="25"/>
      <c r="AA14" s="25"/>
      <c r="AB14" s="25"/>
      <c r="AC14" s="25"/>
      <c r="AD14" s="25"/>
      <c r="AE14" s="6" t="str">
        <f>VLOOKUP(Table2[[#This Row],[Localité Arrivée]],Table4[],2,FALSE)</f>
        <v>Camping municipal de Villar d'Arène</v>
      </c>
      <c r="AF14" s="25">
        <f>VLOOKUP(Table2[[#This Row],[Localité Arrivée]],Table4[],3,FALSE)</f>
        <v>45078</v>
      </c>
      <c r="AG14" s="25">
        <f>VLOOKUP(Table2[[#This Row],[Localité Arrivée]],Table4[],4,FALSE)</f>
        <v>45199</v>
      </c>
      <c r="AH14" s="25"/>
      <c r="AI14" s="25">
        <f>$AP$3+Table2[[#This Row],[Etape]]</f>
        <v>45181</v>
      </c>
    </row>
    <row r="15" spans="1:42" x14ac:dyDescent="0.2">
      <c r="A15" t="s">
        <v>192</v>
      </c>
      <c r="B15" t="s">
        <v>47</v>
      </c>
      <c r="C15" s="30">
        <v>3</v>
      </c>
      <c r="D15" t="str">
        <f t="shared" si="0"/>
        <v>LE CHAZELET</v>
      </c>
      <c r="E15" t="s">
        <v>4</v>
      </c>
      <c r="F15" s="28" t="s">
        <v>148</v>
      </c>
      <c r="G15">
        <v>48</v>
      </c>
      <c r="H15">
        <v>51</v>
      </c>
      <c r="I15" s="5">
        <v>2.0833333333333332E-2</v>
      </c>
      <c r="J15">
        <f>Table2[[#This Row],[Distance cumulée]]-K14</f>
        <v>1.5000000000000018</v>
      </c>
      <c r="K15">
        <f>K11+10.5-1.4</f>
        <v>17.3</v>
      </c>
      <c r="L15" t="s">
        <v>25</v>
      </c>
      <c r="M15"/>
      <c r="N15" s="6" t="str">
        <f>VLOOKUP(Table2[[#This Row],[Point B]],Table3[[LOCALITÉ]:[Distributeur de billets]],2,FALSE)</f>
        <v>x</v>
      </c>
      <c r="O15" s="6">
        <f>VLOOKUP(Table2[[#This Row],[Point B]],Table3[[LOCALITÉ]:[Distributeur de billets]],3,FALSE)</f>
        <v>0</v>
      </c>
      <c r="P15" s="6">
        <f>VLOOKUP(Table2[[#This Row],[Point B]],Table3[[LOCALITÉ]:[Distributeur de billets]],4,FALSE)</f>
        <v>0</v>
      </c>
      <c r="Q15" s="6">
        <f>VLOOKUP(Table2[[#This Row],[Point B]],Table3[[LOCALITÉ]:[Distributeur de billets]],5,FALSE)</f>
        <v>0</v>
      </c>
      <c r="R15" s="6">
        <f>VLOOKUP(Table2[[#This Row],[Point B]],Table3[[LOCALITÉ]:[Distributeur de billets]],6,FALSE)</f>
        <v>0</v>
      </c>
      <c r="S15" s="6">
        <f>VLOOKUP(Table2[[#This Row],[Point B]],Table3[[LOCALITÉ]:[Distributeur de billets]],7,FALSE)</f>
        <v>0</v>
      </c>
      <c r="T15" s="6">
        <f>VLOOKUP(Table2[[#This Row],[Point B]],Table3[[LOCALITÉ]:[Distributeur de billets]],8,FALSE)</f>
        <v>0</v>
      </c>
      <c r="U15" s="6">
        <f>VLOOKUP(Table2[[#This Row],[Point B]],Table3[[LOCALITÉ]:[Distributeur de billets]],9,FALSE)</f>
        <v>0</v>
      </c>
      <c r="V15" s="6">
        <f>VLOOKUP(Table2[[#This Row],[Point B]],Table3[[LOCALITÉ]:[Distributeur de billets]],10,FALSE)</f>
        <v>0</v>
      </c>
      <c r="W15" s="6">
        <f>VLOOKUP(Table2[[#This Row],[Point B]],Table3[[LOCALITÉ]:[Distributeur de billets]],11,FALSE)</f>
        <v>0</v>
      </c>
      <c r="X15" s="6">
        <f>VLOOKUP(Table2[[#This Row],[Point B]],Table3[[LOCALITÉ]:[Distributeur de billets]],12,FALSE)</f>
        <v>0</v>
      </c>
      <c r="Y15" s="6"/>
      <c r="Z15" s="25"/>
      <c r="AA15" s="25"/>
      <c r="AB15" s="25"/>
      <c r="AC15" s="25"/>
      <c r="AD15" s="25"/>
      <c r="AE15" s="6" t="str">
        <f>VLOOKUP(Table2[[#This Row],[Localité Arrivée]],Table4[],2,FALSE)</f>
        <v>Camping municipal de Villar d'Arène</v>
      </c>
      <c r="AF15" s="25">
        <f>VLOOKUP(Table2[[#This Row],[Localité Arrivée]],Table4[],3,FALSE)</f>
        <v>45078</v>
      </c>
      <c r="AG15" s="25">
        <f>VLOOKUP(Table2[[#This Row],[Localité Arrivée]],Table4[],4,FALSE)</f>
        <v>45199</v>
      </c>
      <c r="AH15" s="25"/>
      <c r="AI15" s="25">
        <f>$AP$3+Table2[[#This Row],[Etape]]</f>
        <v>45181</v>
      </c>
    </row>
    <row r="16" spans="1:42" x14ac:dyDescent="0.2">
      <c r="A16" t="s">
        <v>192</v>
      </c>
      <c r="B16" t="s">
        <v>47</v>
      </c>
      <c r="C16" s="30">
        <v>3</v>
      </c>
      <c r="D16" t="str">
        <f t="shared" si="0"/>
        <v>LES TERRASSES</v>
      </c>
      <c r="E16" t="s">
        <v>13</v>
      </c>
      <c r="F16" t="s">
        <v>149</v>
      </c>
      <c r="G16">
        <v>11</v>
      </c>
      <c r="H16">
        <v>298</v>
      </c>
      <c r="I16" s="5">
        <v>2.0833333333333332E-2</v>
      </c>
      <c r="J16">
        <f>Table2[[#This Row],[Distance cumulée]]-K15</f>
        <v>1.6999999999999993</v>
      </c>
      <c r="K16">
        <f>K11+12.2-1.4</f>
        <v>19</v>
      </c>
      <c r="L16" t="s">
        <v>25</v>
      </c>
      <c r="M16"/>
      <c r="N16" s="6" t="str">
        <f>VLOOKUP(Table2[[#This Row],[Point B]],Table3[[LOCALITÉ]:[Distributeur de billets]],2,FALSE)</f>
        <v>x</v>
      </c>
      <c r="O16" s="6" t="str">
        <f>VLOOKUP(Table2[[#This Row],[Point B]],Table3[[LOCALITÉ]:[Distributeur de billets]],3,FALSE)</f>
        <v>x</v>
      </c>
      <c r="P16" s="6">
        <f>VLOOKUP(Table2[[#This Row],[Point B]],Table3[[LOCALITÉ]:[Distributeur de billets]],4,FALSE)</f>
        <v>0</v>
      </c>
      <c r="Q16" s="6" t="str">
        <f>VLOOKUP(Table2[[#This Row],[Point B]],Table3[[LOCALITÉ]:[Distributeur de billets]],5,FALSE)</f>
        <v>x</v>
      </c>
      <c r="R16" s="6" t="str">
        <f>VLOOKUP(Table2[[#This Row],[Point B]],Table3[[LOCALITÉ]:[Distributeur de billets]],6,FALSE)</f>
        <v>x</v>
      </c>
      <c r="S16" s="6" t="str">
        <f>VLOOKUP(Table2[[#This Row],[Point B]],Table3[[LOCALITÉ]:[Distributeur de billets]],7,FALSE)</f>
        <v>x</v>
      </c>
      <c r="T16" s="6" t="str">
        <f>VLOOKUP(Table2[[#This Row],[Point B]],Table3[[LOCALITÉ]:[Distributeur de billets]],8,FALSE)</f>
        <v>x</v>
      </c>
      <c r="U16" s="6" t="str">
        <f>VLOOKUP(Table2[[#This Row],[Point B]],Table3[[LOCALITÉ]:[Distributeur de billets]],9,FALSE)</f>
        <v>x</v>
      </c>
      <c r="V16" s="6" t="str">
        <f>VLOOKUP(Table2[[#This Row],[Point B]],Table3[[LOCALITÉ]:[Distributeur de billets]],10,FALSE)</f>
        <v>x</v>
      </c>
      <c r="W16" s="6">
        <f>VLOOKUP(Table2[[#This Row],[Point B]],Table3[[LOCALITÉ]:[Distributeur de billets]],11,FALSE)</f>
        <v>0</v>
      </c>
      <c r="X16" s="6" t="str">
        <f>VLOOKUP(Table2[[#This Row],[Point B]],Table3[[LOCALITÉ]:[Distributeur de billets]],12,FALSE)</f>
        <v>x</v>
      </c>
      <c r="Y16" s="6"/>
      <c r="Z16" s="25"/>
      <c r="AA16" s="25"/>
      <c r="AB16" s="25"/>
      <c r="AC16" s="25"/>
      <c r="AD16" s="25"/>
      <c r="AE16" s="6" t="str">
        <f>VLOOKUP(Table2[[#This Row],[Localité Arrivée]],Table4[],2,FALSE)</f>
        <v>Camping municipal de Villar d'Arène</v>
      </c>
      <c r="AF16" s="25">
        <f>VLOOKUP(Table2[[#This Row],[Localité Arrivée]],Table4[],3,FALSE)</f>
        <v>45078</v>
      </c>
      <c r="AG16" s="25">
        <f>VLOOKUP(Table2[[#This Row],[Localité Arrivée]],Table4[],4,FALSE)</f>
        <v>45199</v>
      </c>
      <c r="AH16" s="25"/>
      <c r="AI16" s="25">
        <f>$AP$3+Table2[[#This Row],[Etape]]</f>
        <v>45181</v>
      </c>
    </row>
    <row r="17" spans="1:37" x14ac:dyDescent="0.2">
      <c r="A17" t="s">
        <v>192</v>
      </c>
      <c r="B17" t="s">
        <v>47</v>
      </c>
      <c r="C17" s="30">
        <v>3</v>
      </c>
      <c r="D17" t="str">
        <f t="shared" si="0"/>
        <v>LA GRAVE</v>
      </c>
      <c r="E17" t="s">
        <v>5</v>
      </c>
      <c r="F17" s="28" t="s">
        <v>150</v>
      </c>
      <c r="G17">
        <v>301</v>
      </c>
      <c r="H17">
        <v>163</v>
      </c>
      <c r="I17" s="5">
        <v>6.25E-2</v>
      </c>
      <c r="J17">
        <f>Table2[[#This Row],[Distance cumulée]]</f>
        <v>3.2000000000000011</v>
      </c>
      <c r="K17">
        <f>15.4-12.2</f>
        <v>3.2000000000000011</v>
      </c>
      <c r="L17" t="s">
        <v>25</v>
      </c>
      <c r="M17"/>
      <c r="N17" s="6" t="str">
        <f>VLOOKUP(Table2[[#This Row],[Point B]],Table3[[LOCALITÉ]:[Distributeur de billets]],2,FALSE)</f>
        <v>x</v>
      </c>
      <c r="O17" s="6" t="str">
        <f>VLOOKUP(Table2[[#This Row],[Point B]],Table3[[LOCALITÉ]:[Distributeur de billets]],3,FALSE)</f>
        <v>x</v>
      </c>
      <c r="P17" s="6" t="str">
        <f>VLOOKUP(Table2[[#This Row],[Point B]],Table3[[LOCALITÉ]:[Distributeur de billets]],4,FALSE)</f>
        <v>x</v>
      </c>
      <c r="Q17" s="6">
        <f>VLOOKUP(Table2[[#This Row],[Point B]],Table3[[LOCALITÉ]:[Distributeur de billets]],5,FALSE)</f>
        <v>0</v>
      </c>
      <c r="R17" s="6" t="str">
        <f>VLOOKUP(Table2[[#This Row],[Point B]],Table3[[LOCALITÉ]:[Distributeur de billets]],6,FALSE)</f>
        <v>x</v>
      </c>
      <c r="S17" s="6" t="str">
        <f>VLOOKUP(Table2[[#This Row],[Point B]],Table3[[LOCALITÉ]:[Distributeur de billets]],7,FALSE)</f>
        <v>x</v>
      </c>
      <c r="T17" s="6" t="str">
        <f>VLOOKUP(Table2[[#This Row],[Point B]],Table3[[LOCALITÉ]:[Distributeur de billets]],8,FALSE)</f>
        <v>x</v>
      </c>
      <c r="U17" s="6">
        <f>VLOOKUP(Table2[[#This Row],[Point B]],Table3[[LOCALITÉ]:[Distributeur de billets]],9,FALSE)</f>
        <v>0</v>
      </c>
      <c r="V17" s="6" t="str">
        <f>VLOOKUP(Table2[[#This Row],[Point B]],Table3[[LOCALITÉ]:[Distributeur de billets]],10,FALSE)</f>
        <v>x</v>
      </c>
      <c r="W17" s="6">
        <f>VLOOKUP(Table2[[#This Row],[Point B]],Table3[[LOCALITÉ]:[Distributeur de billets]],11,FALSE)</f>
        <v>0</v>
      </c>
      <c r="X17" s="6">
        <f>VLOOKUP(Table2[[#This Row],[Point B]],Table3[[LOCALITÉ]:[Distributeur de billets]],12,FALSE)</f>
        <v>0</v>
      </c>
      <c r="Y17" s="6"/>
      <c r="Z17" s="25"/>
      <c r="AA17" s="25"/>
      <c r="AB17" s="25"/>
      <c r="AC17" s="25"/>
      <c r="AD17" s="25"/>
      <c r="AE17" s="6" t="str">
        <f>VLOOKUP(Table2[[#This Row],[Localité Arrivée]],Table4[],2,FALSE)</f>
        <v>Camping municipal de Villar d'Arène</v>
      </c>
      <c r="AF17" s="25">
        <f>VLOOKUP(Table2[[#This Row],[Localité Arrivée]],Table4[],3,FALSE)</f>
        <v>45078</v>
      </c>
      <c r="AG17" s="25">
        <f>VLOOKUP(Table2[[#This Row],[Localité Arrivée]],Table4[],4,FALSE)</f>
        <v>45199</v>
      </c>
      <c r="AH17" s="25"/>
      <c r="AI17" s="25">
        <f>$AP$3+Table2[[#This Row],[Etape]]</f>
        <v>45181</v>
      </c>
    </row>
    <row r="18" spans="1:37" x14ac:dyDescent="0.2">
      <c r="A18" t="s">
        <v>192</v>
      </c>
      <c r="B18" t="s">
        <v>47</v>
      </c>
      <c r="C18" s="30">
        <v>3</v>
      </c>
      <c r="D18" t="str">
        <f t="shared" si="0"/>
        <v>VILLAR-D'ARÈNE</v>
      </c>
      <c r="E18" t="s">
        <v>47</v>
      </c>
      <c r="F18" s="28" t="s">
        <v>151</v>
      </c>
      <c r="G18">
        <v>61</v>
      </c>
      <c r="H18">
        <v>24</v>
      </c>
      <c r="I18" s="5">
        <v>2.4305555555555556E-2</v>
      </c>
      <c r="J18">
        <f>Table2[[#This Row],[Distance cumulée]]-K17</f>
        <v>2.5999999999999996</v>
      </c>
      <c r="K18">
        <f>18-12.2</f>
        <v>5.8000000000000007</v>
      </c>
      <c r="L18" t="s">
        <v>25</v>
      </c>
      <c r="M18"/>
      <c r="N18" s="6" t="str">
        <f>VLOOKUP(Table2[[#This Row],[Point B]],Table3[[LOCALITÉ]:[Distributeur de billets]],2,FALSE)</f>
        <v>x</v>
      </c>
      <c r="O18" s="6">
        <f>VLOOKUP(Table2[[#This Row],[Point B]],Table3[[LOCALITÉ]:[Distributeur de billets]],3,FALSE)</f>
        <v>0</v>
      </c>
      <c r="P18" s="6">
        <f>VLOOKUP(Table2[[#This Row],[Point B]],Table3[[LOCALITÉ]:[Distributeur de billets]],4,FALSE)</f>
        <v>0</v>
      </c>
      <c r="Q18" s="6">
        <f>VLOOKUP(Table2[[#This Row],[Point B]],Table3[[LOCALITÉ]:[Distributeur de billets]],5,FALSE)</f>
        <v>0</v>
      </c>
      <c r="R18" s="6">
        <f>VLOOKUP(Table2[[#This Row],[Point B]],Table3[[LOCALITÉ]:[Distributeur de billets]],6,FALSE)</f>
        <v>0</v>
      </c>
      <c r="S18" s="6" t="str">
        <f>VLOOKUP(Table2[[#This Row],[Point B]],Table3[[LOCALITÉ]:[Distributeur de billets]],7,FALSE)</f>
        <v>x</v>
      </c>
      <c r="T18" s="6" t="str">
        <f>VLOOKUP(Table2[[#This Row],[Point B]],Table3[[LOCALITÉ]:[Distributeur de billets]],8,FALSE)</f>
        <v>x</v>
      </c>
      <c r="U18" s="6">
        <f>VLOOKUP(Table2[[#This Row],[Point B]],Table3[[LOCALITÉ]:[Distributeur de billets]],9,FALSE)</f>
        <v>0</v>
      </c>
      <c r="V18" s="6">
        <f>VLOOKUP(Table2[[#This Row],[Point B]],Table3[[LOCALITÉ]:[Distributeur de billets]],10,FALSE)</f>
        <v>0</v>
      </c>
      <c r="W18" s="6">
        <f>VLOOKUP(Table2[[#This Row],[Point B]],Table3[[LOCALITÉ]:[Distributeur de billets]],11,FALSE)</f>
        <v>0</v>
      </c>
      <c r="X18" s="6">
        <f>VLOOKUP(Table2[[#This Row],[Point B]],Table3[[LOCALITÉ]:[Distributeur de billets]],12,FALSE)</f>
        <v>0</v>
      </c>
      <c r="Y18" s="6"/>
      <c r="Z18" s="25"/>
      <c r="AA18" s="25"/>
      <c r="AB18" s="25"/>
      <c r="AC18" s="25"/>
      <c r="AD18" s="25"/>
      <c r="AE18" s="6" t="str">
        <f>VLOOKUP(Table2[[#This Row],[Localité Arrivée]],Table4[],2,FALSE)</f>
        <v>Camping municipal de Villar d'Arène</v>
      </c>
      <c r="AF18" s="25">
        <f>VLOOKUP(Table2[[#This Row],[Localité Arrivée]],Table4[],3,FALSE)</f>
        <v>45078</v>
      </c>
      <c r="AG18" s="25">
        <f>VLOOKUP(Table2[[#This Row],[Localité Arrivée]],Table4[],4,FALSE)</f>
        <v>45199</v>
      </c>
      <c r="AH18" s="25"/>
      <c r="AI18" s="25">
        <f>$AP$3+Table2[[#This Row],[Etape]]</f>
        <v>45181</v>
      </c>
    </row>
    <row r="19" spans="1:37" x14ac:dyDescent="0.2">
      <c r="A19" t="s">
        <v>47</v>
      </c>
      <c r="B19" t="s">
        <v>7</v>
      </c>
      <c r="C19" s="30">
        <v>4</v>
      </c>
      <c r="D19" t="str">
        <f t="shared" si="0"/>
        <v>PONT D'ARSINE</v>
      </c>
      <c r="E19" t="s">
        <v>78</v>
      </c>
      <c r="F19" s="28" t="s">
        <v>142</v>
      </c>
      <c r="G19">
        <v>467</v>
      </c>
      <c r="H19">
        <v>60</v>
      </c>
      <c r="I19" s="5">
        <v>0.10069444444444443</v>
      </c>
      <c r="J19">
        <f>Table2[[#This Row],[Distance cumulée]]-K18</f>
        <v>5.1000000000000014</v>
      </c>
      <c r="K19">
        <f>23.1-12.2</f>
        <v>10.900000000000002</v>
      </c>
      <c r="L19" t="s">
        <v>25</v>
      </c>
      <c r="M19"/>
      <c r="N19" s="6" t="str">
        <f>VLOOKUP(Table2[[#This Row],[Point B]],Table3[[LOCALITÉ]:[Distributeur de billets]],2,FALSE)</f>
        <v>x</v>
      </c>
      <c r="O19" s="6">
        <f>VLOOKUP(Table2[[#This Row],[Point B]],Table3[[LOCALITÉ]:[Distributeur de billets]],3,FALSE)</f>
        <v>0</v>
      </c>
      <c r="P19" s="6">
        <f>VLOOKUP(Table2[[#This Row],[Point B]],Table3[[LOCALITÉ]:[Distributeur de billets]],4,FALSE)</f>
        <v>0</v>
      </c>
      <c r="Q19" s="6">
        <f>VLOOKUP(Table2[[#This Row],[Point B]],Table3[[LOCALITÉ]:[Distributeur de billets]],5,FALSE)</f>
        <v>0</v>
      </c>
      <c r="R19" s="6">
        <f>VLOOKUP(Table2[[#This Row],[Point B]],Table3[[LOCALITÉ]:[Distributeur de billets]],6,FALSE)</f>
        <v>0</v>
      </c>
      <c r="S19" s="6">
        <f>VLOOKUP(Table2[[#This Row],[Point B]],Table3[[LOCALITÉ]:[Distributeur de billets]],7,FALSE)</f>
        <v>0</v>
      </c>
      <c r="T19" s="6">
        <f>VLOOKUP(Table2[[#This Row],[Point B]],Table3[[LOCALITÉ]:[Distributeur de billets]],8,FALSE)</f>
        <v>0</v>
      </c>
      <c r="U19" s="6">
        <f>VLOOKUP(Table2[[#This Row],[Point B]],Table3[[LOCALITÉ]:[Distributeur de billets]],9,FALSE)</f>
        <v>0</v>
      </c>
      <c r="V19" s="6">
        <f>VLOOKUP(Table2[[#This Row],[Point B]],Table3[[LOCALITÉ]:[Distributeur de billets]],10,FALSE)</f>
        <v>0</v>
      </c>
      <c r="W19" s="6">
        <f>VLOOKUP(Table2[[#This Row],[Point B]],Table3[[LOCALITÉ]:[Distributeur de billets]],11,FALSE)</f>
        <v>0</v>
      </c>
      <c r="X19" s="6">
        <f>VLOOKUP(Table2[[#This Row],[Point B]],Table3[[LOCALITÉ]:[Distributeur de billets]],12,FALSE)</f>
        <v>0</v>
      </c>
      <c r="Y19" s="6"/>
      <c r="Z19" s="25" t="s">
        <v>209</v>
      </c>
      <c r="AA19" s="25" t="s">
        <v>182</v>
      </c>
      <c r="AB19" s="25" t="s">
        <v>216</v>
      </c>
      <c r="AC19" s="25"/>
      <c r="AD19" s="25"/>
      <c r="AE19" s="6" t="str">
        <f>VLOOKUP(Table2[[#This Row],[Localité Arrivée]],Table4[],2,FALSE)</f>
        <v>Camping municipal des 2 glaciers</v>
      </c>
      <c r="AF19" s="25">
        <f>VLOOKUP(Table2[[#This Row],[Localité Arrivée]],Table4[],3,FALSE)</f>
        <v>45072</v>
      </c>
      <c r="AG19" s="25">
        <f>VLOOKUP(Table2[[#This Row],[Localité Arrivée]],Table4[],4,FALSE)</f>
        <v>45193</v>
      </c>
      <c r="AH19" s="25"/>
      <c r="AI19" s="25">
        <f>$AP$3+Table2[[#This Row],[Etape]]</f>
        <v>45182</v>
      </c>
      <c r="AK19" t="s">
        <v>189</v>
      </c>
    </row>
    <row r="20" spans="1:37" x14ac:dyDescent="0.2">
      <c r="A20" t="s">
        <v>47</v>
      </c>
      <c r="B20" t="s">
        <v>7</v>
      </c>
      <c r="C20" s="30">
        <v>4</v>
      </c>
      <c r="D20" t="str">
        <f t="shared" si="0"/>
        <v>ALPE DE VILLAR D'ARENE</v>
      </c>
      <c r="E20" t="s">
        <v>33</v>
      </c>
      <c r="F20" s="28" t="s">
        <v>152</v>
      </c>
      <c r="G20">
        <v>282</v>
      </c>
      <c r="H20">
        <v>9</v>
      </c>
      <c r="I20" s="5">
        <v>4.1666666666666664E-2</v>
      </c>
      <c r="J20">
        <f>Table2[[#This Row],[Distance cumulée]]-K19</f>
        <v>3</v>
      </c>
      <c r="K20">
        <f>K19+3</f>
        <v>13.900000000000002</v>
      </c>
      <c r="L20" t="s">
        <v>25</v>
      </c>
      <c r="M20"/>
      <c r="N20" s="6">
        <f>VLOOKUP(Table2[[#This Row],[Point B]],Table3[[LOCALITÉ]:[Distributeur de billets]],2,FALSE)</f>
        <v>0</v>
      </c>
      <c r="O20" s="6">
        <f>VLOOKUP(Table2[[#This Row],[Point B]],Table3[[LOCALITÉ]:[Distributeur de billets]],3,FALSE)</f>
        <v>0</v>
      </c>
      <c r="P20" s="6">
        <f>VLOOKUP(Table2[[#This Row],[Point B]],Table3[[LOCALITÉ]:[Distributeur de billets]],4,FALSE)</f>
        <v>0</v>
      </c>
      <c r="Q20" s="6">
        <f>VLOOKUP(Table2[[#This Row],[Point B]],Table3[[LOCALITÉ]:[Distributeur de billets]],5,FALSE)</f>
        <v>0</v>
      </c>
      <c r="R20" s="6">
        <f>VLOOKUP(Table2[[#This Row],[Point B]],Table3[[LOCALITÉ]:[Distributeur de billets]],6,FALSE)</f>
        <v>0</v>
      </c>
      <c r="S20" s="6">
        <f>VLOOKUP(Table2[[#This Row],[Point B]],Table3[[LOCALITÉ]:[Distributeur de billets]],7,FALSE)</f>
        <v>0</v>
      </c>
      <c r="T20" s="6">
        <f>VLOOKUP(Table2[[#This Row],[Point B]],Table3[[LOCALITÉ]:[Distributeur de billets]],8,FALSE)</f>
        <v>0</v>
      </c>
      <c r="U20" s="6">
        <f>VLOOKUP(Table2[[#This Row],[Point B]],Table3[[LOCALITÉ]:[Distributeur de billets]],9,FALSE)</f>
        <v>0</v>
      </c>
      <c r="V20" s="6">
        <f>VLOOKUP(Table2[[#This Row],[Point B]],Table3[[LOCALITÉ]:[Distributeur de billets]],10,FALSE)</f>
        <v>0</v>
      </c>
      <c r="W20" s="6">
        <f>VLOOKUP(Table2[[#This Row],[Point B]],Table3[[LOCALITÉ]:[Distributeur de billets]],11,FALSE)</f>
        <v>0</v>
      </c>
      <c r="X20" s="6">
        <f>VLOOKUP(Table2[[#This Row],[Point B]],Table3[[LOCALITÉ]:[Distributeur de billets]],12,FALSE)</f>
        <v>0</v>
      </c>
      <c r="Y20" s="6"/>
      <c r="Z20" s="25"/>
      <c r="AA20" s="25"/>
      <c r="AB20" s="25"/>
      <c r="AC20" s="25"/>
      <c r="AD20" s="25"/>
      <c r="AE20" s="6" t="str">
        <f>VLOOKUP(Table2[[#This Row],[Localité Arrivée]],Table4[],2,FALSE)</f>
        <v>Camping municipal des 2 glaciers</v>
      </c>
      <c r="AF20" s="25">
        <f>VLOOKUP(Table2[[#This Row],[Localité Arrivée]],Table4[],3,FALSE)</f>
        <v>45072</v>
      </c>
      <c r="AG20" s="25">
        <f>VLOOKUP(Table2[[#This Row],[Localité Arrivée]],Table4[],4,FALSE)</f>
        <v>45193</v>
      </c>
      <c r="AH20" s="25"/>
      <c r="AI20" s="25">
        <f>$AP$3+Table2[[#This Row],[Etape]]</f>
        <v>45182</v>
      </c>
    </row>
    <row r="21" spans="1:37" x14ac:dyDescent="0.2">
      <c r="A21" t="s">
        <v>47</v>
      </c>
      <c r="B21" t="s">
        <v>7</v>
      </c>
      <c r="C21" s="30">
        <v>4</v>
      </c>
      <c r="D21" t="str">
        <f t="shared" si="0"/>
        <v>Col d'Arsine</v>
      </c>
      <c r="E21" t="s">
        <v>6</v>
      </c>
      <c r="F21" s="28" t="s">
        <v>153</v>
      </c>
      <c r="G21">
        <v>32</v>
      </c>
      <c r="H21">
        <v>865</v>
      </c>
      <c r="I21" s="5">
        <v>8.3333333333333329E-2</v>
      </c>
      <c r="J21">
        <f>Table2[[#This Row],[Distance cumulée]]-K20</f>
        <v>7.3000000000000007</v>
      </c>
      <c r="K21">
        <f>K19+10.3</f>
        <v>21.200000000000003</v>
      </c>
      <c r="L21" t="s">
        <v>25</v>
      </c>
      <c r="M21"/>
      <c r="N21" s="6" t="str">
        <f>VLOOKUP(Table2[[#This Row],[Point B]],Table3[[LOCALITÉ]:[Distributeur de billets]],2,FALSE)</f>
        <v>x</v>
      </c>
      <c r="O21" s="6">
        <f>VLOOKUP(Table2[[#This Row],[Point B]],Table3[[LOCALITÉ]:[Distributeur de billets]],3,FALSE)</f>
        <v>0</v>
      </c>
      <c r="P21" s="6">
        <f>VLOOKUP(Table2[[#This Row],[Point B]],Table3[[LOCALITÉ]:[Distributeur de billets]],4,FALSE)</f>
        <v>0</v>
      </c>
      <c r="Q21" s="6">
        <f>VLOOKUP(Table2[[#This Row],[Point B]],Table3[[LOCALITÉ]:[Distributeur de billets]],5,FALSE)</f>
        <v>0</v>
      </c>
      <c r="R21" s="6">
        <f>VLOOKUP(Table2[[#This Row],[Point B]],Table3[[LOCALITÉ]:[Distributeur de billets]],6,FALSE)</f>
        <v>0</v>
      </c>
      <c r="S21" s="6" t="str">
        <f>VLOOKUP(Table2[[#This Row],[Point B]],Table3[[LOCALITÉ]:[Distributeur de billets]],7,FALSE)</f>
        <v>x</v>
      </c>
      <c r="T21" s="6">
        <f>VLOOKUP(Table2[[#This Row],[Point B]],Table3[[LOCALITÉ]:[Distributeur de billets]],8,FALSE)</f>
        <v>0</v>
      </c>
      <c r="U21" s="6">
        <f>VLOOKUP(Table2[[#This Row],[Point B]],Table3[[LOCALITÉ]:[Distributeur de billets]],9,FALSE)</f>
        <v>0</v>
      </c>
      <c r="V21" s="6" t="str">
        <f>VLOOKUP(Table2[[#This Row],[Point B]],Table3[[LOCALITÉ]:[Distributeur de billets]],10,FALSE)</f>
        <v>x</v>
      </c>
      <c r="W21" s="6">
        <f>VLOOKUP(Table2[[#This Row],[Point B]],Table3[[LOCALITÉ]:[Distributeur de billets]],11,FALSE)</f>
        <v>0</v>
      </c>
      <c r="X21" s="6">
        <f>VLOOKUP(Table2[[#This Row],[Point B]],Table3[[LOCALITÉ]:[Distributeur de billets]],12,FALSE)</f>
        <v>0</v>
      </c>
      <c r="Y21" s="6"/>
      <c r="Z21" s="25"/>
      <c r="AA21" s="25"/>
      <c r="AB21" s="25"/>
      <c r="AC21" s="25"/>
      <c r="AD21" s="25"/>
      <c r="AE21" s="6" t="str">
        <f>VLOOKUP(Table2[[#This Row],[Localité Arrivée]],Table4[],2,FALSE)</f>
        <v>Camping municipal des 2 glaciers</v>
      </c>
      <c r="AF21" s="25">
        <f>VLOOKUP(Table2[[#This Row],[Localité Arrivée]],Table4[],3,FALSE)</f>
        <v>45072</v>
      </c>
      <c r="AG21" s="25">
        <f>VLOOKUP(Table2[[#This Row],[Localité Arrivée]],Table4[],4,FALSE)</f>
        <v>45193</v>
      </c>
      <c r="AH21" s="25"/>
      <c r="AI21" s="25">
        <f>$AP$3+Table2[[#This Row],[Etape]]</f>
        <v>45182</v>
      </c>
    </row>
    <row r="22" spans="1:37" x14ac:dyDescent="0.2">
      <c r="A22" t="s">
        <v>47</v>
      </c>
      <c r="B22" t="s">
        <v>7</v>
      </c>
      <c r="C22" s="30">
        <v>4</v>
      </c>
      <c r="D22" t="str">
        <f t="shared" si="0"/>
        <v>LE CASSET</v>
      </c>
      <c r="E22" t="s">
        <v>7</v>
      </c>
      <c r="F22" s="28" t="s">
        <v>154</v>
      </c>
      <c r="G22">
        <v>6</v>
      </c>
      <c r="H22">
        <v>53</v>
      </c>
      <c r="I22" s="5">
        <v>2.4305555555555556E-2</v>
      </c>
      <c r="J22">
        <f>Table2[[#This Row],[Distance cumulée]]-K21</f>
        <v>1.6999999999999993</v>
      </c>
      <c r="K22">
        <f>K19+12</f>
        <v>22.900000000000002</v>
      </c>
      <c r="L22" t="s">
        <v>25</v>
      </c>
      <c r="M22"/>
      <c r="N22" s="6" t="str">
        <f>VLOOKUP(Table2[[#This Row],[Point B]],Table3[[LOCALITÉ]:[Distributeur de billets]],2,FALSE)</f>
        <v>x</v>
      </c>
      <c r="O22" s="6" t="str">
        <f>VLOOKUP(Table2[[#This Row],[Point B]],Table3[[LOCALITÉ]:[Distributeur de billets]],3,FALSE)</f>
        <v>x</v>
      </c>
      <c r="P22" s="6">
        <f>VLOOKUP(Table2[[#This Row],[Point B]],Table3[[LOCALITÉ]:[Distributeur de billets]],4,FALSE)</f>
        <v>0</v>
      </c>
      <c r="Q22" s="6" t="str">
        <f>VLOOKUP(Table2[[#This Row],[Point B]],Table3[[LOCALITÉ]:[Distributeur de billets]],5,FALSE)</f>
        <v>x</v>
      </c>
      <c r="R22" s="6" t="str">
        <f>VLOOKUP(Table2[[#This Row],[Point B]],Table3[[LOCALITÉ]:[Distributeur de billets]],6,FALSE)</f>
        <v>x</v>
      </c>
      <c r="S22" s="6" t="str">
        <f>VLOOKUP(Table2[[#This Row],[Point B]],Table3[[LOCALITÉ]:[Distributeur de billets]],7,FALSE)</f>
        <v>x</v>
      </c>
      <c r="T22" s="6">
        <f>VLOOKUP(Table2[[#This Row],[Point B]],Table3[[LOCALITÉ]:[Distributeur de billets]],8,FALSE)</f>
        <v>0</v>
      </c>
      <c r="U22" s="6" t="str">
        <f>VLOOKUP(Table2[[#This Row],[Point B]],Table3[[LOCALITÉ]:[Distributeur de billets]],9,FALSE)</f>
        <v>x</v>
      </c>
      <c r="V22" s="6" t="str">
        <f>VLOOKUP(Table2[[#This Row],[Point B]],Table3[[LOCALITÉ]:[Distributeur de billets]],10,FALSE)</f>
        <v>x</v>
      </c>
      <c r="W22" s="6">
        <f>VLOOKUP(Table2[[#This Row],[Point B]],Table3[[LOCALITÉ]:[Distributeur de billets]],11,FALSE)</f>
        <v>0</v>
      </c>
      <c r="X22" s="6" t="str">
        <f>VLOOKUP(Table2[[#This Row],[Point B]],Table3[[LOCALITÉ]:[Distributeur de billets]],12,FALSE)</f>
        <v>x</v>
      </c>
      <c r="Y22" s="6"/>
      <c r="Z22" s="25"/>
      <c r="AA22" s="25"/>
      <c r="AB22" s="25"/>
      <c r="AC22" s="25"/>
      <c r="AD22" s="25"/>
      <c r="AE22" s="6" t="str">
        <f>VLOOKUP(Table2[[#This Row],[Localité Arrivée]],Table4[],2,FALSE)</f>
        <v>Camping municipal des 2 glaciers</v>
      </c>
      <c r="AF22" s="25">
        <f>VLOOKUP(Table2[[#This Row],[Localité Arrivée]],Table4[],3,FALSE)</f>
        <v>45072</v>
      </c>
      <c r="AG22" s="25">
        <f>VLOOKUP(Table2[[#This Row],[Localité Arrivée]],Table4[],4,FALSE)</f>
        <v>45193</v>
      </c>
      <c r="AH22" s="25"/>
      <c r="AI22" s="25">
        <f>$AP$3+Table2[[#This Row],[Etape]]</f>
        <v>45182</v>
      </c>
    </row>
    <row r="23" spans="1:37" x14ac:dyDescent="0.2">
      <c r="A23" t="s">
        <v>7</v>
      </c>
      <c r="B23" t="s">
        <v>9</v>
      </c>
      <c r="C23" s="30">
        <v>5</v>
      </c>
      <c r="D23" t="str">
        <f t="shared" si="0"/>
        <v>LE MONÉTIER-LES-BAINS</v>
      </c>
      <c r="E23" t="s">
        <v>39</v>
      </c>
      <c r="F23" s="28" t="s">
        <v>143</v>
      </c>
      <c r="G23">
        <v>976</v>
      </c>
      <c r="H23">
        <v>19</v>
      </c>
      <c r="I23" s="5">
        <v>0.1388888888888889</v>
      </c>
      <c r="J23">
        <f>Table2[[#This Row],[Distance cumulée]]</f>
        <v>7.7</v>
      </c>
      <c r="K23">
        <f>1.1+-0.6+7.2</f>
        <v>7.7</v>
      </c>
      <c r="L23" t="s">
        <v>25</v>
      </c>
      <c r="M23"/>
      <c r="N23" s="6">
        <f>VLOOKUP(Table2[[#This Row],[Point B]],Table3[[LOCALITÉ]:[Distributeur de billets]],2,FALSE)</f>
        <v>0</v>
      </c>
      <c r="O23" s="6">
        <f>VLOOKUP(Table2[[#This Row],[Point B]],Table3[[LOCALITÉ]:[Distributeur de billets]],3,FALSE)</f>
        <v>0</v>
      </c>
      <c r="P23" s="6">
        <f>VLOOKUP(Table2[[#This Row],[Point B]],Table3[[LOCALITÉ]:[Distributeur de billets]],4,FALSE)</f>
        <v>0</v>
      </c>
      <c r="Q23" s="6">
        <f>VLOOKUP(Table2[[#This Row],[Point B]],Table3[[LOCALITÉ]:[Distributeur de billets]],5,FALSE)</f>
        <v>0</v>
      </c>
      <c r="R23" s="6">
        <f>VLOOKUP(Table2[[#This Row],[Point B]],Table3[[LOCALITÉ]:[Distributeur de billets]],6,FALSE)</f>
        <v>0</v>
      </c>
      <c r="S23" s="6">
        <f>VLOOKUP(Table2[[#This Row],[Point B]],Table3[[LOCALITÉ]:[Distributeur de billets]],7,FALSE)</f>
        <v>0</v>
      </c>
      <c r="T23" s="6">
        <f>VLOOKUP(Table2[[#This Row],[Point B]],Table3[[LOCALITÉ]:[Distributeur de billets]],8,FALSE)</f>
        <v>0</v>
      </c>
      <c r="U23" s="6">
        <f>VLOOKUP(Table2[[#This Row],[Point B]],Table3[[LOCALITÉ]:[Distributeur de billets]],9,FALSE)</f>
        <v>0</v>
      </c>
      <c r="V23" s="6">
        <f>VLOOKUP(Table2[[#This Row],[Point B]],Table3[[LOCALITÉ]:[Distributeur de billets]],10,FALSE)</f>
        <v>0</v>
      </c>
      <c r="W23" s="6">
        <f>VLOOKUP(Table2[[#This Row],[Point B]],Table3[[LOCALITÉ]:[Distributeur de billets]],11,FALSE)</f>
        <v>0</v>
      </c>
      <c r="X23" s="6">
        <f>VLOOKUP(Table2[[#This Row],[Point B]],Table3[[LOCALITÉ]:[Distributeur de billets]],12,FALSE)</f>
        <v>0</v>
      </c>
      <c r="Y23" s="6"/>
      <c r="Z23" s="25"/>
      <c r="AA23" s="25"/>
      <c r="AB23" s="25"/>
      <c r="AC23" s="25"/>
      <c r="AD23" s="25"/>
      <c r="AE23" s="6" t="str">
        <f>VLOOKUP(Table2[[#This Row],[Localité Arrivée]],Table4[],2,FALSE)</f>
        <v>Huttopia</v>
      </c>
      <c r="AF23" s="25">
        <f>VLOOKUP(Table2[[#This Row],[Localité Arrivée]],Table4[],3,FALSE)</f>
        <v>44927</v>
      </c>
      <c r="AG23" s="25">
        <f>VLOOKUP(Table2[[#This Row],[Localité Arrivée]],Table4[],4,FALSE)</f>
        <v>45193</v>
      </c>
      <c r="AH23" s="25"/>
      <c r="AI23" s="25">
        <f>$AP$3+Table2[[#This Row],[Etape]]</f>
        <v>45183</v>
      </c>
      <c r="AK23" t="s">
        <v>190</v>
      </c>
    </row>
    <row r="24" spans="1:37" x14ac:dyDescent="0.2">
      <c r="A24" t="s">
        <v>7</v>
      </c>
      <c r="B24" t="s">
        <v>9</v>
      </c>
      <c r="C24" s="30">
        <v>5</v>
      </c>
      <c r="D24" t="str">
        <f t="shared" si="0"/>
        <v>Col de l'Eychauda</v>
      </c>
      <c r="E24" t="s">
        <v>8</v>
      </c>
      <c r="F24" s="28" t="s">
        <v>155</v>
      </c>
      <c r="G24">
        <v>63</v>
      </c>
      <c r="H24">
        <v>774</v>
      </c>
      <c r="I24" s="5">
        <v>6.25E-2</v>
      </c>
      <c r="J24">
        <f>Table2[[#This Row],[Distance cumulée]]-K23</f>
        <v>6.2</v>
      </c>
      <c r="K24">
        <f>1.1+-0.6+13.4</f>
        <v>13.9</v>
      </c>
      <c r="L24" t="s">
        <v>25</v>
      </c>
      <c r="M24"/>
      <c r="N24" s="6">
        <f>VLOOKUP(Table2[[#This Row],[Point B]],Table3[[LOCALITÉ]:[Distributeur de billets]],2,FALSE)</f>
        <v>0</v>
      </c>
      <c r="O24" s="6">
        <f>VLOOKUP(Table2[[#This Row],[Point B]],Table3[[LOCALITÉ]:[Distributeur de billets]],3,FALSE)</f>
        <v>0</v>
      </c>
      <c r="P24" s="6">
        <f>VLOOKUP(Table2[[#This Row],[Point B]],Table3[[LOCALITÉ]:[Distributeur de billets]],4,FALSE)</f>
        <v>0</v>
      </c>
      <c r="Q24" s="6">
        <f>VLOOKUP(Table2[[#This Row],[Point B]],Table3[[LOCALITÉ]:[Distributeur de billets]],5,FALSE)</f>
        <v>0</v>
      </c>
      <c r="R24" s="6">
        <f>VLOOKUP(Table2[[#This Row],[Point B]],Table3[[LOCALITÉ]:[Distributeur de billets]],6,FALSE)</f>
        <v>0</v>
      </c>
      <c r="S24" s="6" t="str">
        <f>VLOOKUP(Table2[[#This Row],[Point B]],Table3[[LOCALITÉ]:[Distributeur de billets]],7,FALSE)</f>
        <v>x</v>
      </c>
      <c r="T24" s="6">
        <f>VLOOKUP(Table2[[#This Row],[Point B]],Table3[[LOCALITÉ]:[Distributeur de billets]],8,FALSE)</f>
        <v>0</v>
      </c>
      <c r="U24" s="6">
        <f>VLOOKUP(Table2[[#This Row],[Point B]],Table3[[LOCALITÉ]:[Distributeur de billets]],9,FALSE)</f>
        <v>0</v>
      </c>
      <c r="V24" s="6">
        <f>VLOOKUP(Table2[[#This Row],[Point B]],Table3[[LOCALITÉ]:[Distributeur de billets]],10,FALSE)</f>
        <v>0</v>
      </c>
      <c r="W24" s="6">
        <f>VLOOKUP(Table2[[#This Row],[Point B]],Table3[[LOCALITÉ]:[Distributeur de billets]],11,FALSE)</f>
        <v>0</v>
      </c>
      <c r="X24" s="6">
        <f>VLOOKUP(Table2[[#This Row],[Point B]],Table3[[LOCALITÉ]:[Distributeur de billets]],12,FALSE)</f>
        <v>0</v>
      </c>
      <c r="Y24" s="6"/>
      <c r="Z24" s="25"/>
      <c r="AA24" s="25"/>
      <c r="AB24" s="25"/>
      <c r="AC24" s="25"/>
      <c r="AD24" s="25"/>
      <c r="AE24" s="6" t="str">
        <f>VLOOKUP(Table2[[#This Row],[Localité Arrivée]],Table4[],2,FALSE)</f>
        <v>Huttopia</v>
      </c>
      <c r="AF24" s="25">
        <f>VLOOKUP(Table2[[#This Row],[Localité Arrivée]],Table4[],3,FALSE)</f>
        <v>44927</v>
      </c>
      <c r="AG24" s="25">
        <f>VLOOKUP(Table2[[#This Row],[Localité Arrivée]],Table4[],4,FALSE)</f>
        <v>45193</v>
      </c>
      <c r="AH24" s="25"/>
      <c r="AI24" s="25">
        <f>$AP$3+Table2[[#This Row],[Etape]]</f>
        <v>45183</v>
      </c>
    </row>
    <row r="25" spans="1:37" x14ac:dyDescent="0.2">
      <c r="A25" t="s">
        <v>7</v>
      </c>
      <c r="B25" t="s">
        <v>9</v>
      </c>
      <c r="C25" s="30">
        <v>5</v>
      </c>
      <c r="D25" t="str">
        <f t="shared" si="0"/>
        <v>CHALETS DE CHAMBRAN</v>
      </c>
      <c r="E25" t="s">
        <v>41</v>
      </c>
      <c r="F25" s="28" t="s">
        <v>193</v>
      </c>
      <c r="G25">
        <v>1</v>
      </c>
      <c r="H25">
        <v>152</v>
      </c>
      <c r="I25" s="5">
        <v>2.0833333333333332E-2</v>
      </c>
      <c r="J25">
        <f>Table2[[#This Row],[Distance cumulée]]-K24</f>
        <v>2</v>
      </c>
      <c r="K25">
        <f>1.1+-0.6+15.4</f>
        <v>15.9</v>
      </c>
      <c r="L25" t="s">
        <v>25</v>
      </c>
      <c r="M25"/>
      <c r="N25" s="6">
        <f>VLOOKUP(Table2[[#This Row],[Point B]],Table3[[LOCALITÉ]:[Distributeur de billets]],2,FALSE)</f>
        <v>0</v>
      </c>
      <c r="O25" s="6">
        <f>VLOOKUP(Table2[[#This Row],[Point B]],Table3[[LOCALITÉ]:[Distributeur de billets]],3,FALSE)</f>
        <v>0</v>
      </c>
      <c r="P25" s="6">
        <f>VLOOKUP(Table2[[#This Row],[Point B]],Table3[[LOCALITÉ]:[Distributeur de billets]],4,FALSE)</f>
        <v>0</v>
      </c>
      <c r="Q25" s="6">
        <f>VLOOKUP(Table2[[#This Row],[Point B]],Table3[[LOCALITÉ]:[Distributeur de billets]],5,FALSE)</f>
        <v>0</v>
      </c>
      <c r="R25" s="6">
        <f>VLOOKUP(Table2[[#This Row],[Point B]],Table3[[LOCALITÉ]:[Distributeur de billets]],6,FALSE)</f>
        <v>0</v>
      </c>
      <c r="S25" s="6">
        <f>VLOOKUP(Table2[[#This Row],[Point B]],Table3[[LOCALITÉ]:[Distributeur de billets]],7,FALSE)</f>
        <v>0</v>
      </c>
      <c r="T25" s="6">
        <f>VLOOKUP(Table2[[#This Row],[Point B]],Table3[[LOCALITÉ]:[Distributeur de billets]],8,FALSE)</f>
        <v>0</v>
      </c>
      <c r="U25" s="6">
        <f>VLOOKUP(Table2[[#This Row],[Point B]],Table3[[LOCALITÉ]:[Distributeur de billets]],9,FALSE)</f>
        <v>0</v>
      </c>
      <c r="V25" s="6">
        <f>VLOOKUP(Table2[[#This Row],[Point B]],Table3[[LOCALITÉ]:[Distributeur de billets]],10,FALSE)</f>
        <v>0</v>
      </c>
      <c r="W25" s="6">
        <f>VLOOKUP(Table2[[#This Row],[Point B]],Table3[[LOCALITÉ]:[Distributeur de billets]],11,FALSE)</f>
        <v>0</v>
      </c>
      <c r="X25" s="6">
        <f>VLOOKUP(Table2[[#This Row],[Point B]],Table3[[LOCALITÉ]:[Distributeur de billets]],12,FALSE)</f>
        <v>0</v>
      </c>
      <c r="Y25" s="6"/>
      <c r="Z25" s="25"/>
      <c r="AA25" s="25"/>
      <c r="AB25" s="25"/>
      <c r="AC25" s="25"/>
      <c r="AD25" s="25"/>
      <c r="AE25" s="6" t="str">
        <f>VLOOKUP(Table2[[#This Row],[Localité Arrivée]],Table4[],2,FALSE)</f>
        <v>Huttopia</v>
      </c>
      <c r="AF25" s="25">
        <f>VLOOKUP(Table2[[#This Row],[Localité Arrivée]],Table4[],3,FALSE)</f>
        <v>44927</v>
      </c>
      <c r="AG25" s="25">
        <f>VLOOKUP(Table2[[#This Row],[Localité Arrivée]],Table4[],4,FALSE)</f>
        <v>45193</v>
      </c>
      <c r="AH25" s="25"/>
      <c r="AI25" s="25">
        <f>$AP$3+Table2[[#This Row],[Etape]]</f>
        <v>45183</v>
      </c>
    </row>
    <row r="26" spans="1:37" x14ac:dyDescent="0.2">
      <c r="A26" t="s">
        <v>7</v>
      </c>
      <c r="B26" t="s">
        <v>9</v>
      </c>
      <c r="C26" s="30">
        <v>5</v>
      </c>
      <c r="D26" t="str">
        <f t="shared" si="0"/>
        <v>Une intersection</v>
      </c>
      <c r="E26" t="s">
        <v>23</v>
      </c>
      <c r="F26" s="28" t="s">
        <v>194</v>
      </c>
      <c r="G26">
        <v>0</v>
      </c>
      <c r="H26">
        <v>247</v>
      </c>
      <c r="I26" s="5">
        <v>2.7777777777777776E-2</v>
      </c>
      <c r="L26" t="s">
        <v>25</v>
      </c>
      <c r="M26"/>
      <c r="N26" s="6" t="str">
        <f>VLOOKUP(Table2[[#This Row],[Point B]],Table3[[LOCALITÉ]:[Distributeur de billets]],2,FALSE)</f>
        <v>x</v>
      </c>
      <c r="O26" s="6" t="str">
        <f>VLOOKUP(Table2[[#This Row],[Point B]],Table3[[LOCALITÉ]:[Distributeur de billets]],3,FALSE)</f>
        <v>x</v>
      </c>
      <c r="P26" s="6" t="str">
        <f>VLOOKUP(Table2[[#This Row],[Point B]],Table3[[LOCALITÉ]:[Distributeur de billets]],4,FALSE)</f>
        <v>x</v>
      </c>
      <c r="Q26" s="6" t="str">
        <f>VLOOKUP(Table2[[#This Row],[Point B]],Table3[[LOCALITÉ]:[Distributeur de billets]],5,FALSE)</f>
        <v>x</v>
      </c>
      <c r="R26" s="6" t="str">
        <f>VLOOKUP(Table2[[#This Row],[Point B]],Table3[[LOCALITÉ]:[Distributeur de billets]],6,FALSE)</f>
        <v>x</v>
      </c>
      <c r="S26" s="6" t="str">
        <f>VLOOKUP(Table2[[#This Row],[Point B]],Table3[[LOCALITÉ]:[Distributeur de billets]],7,FALSE)</f>
        <v>x</v>
      </c>
      <c r="T26" s="6">
        <f>VLOOKUP(Table2[[#This Row],[Point B]],Table3[[LOCALITÉ]:[Distributeur de billets]],8,FALSE)</f>
        <v>0</v>
      </c>
      <c r="U26" s="6">
        <f>VLOOKUP(Table2[[#This Row],[Point B]],Table3[[LOCALITÉ]:[Distributeur de billets]],9,FALSE)</f>
        <v>0</v>
      </c>
      <c r="V26" s="6" t="str">
        <f>VLOOKUP(Table2[[#This Row],[Point B]],Table3[[LOCALITÉ]:[Distributeur de billets]],10,FALSE)</f>
        <v>x</v>
      </c>
      <c r="W26" s="6">
        <f>VLOOKUP(Table2[[#This Row],[Point B]],Table3[[LOCALITÉ]:[Distributeur de billets]],11,FALSE)</f>
        <v>0</v>
      </c>
      <c r="X26" s="6">
        <f>VLOOKUP(Table2[[#This Row],[Point B]],Table3[[LOCALITÉ]:[Distributeur de billets]],12,FALSE)</f>
        <v>0</v>
      </c>
      <c r="Y26" s="6"/>
      <c r="Z26" s="25"/>
      <c r="AA26" s="25"/>
      <c r="AB26" s="25"/>
      <c r="AC26" s="25"/>
      <c r="AD26" s="25"/>
      <c r="AE26" s="6" t="str">
        <f>VLOOKUP(Table2[[#This Row],[Localité Arrivée]],Table4[],2,FALSE)</f>
        <v>Huttopia</v>
      </c>
      <c r="AF26" s="25">
        <f>VLOOKUP(Table2[[#This Row],[Localité Arrivée]],Table4[],3,FALSE)</f>
        <v>44927</v>
      </c>
      <c r="AG26" s="25">
        <f>VLOOKUP(Table2[[#This Row],[Localité Arrivée]],Table4[],4,FALSE)</f>
        <v>45193</v>
      </c>
      <c r="AH26" s="25"/>
      <c r="AI26" s="25">
        <f>$AP$3+Table2[[#This Row],[Etape]]</f>
        <v>45183</v>
      </c>
    </row>
    <row r="27" spans="1:37" x14ac:dyDescent="0.2">
      <c r="A27" t="s">
        <v>7</v>
      </c>
      <c r="B27" t="s">
        <v>9</v>
      </c>
      <c r="C27" s="30">
        <v>5</v>
      </c>
      <c r="D27" t="str">
        <f t="shared" si="0"/>
        <v>PELVOUX-SAINT-ANTOINE</v>
      </c>
      <c r="E27" t="s">
        <v>9</v>
      </c>
      <c r="F27" s="28" t="s">
        <v>195</v>
      </c>
      <c r="G27">
        <v>0</v>
      </c>
      <c r="H27">
        <v>92</v>
      </c>
      <c r="I27" s="5">
        <v>4.1666666666666664E-2</v>
      </c>
      <c r="J27">
        <f>Table2[[#This Row],[Distance cumulée]]-K25</f>
        <v>5.2000000000000011</v>
      </c>
      <c r="K27">
        <f>1.1+-0.6+20.6</f>
        <v>21.1</v>
      </c>
      <c r="L27" t="s">
        <v>25</v>
      </c>
      <c r="M27"/>
      <c r="N27" s="6" t="str">
        <f>VLOOKUP(Table2[[#This Row],[Point B]],Table3[[LOCALITÉ]:[Distributeur de billets]],2,FALSE)</f>
        <v>x</v>
      </c>
      <c r="O27" s="6" t="str">
        <f>VLOOKUP(Table2[[#This Row],[Point B]],Table3[[LOCALITÉ]:[Distributeur de billets]],3,FALSE)</f>
        <v>x</v>
      </c>
      <c r="P27" s="6">
        <f>VLOOKUP(Table2[[#This Row],[Point B]],Table3[[LOCALITÉ]:[Distributeur de billets]],4,FALSE)</f>
        <v>0</v>
      </c>
      <c r="Q27" s="6" t="str">
        <f>VLOOKUP(Table2[[#This Row],[Point B]],Table3[[LOCALITÉ]:[Distributeur de billets]],5,FALSE)</f>
        <v>x</v>
      </c>
      <c r="R27" s="6" t="str">
        <f>VLOOKUP(Table2[[#This Row],[Point B]],Table3[[LOCALITÉ]:[Distributeur de billets]],6,FALSE)</f>
        <v>x</v>
      </c>
      <c r="S27" s="6" t="str">
        <f>VLOOKUP(Table2[[#This Row],[Point B]],Table3[[LOCALITÉ]:[Distributeur de billets]],7,FALSE)</f>
        <v>x</v>
      </c>
      <c r="T27" s="6" t="str">
        <f>VLOOKUP(Table2[[#This Row],[Point B]],Table3[[LOCALITÉ]:[Distributeur de billets]],8,FALSE)</f>
        <v>x</v>
      </c>
      <c r="U27" s="6" t="str">
        <f>VLOOKUP(Table2[[#This Row],[Point B]],Table3[[LOCALITÉ]:[Distributeur de billets]],9,FALSE)</f>
        <v>x</v>
      </c>
      <c r="V27" s="6" t="str">
        <f>VLOOKUP(Table2[[#This Row],[Point B]],Table3[[LOCALITÉ]:[Distributeur de billets]],10,FALSE)</f>
        <v>x</v>
      </c>
      <c r="W27" s="6">
        <f>VLOOKUP(Table2[[#This Row],[Point B]],Table3[[LOCALITÉ]:[Distributeur de billets]],11,FALSE)</f>
        <v>0</v>
      </c>
      <c r="X27" s="6" t="str">
        <f>VLOOKUP(Table2[[#This Row],[Point B]],Table3[[LOCALITÉ]:[Distributeur de billets]],12,FALSE)</f>
        <v>x</v>
      </c>
      <c r="Y27" s="6"/>
      <c r="Z27" s="25"/>
      <c r="AA27" s="25"/>
      <c r="AB27" s="25"/>
      <c r="AC27" s="25"/>
      <c r="AD27" s="25"/>
      <c r="AE27" s="6" t="str">
        <f>VLOOKUP(Table2[[#This Row],[Localité Arrivée]],Table4[],2,FALSE)</f>
        <v>Huttopia</v>
      </c>
      <c r="AF27" s="25">
        <f>VLOOKUP(Table2[[#This Row],[Localité Arrivée]],Table4[],3,FALSE)</f>
        <v>44927</v>
      </c>
      <c r="AG27" s="25">
        <f>VLOOKUP(Table2[[#This Row],[Localité Arrivée]],Table4[],4,FALSE)</f>
        <v>45193</v>
      </c>
      <c r="AH27" s="25"/>
      <c r="AI27" s="25">
        <f>$AP$3+Table2[[#This Row],[Etape]]</f>
        <v>45183</v>
      </c>
    </row>
    <row r="28" spans="1:37" x14ac:dyDescent="0.2">
      <c r="A28" t="s">
        <v>9</v>
      </c>
      <c r="B28" t="s">
        <v>44</v>
      </c>
      <c r="C28" s="30">
        <v>6</v>
      </c>
      <c r="D28" t="str">
        <f t="shared" si="0"/>
        <v>VALLOUISE</v>
      </c>
      <c r="E28" t="s">
        <v>10</v>
      </c>
      <c r="F28" s="28" t="s">
        <v>156</v>
      </c>
      <c r="G28">
        <v>492</v>
      </c>
      <c r="H28">
        <v>41</v>
      </c>
      <c r="I28" s="5">
        <v>8.3333333333333329E-2</v>
      </c>
      <c r="J28">
        <f>Table2[[#This Row],[Distance cumulée]]</f>
        <v>8</v>
      </c>
      <c r="K28">
        <v>8</v>
      </c>
      <c r="L28" t="s">
        <v>25</v>
      </c>
      <c r="M28"/>
      <c r="N28" s="6">
        <f>VLOOKUP(Table2[[#This Row],[Point B]],Table3[[LOCALITÉ]:[Distributeur de billets]],2,FALSE)</f>
        <v>0</v>
      </c>
      <c r="O28" s="6">
        <f>VLOOKUP(Table2[[#This Row],[Point B]],Table3[[LOCALITÉ]:[Distributeur de billets]],3,FALSE)</f>
        <v>0</v>
      </c>
      <c r="P28" s="6">
        <f>VLOOKUP(Table2[[#This Row],[Point B]],Table3[[LOCALITÉ]:[Distributeur de billets]],4,FALSE)</f>
        <v>0</v>
      </c>
      <c r="Q28" s="6">
        <f>VLOOKUP(Table2[[#This Row],[Point B]],Table3[[LOCALITÉ]:[Distributeur de billets]],5,FALSE)</f>
        <v>0</v>
      </c>
      <c r="R28" s="6">
        <f>VLOOKUP(Table2[[#This Row],[Point B]],Table3[[LOCALITÉ]:[Distributeur de billets]],6,FALSE)</f>
        <v>0</v>
      </c>
      <c r="S28" s="6">
        <f>VLOOKUP(Table2[[#This Row],[Point B]],Table3[[LOCALITÉ]:[Distributeur de billets]],7,FALSE)</f>
        <v>0</v>
      </c>
      <c r="T28" s="6">
        <f>VLOOKUP(Table2[[#This Row],[Point B]],Table3[[LOCALITÉ]:[Distributeur de billets]],8,FALSE)</f>
        <v>0</v>
      </c>
      <c r="U28" s="6">
        <f>VLOOKUP(Table2[[#This Row],[Point B]],Table3[[LOCALITÉ]:[Distributeur de billets]],9,FALSE)</f>
        <v>0</v>
      </c>
      <c r="V28" s="6" t="str">
        <f>VLOOKUP(Table2[[#This Row],[Point B]],Table3[[LOCALITÉ]:[Distributeur de billets]],10,FALSE)</f>
        <v>x</v>
      </c>
      <c r="W28" s="6">
        <f>VLOOKUP(Table2[[#This Row],[Point B]],Table3[[LOCALITÉ]:[Distributeur de billets]],11,FALSE)</f>
        <v>0</v>
      </c>
      <c r="X28" s="6">
        <f>VLOOKUP(Table2[[#This Row],[Point B]],Table3[[LOCALITÉ]:[Distributeur de billets]],12,FALSE)</f>
        <v>0</v>
      </c>
      <c r="Y28" s="6"/>
      <c r="Z28" s="25"/>
      <c r="AA28" s="25"/>
      <c r="AB28" s="25"/>
      <c r="AC28" s="25"/>
      <c r="AD28" s="25"/>
      <c r="AE28" s="6" t="str">
        <f>VLOOKUP(Table2[[#This Row],[Localité Arrivée]],Table4[],2,FALSE)</f>
        <v>Cabane de Jas Lacroix</v>
      </c>
      <c r="AF28" s="25">
        <f>VLOOKUP(Table2[[#This Row],[Localité Arrivée]],Table4[],3,FALSE)</f>
        <v>44927</v>
      </c>
      <c r="AG28" s="25">
        <f>VLOOKUP(Table2[[#This Row],[Localité Arrivée]],Table4[],4,FALSE)</f>
        <v>45291</v>
      </c>
      <c r="AH28" s="25"/>
      <c r="AI28" s="25">
        <f>$AP$3+Table2[[#This Row],[Etape]]</f>
        <v>45184</v>
      </c>
      <c r="AK28" t="s">
        <v>191</v>
      </c>
    </row>
    <row r="29" spans="1:37" x14ac:dyDescent="0.2">
      <c r="A29" t="s">
        <v>9</v>
      </c>
      <c r="B29" t="s">
        <v>44</v>
      </c>
      <c r="C29" s="30">
        <v>6</v>
      </c>
      <c r="D29" t="str">
        <f t="shared" si="0"/>
        <v>ENTRE-LES-AIGUES</v>
      </c>
      <c r="E29" t="s">
        <v>44</v>
      </c>
      <c r="F29" s="28" t="s">
        <v>158</v>
      </c>
      <c r="G29">
        <v>347</v>
      </c>
      <c r="H29">
        <v>29</v>
      </c>
      <c r="I29" s="5">
        <v>5.2083333333333336E-2</v>
      </c>
      <c r="J29">
        <f>Table2[[#This Row],[Distance cumulée]]-K28</f>
        <v>4</v>
      </c>
      <c r="K29">
        <v>12</v>
      </c>
      <c r="L29" t="s">
        <v>25</v>
      </c>
      <c r="M29"/>
      <c r="N29" s="6">
        <f>VLOOKUP(Table2[[#This Row],[Point B]],Table3[[LOCALITÉ]:[Distributeur de billets]],2,FALSE)</f>
        <v>0</v>
      </c>
      <c r="O29" s="6" t="str">
        <f>VLOOKUP(Table2[[#This Row],[Point B]],Table3[[LOCALITÉ]:[Distributeur de billets]],3,FALSE)</f>
        <v>x</v>
      </c>
      <c r="P29" s="6">
        <f>VLOOKUP(Table2[[#This Row],[Point B]],Table3[[LOCALITÉ]:[Distributeur de billets]],4,FALSE)</f>
        <v>0</v>
      </c>
      <c r="Q29" s="6">
        <f>VLOOKUP(Table2[[#This Row],[Point B]],Table3[[LOCALITÉ]:[Distributeur de billets]],5,FALSE)</f>
        <v>0</v>
      </c>
      <c r="R29" s="6">
        <f>VLOOKUP(Table2[[#This Row],[Point B]],Table3[[LOCALITÉ]:[Distributeur de billets]],6,FALSE)</f>
        <v>0</v>
      </c>
      <c r="S29" s="6">
        <f>VLOOKUP(Table2[[#This Row],[Point B]],Table3[[LOCALITÉ]:[Distributeur de billets]],7,FALSE)</f>
        <v>0</v>
      </c>
      <c r="T29" s="6">
        <f>VLOOKUP(Table2[[#This Row],[Point B]],Table3[[LOCALITÉ]:[Distributeur de billets]],8,FALSE)</f>
        <v>0</v>
      </c>
      <c r="U29" s="6">
        <f>VLOOKUP(Table2[[#This Row],[Point B]],Table3[[LOCALITÉ]:[Distributeur de billets]],9,FALSE)</f>
        <v>0</v>
      </c>
      <c r="V29" s="6">
        <f>VLOOKUP(Table2[[#This Row],[Point B]],Table3[[LOCALITÉ]:[Distributeur de billets]],10,FALSE)</f>
        <v>0</v>
      </c>
      <c r="W29" s="6">
        <f>VLOOKUP(Table2[[#This Row],[Point B]],Table3[[LOCALITÉ]:[Distributeur de billets]],11,FALSE)</f>
        <v>0</v>
      </c>
      <c r="X29" s="6">
        <f>VLOOKUP(Table2[[#This Row],[Point B]],Table3[[LOCALITÉ]:[Distributeur de billets]],12,FALSE)</f>
        <v>0</v>
      </c>
      <c r="Y29" s="6"/>
      <c r="Z29" s="25"/>
      <c r="AA29" s="25"/>
      <c r="AB29" s="25"/>
      <c r="AC29" s="25"/>
      <c r="AD29" s="25"/>
      <c r="AE29" s="6" t="str">
        <f>VLOOKUP(Table2[[#This Row],[Localité Arrivée]],Table4[],2,FALSE)</f>
        <v>Cabane de Jas Lacroix</v>
      </c>
      <c r="AF29" s="25">
        <f>VLOOKUP(Table2[[#This Row],[Localité Arrivée]],Table4[],3,FALSE)</f>
        <v>44927</v>
      </c>
      <c r="AG29" s="25">
        <f>VLOOKUP(Table2[[#This Row],[Localité Arrivée]],Table4[],4,FALSE)</f>
        <v>45291</v>
      </c>
      <c r="AH29" s="25"/>
      <c r="AI29" s="25">
        <f>$AP$3+Table2[[#This Row],[Etape]]</f>
        <v>45184</v>
      </c>
    </row>
    <row r="30" spans="1:37" x14ac:dyDescent="0.2">
      <c r="A30" t="s">
        <v>44</v>
      </c>
      <c r="B30" t="s">
        <v>14</v>
      </c>
      <c r="C30" s="30">
        <v>7</v>
      </c>
      <c r="D30" t="str">
        <f t="shared" si="0"/>
        <v>La cabane de Jas-Lacroix</v>
      </c>
      <c r="E30" t="s">
        <v>45</v>
      </c>
      <c r="F30" s="28" t="s">
        <v>157</v>
      </c>
      <c r="G30">
        <v>850</v>
      </c>
      <c r="H30">
        <v>48</v>
      </c>
      <c r="I30" s="5">
        <v>0.125</v>
      </c>
      <c r="J30">
        <f>Table2[[#This Row],[Distance cumulée]]</f>
        <v>5.8999999999999986</v>
      </c>
      <c r="K30">
        <f>17.9-12</f>
        <v>5.8999999999999986</v>
      </c>
      <c r="L30" t="s">
        <v>25</v>
      </c>
      <c r="M30"/>
      <c r="N30" s="6">
        <f>VLOOKUP(Table2[[#This Row],[Point B]],Table3[[LOCALITÉ]:[Distributeur de billets]],2,FALSE)</f>
        <v>0</v>
      </c>
      <c r="O30" s="6">
        <f>VLOOKUP(Table2[[#This Row],[Point B]],Table3[[LOCALITÉ]:[Distributeur de billets]],3,FALSE)</f>
        <v>0</v>
      </c>
      <c r="P30" s="6">
        <f>VLOOKUP(Table2[[#This Row],[Point B]],Table3[[LOCALITÉ]:[Distributeur de billets]],4,FALSE)</f>
        <v>0</v>
      </c>
      <c r="Q30" s="6">
        <f>VLOOKUP(Table2[[#This Row],[Point B]],Table3[[LOCALITÉ]:[Distributeur de billets]],5,FALSE)</f>
        <v>0</v>
      </c>
      <c r="R30" s="6">
        <f>VLOOKUP(Table2[[#This Row],[Point B]],Table3[[LOCALITÉ]:[Distributeur de billets]],6,FALSE)</f>
        <v>0</v>
      </c>
      <c r="S30" s="6">
        <f>VLOOKUP(Table2[[#This Row],[Point B]],Table3[[LOCALITÉ]:[Distributeur de billets]],7,FALSE)</f>
        <v>0</v>
      </c>
      <c r="T30" s="6">
        <f>VLOOKUP(Table2[[#This Row],[Point B]],Table3[[LOCALITÉ]:[Distributeur de billets]],8,FALSE)</f>
        <v>0</v>
      </c>
      <c r="U30" s="6">
        <f>VLOOKUP(Table2[[#This Row],[Point B]],Table3[[LOCALITÉ]:[Distributeur de billets]],9,FALSE)</f>
        <v>0</v>
      </c>
      <c r="V30" s="6">
        <f>VLOOKUP(Table2[[#This Row],[Point B]],Table3[[LOCALITÉ]:[Distributeur de billets]],10,FALSE)</f>
        <v>0</v>
      </c>
      <c r="W30" s="6">
        <f>VLOOKUP(Table2[[#This Row],[Point B]],Table3[[LOCALITÉ]:[Distributeur de billets]],11,FALSE)</f>
        <v>0</v>
      </c>
      <c r="X30" s="6">
        <f>VLOOKUP(Table2[[#This Row],[Point B]],Table3[[LOCALITÉ]:[Distributeur de billets]],12,FALSE)</f>
        <v>0</v>
      </c>
      <c r="Y30" s="6"/>
      <c r="Z30" s="25"/>
      <c r="AA30" s="25"/>
      <c r="AB30" s="25"/>
      <c r="AC30" s="25"/>
      <c r="AD30" s="25"/>
      <c r="AE30" s="6" t="str">
        <f>VLOOKUP(Table2[[#This Row],[Localité Arrivée]],Table4[],2,FALSE)</f>
        <v>REFUGE DU PRÉ-DE-LA-CHAUMETTE</v>
      </c>
      <c r="AF30" s="25">
        <f>VLOOKUP(Table2[[#This Row],[Localité Arrivée]],Table4[],3,FALSE)</f>
        <v>45092</v>
      </c>
      <c r="AG30" s="25">
        <v>45186</v>
      </c>
      <c r="AH30" s="25"/>
      <c r="AI30" s="25">
        <f>$AP$3+Table2[[#This Row],[Etape]]</f>
        <v>45185</v>
      </c>
    </row>
    <row r="31" spans="1:37" x14ac:dyDescent="0.2">
      <c r="A31" t="s">
        <v>44</v>
      </c>
      <c r="B31" t="s">
        <v>14</v>
      </c>
      <c r="C31" s="30">
        <v>7</v>
      </c>
      <c r="D31" t="str">
        <f t="shared" si="0"/>
        <v>Col de l'Aup-Martin</v>
      </c>
      <c r="E31" t="s">
        <v>46</v>
      </c>
      <c r="F31" s="28" t="s">
        <v>162</v>
      </c>
      <c r="G31">
        <v>64</v>
      </c>
      <c r="H31">
        <v>62</v>
      </c>
      <c r="I31" s="5">
        <v>2.0833333333333332E-2</v>
      </c>
      <c r="J31">
        <f>Table2[[#This Row],[Distance cumulée]]-K30</f>
        <v>0.90000000000000213</v>
      </c>
      <c r="K31">
        <f>18.8-12</f>
        <v>6.8000000000000007</v>
      </c>
      <c r="L31" t="s">
        <v>25</v>
      </c>
      <c r="M31"/>
      <c r="N31" s="6">
        <f>VLOOKUP(Table2[[#This Row],[Point B]],Table3[[LOCALITÉ]:[Distributeur de billets]],2,FALSE)</f>
        <v>0</v>
      </c>
      <c r="O31" s="6">
        <f>VLOOKUP(Table2[[#This Row],[Point B]],Table3[[LOCALITÉ]:[Distributeur de billets]],3,FALSE)</f>
        <v>0</v>
      </c>
      <c r="P31" s="6">
        <f>VLOOKUP(Table2[[#This Row],[Point B]],Table3[[LOCALITÉ]:[Distributeur de billets]],4,FALSE)</f>
        <v>0</v>
      </c>
      <c r="Q31" s="6">
        <f>VLOOKUP(Table2[[#This Row],[Point B]],Table3[[LOCALITÉ]:[Distributeur de billets]],5,FALSE)</f>
        <v>0</v>
      </c>
      <c r="R31" s="6">
        <f>VLOOKUP(Table2[[#This Row],[Point B]],Table3[[LOCALITÉ]:[Distributeur de billets]],6,FALSE)</f>
        <v>0</v>
      </c>
      <c r="S31" s="6">
        <f>VLOOKUP(Table2[[#This Row],[Point B]],Table3[[LOCALITÉ]:[Distributeur de billets]],7,FALSE)</f>
        <v>0</v>
      </c>
      <c r="T31" s="6">
        <f>VLOOKUP(Table2[[#This Row],[Point B]],Table3[[LOCALITÉ]:[Distributeur de billets]],8,FALSE)</f>
        <v>0</v>
      </c>
      <c r="U31" s="6">
        <f>VLOOKUP(Table2[[#This Row],[Point B]],Table3[[LOCALITÉ]:[Distributeur de billets]],9,FALSE)</f>
        <v>0</v>
      </c>
      <c r="V31" s="6">
        <f>VLOOKUP(Table2[[#This Row],[Point B]],Table3[[LOCALITÉ]:[Distributeur de billets]],10,FALSE)</f>
        <v>0</v>
      </c>
      <c r="W31" s="6">
        <f>VLOOKUP(Table2[[#This Row],[Point B]],Table3[[LOCALITÉ]:[Distributeur de billets]],11,FALSE)</f>
        <v>0</v>
      </c>
      <c r="X31" s="6">
        <f>VLOOKUP(Table2[[#This Row],[Point B]],Table3[[LOCALITÉ]:[Distributeur de billets]],12,FALSE)</f>
        <v>0</v>
      </c>
      <c r="Y31" s="6"/>
      <c r="Z31" s="25"/>
      <c r="AA31" s="25"/>
      <c r="AB31" s="25"/>
      <c r="AC31" s="25"/>
      <c r="AD31" s="25"/>
      <c r="AE31" s="6" t="str">
        <f>VLOOKUP(Table2[[#This Row],[Localité Arrivée]],Table4[],2,FALSE)</f>
        <v>REFUGE DU PRÉ-DE-LA-CHAUMETTE</v>
      </c>
      <c r="AF31" s="25">
        <f>VLOOKUP(Table2[[#This Row],[Localité Arrivée]],Table4[],3,FALSE)</f>
        <v>45092</v>
      </c>
      <c r="AG31" s="25">
        <v>45186</v>
      </c>
      <c r="AH31" s="25"/>
      <c r="AI31" s="25">
        <f>$AP$3+Table2[[#This Row],[Etape]]</f>
        <v>45185</v>
      </c>
      <c r="AK31" t="s">
        <v>185</v>
      </c>
    </row>
    <row r="32" spans="1:37" x14ac:dyDescent="0.2">
      <c r="A32" t="s">
        <v>44</v>
      </c>
      <c r="B32" t="s">
        <v>14</v>
      </c>
      <c r="C32" s="30">
        <v>7</v>
      </c>
      <c r="D32" t="str">
        <f t="shared" si="0"/>
        <v>Pas de la Cavale</v>
      </c>
      <c r="E32" t="s">
        <v>14</v>
      </c>
      <c r="F32" s="28" t="s">
        <v>163</v>
      </c>
      <c r="G32">
        <v>51</v>
      </c>
      <c r="H32">
        <v>979</v>
      </c>
      <c r="I32" s="5">
        <v>8.3333333333333329E-2</v>
      </c>
      <c r="J32">
        <f>Table2[[#This Row],[Distance cumulée]]-K31</f>
        <v>5.1999999999999993</v>
      </c>
      <c r="K32">
        <f>24-12</f>
        <v>12</v>
      </c>
      <c r="L32" t="s">
        <v>25</v>
      </c>
      <c r="M32"/>
      <c r="N32" s="6" t="str">
        <f>VLOOKUP(Table2[[#This Row],[Point B]],Table3[[LOCALITÉ]:[Distributeur de billets]],2,FALSE)</f>
        <v>x</v>
      </c>
      <c r="O32" s="6">
        <f>VLOOKUP(Table2[[#This Row],[Point B]],Table3[[LOCALITÉ]:[Distributeur de billets]],3,FALSE)</f>
        <v>0</v>
      </c>
      <c r="P32" s="6">
        <f>VLOOKUP(Table2[[#This Row],[Point B]],Table3[[LOCALITÉ]:[Distributeur de billets]],4,FALSE)</f>
        <v>0</v>
      </c>
      <c r="Q32" s="6">
        <f>VLOOKUP(Table2[[#This Row],[Point B]],Table3[[LOCALITÉ]:[Distributeur de billets]],5,FALSE)</f>
        <v>0</v>
      </c>
      <c r="R32" s="6">
        <f>VLOOKUP(Table2[[#This Row],[Point B]],Table3[[LOCALITÉ]:[Distributeur de billets]],6,FALSE)</f>
        <v>0</v>
      </c>
      <c r="S32" s="6" t="str">
        <f>VLOOKUP(Table2[[#This Row],[Point B]],Table3[[LOCALITÉ]:[Distributeur de billets]],7,FALSE)</f>
        <v>x</v>
      </c>
      <c r="T32" s="6">
        <f>VLOOKUP(Table2[[#This Row],[Point B]],Table3[[LOCALITÉ]:[Distributeur de billets]],8,FALSE)</f>
        <v>0</v>
      </c>
      <c r="U32" s="6">
        <f>VLOOKUP(Table2[[#This Row],[Point B]],Table3[[LOCALITÉ]:[Distributeur de billets]],9,FALSE)</f>
        <v>0</v>
      </c>
      <c r="V32" s="6">
        <f>VLOOKUP(Table2[[#This Row],[Point B]],Table3[[LOCALITÉ]:[Distributeur de billets]],10,FALSE)</f>
        <v>0</v>
      </c>
      <c r="W32" s="6">
        <f>VLOOKUP(Table2[[#This Row],[Point B]],Table3[[LOCALITÉ]:[Distributeur de billets]],11,FALSE)</f>
        <v>0</v>
      </c>
      <c r="X32" s="6">
        <f>VLOOKUP(Table2[[#This Row],[Point B]],Table3[[LOCALITÉ]:[Distributeur de billets]],12,FALSE)</f>
        <v>0</v>
      </c>
      <c r="Y32" s="6"/>
      <c r="Z32" s="25"/>
      <c r="AA32" s="25"/>
      <c r="AB32" s="25"/>
      <c r="AC32" s="25"/>
      <c r="AD32" s="25"/>
      <c r="AE32" s="6" t="str">
        <f>VLOOKUP(Table2[[#This Row],[Localité Arrivée]],Table4[],2,FALSE)</f>
        <v>REFUGE DU PRÉ-DE-LA-CHAUMETTE</v>
      </c>
      <c r="AF32" s="25">
        <f>VLOOKUP(Table2[[#This Row],[Localité Arrivée]],Table4[],3,FALSE)</f>
        <v>45092</v>
      </c>
      <c r="AG32" s="25">
        <v>45186</v>
      </c>
      <c r="AH32" s="25"/>
      <c r="AI32" s="25">
        <f>$AP$3+Table2[[#This Row],[Etape]]</f>
        <v>45185</v>
      </c>
    </row>
    <row r="33" spans="1:37" x14ac:dyDescent="0.2">
      <c r="A33" t="s">
        <v>14</v>
      </c>
      <c r="B33" t="s">
        <v>11</v>
      </c>
      <c r="C33" s="30">
        <v>8</v>
      </c>
      <c r="D33" t="str">
        <f t="shared" si="0"/>
        <v>REFUGE DU PRÉ-DE-LA-CHAUMETTE</v>
      </c>
      <c r="E33" t="s">
        <v>48</v>
      </c>
      <c r="F33" s="28" t="s">
        <v>159</v>
      </c>
      <c r="G33">
        <v>898</v>
      </c>
      <c r="H33">
        <v>43</v>
      </c>
      <c r="I33" s="5">
        <v>0.125</v>
      </c>
      <c r="J33">
        <f>Table2[[#This Row],[Distance cumulée]]</f>
        <v>4.6500000000000004</v>
      </c>
      <c r="K33">
        <v>4.6500000000000004</v>
      </c>
      <c r="L33" t="s">
        <v>25</v>
      </c>
      <c r="M33"/>
      <c r="N33" s="6">
        <f>VLOOKUP(Table2[[#This Row],[Point B]],Table3[[LOCALITÉ]:[Distributeur de billets]],2,FALSE)</f>
        <v>0</v>
      </c>
      <c r="O33" s="6">
        <f>VLOOKUP(Table2[[#This Row],[Point B]],Table3[[LOCALITÉ]:[Distributeur de billets]],3,FALSE)</f>
        <v>0</v>
      </c>
      <c r="P33" s="6">
        <f>VLOOKUP(Table2[[#This Row],[Point B]],Table3[[LOCALITÉ]:[Distributeur de billets]],4,FALSE)</f>
        <v>0</v>
      </c>
      <c r="Q33" s="6">
        <f>VLOOKUP(Table2[[#This Row],[Point B]],Table3[[LOCALITÉ]:[Distributeur de billets]],5,FALSE)</f>
        <v>0</v>
      </c>
      <c r="R33" s="6">
        <f>VLOOKUP(Table2[[#This Row],[Point B]],Table3[[LOCALITÉ]:[Distributeur de billets]],6,FALSE)</f>
        <v>0</v>
      </c>
      <c r="S33" s="6">
        <f>VLOOKUP(Table2[[#This Row],[Point B]],Table3[[LOCALITÉ]:[Distributeur de billets]],7,FALSE)</f>
        <v>0</v>
      </c>
      <c r="T33" s="6">
        <f>VLOOKUP(Table2[[#This Row],[Point B]],Table3[[LOCALITÉ]:[Distributeur de billets]],8,FALSE)</f>
        <v>0</v>
      </c>
      <c r="U33" s="6">
        <f>VLOOKUP(Table2[[#This Row],[Point B]],Table3[[LOCALITÉ]:[Distributeur de billets]],9,FALSE)</f>
        <v>0</v>
      </c>
      <c r="V33" s="6">
        <f>VLOOKUP(Table2[[#This Row],[Point B]],Table3[[LOCALITÉ]:[Distributeur de billets]],10,FALSE)</f>
        <v>0</v>
      </c>
      <c r="W33" s="6">
        <f>VLOOKUP(Table2[[#This Row],[Point B]],Table3[[LOCALITÉ]:[Distributeur de billets]],11,FALSE)</f>
        <v>0</v>
      </c>
      <c r="X33" s="6">
        <f>VLOOKUP(Table2[[#This Row],[Point B]],Table3[[LOCALITÉ]:[Distributeur de billets]],12,FALSE)</f>
        <v>0</v>
      </c>
      <c r="Y33" s="6"/>
      <c r="Z33" s="25"/>
      <c r="AA33" s="25"/>
      <c r="AB33" s="25"/>
      <c r="AC33" s="25"/>
      <c r="AD33" s="25"/>
      <c r="AE33" s="6" t="str">
        <f>VLOOKUP(Table2[[#This Row],[Localité Arrivée]],Table4[],2,FALSE)</f>
        <v>REFUGE DE VALLONPIERRE</v>
      </c>
      <c r="AF33" s="25">
        <f>VLOOKUP(Table2[[#This Row],[Localité Arrivée]],Table4[],3,FALSE)</f>
        <v>45087</v>
      </c>
      <c r="AG33" s="25">
        <f>VLOOKUP(Table2[[#This Row],[Localité Arrivée]],Table4[],4,FALSE)</f>
        <v>45200</v>
      </c>
      <c r="AH33" s="25"/>
      <c r="AI33" s="25">
        <f>$AP$3+Table2[[#This Row],[Etape]]</f>
        <v>45186</v>
      </c>
      <c r="AK33" t="s">
        <v>186</v>
      </c>
    </row>
    <row r="34" spans="1:37" x14ac:dyDescent="0.2">
      <c r="A34" t="s">
        <v>14</v>
      </c>
      <c r="B34" t="s">
        <v>11</v>
      </c>
      <c r="C34" s="30">
        <v>8</v>
      </c>
      <c r="D34" t="str">
        <f t="shared" si="0"/>
        <v>Col de la Valette</v>
      </c>
      <c r="E34" t="s">
        <v>49</v>
      </c>
      <c r="F34" s="28" t="s">
        <v>164</v>
      </c>
      <c r="G34">
        <v>132</v>
      </c>
      <c r="H34">
        <v>205</v>
      </c>
      <c r="I34" s="5">
        <v>3.4722222222222224E-2</v>
      </c>
      <c r="J34">
        <f>Table2[[#This Row],[Distance cumulée]]-K33</f>
        <v>1.6499999999999995</v>
      </c>
      <c r="K34">
        <v>6.3</v>
      </c>
      <c r="L34" t="s">
        <v>25</v>
      </c>
      <c r="M34"/>
      <c r="N34" s="6">
        <f>VLOOKUP(Table2[[#This Row],[Point B]],Table3[[LOCALITÉ]:[Distributeur de billets]],2,FALSE)</f>
        <v>0</v>
      </c>
      <c r="O34" s="6">
        <f>VLOOKUP(Table2[[#This Row],[Point B]],Table3[[LOCALITÉ]:[Distributeur de billets]],3,FALSE)</f>
        <v>0</v>
      </c>
      <c r="P34" s="6">
        <f>VLOOKUP(Table2[[#This Row],[Point B]],Table3[[LOCALITÉ]:[Distributeur de billets]],4,FALSE)</f>
        <v>0</v>
      </c>
      <c r="Q34" s="6">
        <f>VLOOKUP(Table2[[#This Row],[Point B]],Table3[[LOCALITÉ]:[Distributeur de billets]],5,FALSE)</f>
        <v>0</v>
      </c>
      <c r="R34" s="6">
        <f>VLOOKUP(Table2[[#This Row],[Point B]],Table3[[LOCALITÉ]:[Distributeur de billets]],6,FALSE)</f>
        <v>0</v>
      </c>
      <c r="S34" s="6">
        <f>VLOOKUP(Table2[[#This Row],[Point B]],Table3[[LOCALITÉ]:[Distributeur de billets]],7,FALSE)</f>
        <v>0</v>
      </c>
      <c r="T34" s="6">
        <f>VLOOKUP(Table2[[#This Row],[Point B]],Table3[[LOCALITÉ]:[Distributeur de billets]],8,FALSE)</f>
        <v>0</v>
      </c>
      <c r="U34" s="6">
        <f>VLOOKUP(Table2[[#This Row],[Point B]],Table3[[LOCALITÉ]:[Distributeur de billets]],9,FALSE)</f>
        <v>0</v>
      </c>
      <c r="V34" s="6">
        <f>VLOOKUP(Table2[[#This Row],[Point B]],Table3[[LOCALITÉ]:[Distributeur de billets]],10,FALSE)</f>
        <v>0</v>
      </c>
      <c r="W34" s="6">
        <f>VLOOKUP(Table2[[#This Row],[Point B]],Table3[[LOCALITÉ]:[Distributeur de billets]],11,FALSE)</f>
        <v>0</v>
      </c>
      <c r="X34" s="6">
        <f>VLOOKUP(Table2[[#This Row],[Point B]],Table3[[LOCALITÉ]:[Distributeur de billets]],12,FALSE)</f>
        <v>0</v>
      </c>
      <c r="Y34" s="6"/>
      <c r="Z34" s="25"/>
      <c r="AA34" s="25"/>
      <c r="AB34" s="25"/>
      <c r="AC34" s="25"/>
      <c r="AD34" s="25"/>
      <c r="AE34" s="6" t="str">
        <f>VLOOKUP(Table2[[#This Row],[Localité Arrivée]],Table4[],2,FALSE)</f>
        <v>REFUGE DE VALLONPIERRE</v>
      </c>
      <c r="AF34" s="25">
        <f>VLOOKUP(Table2[[#This Row],[Localité Arrivée]],Table4[],3,FALSE)</f>
        <v>45087</v>
      </c>
      <c r="AG34" s="25">
        <f>VLOOKUP(Table2[[#This Row],[Localité Arrivée]],Table4[],4,FALSE)</f>
        <v>45200</v>
      </c>
      <c r="AH34" s="25"/>
      <c r="AI34" s="25">
        <f>$AP$3+Table2[[#This Row],[Etape]]</f>
        <v>45186</v>
      </c>
    </row>
    <row r="35" spans="1:37" x14ac:dyDescent="0.2">
      <c r="A35" t="s">
        <v>14</v>
      </c>
      <c r="B35" t="s">
        <v>11</v>
      </c>
      <c r="C35" s="30">
        <v>8</v>
      </c>
      <c r="D35" t="str">
        <f t="shared" si="0"/>
        <v>Col de Gouiran</v>
      </c>
      <c r="E35" t="s">
        <v>50</v>
      </c>
      <c r="F35" s="28" t="s">
        <v>165</v>
      </c>
      <c r="G35">
        <v>235</v>
      </c>
      <c r="H35">
        <v>219</v>
      </c>
      <c r="I35" s="5">
        <v>4.1666666666666664E-2</v>
      </c>
      <c r="J35">
        <f>Table2[[#This Row],[Distance cumulée]]-K34</f>
        <v>2.5000000000000009</v>
      </c>
      <c r="K35">
        <v>8.8000000000000007</v>
      </c>
      <c r="L35" t="s">
        <v>25</v>
      </c>
      <c r="M35"/>
      <c r="N35" s="6">
        <f>VLOOKUP(Table2[[#This Row],[Point B]],Table3[[LOCALITÉ]:[Distributeur de billets]],2,FALSE)</f>
        <v>0</v>
      </c>
      <c r="O35" s="6">
        <f>VLOOKUP(Table2[[#This Row],[Point B]],Table3[[LOCALITÉ]:[Distributeur de billets]],3,FALSE)</f>
        <v>0</v>
      </c>
      <c r="P35" s="6">
        <f>VLOOKUP(Table2[[#This Row],[Point B]],Table3[[LOCALITÉ]:[Distributeur de billets]],4,FALSE)</f>
        <v>0</v>
      </c>
      <c r="Q35" s="6">
        <f>VLOOKUP(Table2[[#This Row],[Point B]],Table3[[LOCALITÉ]:[Distributeur de billets]],5,FALSE)</f>
        <v>0</v>
      </c>
      <c r="R35" s="6">
        <f>VLOOKUP(Table2[[#This Row],[Point B]],Table3[[LOCALITÉ]:[Distributeur de billets]],6,FALSE)</f>
        <v>0</v>
      </c>
      <c r="S35" s="6">
        <f>VLOOKUP(Table2[[#This Row],[Point B]],Table3[[LOCALITÉ]:[Distributeur de billets]],7,FALSE)</f>
        <v>0</v>
      </c>
      <c r="T35" s="6">
        <f>VLOOKUP(Table2[[#This Row],[Point B]],Table3[[LOCALITÉ]:[Distributeur de billets]],8,FALSE)</f>
        <v>0</v>
      </c>
      <c r="U35" s="6">
        <f>VLOOKUP(Table2[[#This Row],[Point B]],Table3[[LOCALITÉ]:[Distributeur de billets]],9,FALSE)</f>
        <v>0</v>
      </c>
      <c r="V35" s="6">
        <f>VLOOKUP(Table2[[#This Row],[Point B]],Table3[[LOCALITÉ]:[Distributeur de billets]],10,FALSE)</f>
        <v>0</v>
      </c>
      <c r="W35" s="6">
        <f>VLOOKUP(Table2[[#This Row],[Point B]],Table3[[LOCALITÉ]:[Distributeur de billets]],11,FALSE)</f>
        <v>0</v>
      </c>
      <c r="X35" s="6">
        <f>VLOOKUP(Table2[[#This Row],[Point B]],Table3[[LOCALITÉ]:[Distributeur de billets]],12,FALSE)</f>
        <v>0</v>
      </c>
      <c r="Y35" s="6"/>
      <c r="Z35" s="25"/>
      <c r="AA35" s="25"/>
      <c r="AB35" s="25"/>
      <c r="AC35" s="25"/>
      <c r="AD35" s="25"/>
      <c r="AE35" s="6" t="str">
        <f>VLOOKUP(Table2[[#This Row],[Localité Arrivée]],Table4[],2,FALSE)</f>
        <v>REFUGE DE VALLONPIERRE</v>
      </c>
      <c r="AF35" s="25">
        <f>VLOOKUP(Table2[[#This Row],[Localité Arrivée]],Table4[],3,FALSE)</f>
        <v>45087</v>
      </c>
      <c r="AG35" s="25">
        <f>VLOOKUP(Table2[[#This Row],[Localité Arrivée]],Table4[],4,FALSE)</f>
        <v>45200</v>
      </c>
      <c r="AH35" s="25"/>
      <c r="AI35" s="25">
        <f>$AP$3+Table2[[#This Row],[Etape]]</f>
        <v>45186</v>
      </c>
    </row>
    <row r="36" spans="1:37" x14ac:dyDescent="0.2">
      <c r="A36" t="s">
        <v>14</v>
      </c>
      <c r="B36" t="s">
        <v>11</v>
      </c>
      <c r="C36" s="30">
        <v>8</v>
      </c>
      <c r="D36" t="str">
        <f t="shared" si="0"/>
        <v>Col de Vallonpierre</v>
      </c>
      <c r="E36" t="s">
        <v>11</v>
      </c>
      <c r="F36" s="28" t="s">
        <v>166</v>
      </c>
      <c r="G36">
        <v>21</v>
      </c>
      <c r="H36">
        <v>364</v>
      </c>
      <c r="I36" s="5">
        <v>3.125E-2</v>
      </c>
      <c r="J36">
        <f>Table2[[#This Row],[Distance cumulée]]-K35</f>
        <v>2.0999999999999996</v>
      </c>
      <c r="K36">
        <v>10.9</v>
      </c>
      <c r="L36" t="s">
        <v>25</v>
      </c>
      <c r="M36"/>
      <c r="N36" s="6" t="str">
        <f>VLOOKUP(Table2[[#This Row],[Point B]],Table3[[LOCALITÉ]:[Distributeur de billets]],2,FALSE)</f>
        <v>x</v>
      </c>
      <c r="O36" s="6">
        <f>VLOOKUP(Table2[[#This Row],[Point B]],Table3[[LOCALITÉ]:[Distributeur de billets]],3,FALSE)</f>
        <v>0</v>
      </c>
      <c r="P36" s="6">
        <f>VLOOKUP(Table2[[#This Row],[Point B]],Table3[[LOCALITÉ]:[Distributeur de billets]],4,FALSE)</f>
        <v>0</v>
      </c>
      <c r="Q36" s="6">
        <f>VLOOKUP(Table2[[#This Row],[Point B]],Table3[[LOCALITÉ]:[Distributeur de billets]],5,FALSE)</f>
        <v>0</v>
      </c>
      <c r="R36" s="6">
        <f>VLOOKUP(Table2[[#This Row],[Point B]],Table3[[LOCALITÉ]:[Distributeur de billets]],6,FALSE)</f>
        <v>0</v>
      </c>
      <c r="S36" s="6" t="str">
        <f>VLOOKUP(Table2[[#This Row],[Point B]],Table3[[LOCALITÉ]:[Distributeur de billets]],7,FALSE)</f>
        <v>x</v>
      </c>
      <c r="T36" s="6">
        <f>VLOOKUP(Table2[[#This Row],[Point B]],Table3[[LOCALITÉ]:[Distributeur de billets]],8,FALSE)</f>
        <v>0</v>
      </c>
      <c r="U36" s="6">
        <f>VLOOKUP(Table2[[#This Row],[Point B]],Table3[[LOCALITÉ]:[Distributeur de billets]],9,FALSE)</f>
        <v>0</v>
      </c>
      <c r="V36" s="6">
        <f>VLOOKUP(Table2[[#This Row],[Point B]],Table3[[LOCALITÉ]:[Distributeur de billets]],10,FALSE)</f>
        <v>0</v>
      </c>
      <c r="W36" s="6">
        <f>VLOOKUP(Table2[[#This Row],[Point B]],Table3[[LOCALITÉ]:[Distributeur de billets]],11,FALSE)</f>
        <v>0</v>
      </c>
      <c r="X36" s="6">
        <f>VLOOKUP(Table2[[#This Row],[Point B]],Table3[[LOCALITÉ]:[Distributeur de billets]],12,FALSE)</f>
        <v>0</v>
      </c>
      <c r="Y36" s="6"/>
      <c r="Z36" s="25"/>
      <c r="AA36" s="25"/>
      <c r="AB36" s="25"/>
      <c r="AC36" s="25"/>
      <c r="AD36" s="25"/>
      <c r="AE36" s="6" t="str">
        <f>VLOOKUP(Table2[[#This Row],[Localité Arrivée]],Table4[],2,FALSE)</f>
        <v>REFUGE DE VALLONPIERRE</v>
      </c>
      <c r="AF36" s="25">
        <f>VLOOKUP(Table2[[#This Row],[Localité Arrivée]],Table4[],3,FALSE)</f>
        <v>45087</v>
      </c>
      <c r="AG36" s="25">
        <f>VLOOKUP(Table2[[#This Row],[Localité Arrivée]],Table4[],4,FALSE)</f>
        <v>45200</v>
      </c>
      <c r="AH36" s="25"/>
      <c r="AI36" s="25">
        <f>$AP$3+Table2[[#This Row],[Etape]]</f>
        <v>45186</v>
      </c>
    </row>
    <row r="37" spans="1:37" x14ac:dyDescent="0.2">
      <c r="A37" t="s">
        <v>11</v>
      </c>
      <c r="B37" t="s">
        <v>15</v>
      </c>
      <c r="C37" s="30">
        <v>9</v>
      </c>
      <c r="D37" t="str">
        <f t="shared" si="0"/>
        <v>REFUGE DE VALLONPIERRE</v>
      </c>
      <c r="E37" t="s">
        <v>51</v>
      </c>
      <c r="F37" s="28" t="s">
        <v>160</v>
      </c>
      <c r="G37">
        <v>31</v>
      </c>
      <c r="H37">
        <v>649</v>
      </c>
      <c r="I37" s="5">
        <v>4.1666666666666664E-2</v>
      </c>
      <c r="J37">
        <f>Table2[[#This Row],[Distance cumulée]]</f>
        <v>3.5</v>
      </c>
      <c r="K37">
        <v>3.5</v>
      </c>
      <c r="L37" t="s">
        <v>25</v>
      </c>
      <c r="M37"/>
      <c r="N37" s="6">
        <f>VLOOKUP(Table2[[#This Row],[Point B]],Table3[[LOCALITÉ]:[Distributeur de billets]],2,FALSE)</f>
        <v>0</v>
      </c>
      <c r="O37" s="6" t="str">
        <f>VLOOKUP(Table2[[#This Row],[Point B]],Table3[[LOCALITÉ]:[Distributeur de billets]],3,FALSE)</f>
        <v>x</v>
      </c>
      <c r="P37" s="6">
        <f>VLOOKUP(Table2[[#This Row],[Point B]],Table3[[LOCALITÉ]:[Distributeur de billets]],4,FALSE)</f>
        <v>0</v>
      </c>
      <c r="Q37" s="6">
        <f>VLOOKUP(Table2[[#This Row],[Point B]],Table3[[LOCALITÉ]:[Distributeur de billets]],5,FALSE)</f>
        <v>0</v>
      </c>
      <c r="R37" s="6">
        <f>VLOOKUP(Table2[[#This Row],[Point B]],Table3[[LOCALITÉ]:[Distributeur de billets]],6,FALSE)</f>
        <v>0</v>
      </c>
      <c r="S37" s="6">
        <f>VLOOKUP(Table2[[#This Row],[Point B]],Table3[[LOCALITÉ]:[Distributeur de billets]],7,FALSE)</f>
        <v>0</v>
      </c>
      <c r="T37" s="6">
        <f>VLOOKUP(Table2[[#This Row],[Point B]],Table3[[LOCALITÉ]:[Distributeur de billets]],8,FALSE)</f>
        <v>0</v>
      </c>
      <c r="U37" s="6">
        <f>VLOOKUP(Table2[[#This Row],[Point B]],Table3[[LOCALITÉ]:[Distributeur de billets]],9,FALSE)</f>
        <v>0</v>
      </c>
      <c r="V37" s="6">
        <f>VLOOKUP(Table2[[#This Row],[Point B]],Table3[[LOCALITÉ]:[Distributeur de billets]],10,FALSE)</f>
        <v>0</v>
      </c>
      <c r="W37" s="6">
        <f>VLOOKUP(Table2[[#This Row],[Point B]],Table3[[LOCALITÉ]:[Distributeur de billets]],11,FALSE)</f>
        <v>0</v>
      </c>
      <c r="X37" s="6">
        <f>VLOOKUP(Table2[[#This Row],[Point B]],Table3[[LOCALITÉ]:[Distributeur de billets]],12,FALSE)</f>
        <v>0</v>
      </c>
      <c r="Y37" s="6"/>
      <c r="Z37" s="25"/>
      <c r="AA37" s="25"/>
      <c r="AB37" s="25"/>
      <c r="AC37" s="25"/>
      <c r="AD37" s="25"/>
      <c r="AE37" s="6" t="str">
        <f>VLOOKUP(Table2[[#This Row],[Localité Arrivée]],Table4[],2,FALSE)</f>
        <v>REFUGE DES SOUFFLES</v>
      </c>
      <c r="AF37" s="25">
        <v>45094</v>
      </c>
      <c r="AG37" s="25">
        <v>45186</v>
      </c>
      <c r="AH37" s="25"/>
      <c r="AI37" s="25">
        <f>$AP$3+Table2[[#This Row],[Etape]]</f>
        <v>45187</v>
      </c>
      <c r="AK37" t="s">
        <v>187</v>
      </c>
    </row>
    <row r="38" spans="1:37" x14ac:dyDescent="0.2">
      <c r="A38" t="s">
        <v>11</v>
      </c>
      <c r="B38" t="s">
        <v>15</v>
      </c>
      <c r="C38" s="30">
        <v>9</v>
      </c>
      <c r="D38" t="str">
        <f t="shared" si="0"/>
        <v>La cabane de Surette</v>
      </c>
      <c r="E38" t="s">
        <v>52</v>
      </c>
      <c r="F38" s="28" t="s">
        <v>168</v>
      </c>
      <c r="G38">
        <v>15</v>
      </c>
      <c r="H38">
        <v>255</v>
      </c>
      <c r="I38" s="5">
        <v>4.1666666666666664E-2</v>
      </c>
      <c r="J38">
        <f>Table2[[#This Row],[Distance cumulée]]-K37</f>
        <v>3.3</v>
      </c>
      <c r="K38">
        <v>6.8</v>
      </c>
      <c r="L38" t="s">
        <v>25</v>
      </c>
      <c r="M38"/>
      <c r="N38" s="6" t="str">
        <f>VLOOKUP(Table2[[#This Row],[Point B]],Table3[[LOCALITÉ]:[Distributeur de billets]],2,FALSE)</f>
        <v>x</v>
      </c>
      <c r="O38" s="6">
        <f>VLOOKUP(Table2[[#This Row],[Point B]],Table3[[LOCALITÉ]:[Distributeur de billets]],3,FALSE)</f>
        <v>0</v>
      </c>
      <c r="P38" s="6">
        <f>VLOOKUP(Table2[[#This Row],[Point B]],Table3[[LOCALITÉ]:[Distributeur de billets]],4,FALSE)</f>
        <v>0</v>
      </c>
      <c r="Q38" s="6">
        <f>VLOOKUP(Table2[[#This Row],[Point B]],Table3[[LOCALITÉ]:[Distributeur de billets]],5,FALSE)</f>
        <v>0</v>
      </c>
      <c r="R38" s="6">
        <f>VLOOKUP(Table2[[#This Row],[Point B]],Table3[[LOCALITÉ]:[Distributeur de billets]],6,FALSE)</f>
        <v>0</v>
      </c>
      <c r="S38" s="6" t="str">
        <f>VLOOKUP(Table2[[#This Row],[Point B]],Table3[[LOCALITÉ]:[Distributeur de billets]],7,FALSE)</f>
        <v>x</v>
      </c>
      <c r="T38" s="6">
        <f>VLOOKUP(Table2[[#This Row],[Point B]],Table3[[LOCALITÉ]:[Distributeur de billets]],8,FALSE)</f>
        <v>0</v>
      </c>
      <c r="U38" s="6">
        <f>VLOOKUP(Table2[[#This Row],[Point B]],Table3[[LOCALITÉ]:[Distributeur de billets]],9,FALSE)</f>
        <v>0</v>
      </c>
      <c r="V38" s="6">
        <f>VLOOKUP(Table2[[#This Row],[Point B]],Table3[[LOCALITÉ]:[Distributeur de billets]],10,FALSE)</f>
        <v>0</v>
      </c>
      <c r="W38" s="6">
        <f>VLOOKUP(Table2[[#This Row],[Point B]],Table3[[LOCALITÉ]:[Distributeur de billets]],11,FALSE)</f>
        <v>0</v>
      </c>
      <c r="X38" s="6">
        <f>VLOOKUP(Table2[[#This Row],[Point B]],Table3[[LOCALITÉ]:[Distributeur de billets]],12,FALSE)</f>
        <v>0</v>
      </c>
      <c r="Y38" s="6"/>
      <c r="Z38" s="25"/>
      <c r="AA38" s="25"/>
      <c r="AB38" s="25"/>
      <c r="AC38" s="25"/>
      <c r="AD38" s="25"/>
      <c r="AE38" s="6" t="str">
        <f>VLOOKUP(Table2[[#This Row],[Localité Arrivée]],Table4[],2,FALSE)</f>
        <v>REFUGE DES SOUFFLES</v>
      </c>
      <c r="AF38" s="25">
        <v>45094</v>
      </c>
      <c r="AG38" s="25">
        <v>45186</v>
      </c>
      <c r="AH38" s="25"/>
      <c r="AI38" s="25">
        <f>$AP$3+Table2[[#This Row],[Etape]]</f>
        <v>45187</v>
      </c>
    </row>
    <row r="39" spans="1:37" x14ac:dyDescent="0.2">
      <c r="A39" t="s">
        <v>11</v>
      </c>
      <c r="B39" t="s">
        <v>15</v>
      </c>
      <c r="C39" s="30">
        <v>9</v>
      </c>
      <c r="D39" t="str">
        <f t="shared" si="0"/>
        <v>Refuge du Clot</v>
      </c>
      <c r="E39" t="s">
        <v>6</v>
      </c>
      <c r="F39" s="28" t="s">
        <v>196</v>
      </c>
      <c r="G39">
        <v>88</v>
      </c>
      <c r="H39">
        <v>337</v>
      </c>
      <c r="I39" s="5">
        <v>4.5138888888888888E-2</v>
      </c>
      <c r="J39">
        <f>Table2[[#This Row],[Distance cumulée]]-K38</f>
        <v>5.2</v>
      </c>
      <c r="K39">
        <v>12</v>
      </c>
      <c r="L39" t="s">
        <v>25</v>
      </c>
      <c r="M39"/>
      <c r="N39" s="6" t="str">
        <f>VLOOKUP(Table2[[#This Row],[Point B]],Table3[[LOCALITÉ]:[Distributeur de billets]],2,FALSE)</f>
        <v>x</v>
      </c>
      <c r="O39" s="6">
        <f>VLOOKUP(Table2[[#This Row],[Point B]],Table3[[LOCALITÉ]:[Distributeur de billets]],3,FALSE)</f>
        <v>0</v>
      </c>
      <c r="P39" s="6">
        <f>VLOOKUP(Table2[[#This Row],[Point B]],Table3[[LOCALITÉ]:[Distributeur de billets]],4,FALSE)</f>
        <v>0</v>
      </c>
      <c r="Q39" s="6">
        <f>VLOOKUP(Table2[[#This Row],[Point B]],Table3[[LOCALITÉ]:[Distributeur de billets]],5,FALSE)</f>
        <v>0</v>
      </c>
      <c r="R39" s="6">
        <f>VLOOKUP(Table2[[#This Row],[Point B]],Table3[[LOCALITÉ]:[Distributeur de billets]],6,FALSE)</f>
        <v>0</v>
      </c>
      <c r="S39" s="6" t="str">
        <f>VLOOKUP(Table2[[#This Row],[Point B]],Table3[[LOCALITÉ]:[Distributeur de billets]],7,FALSE)</f>
        <v>x</v>
      </c>
      <c r="T39" s="6">
        <f>VLOOKUP(Table2[[#This Row],[Point B]],Table3[[LOCALITÉ]:[Distributeur de billets]],8,FALSE)</f>
        <v>0</v>
      </c>
      <c r="U39" s="6">
        <f>VLOOKUP(Table2[[#This Row],[Point B]],Table3[[LOCALITÉ]:[Distributeur de billets]],9,FALSE)</f>
        <v>0</v>
      </c>
      <c r="V39" s="6" t="str">
        <f>VLOOKUP(Table2[[#This Row],[Point B]],Table3[[LOCALITÉ]:[Distributeur de billets]],10,FALSE)</f>
        <v>x</v>
      </c>
      <c r="W39" s="6">
        <f>VLOOKUP(Table2[[#This Row],[Point B]],Table3[[LOCALITÉ]:[Distributeur de billets]],11,FALSE)</f>
        <v>0</v>
      </c>
      <c r="X39" s="6">
        <f>VLOOKUP(Table2[[#This Row],[Point B]],Table3[[LOCALITÉ]:[Distributeur de billets]],12,FALSE)</f>
        <v>0</v>
      </c>
      <c r="Y39" s="6"/>
      <c r="Z39" s="25"/>
      <c r="AA39" s="25"/>
      <c r="AB39" s="25"/>
      <c r="AC39" s="25"/>
      <c r="AD39" s="25"/>
      <c r="AE39" s="6" t="str">
        <f>VLOOKUP(Table2[[#This Row],[Localité Arrivée]],Table4[],2,FALSE)</f>
        <v>REFUGE DES SOUFFLES</v>
      </c>
      <c r="AF39" s="25">
        <v>45094</v>
      </c>
      <c r="AG39" s="25">
        <v>45186</v>
      </c>
      <c r="AH39" s="25"/>
      <c r="AI39" s="25">
        <f>$AP$3+Table2[[#This Row],[Etape]]</f>
        <v>45187</v>
      </c>
    </row>
    <row r="40" spans="1:37" x14ac:dyDescent="0.2">
      <c r="A40" t="s">
        <v>11</v>
      </c>
      <c r="B40" t="s">
        <v>15</v>
      </c>
      <c r="C40" s="30">
        <v>9</v>
      </c>
      <c r="D40" t="str">
        <f t="shared" si="0"/>
        <v>LE CASSET</v>
      </c>
      <c r="E40" t="s">
        <v>18</v>
      </c>
      <c r="F40" s="28" t="s">
        <v>197</v>
      </c>
      <c r="G40">
        <v>28</v>
      </c>
      <c r="H40">
        <v>80</v>
      </c>
      <c r="I40" s="5">
        <v>2.0833333333333332E-2</v>
      </c>
      <c r="J40">
        <f>Table2[[#This Row],[Distance cumulée]]-K39</f>
        <v>1.9000000000000004</v>
      </c>
      <c r="K40">
        <v>13.9</v>
      </c>
      <c r="L40" t="s">
        <v>25</v>
      </c>
      <c r="M40"/>
      <c r="N40" s="6" t="str">
        <f>VLOOKUP(Table2[[#This Row],[Point B]],Table3[[LOCALITÉ]:[Distributeur de billets]],2,FALSE)</f>
        <v>x</v>
      </c>
      <c r="O40" s="6" t="str">
        <f>VLOOKUP(Table2[[#This Row],[Point B]],Table3[[LOCALITÉ]:[Distributeur de billets]],3,FALSE)</f>
        <v>x</v>
      </c>
      <c r="P40" s="6">
        <f>VLOOKUP(Table2[[#This Row],[Point B]],Table3[[LOCALITÉ]:[Distributeur de billets]],4,FALSE)</f>
        <v>0</v>
      </c>
      <c r="Q40" s="6" t="str">
        <f>VLOOKUP(Table2[[#This Row],[Point B]],Table3[[LOCALITÉ]:[Distributeur de billets]],5,FALSE)</f>
        <v>x</v>
      </c>
      <c r="R40" s="6" t="str">
        <f>VLOOKUP(Table2[[#This Row],[Point B]],Table3[[LOCALITÉ]:[Distributeur de billets]],6,FALSE)</f>
        <v>x</v>
      </c>
      <c r="S40" s="6" t="str">
        <f>VLOOKUP(Table2[[#This Row],[Point B]],Table3[[LOCALITÉ]:[Distributeur de billets]],7,FALSE)</f>
        <v>x</v>
      </c>
      <c r="T40" s="6">
        <f>VLOOKUP(Table2[[#This Row],[Point B]],Table3[[LOCALITÉ]:[Distributeur de billets]],8,FALSE)</f>
        <v>0</v>
      </c>
      <c r="U40" s="6" t="str">
        <f>VLOOKUP(Table2[[#This Row],[Point B]],Table3[[LOCALITÉ]:[Distributeur de billets]],9,FALSE)</f>
        <v>x</v>
      </c>
      <c r="V40" s="6" t="str">
        <f>VLOOKUP(Table2[[#This Row],[Point B]],Table3[[LOCALITÉ]:[Distributeur de billets]],10,FALSE)</f>
        <v>x</v>
      </c>
      <c r="W40" s="6">
        <f>VLOOKUP(Table2[[#This Row],[Point B]],Table3[[LOCALITÉ]:[Distributeur de billets]],11,FALSE)</f>
        <v>0</v>
      </c>
      <c r="X40" s="6">
        <f>VLOOKUP(Table2[[#This Row],[Point B]],Table3[[LOCALITÉ]:[Distributeur de billets]],12,FALSE)</f>
        <v>0</v>
      </c>
      <c r="Y40" s="6"/>
      <c r="Z40" s="25"/>
      <c r="AA40" s="25"/>
      <c r="AB40" s="25"/>
      <c r="AC40" s="25"/>
      <c r="AD40" s="25"/>
      <c r="AE40" s="6" t="str">
        <f>VLOOKUP(Table2[[#This Row],[Localité Arrivée]],Table4[],2,FALSE)</f>
        <v>REFUGE DES SOUFFLES</v>
      </c>
      <c r="AF40" s="25">
        <v>45094</v>
      </c>
      <c r="AG40" s="25">
        <v>45186</v>
      </c>
      <c r="AH40" s="25"/>
      <c r="AI40" s="25">
        <f>$AP$3+Table2[[#This Row],[Etape]]</f>
        <v>45187</v>
      </c>
    </row>
    <row r="41" spans="1:37" x14ac:dyDescent="0.2">
      <c r="A41" t="s">
        <v>11</v>
      </c>
      <c r="B41" t="s">
        <v>15</v>
      </c>
      <c r="C41" s="30">
        <v>9</v>
      </c>
      <c r="D41" t="str">
        <f t="shared" si="0"/>
        <v>LA CHAPELLE-EN-VALGAUDEMAR</v>
      </c>
      <c r="E41" t="s">
        <v>53</v>
      </c>
      <c r="F41" s="28" t="s">
        <v>198</v>
      </c>
      <c r="G41">
        <v>11</v>
      </c>
      <c r="H41">
        <v>64</v>
      </c>
      <c r="I41" s="5">
        <v>3.125E-2</v>
      </c>
      <c r="J41">
        <f>Table2[[#This Row],[Distance cumulée]]-K40</f>
        <v>2.9999999999999982</v>
      </c>
      <c r="K41">
        <f>K40+3</f>
        <v>16.899999999999999</v>
      </c>
      <c r="L41" t="s">
        <v>25</v>
      </c>
      <c r="M41"/>
      <c r="N41" s="6">
        <f>VLOOKUP(Table2[[#This Row],[Point B]],Table3[[LOCALITÉ]:[Distributeur de billets]],2,FALSE)</f>
        <v>0</v>
      </c>
      <c r="O41" s="6">
        <f>VLOOKUP(Table2[[#This Row],[Point B]],Table3[[LOCALITÉ]:[Distributeur de billets]],3,FALSE)</f>
        <v>0</v>
      </c>
      <c r="P41" s="6">
        <f>VLOOKUP(Table2[[#This Row],[Point B]],Table3[[LOCALITÉ]:[Distributeur de billets]],4,FALSE)</f>
        <v>0</v>
      </c>
      <c r="Q41" s="6">
        <f>VLOOKUP(Table2[[#This Row],[Point B]],Table3[[LOCALITÉ]:[Distributeur de billets]],5,FALSE)</f>
        <v>0</v>
      </c>
      <c r="R41" s="6">
        <f>VLOOKUP(Table2[[#This Row],[Point B]],Table3[[LOCALITÉ]:[Distributeur de billets]],6,FALSE)</f>
        <v>0</v>
      </c>
      <c r="S41" s="6">
        <f>VLOOKUP(Table2[[#This Row],[Point B]],Table3[[LOCALITÉ]:[Distributeur de billets]],7,FALSE)</f>
        <v>0</v>
      </c>
      <c r="T41" s="6">
        <f>VLOOKUP(Table2[[#This Row],[Point B]],Table3[[LOCALITÉ]:[Distributeur de billets]],8,FALSE)</f>
        <v>0</v>
      </c>
      <c r="U41" s="6">
        <f>VLOOKUP(Table2[[#This Row],[Point B]],Table3[[LOCALITÉ]:[Distributeur de billets]],9,FALSE)</f>
        <v>0</v>
      </c>
      <c r="V41" s="6">
        <f>VLOOKUP(Table2[[#This Row],[Point B]],Table3[[LOCALITÉ]:[Distributeur de billets]],10,FALSE)</f>
        <v>0</v>
      </c>
      <c r="W41" s="6">
        <f>VLOOKUP(Table2[[#This Row],[Point B]],Table3[[LOCALITÉ]:[Distributeur de billets]],11,FALSE)</f>
        <v>0</v>
      </c>
      <c r="X41" s="6">
        <f>VLOOKUP(Table2[[#This Row],[Point B]],Table3[[LOCALITÉ]:[Distributeur de billets]],12,FALSE)</f>
        <v>0</v>
      </c>
      <c r="Y41" s="6"/>
      <c r="Z41" s="25"/>
      <c r="AA41" s="25"/>
      <c r="AB41" s="25"/>
      <c r="AC41" s="25"/>
      <c r="AD41" s="25"/>
      <c r="AE41" s="6" t="str">
        <f>VLOOKUP(Table2[[#This Row],[Localité Arrivée]],Table4[],2,FALSE)</f>
        <v>REFUGE DES SOUFFLES</v>
      </c>
      <c r="AF41" s="25">
        <v>45094</v>
      </c>
      <c r="AG41" s="25">
        <v>45186</v>
      </c>
      <c r="AH41" s="25"/>
      <c r="AI41" s="25">
        <f>$AP$3+Table2[[#This Row],[Etape]]</f>
        <v>45187</v>
      </c>
    </row>
    <row r="42" spans="1:37" x14ac:dyDescent="0.2">
      <c r="A42" t="s">
        <v>11</v>
      </c>
      <c r="B42" t="s">
        <v>15</v>
      </c>
      <c r="C42" s="30">
        <v>9</v>
      </c>
      <c r="D42" t="str">
        <f t="shared" si="0"/>
        <v>Les Andrieux</v>
      </c>
      <c r="E42" t="s">
        <v>54</v>
      </c>
      <c r="F42" s="28" t="s">
        <v>199</v>
      </c>
      <c r="G42">
        <v>54</v>
      </c>
      <c r="H42">
        <v>46</v>
      </c>
      <c r="I42" s="5">
        <v>2.7777777777777776E-2</v>
      </c>
      <c r="J42">
        <f>Table2[[#This Row],[Distance cumulée]]-K41</f>
        <v>2</v>
      </c>
      <c r="K42">
        <f>K40+5</f>
        <v>18.899999999999999</v>
      </c>
      <c r="L42" t="s">
        <v>25</v>
      </c>
      <c r="M42"/>
      <c r="N42" s="6" t="str">
        <f>VLOOKUP(Table2[[#This Row],[Point B]],Table3[[LOCALITÉ]:[Distributeur de billets]],2,FALSE)</f>
        <v>x</v>
      </c>
      <c r="O42" s="6">
        <f>VLOOKUP(Table2[[#This Row],[Point B]],Table3[[LOCALITÉ]:[Distributeur de billets]],3,FALSE)</f>
        <v>0</v>
      </c>
      <c r="P42" s="6">
        <f>VLOOKUP(Table2[[#This Row],[Point B]],Table3[[LOCALITÉ]:[Distributeur de billets]],4,FALSE)</f>
        <v>0</v>
      </c>
      <c r="Q42" s="6">
        <f>VLOOKUP(Table2[[#This Row],[Point B]],Table3[[LOCALITÉ]:[Distributeur de billets]],5,FALSE)</f>
        <v>0</v>
      </c>
      <c r="R42" s="6">
        <f>VLOOKUP(Table2[[#This Row],[Point B]],Table3[[LOCALITÉ]:[Distributeur de billets]],6,FALSE)</f>
        <v>0</v>
      </c>
      <c r="S42" s="6">
        <f>VLOOKUP(Table2[[#This Row],[Point B]],Table3[[LOCALITÉ]:[Distributeur de billets]],7,FALSE)</f>
        <v>0</v>
      </c>
      <c r="T42" s="6">
        <f>VLOOKUP(Table2[[#This Row],[Point B]],Table3[[LOCALITÉ]:[Distributeur de billets]],8,FALSE)</f>
        <v>0</v>
      </c>
      <c r="U42" s="6">
        <f>VLOOKUP(Table2[[#This Row],[Point B]],Table3[[LOCALITÉ]:[Distributeur de billets]],9,FALSE)</f>
        <v>0</v>
      </c>
      <c r="V42" s="6">
        <f>VLOOKUP(Table2[[#This Row],[Point B]],Table3[[LOCALITÉ]:[Distributeur de billets]],10,FALSE)</f>
        <v>0</v>
      </c>
      <c r="W42" s="6">
        <f>VLOOKUP(Table2[[#This Row],[Point B]],Table3[[LOCALITÉ]:[Distributeur de billets]],11,FALSE)</f>
        <v>0</v>
      </c>
      <c r="X42" s="6">
        <f>VLOOKUP(Table2[[#This Row],[Point B]],Table3[[LOCALITÉ]:[Distributeur de billets]],12,FALSE)</f>
        <v>0</v>
      </c>
      <c r="Y42" s="6"/>
      <c r="Z42" s="25"/>
      <c r="AA42" s="25"/>
      <c r="AB42" s="25"/>
      <c r="AC42" s="25"/>
      <c r="AD42" s="25"/>
      <c r="AE42" s="6" t="str">
        <f>VLOOKUP(Table2[[#This Row],[Localité Arrivée]],Table4[],2,FALSE)</f>
        <v>REFUGE DES SOUFFLES</v>
      </c>
      <c r="AF42" s="25">
        <v>45094</v>
      </c>
      <c r="AG42" s="25">
        <v>45186</v>
      </c>
      <c r="AH42" s="25"/>
      <c r="AI42" s="25">
        <f>$AP$3+Table2[[#This Row],[Etape]]</f>
        <v>45187</v>
      </c>
    </row>
    <row r="43" spans="1:37" x14ac:dyDescent="0.2">
      <c r="A43" t="s">
        <v>11</v>
      </c>
      <c r="B43" t="s">
        <v>15</v>
      </c>
      <c r="C43" s="30">
        <v>9</v>
      </c>
      <c r="D43" t="str">
        <f t="shared" si="0"/>
        <v>VILLAR-LOUBIERE</v>
      </c>
      <c r="E43" t="s">
        <v>15</v>
      </c>
      <c r="F43" s="28" t="s">
        <v>200</v>
      </c>
      <c r="G43">
        <f>1956-1080</f>
        <v>876</v>
      </c>
      <c r="H43">
        <v>202</v>
      </c>
      <c r="I43" s="5">
        <v>0.10416666666666667</v>
      </c>
      <c r="J43">
        <f>Table2[[#This Row],[Distance cumulée]]-K42</f>
        <v>5</v>
      </c>
      <c r="K43">
        <f>K40+10</f>
        <v>23.9</v>
      </c>
      <c r="L43" t="s">
        <v>25</v>
      </c>
      <c r="M43"/>
      <c r="N43" s="6" t="str">
        <f>VLOOKUP(Table2[[#This Row],[Point B]],Table3[[LOCALITÉ]:[Distributeur de billets]],2,FALSE)</f>
        <v>x</v>
      </c>
      <c r="O43" s="6">
        <f>VLOOKUP(Table2[[#This Row],[Point B]],Table3[[LOCALITÉ]:[Distributeur de billets]],3,FALSE)</f>
        <v>0</v>
      </c>
      <c r="P43" s="6">
        <f>VLOOKUP(Table2[[#This Row],[Point B]],Table3[[LOCALITÉ]:[Distributeur de billets]],4,FALSE)</f>
        <v>0</v>
      </c>
      <c r="Q43" s="6">
        <f>VLOOKUP(Table2[[#This Row],[Point B]],Table3[[LOCALITÉ]:[Distributeur de billets]],5,FALSE)</f>
        <v>0</v>
      </c>
      <c r="R43" s="6">
        <f>VLOOKUP(Table2[[#This Row],[Point B]],Table3[[LOCALITÉ]:[Distributeur de billets]],6,FALSE)</f>
        <v>0</v>
      </c>
      <c r="S43" s="6" t="str">
        <f>VLOOKUP(Table2[[#This Row],[Point B]],Table3[[LOCALITÉ]:[Distributeur de billets]],7,FALSE)</f>
        <v>x</v>
      </c>
      <c r="T43" s="6">
        <f>VLOOKUP(Table2[[#This Row],[Point B]],Table3[[LOCALITÉ]:[Distributeur de billets]],8,FALSE)</f>
        <v>0</v>
      </c>
      <c r="U43" s="6">
        <f>VLOOKUP(Table2[[#This Row],[Point B]],Table3[[LOCALITÉ]:[Distributeur de billets]],9,FALSE)</f>
        <v>0</v>
      </c>
      <c r="V43" s="6">
        <f>VLOOKUP(Table2[[#This Row],[Point B]],Table3[[LOCALITÉ]:[Distributeur de billets]],10,FALSE)</f>
        <v>0</v>
      </c>
      <c r="W43" s="6">
        <f>VLOOKUP(Table2[[#This Row],[Point B]],Table3[[LOCALITÉ]:[Distributeur de billets]],11,FALSE)</f>
        <v>0</v>
      </c>
      <c r="X43" s="6">
        <f>VLOOKUP(Table2[[#This Row],[Point B]],Table3[[LOCALITÉ]:[Distributeur de billets]],12,FALSE)</f>
        <v>0</v>
      </c>
      <c r="Y43" s="6"/>
      <c r="Z43" s="25"/>
      <c r="AA43" s="25"/>
      <c r="AB43" s="25"/>
      <c r="AC43" s="25"/>
      <c r="AD43" s="25"/>
      <c r="AE43" s="6" t="str">
        <f>VLOOKUP(Table2[[#This Row],[Localité Arrivée]],Table4[],2,FALSE)</f>
        <v>REFUGE DES SOUFFLES</v>
      </c>
      <c r="AF43" s="25">
        <v>45094</v>
      </c>
      <c r="AG43" s="25">
        <v>45186</v>
      </c>
      <c r="AH43" s="25"/>
      <c r="AI43" s="25">
        <f>$AP$3+Table2[[#This Row],[Etape]]</f>
        <v>45187</v>
      </c>
    </row>
    <row r="44" spans="1:37" x14ac:dyDescent="0.2">
      <c r="A44" t="s">
        <v>15</v>
      </c>
      <c r="B44" t="s">
        <v>12</v>
      </c>
      <c r="C44" s="30">
        <v>10</v>
      </c>
      <c r="D44" t="str">
        <f t="shared" si="0"/>
        <v>REFUGE DES SOUFFLES</v>
      </c>
      <c r="E44" t="s">
        <v>55</v>
      </c>
      <c r="F44" s="28" t="s">
        <v>161</v>
      </c>
      <c r="G44">
        <v>662</v>
      </c>
      <c r="H44">
        <v>29</v>
      </c>
      <c r="I44" s="5">
        <v>0.10416666666666667</v>
      </c>
      <c r="J44">
        <f>Table2[[#This Row],[Distance cumulée]]</f>
        <v>5.8</v>
      </c>
      <c r="K44">
        <v>5.8</v>
      </c>
      <c r="L44" t="s">
        <v>25</v>
      </c>
      <c r="M44"/>
      <c r="N44" s="6">
        <f>VLOOKUP(Table2[[#This Row],[Point B]],Table3[[LOCALITÉ]:[Distributeur de billets]],2,FALSE)</f>
        <v>0</v>
      </c>
      <c r="O44" s="6">
        <f>VLOOKUP(Table2[[#This Row],[Point B]],Table3[[LOCALITÉ]:[Distributeur de billets]],3,FALSE)</f>
        <v>0</v>
      </c>
      <c r="P44" s="6">
        <f>VLOOKUP(Table2[[#This Row],[Point B]],Table3[[LOCALITÉ]:[Distributeur de billets]],4,FALSE)</f>
        <v>0</v>
      </c>
      <c r="Q44" s="6">
        <f>VLOOKUP(Table2[[#This Row],[Point B]],Table3[[LOCALITÉ]:[Distributeur de billets]],5,FALSE)</f>
        <v>0</v>
      </c>
      <c r="R44" s="6">
        <f>VLOOKUP(Table2[[#This Row],[Point B]],Table3[[LOCALITÉ]:[Distributeur de billets]],6,FALSE)</f>
        <v>0</v>
      </c>
      <c r="S44" s="6">
        <f>VLOOKUP(Table2[[#This Row],[Point B]],Table3[[LOCALITÉ]:[Distributeur de billets]],7,FALSE)</f>
        <v>0</v>
      </c>
      <c r="T44" s="6">
        <f>VLOOKUP(Table2[[#This Row],[Point B]],Table3[[LOCALITÉ]:[Distributeur de billets]],8,FALSE)</f>
        <v>0</v>
      </c>
      <c r="U44" s="6">
        <f>VLOOKUP(Table2[[#This Row],[Point B]],Table3[[LOCALITÉ]:[Distributeur de billets]],9,FALSE)</f>
        <v>0</v>
      </c>
      <c r="V44" s="6">
        <f>VLOOKUP(Table2[[#This Row],[Point B]],Table3[[LOCALITÉ]:[Distributeur de billets]],10,FALSE)</f>
        <v>0</v>
      </c>
      <c r="W44" s="6">
        <f>VLOOKUP(Table2[[#This Row],[Point B]],Table3[[LOCALITÉ]:[Distributeur de billets]],11,FALSE)</f>
        <v>0</v>
      </c>
      <c r="X44" s="6">
        <f>VLOOKUP(Table2[[#This Row],[Point B]],Table3[[LOCALITÉ]:[Distributeur de billets]],12,FALSE)</f>
        <v>0</v>
      </c>
      <c r="Y44" s="6"/>
      <c r="Z44" s="25"/>
      <c r="AA44" s="25"/>
      <c r="AB44" s="25"/>
      <c r="AC44" s="25"/>
      <c r="AD44" s="25"/>
      <c r="AE44" s="6" t="str">
        <f>VLOOKUP(Table2[[#This Row],[Localité Arrivée]],Table4[],2,FALSE)</f>
        <v>Gite d'etape les Arias</v>
      </c>
      <c r="AF44" s="25">
        <f>VLOOKUP(Table2[[#This Row],[Localité Arrivée]],Table4[],3,FALSE)</f>
        <v>44927</v>
      </c>
      <c r="AG44" s="25">
        <f>VLOOKUP(Table2[[#This Row],[Localité Arrivée]],Table4[],4,FALSE)</f>
        <v>45291</v>
      </c>
      <c r="AH44" s="25"/>
      <c r="AI44" s="25">
        <f>$AP$3+Table2[[#This Row],[Etape]]</f>
        <v>45188</v>
      </c>
      <c r="AK44" t="s">
        <v>188</v>
      </c>
    </row>
    <row r="45" spans="1:37" x14ac:dyDescent="0.2">
      <c r="A45" t="s">
        <v>15</v>
      </c>
      <c r="B45" t="s">
        <v>12</v>
      </c>
      <c r="C45" s="30">
        <v>10</v>
      </c>
      <c r="D45" t="str">
        <f t="shared" si="0"/>
        <v>Col de la Vaurze</v>
      </c>
      <c r="E45" t="s">
        <v>12</v>
      </c>
      <c r="F45" s="28" t="s">
        <v>170</v>
      </c>
      <c r="G45">
        <v>0</v>
      </c>
      <c r="H45">
        <v>1255</v>
      </c>
      <c r="I45" s="5">
        <v>0.125</v>
      </c>
      <c r="J45">
        <f>Table2[[#This Row],[Distance cumulée]]-K44</f>
        <v>5.2</v>
      </c>
      <c r="K45">
        <v>11</v>
      </c>
      <c r="L45" t="s">
        <v>25</v>
      </c>
      <c r="M45"/>
      <c r="N45" s="6" t="str">
        <f>VLOOKUP(Table2[[#This Row],[Point B]],Table3[[LOCALITÉ]:[Distributeur de billets]],2,FALSE)</f>
        <v>x</v>
      </c>
      <c r="O45" s="6" t="str">
        <f>VLOOKUP(Table2[[#This Row],[Point B]],Table3[[LOCALITÉ]:[Distributeur de billets]],3,FALSE)</f>
        <v>x</v>
      </c>
      <c r="P45" s="6">
        <f>VLOOKUP(Table2[[#This Row],[Point B]],Table3[[LOCALITÉ]:[Distributeur de billets]],4,FALSE)</f>
        <v>0</v>
      </c>
      <c r="Q45" s="6" t="str">
        <f>VLOOKUP(Table2[[#This Row],[Point B]],Table3[[LOCALITÉ]:[Distributeur de billets]],5,FALSE)</f>
        <v>x</v>
      </c>
      <c r="R45" s="6" t="str">
        <f>VLOOKUP(Table2[[#This Row],[Point B]],Table3[[LOCALITÉ]:[Distributeur de billets]],6,FALSE)</f>
        <v>x</v>
      </c>
      <c r="S45" s="6" t="str">
        <f>VLOOKUP(Table2[[#This Row],[Point B]],Table3[[LOCALITÉ]:[Distributeur de billets]],7,FALSE)</f>
        <v>x</v>
      </c>
      <c r="T45" s="6" t="str">
        <f>VLOOKUP(Table2[[#This Row],[Point B]],Table3[[LOCALITÉ]:[Distributeur de billets]],8,FALSE)</f>
        <v>x</v>
      </c>
      <c r="U45" s="6">
        <f>VLOOKUP(Table2[[#This Row],[Point B]],Table3[[LOCALITÉ]:[Distributeur de billets]],9,FALSE)</f>
        <v>0</v>
      </c>
      <c r="V45" s="6">
        <f>VLOOKUP(Table2[[#This Row],[Point B]],Table3[[LOCALITÉ]:[Distributeur de billets]],10,FALSE)</f>
        <v>0</v>
      </c>
      <c r="W45" s="6">
        <f>VLOOKUP(Table2[[#This Row],[Point B]],Table3[[LOCALITÉ]:[Distributeur de billets]],11,FALSE)</f>
        <v>0</v>
      </c>
      <c r="X45" s="6">
        <f>VLOOKUP(Table2[[#This Row],[Point B]],Table3[[LOCALITÉ]:[Distributeur de billets]],12,FALSE)</f>
        <v>0</v>
      </c>
      <c r="Y45" s="6"/>
      <c r="Z45" s="25"/>
      <c r="AA45" s="25"/>
      <c r="AB45" s="25"/>
      <c r="AC45" s="25"/>
      <c r="AD45" s="25"/>
      <c r="AE45" s="6" t="str">
        <f>VLOOKUP(Table2[[#This Row],[Localité Arrivée]],Table4[],2,FALSE)</f>
        <v>Gite d'etape les Arias</v>
      </c>
      <c r="AF45" s="25">
        <f>VLOOKUP(Table2[[#This Row],[Localité Arrivée]],Table4[],3,FALSE)</f>
        <v>44927</v>
      </c>
      <c r="AG45" s="25">
        <f>VLOOKUP(Table2[[#This Row],[Localité Arrivée]],Table4[],4,FALSE)</f>
        <v>45291</v>
      </c>
      <c r="AH45" s="25"/>
      <c r="AI45" s="25">
        <f>$AP$3+Table2[[#This Row],[Etape]]</f>
        <v>45188</v>
      </c>
    </row>
    <row r="46" spans="1:37" x14ac:dyDescent="0.2">
      <c r="A46" t="s">
        <v>12</v>
      </c>
      <c r="B46" t="s">
        <v>59</v>
      </c>
      <c r="C46" s="30">
        <v>11</v>
      </c>
      <c r="D46" t="str">
        <f t="shared" si="0"/>
        <v>LE DESERT-EN-VALJOUFFREY</v>
      </c>
      <c r="E46" t="s">
        <v>56</v>
      </c>
      <c r="F46" s="28" t="s">
        <v>167</v>
      </c>
      <c r="G46">
        <v>1030</v>
      </c>
      <c r="H46">
        <v>10</v>
      </c>
      <c r="I46" s="5">
        <v>0.14583333333333334</v>
      </c>
      <c r="J46">
        <f>Table2[[#This Row],[Distance cumulée]]</f>
        <v>5.0999999999999996</v>
      </c>
      <c r="K46">
        <v>5.0999999999999996</v>
      </c>
      <c r="L46" t="s">
        <v>25</v>
      </c>
      <c r="M46"/>
      <c r="N46" s="6">
        <f>VLOOKUP(Table2[[#This Row],[Point B]],Table3[[LOCALITÉ]:[Distributeur de billets]],2,FALSE)</f>
        <v>0</v>
      </c>
      <c r="O46" s="6">
        <f>VLOOKUP(Table2[[#This Row],[Point B]],Table3[[LOCALITÉ]:[Distributeur de billets]],3,FALSE)</f>
        <v>0</v>
      </c>
      <c r="P46" s="6">
        <f>VLOOKUP(Table2[[#This Row],[Point B]],Table3[[LOCALITÉ]:[Distributeur de billets]],4,FALSE)</f>
        <v>0</v>
      </c>
      <c r="Q46" s="6">
        <f>VLOOKUP(Table2[[#This Row],[Point B]],Table3[[LOCALITÉ]:[Distributeur de billets]],5,FALSE)</f>
        <v>0</v>
      </c>
      <c r="R46" s="6">
        <f>VLOOKUP(Table2[[#This Row],[Point B]],Table3[[LOCALITÉ]:[Distributeur de billets]],6,FALSE)</f>
        <v>0</v>
      </c>
      <c r="S46" s="6">
        <f>VLOOKUP(Table2[[#This Row],[Point B]],Table3[[LOCALITÉ]:[Distributeur de billets]],7,FALSE)</f>
        <v>0</v>
      </c>
      <c r="T46" s="6">
        <f>VLOOKUP(Table2[[#This Row],[Point B]],Table3[[LOCALITÉ]:[Distributeur de billets]],8,FALSE)</f>
        <v>0</v>
      </c>
      <c r="U46" s="6">
        <f>VLOOKUP(Table2[[#This Row],[Point B]],Table3[[LOCALITÉ]:[Distributeur de billets]],9,FALSE)</f>
        <v>0</v>
      </c>
      <c r="V46" s="6">
        <f>VLOOKUP(Table2[[#This Row],[Point B]],Table3[[LOCALITÉ]:[Distributeur de billets]],10,FALSE)</f>
        <v>0</v>
      </c>
      <c r="W46" s="6">
        <f>VLOOKUP(Table2[[#This Row],[Point B]],Table3[[LOCALITÉ]:[Distributeur de billets]],11,FALSE)</f>
        <v>0</v>
      </c>
      <c r="X46" s="6">
        <f>VLOOKUP(Table2[[#This Row],[Point B]],Table3[[LOCALITÉ]:[Distributeur de billets]],12,FALSE)</f>
        <v>0</v>
      </c>
      <c r="Y46" s="6"/>
      <c r="Z46" s="25"/>
      <c r="AA46" s="25"/>
      <c r="AB46" s="25"/>
      <c r="AC46" s="25"/>
      <c r="AD46" s="25"/>
      <c r="AE46" s="6" t="str">
        <f>VLOOKUP(Table2[[#This Row],[Localité Arrivée]],Table4[],2,FALSE)</f>
        <v>Gite d'etape le Beranger</v>
      </c>
      <c r="AF46" s="25">
        <f>VLOOKUP(Table2[[#This Row],[Localité Arrivée]],Table4[],3,FALSE)</f>
        <v>44927</v>
      </c>
      <c r="AG46" s="25">
        <f>VLOOKUP(Table2[[#This Row],[Localité Arrivée]],Table4[],4,FALSE)</f>
        <v>45291</v>
      </c>
      <c r="AH46" s="25"/>
      <c r="AI46" s="25">
        <f>$AP$3+Table2[[#This Row],[Etape]]</f>
        <v>45189</v>
      </c>
      <c r="AK46" t="s">
        <v>189</v>
      </c>
    </row>
    <row r="47" spans="1:37" x14ac:dyDescent="0.2">
      <c r="A47" t="s">
        <v>12</v>
      </c>
      <c r="B47" t="s">
        <v>59</v>
      </c>
      <c r="C47" s="30">
        <v>11</v>
      </c>
      <c r="D47" t="str">
        <f t="shared" si="0"/>
        <v>Col de Côte-Belle</v>
      </c>
      <c r="E47" t="s">
        <v>57</v>
      </c>
      <c r="F47" s="28" t="s">
        <v>171</v>
      </c>
      <c r="G47">
        <v>10</v>
      </c>
      <c r="H47">
        <v>820</v>
      </c>
      <c r="I47" s="5">
        <v>7.2916666666666671E-2</v>
      </c>
      <c r="J47">
        <f>Table2[[#This Row],[Distance cumulée]]-K46</f>
        <v>4.4000000000000004</v>
      </c>
      <c r="K47">
        <v>9.5</v>
      </c>
      <c r="L47" t="s">
        <v>25</v>
      </c>
      <c r="M47"/>
      <c r="N47" s="6">
        <f>VLOOKUP(Table2[[#This Row],[Point B]],Table3[[LOCALITÉ]:[Distributeur de billets]],2,FALSE)</f>
        <v>0</v>
      </c>
      <c r="O47" s="6">
        <f>VLOOKUP(Table2[[#This Row],[Point B]],Table3[[LOCALITÉ]:[Distributeur de billets]],3,FALSE)</f>
        <v>0</v>
      </c>
      <c r="P47" s="6">
        <f>VLOOKUP(Table2[[#This Row],[Point B]],Table3[[LOCALITÉ]:[Distributeur de billets]],4,FALSE)</f>
        <v>0</v>
      </c>
      <c r="Q47" s="6">
        <f>VLOOKUP(Table2[[#This Row],[Point B]],Table3[[LOCALITÉ]:[Distributeur de billets]],5,FALSE)</f>
        <v>0</v>
      </c>
      <c r="R47" s="6">
        <f>VLOOKUP(Table2[[#This Row],[Point B]],Table3[[LOCALITÉ]:[Distributeur de billets]],6,FALSE)</f>
        <v>0</v>
      </c>
      <c r="S47" s="6">
        <f>VLOOKUP(Table2[[#This Row],[Point B]],Table3[[LOCALITÉ]:[Distributeur de billets]],7,FALSE)</f>
        <v>0</v>
      </c>
      <c r="T47" s="6">
        <f>VLOOKUP(Table2[[#This Row],[Point B]],Table3[[LOCALITÉ]:[Distributeur de billets]],8,FALSE)</f>
        <v>0</v>
      </c>
      <c r="U47" s="6">
        <f>VLOOKUP(Table2[[#This Row],[Point B]],Table3[[LOCALITÉ]:[Distributeur de billets]],9,FALSE)</f>
        <v>0</v>
      </c>
      <c r="V47" s="6">
        <f>VLOOKUP(Table2[[#This Row],[Point B]],Table3[[LOCALITÉ]:[Distributeur de billets]],10,FALSE)</f>
        <v>0</v>
      </c>
      <c r="W47" s="6">
        <f>VLOOKUP(Table2[[#This Row],[Point B]],Table3[[LOCALITÉ]:[Distributeur de billets]],11,FALSE)</f>
        <v>0</v>
      </c>
      <c r="X47" s="6">
        <f>VLOOKUP(Table2[[#This Row],[Point B]],Table3[[LOCALITÉ]:[Distributeur de billets]],12,FALSE)</f>
        <v>0</v>
      </c>
      <c r="Y47" s="6"/>
      <c r="Z47" s="25"/>
      <c r="AA47" s="25"/>
      <c r="AB47" s="25"/>
      <c r="AC47" s="25"/>
      <c r="AD47" s="25"/>
      <c r="AE47" s="6" t="str">
        <f>VLOOKUP(Table2[[#This Row],[Localité Arrivée]],Table4[],2,FALSE)</f>
        <v>Gite d'etape le Beranger</v>
      </c>
      <c r="AF47" s="25">
        <f>VLOOKUP(Table2[[#This Row],[Localité Arrivée]],Table4[],3,FALSE)</f>
        <v>44927</v>
      </c>
      <c r="AG47" s="25">
        <f>VLOOKUP(Table2[[#This Row],[Localité Arrivée]],Table4[],4,FALSE)</f>
        <v>45291</v>
      </c>
      <c r="AH47" s="25"/>
      <c r="AI47" s="25">
        <f>$AP$3+Table2[[#This Row],[Etape]]</f>
        <v>45189</v>
      </c>
    </row>
    <row r="48" spans="1:37" x14ac:dyDescent="0.2">
      <c r="A48" t="s">
        <v>12</v>
      </c>
      <c r="B48" t="s">
        <v>59</v>
      </c>
      <c r="C48" s="30">
        <v>11</v>
      </c>
      <c r="D48" t="str">
        <f t="shared" si="0"/>
        <v>Carrefour de Valsenestre</v>
      </c>
      <c r="E48" t="s">
        <v>59</v>
      </c>
      <c r="F48" s="28" t="s">
        <v>172</v>
      </c>
      <c r="G48">
        <v>0</v>
      </c>
      <c r="H48">
        <f>1492-1295</f>
        <v>197</v>
      </c>
      <c r="I48" s="5">
        <v>2.0833333333333332E-2</v>
      </c>
      <c r="J48">
        <f>Table2[[#This Row],[Distance cumulée]]-K47</f>
        <v>2</v>
      </c>
      <c r="K48">
        <v>11.5</v>
      </c>
      <c r="L48" t="s">
        <v>65</v>
      </c>
      <c r="M48"/>
      <c r="N48" s="6" t="str">
        <f>VLOOKUP(Table2[[#This Row],[Point B]],Table3[[LOCALITÉ]:[Distributeur de billets]],2,FALSE)</f>
        <v>x</v>
      </c>
      <c r="O48" s="6">
        <f>VLOOKUP(Table2[[#This Row],[Point B]],Table3[[LOCALITÉ]:[Distributeur de billets]],3,FALSE)</f>
        <v>0</v>
      </c>
      <c r="P48" s="6">
        <f>VLOOKUP(Table2[[#This Row],[Point B]],Table3[[LOCALITÉ]:[Distributeur de billets]],4,FALSE)</f>
        <v>0</v>
      </c>
      <c r="Q48" s="6">
        <f>VLOOKUP(Table2[[#This Row],[Point B]],Table3[[LOCALITÉ]:[Distributeur de billets]],5,FALSE)</f>
        <v>0</v>
      </c>
      <c r="R48" s="6">
        <f>VLOOKUP(Table2[[#This Row],[Point B]],Table3[[LOCALITÉ]:[Distributeur de billets]],6,FALSE)</f>
        <v>0</v>
      </c>
      <c r="S48" s="6" t="str">
        <f>VLOOKUP(Table2[[#This Row],[Point B]],Table3[[LOCALITÉ]:[Distributeur de billets]],7,FALSE)</f>
        <v>x</v>
      </c>
      <c r="T48" s="6">
        <f>VLOOKUP(Table2[[#This Row],[Point B]],Table3[[LOCALITÉ]:[Distributeur de billets]],8,FALSE)</f>
        <v>0</v>
      </c>
      <c r="U48" s="6">
        <f>VLOOKUP(Table2[[#This Row],[Point B]],Table3[[LOCALITÉ]:[Distributeur de billets]],9,FALSE)</f>
        <v>0</v>
      </c>
      <c r="V48" s="6">
        <f>VLOOKUP(Table2[[#This Row],[Point B]],Table3[[LOCALITÉ]:[Distributeur de billets]],10,FALSE)</f>
        <v>0</v>
      </c>
      <c r="W48" s="6">
        <f>VLOOKUP(Table2[[#This Row],[Point B]],Table3[[LOCALITÉ]:[Distributeur de billets]],11,FALSE)</f>
        <v>0</v>
      </c>
      <c r="X48" s="6">
        <f>VLOOKUP(Table2[[#This Row],[Point B]],Table3[[LOCALITÉ]:[Distributeur de billets]],12,FALSE)</f>
        <v>0</v>
      </c>
      <c r="Y48" s="6"/>
      <c r="Z48" s="25"/>
      <c r="AA48" s="25"/>
      <c r="AB48" s="25"/>
      <c r="AC48" s="25"/>
      <c r="AD48" s="25"/>
      <c r="AE48" s="6" t="str">
        <f>VLOOKUP(Table2[[#This Row],[Localité Arrivée]],Table4[],2,FALSE)</f>
        <v>Gite d'etape le Beranger</v>
      </c>
      <c r="AF48" s="25">
        <f>VLOOKUP(Table2[[#This Row],[Localité Arrivée]],Table4[],3,FALSE)</f>
        <v>44927</v>
      </c>
      <c r="AG48" s="25">
        <f>VLOOKUP(Table2[[#This Row],[Localité Arrivée]],Table4[],4,FALSE)</f>
        <v>45291</v>
      </c>
      <c r="AH48" s="25"/>
      <c r="AI48" s="25">
        <f>$AP$3+Table2[[#This Row],[Etape]]</f>
        <v>45189</v>
      </c>
    </row>
    <row r="49" spans="1:37" x14ac:dyDescent="0.2">
      <c r="A49" t="s">
        <v>59</v>
      </c>
      <c r="B49" s="3" t="s">
        <v>84</v>
      </c>
      <c r="C49" s="30">
        <v>12</v>
      </c>
      <c r="D49" t="str">
        <f t="shared" si="0"/>
        <v>VALSENESTRE</v>
      </c>
      <c r="E49" t="s">
        <v>57</v>
      </c>
      <c r="F49" s="28" t="s">
        <v>169</v>
      </c>
      <c r="G49">
        <f>H48</f>
        <v>197</v>
      </c>
      <c r="H49">
        <v>0</v>
      </c>
      <c r="I49" s="5">
        <v>4.1666666666666664E-2</v>
      </c>
      <c r="J49">
        <f>Table2[[#This Row],[Distance cumulée]]</f>
        <v>2</v>
      </c>
      <c r="K49">
        <v>2</v>
      </c>
      <c r="L49" t="s">
        <v>25</v>
      </c>
      <c r="M49"/>
      <c r="N49" s="6">
        <f>VLOOKUP(Table2[[#This Row],[Point B]],Table3[[LOCALITÉ]:[Distributeur de billets]],2,FALSE)</f>
        <v>0</v>
      </c>
      <c r="O49" s="6">
        <f>VLOOKUP(Table2[[#This Row],[Point B]],Table3[[LOCALITÉ]:[Distributeur de billets]],3,FALSE)</f>
        <v>0</v>
      </c>
      <c r="P49" s="6">
        <f>VLOOKUP(Table2[[#This Row],[Point B]],Table3[[LOCALITÉ]:[Distributeur de billets]],4,FALSE)</f>
        <v>0</v>
      </c>
      <c r="Q49" s="6">
        <f>VLOOKUP(Table2[[#This Row],[Point B]],Table3[[LOCALITÉ]:[Distributeur de billets]],5,FALSE)</f>
        <v>0</v>
      </c>
      <c r="R49" s="6">
        <f>VLOOKUP(Table2[[#This Row],[Point B]],Table3[[LOCALITÉ]:[Distributeur de billets]],6,FALSE)</f>
        <v>0</v>
      </c>
      <c r="S49" s="6">
        <f>VLOOKUP(Table2[[#This Row],[Point B]],Table3[[LOCALITÉ]:[Distributeur de billets]],7,FALSE)</f>
        <v>0</v>
      </c>
      <c r="T49" s="6">
        <f>VLOOKUP(Table2[[#This Row],[Point B]],Table3[[LOCALITÉ]:[Distributeur de billets]],8,FALSE)</f>
        <v>0</v>
      </c>
      <c r="U49" s="6">
        <f>VLOOKUP(Table2[[#This Row],[Point B]],Table3[[LOCALITÉ]:[Distributeur de billets]],9,FALSE)</f>
        <v>0</v>
      </c>
      <c r="V49" s="6">
        <f>VLOOKUP(Table2[[#This Row],[Point B]],Table3[[LOCALITÉ]:[Distributeur de billets]],10,FALSE)</f>
        <v>0</v>
      </c>
      <c r="W49" s="6">
        <f>VLOOKUP(Table2[[#This Row],[Point B]],Table3[[LOCALITÉ]:[Distributeur de billets]],11,FALSE)</f>
        <v>0</v>
      </c>
      <c r="X49" s="6">
        <f>VLOOKUP(Table2[[#This Row],[Point B]],Table3[[LOCALITÉ]:[Distributeur de billets]],12,FALSE)</f>
        <v>0</v>
      </c>
      <c r="Y49" s="6"/>
      <c r="Z49" s="25"/>
      <c r="AA49" s="25"/>
      <c r="AB49" s="25"/>
      <c r="AC49" s="25"/>
      <c r="AD49" s="25"/>
      <c r="AE49" s="6" t="str">
        <f>VLOOKUP(Table2[[#This Row],[Localité Arrivée]],Table4[],2,FALSE)</f>
        <v>REFUGE DE LA MUZELLE</v>
      </c>
      <c r="AF49" s="25">
        <f>VLOOKUP(Table2[[#This Row],[Localité Arrivée]],Table4[],3,FALSE)</f>
        <v>44927</v>
      </c>
      <c r="AG49" s="25">
        <f>VLOOKUP(Table2[[#This Row],[Localité Arrivée]],Table4[],4,FALSE)</f>
        <v>45199</v>
      </c>
      <c r="AH49" s="25"/>
      <c r="AI49" s="25">
        <f>$AP$3+Table2[[#This Row],[Etape]]</f>
        <v>45190</v>
      </c>
      <c r="AK49" t="s">
        <v>190</v>
      </c>
    </row>
    <row r="50" spans="1:37" x14ac:dyDescent="0.2">
      <c r="A50" t="s">
        <v>59</v>
      </c>
      <c r="B50" s="3" t="s">
        <v>84</v>
      </c>
      <c r="C50" s="30">
        <v>12</v>
      </c>
      <c r="D50" t="str">
        <f t="shared" si="0"/>
        <v>Carrefour de Valsenestre</v>
      </c>
      <c r="E50" t="s">
        <v>58</v>
      </c>
      <c r="F50" s="28" t="s">
        <v>173</v>
      </c>
      <c r="G50">
        <v>1130</v>
      </c>
      <c r="H50">
        <v>20</v>
      </c>
      <c r="I50" s="5">
        <v>0.1875</v>
      </c>
      <c r="J50">
        <f>Table2[[#This Row],[Distance cumulée]]-K49</f>
        <v>4.4000000000000004</v>
      </c>
      <c r="K50">
        <v>6.4</v>
      </c>
      <c r="L50" t="s">
        <v>25</v>
      </c>
      <c r="M50"/>
      <c r="N50" s="6">
        <f>VLOOKUP(Table2[[#This Row],[Point B]],Table3[[LOCALITÉ]:[Distributeur de billets]],2,FALSE)</f>
        <v>0</v>
      </c>
      <c r="O50" s="6">
        <f>VLOOKUP(Table2[[#This Row],[Point B]],Table3[[LOCALITÉ]:[Distributeur de billets]],3,FALSE)</f>
        <v>0</v>
      </c>
      <c r="P50" s="6">
        <f>VLOOKUP(Table2[[#This Row],[Point B]],Table3[[LOCALITÉ]:[Distributeur de billets]],4,FALSE)</f>
        <v>0</v>
      </c>
      <c r="Q50" s="6">
        <f>VLOOKUP(Table2[[#This Row],[Point B]],Table3[[LOCALITÉ]:[Distributeur de billets]],5,FALSE)</f>
        <v>0</v>
      </c>
      <c r="R50" s="6">
        <f>VLOOKUP(Table2[[#This Row],[Point B]],Table3[[LOCALITÉ]:[Distributeur de billets]],6,FALSE)</f>
        <v>0</v>
      </c>
      <c r="S50" s="6">
        <f>VLOOKUP(Table2[[#This Row],[Point B]],Table3[[LOCALITÉ]:[Distributeur de billets]],7,FALSE)</f>
        <v>0</v>
      </c>
      <c r="T50" s="6">
        <f>VLOOKUP(Table2[[#This Row],[Point B]],Table3[[LOCALITÉ]:[Distributeur de billets]],8,FALSE)</f>
        <v>0</v>
      </c>
      <c r="U50" s="6">
        <f>VLOOKUP(Table2[[#This Row],[Point B]],Table3[[LOCALITÉ]:[Distributeur de billets]],9,FALSE)</f>
        <v>0</v>
      </c>
      <c r="V50" s="6">
        <f>VLOOKUP(Table2[[#This Row],[Point B]],Table3[[LOCALITÉ]:[Distributeur de billets]],10,FALSE)</f>
        <v>0</v>
      </c>
      <c r="W50" s="6">
        <f>VLOOKUP(Table2[[#This Row],[Point B]],Table3[[LOCALITÉ]:[Distributeur de billets]],11,FALSE)</f>
        <v>0</v>
      </c>
      <c r="X50" s="6">
        <f>VLOOKUP(Table2[[#This Row],[Point B]],Table3[[LOCALITÉ]:[Distributeur de billets]],12,FALSE)</f>
        <v>0</v>
      </c>
      <c r="Y50" s="6"/>
      <c r="Z50" s="25"/>
      <c r="AA50" s="25"/>
      <c r="AB50" s="25"/>
      <c r="AC50" s="25"/>
      <c r="AD50" s="25"/>
      <c r="AE50" s="6" t="str">
        <f>VLOOKUP(Table2[[#This Row],[Localité Arrivée]],Table4[],2,FALSE)</f>
        <v>REFUGE DE LA MUZELLE</v>
      </c>
      <c r="AF50" s="25">
        <f>VLOOKUP(Table2[[#This Row],[Localité Arrivée]],Table4[],3,FALSE)</f>
        <v>44927</v>
      </c>
      <c r="AG50" s="25">
        <f>VLOOKUP(Table2[[#This Row],[Localité Arrivée]],Table4[],4,FALSE)</f>
        <v>45199</v>
      </c>
      <c r="AH50" s="25"/>
      <c r="AI50" s="25">
        <f>$AP$3+Table2[[#This Row],[Etape]]</f>
        <v>45190</v>
      </c>
    </row>
    <row r="51" spans="1:37" x14ac:dyDescent="0.2">
      <c r="A51" t="s">
        <v>59</v>
      </c>
      <c r="B51" s="3" t="s">
        <v>84</v>
      </c>
      <c r="C51" s="30">
        <v>12</v>
      </c>
      <c r="D51" t="str">
        <f t="shared" si="0"/>
        <v>Col de la Muzelle</v>
      </c>
      <c r="E51" s="3" t="s">
        <v>84</v>
      </c>
      <c r="F51" s="28" t="s">
        <v>174</v>
      </c>
      <c r="G51">
        <v>0</v>
      </c>
      <c r="H51">
        <v>510</v>
      </c>
      <c r="I51" s="5">
        <v>4.1666666666666664E-2</v>
      </c>
      <c r="J51">
        <f>Table2[[#This Row],[Distance cumulée]]-K50</f>
        <v>2.5999999999999996</v>
      </c>
      <c r="K51">
        <v>9</v>
      </c>
      <c r="L51" t="s">
        <v>25</v>
      </c>
      <c r="M51"/>
      <c r="N51" s="6" t="str">
        <f>VLOOKUP(Table2[[#This Row],[Point B]],Table3[[LOCALITÉ]:[Distributeur de billets]],2,FALSE)</f>
        <v>x</v>
      </c>
      <c r="O51" s="6">
        <f>VLOOKUP(Table2[[#This Row],[Point B]],Table3[[LOCALITÉ]:[Distributeur de billets]],3,FALSE)</f>
        <v>0</v>
      </c>
      <c r="P51" s="6">
        <f>VLOOKUP(Table2[[#This Row],[Point B]],Table3[[LOCALITÉ]:[Distributeur de billets]],4,FALSE)</f>
        <v>0</v>
      </c>
      <c r="Q51" s="6">
        <f>VLOOKUP(Table2[[#This Row],[Point B]],Table3[[LOCALITÉ]:[Distributeur de billets]],5,FALSE)</f>
        <v>0</v>
      </c>
      <c r="R51" s="6">
        <f>VLOOKUP(Table2[[#This Row],[Point B]],Table3[[LOCALITÉ]:[Distributeur de billets]],6,FALSE)</f>
        <v>0</v>
      </c>
      <c r="S51" s="6" t="str">
        <f>VLOOKUP(Table2[[#This Row],[Point B]],Table3[[LOCALITÉ]:[Distributeur de billets]],7,FALSE)</f>
        <v>x</v>
      </c>
      <c r="T51" s="6" t="str">
        <f>VLOOKUP(Table2[[#This Row],[Point B]],Table3[[LOCALITÉ]:[Distributeur de billets]],8,FALSE)</f>
        <v>x</v>
      </c>
      <c r="U51" s="6">
        <f>VLOOKUP(Table2[[#This Row],[Point B]],Table3[[LOCALITÉ]:[Distributeur de billets]],9,FALSE)</f>
        <v>0</v>
      </c>
      <c r="V51" s="6">
        <f>VLOOKUP(Table2[[#This Row],[Point B]],Table3[[LOCALITÉ]:[Distributeur de billets]],10,FALSE)</f>
        <v>0</v>
      </c>
      <c r="W51" s="6">
        <f>VLOOKUP(Table2[[#This Row],[Point B]],Table3[[LOCALITÉ]:[Distributeur de billets]],11,FALSE)</f>
        <v>0</v>
      </c>
      <c r="X51" s="6">
        <f>VLOOKUP(Table2[[#This Row],[Point B]],Table3[[LOCALITÉ]:[Distributeur de billets]],12,FALSE)</f>
        <v>0</v>
      </c>
      <c r="Y51" s="6"/>
      <c r="Z51" s="25"/>
      <c r="AA51" s="25"/>
      <c r="AB51" s="25"/>
      <c r="AC51" s="25"/>
      <c r="AD51" s="25"/>
      <c r="AE51" s="6" t="str">
        <f>VLOOKUP(Table2[[#This Row],[Localité Arrivée]],Table4[],2,FALSE)</f>
        <v>REFUGE DE LA MUZELLE</v>
      </c>
      <c r="AF51" s="25">
        <f>VLOOKUP(Table2[[#This Row],[Localité Arrivée]],Table4[],3,FALSE)</f>
        <v>44927</v>
      </c>
      <c r="AG51" s="25">
        <f>VLOOKUP(Table2[[#This Row],[Localité Arrivée]],Table4[],4,FALSE)</f>
        <v>45199</v>
      </c>
      <c r="AH51" s="25"/>
      <c r="AI51" s="25">
        <f>$AP$3+Table2[[#This Row],[Etape]]</f>
        <v>45190</v>
      </c>
    </row>
    <row r="52" spans="1:37" x14ac:dyDescent="0.2">
      <c r="A52" t="s">
        <v>60</v>
      </c>
      <c r="B52" t="s">
        <v>0</v>
      </c>
      <c r="C52" s="30">
        <v>13</v>
      </c>
      <c r="D52" t="str">
        <f t="shared" si="0"/>
        <v>REFUGE DE LA MUZELLE</v>
      </c>
      <c r="E52" t="s">
        <v>61</v>
      </c>
      <c r="F52" s="28" t="s">
        <v>201</v>
      </c>
      <c r="G52">
        <v>430</v>
      </c>
      <c r="H52">
        <v>0</v>
      </c>
      <c r="I52" s="5">
        <v>6.25E-2</v>
      </c>
      <c r="J52">
        <f>Table2[[#This Row],[Distance cumulée]]</f>
        <v>2.4</v>
      </c>
      <c r="K52">
        <v>2.4</v>
      </c>
      <c r="L52" t="s">
        <v>25</v>
      </c>
      <c r="M52"/>
      <c r="N52" s="6">
        <f>VLOOKUP(Table2[[#This Row],[Point B]],Table3[[LOCALITÉ]:[Distributeur de billets]],2,FALSE)</f>
        <v>0</v>
      </c>
      <c r="O52" s="6">
        <f>VLOOKUP(Table2[[#This Row],[Point B]],Table3[[LOCALITÉ]:[Distributeur de billets]],3,FALSE)</f>
        <v>0</v>
      </c>
      <c r="P52" s="6">
        <f>VLOOKUP(Table2[[#This Row],[Point B]],Table3[[LOCALITÉ]:[Distributeur de billets]],4,FALSE)</f>
        <v>0</v>
      </c>
      <c r="Q52" s="6">
        <f>VLOOKUP(Table2[[#This Row],[Point B]],Table3[[LOCALITÉ]:[Distributeur de billets]],5,FALSE)</f>
        <v>0</v>
      </c>
      <c r="R52" s="6">
        <f>VLOOKUP(Table2[[#This Row],[Point B]],Table3[[LOCALITÉ]:[Distributeur de billets]],6,FALSE)</f>
        <v>0</v>
      </c>
      <c r="S52" s="6">
        <f>VLOOKUP(Table2[[#This Row],[Point B]],Table3[[LOCALITÉ]:[Distributeur de billets]],7,FALSE)</f>
        <v>0</v>
      </c>
      <c r="T52" s="6">
        <f>VLOOKUP(Table2[[#This Row],[Point B]],Table3[[LOCALITÉ]:[Distributeur de billets]],8,FALSE)</f>
        <v>0</v>
      </c>
      <c r="U52" s="6">
        <f>VLOOKUP(Table2[[#This Row],[Point B]],Table3[[LOCALITÉ]:[Distributeur de billets]],9,FALSE)</f>
        <v>0</v>
      </c>
      <c r="V52" s="6">
        <f>VLOOKUP(Table2[[#This Row],[Point B]],Table3[[LOCALITÉ]:[Distributeur de billets]],10,FALSE)</f>
        <v>0</v>
      </c>
      <c r="W52" s="6">
        <f>VLOOKUP(Table2[[#This Row],[Point B]],Table3[[LOCALITÉ]:[Distributeur de billets]],11,FALSE)</f>
        <v>0</v>
      </c>
      <c r="X52" s="6">
        <f>VLOOKUP(Table2[[#This Row],[Point B]],Table3[[LOCALITÉ]:[Distributeur de billets]],12,FALSE)</f>
        <v>0</v>
      </c>
      <c r="Y52" s="6"/>
      <c r="Z52" s="25"/>
      <c r="AA52" s="25"/>
      <c r="AB52" s="25"/>
      <c r="AC52" s="25"/>
      <c r="AD52" s="25"/>
      <c r="AE52" s="6" t="str">
        <f>VLOOKUP(Table2[[#This Row],[Localité Arrivée]],Table4[],2,FALSE)</f>
        <v>Camping Le Colporteur</v>
      </c>
      <c r="AF52" s="25">
        <f>VLOOKUP(Table2[[#This Row],[Localité Arrivée]],Table4[],3,FALSE)</f>
        <v>45023</v>
      </c>
      <c r="AG52" s="25">
        <f>VLOOKUP(Table2[[#This Row],[Localité Arrivée]],Table4[],4,FALSE)</f>
        <v>45200</v>
      </c>
      <c r="AH52" s="25"/>
      <c r="AI52" s="25">
        <f>$AP$3+Table2[[#This Row],[Etape]]</f>
        <v>45191</v>
      </c>
      <c r="AK52" t="s">
        <v>191</v>
      </c>
    </row>
    <row r="53" spans="1:37" x14ac:dyDescent="0.2">
      <c r="A53" t="s">
        <v>60</v>
      </c>
      <c r="B53" t="s">
        <v>0</v>
      </c>
      <c r="C53" s="30">
        <v>13</v>
      </c>
      <c r="D53" t="str">
        <f t="shared" si="0"/>
        <v>Col du Vallon</v>
      </c>
      <c r="E53" t="s">
        <v>62</v>
      </c>
      <c r="F53" s="28" t="s">
        <v>202</v>
      </c>
      <c r="G53">
        <v>20</v>
      </c>
      <c r="H53">
        <v>1070</v>
      </c>
      <c r="I53" s="5">
        <v>0.10416666666666667</v>
      </c>
      <c r="J53">
        <f>Table2[[#This Row],[Distance cumulée]]-K52</f>
        <v>4.1999999999999993</v>
      </c>
      <c r="K53">
        <v>6.6</v>
      </c>
      <c r="L53" t="s">
        <v>25</v>
      </c>
      <c r="M53"/>
      <c r="N53" s="6">
        <f>VLOOKUP(Table2[[#This Row],[Point B]],Table3[[LOCALITÉ]:[Distributeur de billets]],2,FALSE)</f>
        <v>0</v>
      </c>
      <c r="O53" s="6">
        <f>VLOOKUP(Table2[[#This Row],[Point B]],Table3[[LOCALITÉ]:[Distributeur de billets]],3,FALSE)</f>
        <v>0</v>
      </c>
      <c r="P53" s="6">
        <f>VLOOKUP(Table2[[#This Row],[Point B]],Table3[[LOCALITÉ]:[Distributeur de billets]],4,FALSE)</f>
        <v>0</v>
      </c>
      <c r="Q53" s="6">
        <f>VLOOKUP(Table2[[#This Row],[Point B]],Table3[[LOCALITÉ]:[Distributeur de billets]],5,FALSE)</f>
        <v>0</v>
      </c>
      <c r="R53" s="6">
        <f>VLOOKUP(Table2[[#This Row],[Point B]],Table3[[LOCALITÉ]:[Distributeur de billets]],6,FALSE)</f>
        <v>0</v>
      </c>
      <c r="S53" s="6">
        <f>VLOOKUP(Table2[[#This Row],[Point B]],Table3[[LOCALITÉ]:[Distributeur de billets]],7,FALSE)</f>
        <v>0</v>
      </c>
      <c r="T53" s="6">
        <f>VLOOKUP(Table2[[#This Row],[Point B]],Table3[[LOCALITÉ]:[Distributeur de billets]],8,FALSE)</f>
        <v>0</v>
      </c>
      <c r="U53" s="6">
        <f>VLOOKUP(Table2[[#This Row],[Point B]],Table3[[LOCALITÉ]:[Distributeur de billets]],9,FALSE)</f>
        <v>0</v>
      </c>
      <c r="V53" s="6">
        <f>VLOOKUP(Table2[[#This Row],[Point B]],Table3[[LOCALITÉ]:[Distributeur de billets]],10,FALSE)</f>
        <v>0</v>
      </c>
      <c r="W53" s="6">
        <f>VLOOKUP(Table2[[#This Row],[Point B]],Table3[[LOCALITÉ]:[Distributeur de billets]],11,FALSE)</f>
        <v>0</v>
      </c>
      <c r="X53" s="6">
        <f>VLOOKUP(Table2[[#This Row],[Point B]],Table3[[LOCALITÉ]:[Distributeur de billets]],12,FALSE)</f>
        <v>0</v>
      </c>
      <c r="Y53" s="6"/>
      <c r="Z53" s="25"/>
      <c r="AA53" s="25"/>
      <c r="AB53" s="25"/>
      <c r="AC53" s="25"/>
      <c r="AD53" s="25"/>
      <c r="AE53" s="6" t="str">
        <f>VLOOKUP(Table2[[#This Row],[Localité Arrivée]],Table4[],2,FALSE)</f>
        <v>Camping Le Colporteur</v>
      </c>
      <c r="AF53" s="25">
        <f>VLOOKUP(Table2[[#This Row],[Localité Arrivée]],Table4[],3,FALSE)</f>
        <v>45023</v>
      </c>
      <c r="AG53" s="25">
        <f>VLOOKUP(Table2[[#This Row],[Localité Arrivée]],Table4[],4,FALSE)</f>
        <v>45200</v>
      </c>
      <c r="AH53" s="25"/>
      <c r="AI53" s="25">
        <f>$AP$3+Table2[[#This Row],[Etape]]</f>
        <v>45191</v>
      </c>
    </row>
    <row r="54" spans="1:37" x14ac:dyDescent="0.2">
      <c r="A54" t="s">
        <v>60</v>
      </c>
      <c r="B54" t="s">
        <v>0</v>
      </c>
      <c r="C54" s="30">
        <v>13</v>
      </c>
      <c r="D54" t="str">
        <f t="shared" si="0"/>
        <v>Lauvitel</v>
      </c>
      <c r="E54" t="s">
        <v>63</v>
      </c>
      <c r="F54" s="28" t="s">
        <v>203</v>
      </c>
      <c r="G54">
        <v>30</v>
      </c>
      <c r="H54">
        <v>540</v>
      </c>
      <c r="I54" s="5">
        <v>4.1666666666666664E-2</v>
      </c>
      <c r="J54">
        <f>Table2[[#This Row],[Distance cumulée]]-K53</f>
        <v>2.9000000000000004</v>
      </c>
      <c r="K54">
        <v>9.5</v>
      </c>
      <c r="L54" t="s">
        <v>25</v>
      </c>
      <c r="M54"/>
      <c r="N54" s="6">
        <f>VLOOKUP(Table2[[#This Row],[Point B]],Table3[[LOCALITÉ]:[Distributeur de billets]],2,FALSE)</f>
        <v>0</v>
      </c>
      <c r="O54" s="6">
        <f>VLOOKUP(Table2[[#This Row],[Point B]],Table3[[LOCALITÉ]:[Distributeur de billets]],3,FALSE)</f>
        <v>0</v>
      </c>
      <c r="P54" s="6">
        <f>VLOOKUP(Table2[[#This Row],[Point B]],Table3[[LOCALITÉ]:[Distributeur de billets]],4,FALSE)</f>
        <v>0</v>
      </c>
      <c r="Q54" s="6">
        <f>VLOOKUP(Table2[[#This Row],[Point B]],Table3[[LOCALITÉ]:[Distributeur de billets]],5,FALSE)</f>
        <v>0</v>
      </c>
      <c r="R54" s="6">
        <f>VLOOKUP(Table2[[#This Row],[Point B]],Table3[[LOCALITÉ]:[Distributeur de billets]],6,FALSE)</f>
        <v>0</v>
      </c>
      <c r="S54" s="6">
        <f>VLOOKUP(Table2[[#This Row],[Point B]],Table3[[LOCALITÉ]:[Distributeur de billets]],7,FALSE)</f>
        <v>0</v>
      </c>
      <c r="T54" s="6">
        <f>VLOOKUP(Table2[[#This Row],[Point B]],Table3[[LOCALITÉ]:[Distributeur de billets]],8,FALSE)</f>
        <v>0</v>
      </c>
      <c r="U54" s="6">
        <f>VLOOKUP(Table2[[#This Row],[Point B]],Table3[[LOCALITÉ]:[Distributeur de billets]],9,FALSE)</f>
        <v>0</v>
      </c>
      <c r="V54" s="6">
        <f>VLOOKUP(Table2[[#This Row],[Point B]],Table3[[LOCALITÉ]:[Distributeur de billets]],10,FALSE)</f>
        <v>0</v>
      </c>
      <c r="W54" s="6">
        <f>VLOOKUP(Table2[[#This Row],[Point B]],Table3[[LOCALITÉ]:[Distributeur de billets]],11,FALSE)</f>
        <v>0</v>
      </c>
      <c r="X54" s="6">
        <f>VLOOKUP(Table2[[#This Row],[Point B]],Table3[[LOCALITÉ]:[Distributeur de billets]],12,FALSE)</f>
        <v>0</v>
      </c>
      <c r="Y54" s="6"/>
      <c r="Z54" s="25"/>
      <c r="AA54" s="25"/>
      <c r="AB54" s="25"/>
      <c r="AC54" s="25"/>
      <c r="AD54" s="25"/>
      <c r="AE54" s="6" t="str">
        <f>VLOOKUP(Table2[[#This Row],[Localité Arrivée]],Table4[],2,FALSE)</f>
        <v>Camping Le Colporteur</v>
      </c>
      <c r="AF54" s="25">
        <f>VLOOKUP(Table2[[#This Row],[Localité Arrivée]],Table4[],3,FALSE)</f>
        <v>45023</v>
      </c>
      <c r="AG54" s="25">
        <f>VLOOKUP(Table2[[#This Row],[Localité Arrivée]],Table4[],4,FALSE)</f>
        <v>45200</v>
      </c>
      <c r="AH54" s="25"/>
      <c r="AI54" s="25">
        <f>$AP$3+Table2[[#This Row],[Etape]]</f>
        <v>45191</v>
      </c>
    </row>
    <row r="55" spans="1:37" x14ac:dyDescent="0.2">
      <c r="A55" t="s">
        <v>60</v>
      </c>
      <c r="B55" t="s">
        <v>0</v>
      </c>
      <c r="C55" s="30">
        <v>13</v>
      </c>
      <c r="D55" t="str">
        <f t="shared" si="0"/>
        <v>Pont</v>
      </c>
      <c r="E55" t="s">
        <v>64</v>
      </c>
      <c r="F55" s="28" t="s">
        <v>204</v>
      </c>
      <c r="G55">
        <v>0</v>
      </c>
      <c r="H55">
        <v>170</v>
      </c>
      <c r="I55" s="5">
        <v>1.3888888888888888E-2</v>
      </c>
      <c r="J55">
        <f>Table2[[#This Row],[Distance cumulée]]-K54</f>
        <v>1</v>
      </c>
      <c r="K55">
        <v>10.5</v>
      </c>
      <c r="L55" t="s">
        <v>25</v>
      </c>
      <c r="M55"/>
      <c r="N55" s="6">
        <f>VLOOKUP(Table2[[#This Row],[Point B]],Table3[[LOCALITÉ]:[Distributeur de billets]],2,FALSE)</f>
        <v>0</v>
      </c>
      <c r="O55" s="6">
        <f>VLOOKUP(Table2[[#This Row],[Point B]],Table3[[LOCALITÉ]:[Distributeur de billets]],3,FALSE)</f>
        <v>0</v>
      </c>
      <c r="P55" s="6">
        <f>VLOOKUP(Table2[[#This Row],[Point B]],Table3[[LOCALITÉ]:[Distributeur de billets]],4,FALSE)</f>
        <v>0</v>
      </c>
      <c r="Q55" s="6">
        <f>VLOOKUP(Table2[[#This Row],[Point B]],Table3[[LOCALITÉ]:[Distributeur de billets]],5,FALSE)</f>
        <v>0</v>
      </c>
      <c r="R55" s="6">
        <f>VLOOKUP(Table2[[#This Row],[Point B]],Table3[[LOCALITÉ]:[Distributeur de billets]],6,FALSE)</f>
        <v>0</v>
      </c>
      <c r="S55" s="6">
        <f>VLOOKUP(Table2[[#This Row],[Point B]],Table3[[LOCALITÉ]:[Distributeur de billets]],7,FALSE)</f>
        <v>0</v>
      </c>
      <c r="T55" s="6">
        <f>VLOOKUP(Table2[[#This Row],[Point B]],Table3[[LOCALITÉ]:[Distributeur de billets]],8,FALSE)</f>
        <v>0</v>
      </c>
      <c r="U55" s="6">
        <f>VLOOKUP(Table2[[#This Row],[Point B]],Table3[[LOCALITÉ]:[Distributeur de billets]],9,FALSE)</f>
        <v>0</v>
      </c>
      <c r="V55" s="6">
        <f>VLOOKUP(Table2[[#This Row],[Point B]],Table3[[LOCALITÉ]:[Distributeur de billets]],10,FALSE)</f>
        <v>0</v>
      </c>
      <c r="W55" s="6">
        <f>VLOOKUP(Table2[[#This Row],[Point B]],Table3[[LOCALITÉ]:[Distributeur de billets]],11,FALSE)</f>
        <v>0</v>
      </c>
      <c r="X55" s="6">
        <f>VLOOKUP(Table2[[#This Row],[Point B]],Table3[[LOCALITÉ]:[Distributeur de billets]],12,FALSE)</f>
        <v>0</v>
      </c>
      <c r="Y55" s="6"/>
      <c r="Z55" s="25"/>
      <c r="AA55" s="25"/>
      <c r="AB55" s="25"/>
      <c r="AC55" s="25"/>
      <c r="AD55" s="25"/>
      <c r="AE55" s="6" t="str">
        <f>VLOOKUP(Table2[[#This Row],[Localité Arrivée]],Table4[],2,FALSE)</f>
        <v>Camping Le Colporteur</v>
      </c>
      <c r="AF55" s="25">
        <f>VLOOKUP(Table2[[#This Row],[Localité Arrivée]],Table4[],3,FALSE)</f>
        <v>45023</v>
      </c>
      <c r="AG55" s="25">
        <f>VLOOKUP(Table2[[#This Row],[Localité Arrivée]],Table4[],4,FALSE)</f>
        <v>45200</v>
      </c>
      <c r="AH55" s="25"/>
      <c r="AI55" s="25">
        <f>$AP$3+Table2[[#This Row],[Etape]]</f>
        <v>45191</v>
      </c>
    </row>
    <row r="56" spans="1:37" x14ac:dyDescent="0.2">
      <c r="A56" t="s">
        <v>60</v>
      </c>
      <c r="B56" t="s">
        <v>0</v>
      </c>
      <c r="C56" s="30">
        <v>13</v>
      </c>
      <c r="D56" t="str">
        <f t="shared" si="0"/>
        <v>Les Gauchoirs</v>
      </c>
      <c r="E56" t="s">
        <v>0</v>
      </c>
      <c r="F56" s="28" t="s">
        <v>205</v>
      </c>
      <c r="G56">
        <v>110</v>
      </c>
      <c r="H56">
        <v>240</v>
      </c>
      <c r="I56" s="5">
        <v>9.0277777777777776E-2</v>
      </c>
      <c r="J56">
        <f>Table2[[#This Row],[Distance cumulée]]-K55</f>
        <v>8.8000000000000007</v>
      </c>
      <c r="K56">
        <v>19.3</v>
      </c>
      <c r="L56" t="s">
        <v>25</v>
      </c>
      <c r="M56"/>
      <c r="N56" s="6" t="str">
        <f>VLOOKUP(Table2[[#This Row],[Point B]],Table3[[LOCALITÉ]:[Distributeur de billets]],2,FALSE)</f>
        <v>x</v>
      </c>
      <c r="O56" s="6" t="str">
        <f>VLOOKUP(Table2[[#This Row],[Point B]],Table3[[LOCALITÉ]:[Distributeur de billets]],3,FALSE)</f>
        <v>x</v>
      </c>
      <c r="P56" s="6">
        <f>VLOOKUP(Table2[[#This Row],[Point B]],Table3[[LOCALITÉ]:[Distributeur de billets]],4,FALSE)</f>
        <v>0</v>
      </c>
      <c r="Q56" s="6" t="str">
        <f>VLOOKUP(Table2[[#This Row],[Point B]],Table3[[LOCALITÉ]:[Distributeur de billets]],5,FALSE)</f>
        <v>x</v>
      </c>
      <c r="R56" s="6" t="str">
        <f>VLOOKUP(Table2[[#This Row],[Point B]],Table3[[LOCALITÉ]:[Distributeur de billets]],6,FALSE)</f>
        <v>x</v>
      </c>
      <c r="S56" s="6" t="str">
        <f>VLOOKUP(Table2[[#This Row],[Point B]],Table3[[LOCALITÉ]:[Distributeur de billets]],7,FALSE)</f>
        <v>x</v>
      </c>
      <c r="T56" s="6" t="str">
        <f>VLOOKUP(Table2[[#This Row],[Point B]],Table3[[LOCALITÉ]:[Distributeur de billets]],8,FALSE)</f>
        <v>x</v>
      </c>
      <c r="U56" s="6" t="str">
        <f>VLOOKUP(Table2[[#This Row],[Point B]],Table3[[LOCALITÉ]:[Distributeur de billets]],9,FALSE)</f>
        <v>x</v>
      </c>
      <c r="V56" s="6" t="str">
        <f>VLOOKUP(Table2[[#This Row],[Point B]],Table3[[LOCALITÉ]:[Distributeur de billets]],10,FALSE)</f>
        <v>x</v>
      </c>
      <c r="W56" s="6">
        <f>VLOOKUP(Table2[[#This Row],[Point B]],Table3[[LOCALITÉ]:[Distributeur de billets]],11,FALSE)</f>
        <v>0</v>
      </c>
      <c r="X56" s="6" t="str">
        <f>VLOOKUP(Table2[[#This Row],[Point B]],Table3[[LOCALITÉ]:[Distributeur de billets]],12,FALSE)</f>
        <v>x</v>
      </c>
      <c r="Y56" s="6"/>
      <c r="Z56" s="25"/>
      <c r="AA56" s="25"/>
      <c r="AB56" s="25"/>
      <c r="AC56" s="25"/>
      <c r="AD56" s="25"/>
      <c r="AE56" s="6" t="str">
        <f>VLOOKUP(Table2[[#This Row],[Localité Arrivée]],Table4[],2,FALSE)</f>
        <v>Camping Le Colporteur</v>
      </c>
      <c r="AF56" s="25">
        <f>VLOOKUP(Table2[[#This Row],[Localité Arrivée]],Table4[],3,FALSE)</f>
        <v>45023</v>
      </c>
      <c r="AG56" s="25">
        <f>VLOOKUP(Table2[[#This Row],[Localité Arrivée]],Table4[],4,FALSE)</f>
        <v>45200</v>
      </c>
      <c r="AH56" s="25"/>
      <c r="AI56" s="25">
        <f>$AP$3+Table2[[#This Row],[Etape]]</f>
        <v>45191</v>
      </c>
    </row>
  </sheetData>
  <conditionalFormatting sqref="AI2:AI56 Z2:AD56">
    <cfRule type="cellIs" dxfId="3" priority="1" operator="greaterThan">
      <formula>$AG2</formula>
    </cfRule>
    <cfRule type="cellIs" dxfId="2" priority="3" operator="between">
      <formula>$AF$2</formula>
      <formula>$AG$2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68"/>
  <sheetViews>
    <sheetView topLeftCell="A34" workbookViewId="0">
      <selection activeCell="A45" sqref="A45:XFD45"/>
    </sheetView>
  </sheetViews>
  <sheetFormatPr baseColWidth="10" defaultColWidth="8.83203125" defaultRowHeight="15" x14ac:dyDescent="0.2"/>
  <cols>
    <col min="1" max="1" width="31.33203125" bestFit="1" customWidth="1"/>
    <col min="2" max="2" width="10.5" customWidth="1"/>
    <col min="3" max="3" width="9.5" customWidth="1"/>
    <col min="6" max="6" width="13.5" customWidth="1"/>
    <col min="7" max="7" width="13.83203125" bestFit="1" customWidth="1"/>
  </cols>
  <sheetData>
    <row r="1" spans="1:13" s="31" customFormat="1" ht="48" x14ac:dyDescent="0.2">
      <c r="A1" s="37" t="s">
        <v>94</v>
      </c>
      <c r="B1" s="37" t="s">
        <v>66</v>
      </c>
      <c r="C1" s="37" t="s">
        <v>67</v>
      </c>
      <c r="D1" s="37" t="s">
        <v>68</v>
      </c>
      <c r="E1" s="37" t="s">
        <v>69</v>
      </c>
      <c r="F1" s="37" t="s">
        <v>70</v>
      </c>
      <c r="G1" s="37" t="s">
        <v>71</v>
      </c>
      <c r="H1" s="37" t="s">
        <v>72</v>
      </c>
      <c r="I1" s="37" t="s">
        <v>73</v>
      </c>
      <c r="J1" s="37" t="s">
        <v>74</v>
      </c>
      <c r="K1" s="37" t="s">
        <v>76</v>
      </c>
      <c r="L1" s="37" t="s">
        <v>75</v>
      </c>
      <c r="M1" s="37" t="s">
        <v>24</v>
      </c>
    </row>
    <row r="2" spans="1:13" ht="16" x14ac:dyDescent="0.2">
      <c r="A2" t="s">
        <v>0</v>
      </c>
      <c r="B2" s="32" t="s">
        <v>77</v>
      </c>
      <c r="C2" s="32" t="s">
        <v>77</v>
      </c>
      <c r="D2" s="32"/>
      <c r="E2" s="32" t="s">
        <v>77</v>
      </c>
      <c r="F2" s="33" t="s">
        <v>77</v>
      </c>
      <c r="G2" s="34" t="s">
        <v>77</v>
      </c>
      <c r="H2" s="35" t="s">
        <v>77</v>
      </c>
      <c r="I2" s="36" t="s">
        <v>77</v>
      </c>
      <c r="J2" s="36" t="s">
        <v>77</v>
      </c>
      <c r="K2" s="36"/>
      <c r="L2" s="36" t="s">
        <v>77</v>
      </c>
      <c r="M2" s="6" t="s">
        <v>25</v>
      </c>
    </row>
    <row r="3" spans="1:13" ht="16" x14ac:dyDescent="0.2">
      <c r="A3" t="s">
        <v>1</v>
      </c>
      <c r="B3" s="7"/>
      <c r="C3" s="7" t="s">
        <v>77</v>
      </c>
      <c r="D3" s="7"/>
      <c r="E3" s="7"/>
      <c r="F3" s="8"/>
      <c r="G3" s="9" t="s">
        <v>77</v>
      </c>
      <c r="H3" s="10" t="s">
        <v>77</v>
      </c>
      <c r="I3" s="11"/>
      <c r="J3" s="11"/>
      <c r="K3" s="11"/>
      <c r="L3" s="11"/>
      <c r="M3" s="6" t="s">
        <v>25</v>
      </c>
    </row>
    <row r="4" spans="1:13" ht="16" x14ac:dyDescent="0.2">
      <c r="A4" t="s">
        <v>40</v>
      </c>
      <c r="B4" s="7"/>
      <c r="C4" s="7"/>
      <c r="D4" s="7"/>
      <c r="E4" s="7"/>
      <c r="F4" s="8"/>
      <c r="G4" s="9"/>
      <c r="H4" s="10"/>
      <c r="I4" s="11"/>
      <c r="J4" s="11"/>
      <c r="K4" s="11"/>
      <c r="L4" s="11"/>
      <c r="M4" s="6" t="s">
        <v>25</v>
      </c>
    </row>
    <row r="5" spans="1:13" x14ac:dyDescent="0.2">
      <c r="A5" t="s">
        <v>27</v>
      </c>
      <c r="B5" s="7"/>
      <c r="C5" s="7"/>
      <c r="D5" s="7"/>
      <c r="E5" s="7"/>
      <c r="F5" s="8"/>
      <c r="G5" s="10"/>
      <c r="H5" s="10"/>
      <c r="I5" s="11"/>
      <c r="J5" s="11"/>
      <c r="K5" s="11"/>
      <c r="L5" s="11"/>
      <c r="M5" s="6" t="s">
        <v>25</v>
      </c>
    </row>
    <row r="6" spans="1:13" x14ac:dyDescent="0.2">
      <c r="A6" t="s">
        <v>41</v>
      </c>
      <c r="B6" s="7"/>
      <c r="C6" s="7"/>
      <c r="D6" s="7"/>
      <c r="E6" s="7"/>
      <c r="F6" s="8"/>
      <c r="G6" s="10"/>
      <c r="H6" s="10"/>
      <c r="I6" s="11"/>
      <c r="J6" s="11"/>
      <c r="K6" s="11"/>
      <c r="L6" s="11"/>
      <c r="M6" s="6" t="s">
        <v>25</v>
      </c>
    </row>
    <row r="7" spans="1:13" ht="16" x14ac:dyDescent="0.2">
      <c r="A7" t="s">
        <v>28</v>
      </c>
      <c r="B7" s="7"/>
      <c r="C7" s="7"/>
      <c r="D7" s="7"/>
      <c r="E7" s="7"/>
      <c r="F7" s="8"/>
      <c r="G7" s="9"/>
      <c r="H7" s="10"/>
      <c r="I7" s="11"/>
      <c r="J7" s="11"/>
      <c r="K7" s="11"/>
      <c r="L7" s="11"/>
      <c r="M7" s="6" t="s">
        <v>25</v>
      </c>
    </row>
    <row r="8" spans="1:13" ht="16" x14ac:dyDescent="0.2">
      <c r="A8" t="s">
        <v>2</v>
      </c>
      <c r="B8" s="7"/>
      <c r="C8" s="7" t="s">
        <v>77</v>
      </c>
      <c r="D8" s="7"/>
      <c r="E8" s="7"/>
      <c r="F8" s="8" t="s">
        <v>77</v>
      </c>
      <c r="G8" s="9" t="s">
        <v>77</v>
      </c>
      <c r="H8" s="10"/>
      <c r="I8" s="11"/>
      <c r="J8" s="11"/>
      <c r="K8" s="11"/>
      <c r="L8" s="11"/>
      <c r="M8" s="6" t="s">
        <v>25</v>
      </c>
    </row>
    <row r="9" spans="1:13" ht="16" x14ac:dyDescent="0.2">
      <c r="A9" t="s">
        <v>16</v>
      </c>
      <c r="B9" s="7" t="s">
        <v>77</v>
      </c>
      <c r="C9" s="7"/>
      <c r="D9" s="7" t="s">
        <v>77</v>
      </c>
      <c r="E9" s="7" t="s">
        <v>77</v>
      </c>
      <c r="F9" s="8" t="s">
        <v>77</v>
      </c>
      <c r="G9" s="9" t="s">
        <v>77</v>
      </c>
      <c r="H9" s="10" t="s">
        <v>77</v>
      </c>
      <c r="I9" s="11" t="s">
        <v>77</v>
      </c>
      <c r="J9" s="11"/>
      <c r="K9" s="11"/>
      <c r="L9" s="11"/>
      <c r="M9" s="6" t="s">
        <v>25</v>
      </c>
    </row>
    <row r="10" spans="1:13" ht="16" x14ac:dyDescent="0.2">
      <c r="A10" t="s">
        <v>42</v>
      </c>
      <c r="B10" s="7"/>
      <c r="C10" s="21" t="s">
        <v>77</v>
      </c>
      <c r="D10" s="7"/>
      <c r="E10" s="7"/>
      <c r="F10" s="8"/>
      <c r="G10" s="9"/>
      <c r="H10" s="10"/>
      <c r="I10" s="11"/>
      <c r="J10" s="11"/>
      <c r="K10" s="11"/>
      <c r="L10" s="11"/>
      <c r="M10" s="6" t="s">
        <v>25</v>
      </c>
    </row>
    <row r="11" spans="1:13" ht="16" x14ac:dyDescent="0.2">
      <c r="A11" t="s">
        <v>43</v>
      </c>
      <c r="B11" s="7"/>
      <c r="C11" s="7"/>
      <c r="D11" s="7"/>
      <c r="E11" s="7"/>
      <c r="F11" s="8"/>
      <c r="G11" s="9"/>
      <c r="H11" s="10"/>
      <c r="I11" s="11"/>
      <c r="J11" s="11"/>
      <c r="K11" s="11"/>
      <c r="L11" s="11"/>
      <c r="M11" s="6" t="s">
        <v>25</v>
      </c>
    </row>
    <row r="12" spans="1:13" ht="16" x14ac:dyDescent="0.2">
      <c r="A12" t="s">
        <v>192</v>
      </c>
      <c r="B12" s="7"/>
      <c r="C12" s="7"/>
      <c r="D12" s="7"/>
      <c r="E12" s="7"/>
      <c r="F12" s="8"/>
      <c r="G12" s="9"/>
      <c r="H12" s="10"/>
      <c r="I12" s="11"/>
      <c r="J12" s="11"/>
      <c r="K12" s="11"/>
      <c r="L12" s="11"/>
      <c r="M12" s="6" t="s">
        <v>25</v>
      </c>
    </row>
    <row r="13" spans="1:13" ht="16" x14ac:dyDescent="0.2">
      <c r="A13" t="s">
        <v>32</v>
      </c>
      <c r="B13" s="7"/>
      <c r="C13" s="7"/>
      <c r="D13" s="7"/>
      <c r="E13" s="7"/>
      <c r="F13" s="8"/>
      <c r="G13" s="9"/>
      <c r="H13" s="10"/>
      <c r="I13" s="11"/>
      <c r="J13" s="11"/>
      <c r="K13" s="11"/>
      <c r="L13" s="11"/>
      <c r="M13" s="6" t="s">
        <v>25</v>
      </c>
    </row>
    <row r="14" spans="1:13" x14ac:dyDescent="0.2">
      <c r="A14" t="s">
        <v>3</v>
      </c>
      <c r="B14" s="7" t="s">
        <v>77</v>
      </c>
      <c r="C14" s="7"/>
      <c r="D14" s="7"/>
      <c r="E14" s="7"/>
      <c r="F14" s="8"/>
      <c r="G14" s="10"/>
      <c r="H14" s="10"/>
      <c r="I14" s="11"/>
      <c r="J14" s="11"/>
      <c r="K14" s="11"/>
      <c r="L14" s="11"/>
      <c r="M14" s="6" t="s">
        <v>25</v>
      </c>
    </row>
    <row r="15" spans="1:13" x14ac:dyDescent="0.2">
      <c r="A15" t="s">
        <v>4</v>
      </c>
      <c r="B15" s="7" t="s">
        <v>77</v>
      </c>
      <c r="C15" s="7"/>
      <c r="D15" s="7"/>
      <c r="E15" s="7"/>
      <c r="F15" s="8"/>
      <c r="G15" s="10"/>
      <c r="H15" s="10"/>
      <c r="I15" s="11"/>
      <c r="J15" s="11"/>
      <c r="K15" s="11"/>
      <c r="L15" s="11"/>
      <c r="M15" s="6" t="s">
        <v>25</v>
      </c>
    </row>
    <row r="16" spans="1:13" ht="16" x14ac:dyDescent="0.2">
      <c r="A16" t="s">
        <v>13</v>
      </c>
      <c r="B16" s="7" t="s">
        <v>77</v>
      </c>
      <c r="C16" s="7" t="s">
        <v>77</v>
      </c>
      <c r="D16" s="7"/>
      <c r="E16" s="7" t="s">
        <v>77</v>
      </c>
      <c r="F16" s="8" t="s">
        <v>77</v>
      </c>
      <c r="G16" s="9" t="s">
        <v>77</v>
      </c>
      <c r="H16" s="10" t="s">
        <v>77</v>
      </c>
      <c r="I16" s="11" t="s">
        <v>77</v>
      </c>
      <c r="J16" s="11" t="s">
        <v>77</v>
      </c>
      <c r="K16" s="11"/>
      <c r="L16" s="11" t="s">
        <v>77</v>
      </c>
      <c r="M16" s="6" t="s">
        <v>25</v>
      </c>
    </row>
    <row r="17" spans="1:13" x14ac:dyDescent="0.2">
      <c r="A17" t="s">
        <v>5</v>
      </c>
      <c r="B17" s="7" t="s">
        <v>77</v>
      </c>
      <c r="C17" s="7" t="s">
        <v>77</v>
      </c>
      <c r="D17" s="7" t="s">
        <v>77</v>
      </c>
      <c r="E17" s="7"/>
      <c r="F17" s="8" t="s">
        <v>77</v>
      </c>
      <c r="G17" s="10" t="s">
        <v>77</v>
      </c>
      <c r="H17" s="10" t="s">
        <v>77</v>
      </c>
      <c r="I17" s="11"/>
      <c r="J17" s="11" t="s">
        <v>77</v>
      </c>
      <c r="K17" s="11"/>
      <c r="L17" s="11"/>
      <c r="M17" s="6" t="s">
        <v>25</v>
      </c>
    </row>
    <row r="18" spans="1:13" x14ac:dyDescent="0.2">
      <c r="A18" t="s">
        <v>47</v>
      </c>
      <c r="B18" s="7" t="s">
        <v>77</v>
      </c>
      <c r="C18" s="7"/>
      <c r="D18" s="7"/>
      <c r="E18" s="7"/>
      <c r="F18" s="8"/>
      <c r="G18" s="10" t="s">
        <v>77</v>
      </c>
      <c r="H18" s="10" t="s">
        <v>77</v>
      </c>
      <c r="I18" s="11"/>
      <c r="J18" s="11"/>
      <c r="K18" s="11"/>
      <c r="L18" s="11"/>
      <c r="M18" s="6" t="s">
        <v>25</v>
      </c>
    </row>
    <row r="19" spans="1:13" x14ac:dyDescent="0.2">
      <c r="A19" t="s">
        <v>78</v>
      </c>
      <c r="B19" s="7" t="s">
        <v>77</v>
      </c>
      <c r="C19" s="7"/>
      <c r="D19" s="7"/>
      <c r="E19" s="7"/>
      <c r="F19" s="8"/>
      <c r="G19" s="10"/>
      <c r="H19" s="10"/>
      <c r="I19" s="11"/>
      <c r="J19" s="11"/>
      <c r="K19" s="11"/>
      <c r="L19" s="11"/>
      <c r="M19" s="6" t="s">
        <v>25</v>
      </c>
    </row>
    <row r="20" spans="1:13" x14ac:dyDescent="0.2">
      <c r="A20" t="s">
        <v>33</v>
      </c>
      <c r="B20" s="7"/>
      <c r="C20" s="7"/>
      <c r="D20" s="7"/>
      <c r="E20" s="7"/>
      <c r="F20" s="8"/>
      <c r="G20" s="10"/>
      <c r="H20" s="10"/>
      <c r="I20" s="11"/>
      <c r="J20" s="11"/>
      <c r="K20" s="11"/>
      <c r="L20" s="11"/>
      <c r="M20" s="6" t="s">
        <v>25</v>
      </c>
    </row>
    <row r="21" spans="1:13" x14ac:dyDescent="0.2">
      <c r="A21" t="s">
        <v>6</v>
      </c>
      <c r="B21" s="7" t="s">
        <v>77</v>
      </c>
      <c r="C21" s="7"/>
      <c r="D21" s="7"/>
      <c r="E21" s="7"/>
      <c r="F21" s="8"/>
      <c r="G21" s="10" t="s">
        <v>77</v>
      </c>
      <c r="H21" s="10"/>
      <c r="I21" s="11"/>
      <c r="J21" s="11" t="s">
        <v>77</v>
      </c>
      <c r="K21" s="11"/>
      <c r="L21" s="11"/>
      <c r="M21" s="6" t="s">
        <v>25</v>
      </c>
    </row>
    <row r="22" spans="1:13" x14ac:dyDescent="0.2">
      <c r="A22" t="s">
        <v>7</v>
      </c>
      <c r="B22" s="7" t="s">
        <v>77</v>
      </c>
      <c r="C22" s="7" t="s">
        <v>77</v>
      </c>
      <c r="D22" s="7"/>
      <c r="E22" s="21" t="s">
        <v>77</v>
      </c>
      <c r="F22" s="8" t="s">
        <v>77</v>
      </c>
      <c r="G22" s="10" t="s">
        <v>77</v>
      </c>
      <c r="H22" s="10"/>
      <c r="I22" s="11" t="s">
        <v>77</v>
      </c>
      <c r="J22" s="11" t="s">
        <v>77</v>
      </c>
      <c r="K22" s="11"/>
      <c r="L22" s="11" t="s">
        <v>77</v>
      </c>
      <c r="M22" s="6" t="s">
        <v>25</v>
      </c>
    </row>
    <row r="23" spans="1:13" x14ac:dyDescent="0.2">
      <c r="A23" t="s">
        <v>79</v>
      </c>
      <c r="B23" s="7" t="s">
        <v>80</v>
      </c>
      <c r="C23" s="7"/>
      <c r="D23" s="7"/>
      <c r="E23" s="7"/>
      <c r="F23" s="8"/>
      <c r="G23" s="10"/>
      <c r="H23" s="10"/>
      <c r="I23" s="11"/>
      <c r="J23" s="11"/>
      <c r="K23" s="11"/>
      <c r="L23" s="11"/>
      <c r="M23" s="6" t="s">
        <v>25</v>
      </c>
    </row>
    <row r="24" spans="1:13" x14ac:dyDescent="0.2">
      <c r="A24" t="s">
        <v>39</v>
      </c>
      <c r="B24" s="7"/>
      <c r="C24" s="7"/>
      <c r="D24" s="7"/>
      <c r="E24" s="7"/>
      <c r="F24" s="8"/>
      <c r="G24" s="10"/>
      <c r="H24" s="10"/>
      <c r="I24" s="11"/>
      <c r="J24" s="11"/>
      <c r="K24" s="11"/>
      <c r="L24" s="11"/>
      <c r="M24" s="6" t="s">
        <v>25</v>
      </c>
    </row>
    <row r="25" spans="1:13" x14ac:dyDescent="0.2">
      <c r="A25" t="s">
        <v>8</v>
      </c>
      <c r="B25" s="7"/>
      <c r="C25" s="7"/>
      <c r="D25" s="7"/>
      <c r="E25" s="7"/>
      <c r="F25" s="8"/>
      <c r="G25" s="10" t="s">
        <v>77</v>
      </c>
      <c r="H25" s="10"/>
      <c r="I25" s="11"/>
      <c r="J25" s="11"/>
      <c r="K25" s="11"/>
      <c r="L25" s="11"/>
      <c r="M25" s="6" t="s">
        <v>25</v>
      </c>
    </row>
    <row r="26" spans="1:13" x14ac:dyDescent="0.2">
      <c r="A26" t="s">
        <v>81</v>
      </c>
      <c r="B26" s="7"/>
      <c r="C26" s="7" t="s">
        <v>77</v>
      </c>
      <c r="D26" s="7"/>
      <c r="E26" s="7"/>
      <c r="F26" s="8" t="s">
        <v>77</v>
      </c>
      <c r="G26" s="10" t="s">
        <v>77</v>
      </c>
      <c r="H26" s="10"/>
      <c r="I26" s="11" t="s">
        <v>77</v>
      </c>
      <c r="J26" s="11" t="s">
        <v>77</v>
      </c>
      <c r="K26" s="11"/>
      <c r="L26" s="11"/>
      <c r="M26" s="6" t="s">
        <v>25</v>
      </c>
    </row>
    <row r="27" spans="1:13" x14ac:dyDescent="0.2">
      <c r="A27" t="s">
        <v>23</v>
      </c>
      <c r="B27" s="7" t="s">
        <v>77</v>
      </c>
      <c r="C27" s="7" t="s">
        <v>77</v>
      </c>
      <c r="D27" s="7" t="s">
        <v>77</v>
      </c>
      <c r="E27" s="21" t="s">
        <v>77</v>
      </c>
      <c r="F27" s="8" t="s">
        <v>77</v>
      </c>
      <c r="G27" s="10" t="s">
        <v>77</v>
      </c>
      <c r="H27" s="10"/>
      <c r="I27" s="11"/>
      <c r="J27" s="11" t="s">
        <v>77</v>
      </c>
      <c r="K27" s="11"/>
      <c r="L27" s="11"/>
      <c r="M27" s="6" t="s">
        <v>25</v>
      </c>
    </row>
    <row r="28" spans="1:13" x14ac:dyDescent="0.2">
      <c r="A28" t="s">
        <v>9</v>
      </c>
      <c r="B28" s="7" t="s">
        <v>77</v>
      </c>
      <c r="C28" s="7" t="s">
        <v>77</v>
      </c>
      <c r="D28" s="7"/>
      <c r="E28" s="21" t="s">
        <v>77</v>
      </c>
      <c r="F28" s="8" t="s">
        <v>77</v>
      </c>
      <c r="G28" s="10" t="s">
        <v>77</v>
      </c>
      <c r="H28" s="10" t="s">
        <v>77</v>
      </c>
      <c r="I28" s="11" t="s">
        <v>77</v>
      </c>
      <c r="J28" s="11" t="s">
        <v>77</v>
      </c>
      <c r="K28" s="11"/>
      <c r="L28" s="11" t="s">
        <v>77</v>
      </c>
      <c r="M28" s="6" t="s">
        <v>25</v>
      </c>
    </row>
    <row r="29" spans="1:13" x14ac:dyDescent="0.2">
      <c r="A29" t="s">
        <v>10</v>
      </c>
      <c r="B29" s="7"/>
      <c r="C29" s="7"/>
      <c r="D29" s="7"/>
      <c r="E29" s="7"/>
      <c r="F29" s="8"/>
      <c r="G29" s="10"/>
      <c r="H29" s="10"/>
      <c r="I29" s="11"/>
      <c r="J29" s="11" t="s">
        <v>77</v>
      </c>
      <c r="K29" s="11"/>
      <c r="L29" s="11"/>
      <c r="M29" s="6" t="s">
        <v>25</v>
      </c>
    </row>
    <row r="30" spans="1:13" x14ac:dyDescent="0.2">
      <c r="A30" t="s">
        <v>44</v>
      </c>
      <c r="B30" s="7"/>
      <c r="C30" s="21" t="s">
        <v>77</v>
      </c>
      <c r="D30" s="7"/>
      <c r="E30" s="7"/>
      <c r="F30" s="8"/>
      <c r="G30" s="10"/>
      <c r="H30" s="10"/>
      <c r="I30" s="11"/>
      <c r="J30" s="11"/>
      <c r="K30" s="11"/>
      <c r="L30" s="11"/>
      <c r="M30" s="6" t="s">
        <v>25</v>
      </c>
    </row>
    <row r="31" spans="1:13" x14ac:dyDescent="0.2">
      <c r="A31" t="s">
        <v>45</v>
      </c>
      <c r="B31" s="7"/>
      <c r="C31" s="7"/>
      <c r="D31" s="7"/>
      <c r="E31" s="7"/>
      <c r="F31" s="8"/>
      <c r="G31" s="10"/>
      <c r="H31" s="10"/>
      <c r="I31" s="11"/>
      <c r="J31" s="11"/>
      <c r="K31" s="11"/>
      <c r="L31" s="11"/>
      <c r="M31" s="6" t="s">
        <v>25</v>
      </c>
    </row>
    <row r="32" spans="1:13" x14ac:dyDescent="0.2">
      <c r="A32" t="s">
        <v>46</v>
      </c>
      <c r="B32" s="7"/>
      <c r="C32" s="7"/>
      <c r="D32" s="7"/>
      <c r="E32" s="7"/>
      <c r="F32" s="8"/>
      <c r="G32" s="10"/>
      <c r="H32" s="10"/>
      <c r="I32" s="11"/>
      <c r="J32" s="11"/>
      <c r="K32" s="11"/>
      <c r="L32" s="11"/>
      <c r="M32" s="6" t="s">
        <v>25</v>
      </c>
    </row>
    <row r="33" spans="1:13" x14ac:dyDescent="0.2">
      <c r="A33" t="s">
        <v>14</v>
      </c>
      <c r="B33" s="7" t="s">
        <v>77</v>
      </c>
      <c r="C33" s="7"/>
      <c r="D33" s="7"/>
      <c r="E33" s="7"/>
      <c r="F33" s="8"/>
      <c r="G33" s="10" t="s">
        <v>77</v>
      </c>
      <c r="H33" s="10"/>
      <c r="I33" s="11"/>
      <c r="J33" s="11"/>
      <c r="K33" s="11"/>
      <c r="L33" s="11"/>
      <c r="M33" s="6" t="s">
        <v>25</v>
      </c>
    </row>
    <row r="34" spans="1:13" x14ac:dyDescent="0.2">
      <c r="A34" t="s">
        <v>48</v>
      </c>
      <c r="B34" s="7"/>
      <c r="C34" s="7"/>
      <c r="D34" s="7"/>
      <c r="E34" s="7"/>
      <c r="F34" s="8"/>
      <c r="G34" s="10"/>
      <c r="H34" s="10"/>
      <c r="I34" s="11"/>
      <c r="J34" s="11"/>
      <c r="K34" s="11"/>
      <c r="L34" s="11"/>
      <c r="M34" s="6" t="s">
        <v>25</v>
      </c>
    </row>
    <row r="35" spans="1:13" x14ac:dyDescent="0.2">
      <c r="A35" t="s">
        <v>49</v>
      </c>
      <c r="B35" s="7"/>
      <c r="C35" s="7"/>
      <c r="D35" s="7"/>
      <c r="E35" s="7"/>
      <c r="F35" s="8"/>
      <c r="G35" s="10"/>
      <c r="H35" s="10"/>
      <c r="I35" s="11"/>
      <c r="J35" s="11"/>
      <c r="K35" s="11"/>
      <c r="L35" s="11"/>
      <c r="M35" s="6" t="s">
        <v>25</v>
      </c>
    </row>
    <row r="36" spans="1:13" x14ac:dyDescent="0.2">
      <c r="A36" t="s">
        <v>50</v>
      </c>
      <c r="B36" s="7"/>
      <c r="C36" s="7"/>
      <c r="D36" s="7"/>
      <c r="E36" s="7"/>
      <c r="F36" s="8"/>
      <c r="G36" s="10"/>
      <c r="H36" s="10"/>
      <c r="I36" s="11"/>
      <c r="J36" s="11"/>
      <c r="K36" s="11"/>
      <c r="L36" s="11"/>
      <c r="M36" s="6" t="s">
        <v>25</v>
      </c>
    </row>
    <row r="37" spans="1:13" x14ac:dyDescent="0.2">
      <c r="A37" t="s">
        <v>11</v>
      </c>
      <c r="B37" s="7" t="s">
        <v>77</v>
      </c>
      <c r="C37" s="7"/>
      <c r="D37" s="7"/>
      <c r="E37" s="7"/>
      <c r="F37" s="8"/>
      <c r="G37" s="10" t="s">
        <v>77</v>
      </c>
      <c r="H37" s="10"/>
      <c r="I37" s="11"/>
      <c r="J37" s="11"/>
      <c r="K37" s="11"/>
      <c r="L37" s="11"/>
      <c r="M37" s="6" t="s">
        <v>25</v>
      </c>
    </row>
    <row r="38" spans="1:13" x14ac:dyDescent="0.2">
      <c r="A38" t="s">
        <v>82</v>
      </c>
      <c r="B38" s="7" t="s">
        <v>77</v>
      </c>
      <c r="C38" s="7"/>
      <c r="D38" s="7"/>
      <c r="E38" s="7"/>
      <c r="F38" s="8"/>
      <c r="G38" s="10" t="s">
        <v>77</v>
      </c>
      <c r="H38" s="10"/>
      <c r="I38" s="11"/>
      <c r="J38" s="11"/>
      <c r="K38" s="11"/>
      <c r="L38" s="11"/>
      <c r="M38" s="6" t="s">
        <v>25</v>
      </c>
    </row>
    <row r="39" spans="1:13" x14ac:dyDescent="0.2">
      <c r="A39" t="s">
        <v>83</v>
      </c>
      <c r="B39" s="7" t="s">
        <v>77</v>
      </c>
      <c r="C39" s="7"/>
      <c r="D39" s="7"/>
      <c r="E39" s="7"/>
      <c r="F39" s="8"/>
      <c r="G39" s="10" t="s">
        <v>77</v>
      </c>
      <c r="H39" s="10"/>
      <c r="I39" s="11"/>
      <c r="J39" s="11"/>
      <c r="K39" s="11"/>
      <c r="L39" s="11"/>
      <c r="M39" s="6" t="s">
        <v>25</v>
      </c>
    </row>
    <row r="40" spans="1:13" x14ac:dyDescent="0.2">
      <c r="A40" t="s">
        <v>51</v>
      </c>
      <c r="B40" s="7"/>
      <c r="C40" s="7" t="s">
        <v>77</v>
      </c>
      <c r="D40" s="7"/>
      <c r="E40" s="7"/>
      <c r="F40" s="8"/>
      <c r="G40" s="10"/>
      <c r="H40" s="10"/>
      <c r="I40" s="11"/>
      <c r="J40" s="11"/>
      <c r="K40" s="11"/>
      <c r="L40" s="11"/>
      <c r="M40" s="6" t="s">
        <v>25</v>
      </c>
    </row>
    <row r="41" spans="1:13" x14ac:dyDescent="0.2">
      <c r="A41" t="s">
        <v>52</v>
      </c>
      <c r="B41" s="7" t="s">
        <v>77</v>
      </c>
      <c r="C41" s="7"/>
      <c r="D41" s="7"/>
      <c r="E41" s="7"/>
      <c r="F41" s="8"/>
      <c r="G41" s="10" t="s">
        <v>77</v>
      </c>
      <c r="H41" s="10"/>
      <c r="I41" s="11"/>
      <c r="J41" s="11"/>
      <c r="K41" s="11"/>
      <c r="L41" s="11"/>
      <c r="M41" s="6" t="s">
        <v>25</v>
      </c>
    </row>
    <row r="42" spans="1:13" x14ac:dyDescent="0.2">
      <c r="A42" t="s">
        <v>6</v>
      </c>
      <c r="B42" s="7" t="s">
        <v>77</v>
      </c>
      <c r="C42" s="7"/>
      <c r="D42" s="7"/>
      <c r="E42" s="7"/>
      <c r="F42" s="8"/>
      <c r="G42" s="10"/>
      <c r="H42" s="10"/>
      <c r="I42" s="11"/>
      <c r="J42" s="11"/>
      <c r="K42" s="11"/>
      <c r="L42" s="11"/>
      <c r="M42" s="6" t="s">
        <v>25</v>
      </c>
    </row>
    <row r="43" spans="1:13" x14ac:dyDescent="0.2">
      <c r="A43" t="s">
        <v>18</v>
      </c>
      <c r="B43" s="7" t="s">
        <v>77</v>
      </c>
      <c r="C43" s="7" t="s">
        <v>77</v>
      </c>
      <c r="D43" s="7"/>
      <c r="E43" s="7" t="s">
        <v>77</v>
      </c>
      <c r="F43" s="8" t="s">
        <v>77</v>
      </c>
      <c r="G43" s="10" t="s">
        <v>77</v>
      </c>
      <c r="H43" s="10"/>
      <c r="I43" s="11" t="s">
        <v>77</v>
      </c>
      <c r="J43" s="11" t="s">
        <v>77</v>
      </c>
      <c r="K43" s="11"/>
      <c r="L43" s="11"/>
      <c r="M43" s="6" t="s">
        <v>25</v>
      </c>
    </row>
    <row r="44" spans="1:13" x14ac:dyDescent="0.2">
      <c r="A44" t="s">
        <v>53</v>
      </c>
      <c r="B44" s="7"/>
      <c r="C44" s="7"/>
      <c r="D44" s="7"/>
      <c r="E44" s="7"/>
      <c r="F44" s="8"/>
      <c r="G44" s="10"/>
      <c r="H44" s="10"/>
      <c r="I44" s="11"/>
      <c r="J44" s="11"/>
      <c r="K44" s="11"/>
      <c r="L44" s="11"/>
      <c r="M44" s="6" t="s">
        <v>25</v>
      </c>
    </row>
    <row r="45" spans="1:13" x14ac:dyDescent="0.2">
      <c r="A45" t="s">
        <v>54</v>
      </c>
      <c r="B45" s="7" t="s">
        <v>77</v>
      </c>
      <c r="C45" s="7"/>
      <c r="D45" s="7"/>
      <c r="E45" s="7"/>
      <c r="F45" s="8"/>
      <c r="G45" s="10"/>
      <c r="H45" s="10"/>
      <c r="I45" s="11"/>
      <c r="J45" s="11"/>
      <c r="K45" s="11"/>
      <c r="L45" s="11"/>
      <c r="M45" s="6" t="s">
        <v>25</v>
      </c>
    </row>
    <row r="46" spans="1:13" x14ac:dyDescent="0.2">
      <c r="A46" t="s">
        <v>15</v>
      </c>
      <c r="B46" s="7" t="s">
        <v>77</v>
      </c>
      <c r="C46" s="7"/>
      <c r="D46" s="7"/>
      <c r="E46" s="7"/>
      <c r="F46" s="8"/>
      <c r="G46" s="10" t="s">
        <v>77</v>
      </c>
      <c r="H46" s="10"/>
      <c r="I46" s="11"/>
      <c r="J46" s="11"/>
      <c r="K46" s="11"/>
      <c r="L46" s="11"/>
      <c r="M46" s="6" t="s">
        <v>25</v>
      </c>
    </row>
    <row r="47" spans="1:13" x14ac:dyDescent="0.2">
      <c r="A47" t="s">
        <v>55</v>
      </c>
      <c r="B47" s="7"/>
      <c r="C47" s="7"/>
      <c r="D47" s="7"/>
      <c r="E47" s="7"/>
      <c r="F47" s="8"/>
      <c r="G47" s="10"/>
      <c r="H47" s="10"/>
      <c r="I47" s="11"/>
      <c r="J47" s="11"/>
      <c r="K47" s="11"/>
      <c r="L47" s="11"/>
      <c r="M47" s="6" t="s">
        <v>25</v>
      </c>
    </row>
    <row r="48" spans="1:13" x14ac:dyDescent="0.2">
      <c r="A48" t="s">
        <v>12</v>
      </c>
      <c r="B48" s="7" t="s">
        <v>77</v>
      </c>
      <c r="C48" s="7" t="s">
        <v>77</v>
      </c>
      <c r="D48" s="7"/>
      <c r="E48" s="7" t="s">
        <v>77</v>
      </c>
      <c r="F48" s="8" t="s">
        <v>77</v>
      </c>
      <c r="G48" s="10" t="s">
        <v>77</v>
      </c>
      <c r="H48" s="10" t="s">
        <v>77</v>
      </c>
      <c r="I48" s="11"/>
      <c r="J48" s="11"/>
      <c r="K48" s="11"/>
      <c r="L48" s="11"/>
      <c r="M48" s="6" t="s">
        <v>25</v>
      </c>
    </row>
    <row r="49" spans="1:13" x14ac:dyDescent="0.2">
      <c r="A49" t="s">
        <v>56</v>
      </c>
      <c r="B49" s="7"/>
      <c r="C49" s="7"/>
      <c r="D49" s="7"/>
      <c r="E49" s="7"/>
      <c r="F49" s="8"/>
      <c r="G49" s="10"/>
      <c r="H49" s="10"/>
      <c r="I49" s="11"/>
      <c r="J49" s="11"/>
      <c r="K49" s="11"/>
      <c r="L49" s="11"/>
      <c r="M49" s="6" t="s">
        <v>25</v>
      </c>
    </row>
    <row r="50" spans="1:13" x14ac:dyDescent="0.2">
      <c r="A50" t="s">
        <v>57</v>
      </c>
      <c r="B50" s="7"/>
      <c r="C50" s="7"/>
      <c r="D50" s="7"/>
      <c r="E50" s="7"/>
      <c r="F50" s="8"/>
      <c r="G50" s="10"/>
      <c r="H50" s="10"/>
      <c r="I50" s="11"/>
      <c r="J50" s="11"/>
      <c r="K50" s="11"/>
      <c r="L50" s="11"/>
      <c r="M50" s="6" t="s">
        <v>25</v>
      </c>
    </row>
    <row r="51" spans="1:13" x14ac:dyDescent="0.2">
      <c r="A51" t="s">
        <v>59</v>
      </c>
      <c r="B51" s="7" t="s">
        <v>77</v>
      </c>
      <c r="C51" s="7"/>
      <c r="D51" s="7"/>
      <c r="E51" s="7"/>
      <c r="F51" s="8"/>
      <c r="G51" s="10" t="s">
        <v>77</v>
      </c>
      <c r="H51" s="10"/>
      <c r="I51" s="11"/>
      <c r="J51" s="11"/>
      <c r="K51" s="11"/>
      <c r="L51" s="11"/>
      <c r="M51" s="6" t="s">
        <v>65</v>
      </c>
    </row>
    <row r="52" spans="1:13" x14ac:dyDescent="0.2">
      <c r="A52" t="s">
        <v>58</v>
      </c>
      <c r="B52" s="7"/>
      <c r="C52" s="7"/>
      <c r="D52" s="7"/>
      <c r="E52" s="7"/>
      <c r="F52" s="8"/>
      <c r="G52" s="10"/>
      <c r="H52" s="10"/>
      <c r="I52" s="11"/>
      <c r="J52" s="11"/>
      <c r="K52" s="11"/>
      <c r="L52" s="11"/>
      <c r="M52" s="6" t="s">
        <v>25</v>
      </c>
    </row>
    <row r="53" spans="1:13" x14ac:dyDescent="0.2">
      <c r="A53" t="s">
        <v>60</v>
      </c>
      <c r="B53" s="7"/>
      <c r="C53" s="7"/>
      <c r="D53" s="7"/>
      <c r="E53" s="7"/>
      <c r="F53" s="8"/>
      <c r="G53" s="10"/>
      <c r="H53" s="10"/>
      <c r="I53" s="11"/>
      <c r="J53" s="11"/>
      <c r="K53" s="11"/>
      <c r="L53" s="11"/>
      <c r="M53" s="6" t="s">
        <v>25</v>
      </c>
    </row>
    <row r="54" spans="1:13" x14ac:dyDescent="0.2">
      <c r="A54" t="s">
        <v>84</v>
      </c>
      <c r="B54" s="7" t="s">
        <v>77</v>
      </c>
      <c r="C54" s="7"/>
      <c r="D54" s="7"/>
      <c r="E54" s="7"/>
      <c r="F54" s="8"/>
      <c r="G54" s="10" t="s">
        <v>77</v>
      </c>
      <c r="H54" s="10" t="s">
        <v>77</v>
      </c>
      <c r="I54" s="11"/>
      <c r="J54" s="11"/>
      <c r="K54" s="11"/>
      <c r="L54" s="11"/>
      <c r="M54" s="6" t="s">
        <v>26</v>
      </c>
    </row>
    <row r="55" spans="1:13" x14ac:dyDescent="0.2">
      <c r="A55" t="s">
        <v>61</v>
      </c>
      <c r="B55" s="7"/>
      <c r="C55" s="7"/>
      <c r="D55" s="7"/>
      <c r="E55" s="7"/>
      <c r="F55" s="8"/>
      <c r="G55" s="10"/>
      <c r="H55" s="10"/>
      <c r="I55" s="11"/>
      <c r="J55" s="11"/>
      <c r="K55" s="11"/>
      <c r="L55" s="11"/>
      <c r="M55" s="6" t="s">
        <v>25</v>
      </c>
    </row>
    <row r="56" spans="1:13" x14ac:dyDescent="0.2">
      <c r="A56" t="s">
        <v>62</v>
      </c>
      <c r="B56" s="7"/>
      <c r="C56" s="7"/>
      <c r="D56" s="7"/>
      <c r="E56" s="7"/>
      <c r="F56" s="8"/>
      <c r="G56" s="10"/>
      <c r="H56" s="10"/>
      <c r="I56" s="11"/>
      <c r="J56" s="11"/>
      <c r="K56" s="11"/>
      <c r="L56" s="11"/>
      <c r="M56" s="6" t="s">
        <v>25</v>
      </c>
    </row>
    <row r="57" spans="1:13" x14ac:dyDescent="0.2">
      <c r="A57" t="s">
        <v>63</v>
      </c>
      <c r="B57" s="7"/>
      <c r="C57" s="7"/>
      <c r="D57" s="7"/>
      <c r="E57" s="7"/>
      <c r="F57" s="8"/>
      <c r="G57" s="10"/>
      <c r="H57" s="10"/>
      <c r="I57" s="11"/>
      <c r="J57" s="11"/>
      <c r="K57" s="11"/>
      <c r="L57" s="11"/>
      <c r="M57" s="6" t="s">
        <v>25</v>
      </c>
    </row>
    <row r="58" spans="1:13" x14ac:dyDescent="0.2">
      <c r="A58" t="s">
        <v>85</v>
      </c>
      <c r="B58" s="7"/>
      <c r="C58" s="7" t="s">
        <v>80</v>
      </c>
      <c r="D58" s="7"/>
      <c r="E58" s="7"/>
      <c r="F58" s="8"/>
      <c r="G58" s="10" t="s">
        <v>80</v>
      </c>
      <c r="H58" s="10" t="s">
        <v>80</v>
      </c>
      <c r="I58" s="11"/>
      <c r="J58" s="11"/>
      <c r="K58" s="11"/>
      <c r="L58" s="11"/>
      <c r="M58" s="6" t="s">
        <v>26</v>
      </c>
    </row>
    <row r="59" spans="1:13" x14ac:dyDescent="0.2">
      <c r="A59" t="s">
        <v>64</v>
      </c>
      <c r="B59" s="7"/>
      <c r="C59" s="7"/>
      <c r="D59" s="7"/>
      <c r="E59" s="7"/>
      <c r="F59" s="8"/>
      <c r="G59" s="10"/>
      <c r="H59" s="10"/>
      <c r="I59" s="11"/>
      <c r="J59" s="11"/>
      <c r="K59" s="11"/>
      <c r="L59" s="11"/>
      <c r="M59" s="6" t="s">
        <v>25</v>
      </c>
    </row>
    <row r="60" spans="1:13" x14ac:dyDescent="0.2">
      <c r="A60" t="s">
        <v>86</v>
      </c>
      <c r="B60" s="7"/>
      <c r="C60" s="7"/>
      <c r="D60" s="7" t="s">
        <v>80</v>
      </c>
      <c r="E60" s="7"/>
      <c r="F60" s="8"/>
      <c r="G60" s="10"/>
      <c r="H60" s="10"/>
      <c r="I60" s="11"/>
      <c r="J60" s="11"/>
      <c r="K60" s="11"/>
      <c r="L60" s="11"/>
      <c r="M60" s="6" t="s">
        <v>26</v>
      </c>
    </row>
    <row r="61" spans="1:13" x14ac:dyDescent="0.2">
      <c r="A61" t="s">
        <v>87</v>
      </c>
      <c r="B61" s="7"/>
      <c r="C61" s="7" t="s">
        <v>80</v>
      </c>
      <c r="D61" s="7"/>
      <c r="E61" s="7" t="s">
        <v>80</v>
      </c>
      <c r="F61" s="8"/>
      <c r="G61" s="10" t="s">
        <v>80</v>
      </c>
      <c r="H61" s="10" t="s">
        <v>80</v>
      </c>
      <c r="I61" s="11"/>
      <c r="J61" s="11"/>
      <c r="K61" s="11"/>
      <c r="L61" s="11"/>
      <c r="M61" s="6" t="s">
        <v>26</v>
      </c>
    </row>
    <row r="62" spans="1:13" x14ac:dyDescent="0.2">
      <c r="A62" t="s">
        <v>88</v>
      </c>
      <c r="B62" s="7"/>
      <c r="C62" s="7"/>
      <c r="D62" s="7"/>
      <c r="E62" s="7"/>
      <c r="F62" s="8" t="s">
        <v>80</v>
      </c>
      <c r="G62" s="10" t="s">
        <v>80</v>
      </c>
      <c r="H62" s="10" t="s">
        <v>80</v>
      </c>
      <c r="I62" s="11" t="s">
        <v>80</v>
      </c>
      <c r="J62" s="11" t="s">
        <v>80</v>
      </c>
      <c r="K62" s="11"/>
      <c r="L62" s="11"/>
      <c r="M62" s="6" t="s">
        <v>26</v>
      </c>
    </row>
    <row r="63" spans="1:13" x14ac:dyDescent="0.2">
      <c r="A63" t="s">
        <v>89</v>
      </c>
      <c r="B63" s="7"/>
      <c r="C63" s="7" t="s">
        <v>80</v>
      </c>
      <c r="D63" s="7"/>
      <c r="E63" s="7"/>
      <c r="F63" s="8" t="s">
        <v>80</v>
      </c>
      <c r="G63" s="10" t="s">
        <v>80</v>
      </c>
      <c r="H63" s="10" t="s">
        <v>80</v>
      </c>
      <c r="I63" s="11"/>
      <c r="J63" s="11" t="s">
        <v>80</v>
      </c>
      <c r="K63" s="11"/>
      <c r="L63" s="11"/>
      <c r="M63" s="6" t="s">
        <v>26</v>
      </c>
    </row>
    <row r="64" spans="1:13" x14ac:dyDescent="0.2">
      <c r="A64" t="s">
        <v>90</v>
      </c>
      <c r="B64" s="7"/>
      <c r="C64" s="7"/>
      <c r="D64" s="7"/>
      <c r="E64" s="7"/>
      <c r="F64" s="8"/>
      <c r="G64" s="10"/>
      <c r="H64" s="10"/>
      <c r="I64" s="11"/>
      <c r="J64" s="11" t="s">
        <v>80</v>
      </c>
      <c r="K64" s="11"/>
      <c r="L64" s="11"/>
      <c r="M64" s="6" t="s">
        <v>26</v>
      </c>
    </row>
    <row r="65" spans="1:13" x14ac:dyDescent="0.2">
      <c r="A65" t="s">
        <v>91</v>
      </c>
      <c r="B65" s="7" t="s">
        <v>80</v>
      </c>
      <c r="C65" s="7" t="s">
        <v>80</v>
      </c>
      <c r="D65" s="7"/>
      <c r="E65" s="7"/>
      <c r="F65" s="8" t="s">
        <v>80</v>
      </c>
      <c r="G65" s="10" t="s">
        <v>80</v>
      </c>
      <c r="H65" s="10" t="s">
        <v>80</v>
      </c>
      <c r="I65" s="11"/>
      <c r="J65" s="11"/>
      <c r="K65" s="11"/>
      <c r="L65" s="11"/>
      <c r="M65" s="6" t="s">
        <v>26</v>
      </c>
    </row>
    <row r="66" spans="1:13" x14ac:dyDescent="0.2">
      <c r="A66" t="s">
        <v>92</v>
      </c>
      <c r="B66" s="7" t="s">
        <v>80</v>
      </c>
      <c r="C66" s="7"/>
      <c r="D66" s="7"/>
      <c r="E66" s="7"/>
      <c r="F66" s="8"/>
      <c r="G66" s="10" t="s">
        <v>80</v>
      </c>
      <c r="H66" s="10" t="s">
        <v>80</v>
      </c>
      <c r="I66" s="11"/>
      <c r="J66" s="11"/>
      <c r="K66" s="11"/>
      <c r="L66" s="11"/>
      <c r="M66" s="6" t="s">
        <v>26</v>
      </c>
    </row>
    <row r="67" spans="1:13" x14ac:dyDescent="0.2">
      <c r="A67" t="s">
        <v>116</v>
      </c>
      <c r="B67" s="7" t="s">
        <v>80</v>
      </c>
      <c r="C67" s="7"/>
      <c r="D67" s="7"/>
      <c r="E67" s="7"/>
      <c r="F67" s="8"/>
      <c r="G67" s="10" t="s">
        <v>80</v>
      </c>
      <c r="H67" s="10" t="s">
        <v>80</v>
      </c>
      <c r="I67" s="11"/>
      <c r="J67" s="11"/>
      <c r="K67" s="11"/>
      <c r="L67" s="11"/>
      <c r="M67" s="6" t="s">
        <v>26</v>
      </c>
    </row>
    <row r="68" spans="1:13" x14ac:dyDescent="0.2">
      <c r="A68" t="s">
        <v>93</v>
      </c>
      <c r="B68" s="12"/>
      <c r="C68" s="12"/>
      <c r="D68" s="12" t="s">
        <v>80</v>
      </c>
      <c r="E68" s="12"/>
      <c r="F68" s="13"/>
      <c r="G68" s="14" t="s">
        <v>80</v>
      </c>
      <c r="H68" s="14"/>
      <c r="I68" s="15"/>
      <c r="J68" s="15"/>
      <c r="K68" s="15"/>
      <c r="L68" s="15"/>
      <c r="M68" s="6" t="s">
        <v>65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79"/>
  <sheetViews>
    <sheetView topLeftCell="A31" workbookViewId="0">
      <selection activeCell="J55" sqref="J55"/>
    </sheetView>
  </sheetViews>
  <sheetFormatPr baseColWidth="10" defaultColWidth="8.83203125" defaultRowHeight="15" x14ac:dyDescent="0.2"/>
  <cols>
    <col min="1" max="2" width="31.33203125" bestFit="1" customWidth="1"/>
    <col min="3" max="3" width="9.33203125" customWidth="1"/>
    <col min="4" max="4" width="9.5" customWidth="1"/>
    <col min="5" max="5" width="9.83203125" style="22" customWidth="1"/>
    <col min="6" max="6" width="13" customWidth="1"/>
  </cols>
  <sheetData>
    <row r="1" spans="1:7" s="16" customFormat="1" ht="32" x14ac:dyDescent="0.2">
      <c r="A1" s="16" t="s">
        <v>107</v>
      </c>
      <c r="B1" s="16" t="s">
        <v>97</v>
      </c>
      <c r="C1" s="16" t="s">
        <v>98</v>
      </c>
      <c r="D1" s="16" t="s">
        <v>99</v>
      </c>
      <c r="E1" s="23" t="s">
        <v>100</v>
      </c>
      <c r="F1" s="16" t="s">
        <v>103</v>
      </c>
      <c r="G1" s="16" t="s">
        <v>120</v>
      </c>
    </row>
    <row r="2" spans="1:7" x14ac:dyDescent="0.2">
      <c r="A2" s="2" t="s">
        <v>0</v>
      </c>
      <c r="B2" t="s">
        <v>102</v>
      </c>
      <c r="C2" s="20">
        <v>45023</v>
      </c>
      <c r="D2" s="20">
        <v>45200</v>
      </c>
      <c r="E2" s="22">
        <v>19</v>
      </c>
      <c r="F2">
        <v>2</v>
      </c>
      <c r="G2">
        <f>Table4[[#This Row],[Hebergement selectionne]]*Table4[[#This Row],[Prix 2 personnes]]</f>
        <v>38</v>
      </c>
    </row>
    <row r="3" spans="1:7" x14ac:dyDescent="0.2">
      <c r="A3" s="3" t="s">
        <v>1</v>
      </c>
      <c r="C3" s="20">
        <v>44927</v>
      </c>
      <c r="D3" s="20">
        <v>45291</v>
      </c>
      <c r="G3">
        <f>Table4[[#This Row],[Hebergement selectionne]]*Table4[[#This Row],[Prix 2 personnes]]</f>
        <v>0</v>
      </c>
    </row>
    <row r="4" spans="1:7" x14ac:dyDescent="0.2">
      <c r="A4" s="2" t="s">
        <v>40</v>
      </c>
      <c r="C4" s="20">
        <v>44927</v>
      </c>
      <c r="D4" s="20">
        <v>45291</v>
      </c>
      <c r="G4">
        <f>Table4[[#This Row],[Hebergement selectionne]]*Table4[[#This Row],[Prix 2 personnes]]</f>
        <v>0</v>
      </c>
    </row>
    <row r="5" spans="1:7" x14ac:dyDescent="0.2">
      <c r="A5" s="3" t="s">
        <v>27</v>
      </c>
      <c r="C5" s="20">
        <v>44927</v>
      </c>
      <c r="D5" s="20">
        <v>45291</v>
      </c>
      <c r="G5">
        <f>Table4[[#This Row],[Hebergement selectionne]]*Table4[[#This Row],[Prix 2 personnes]]</f>
        <v>0</v>
      </c>
    </row>
    <row r="6" spans="1:7" x14ac:dyDescent="0.2">
      <c r="A6" s="2" t="s">
        <v>41</v>
      </c>
      <c r="C6" s="20">
        <v>44927</v>
      </c>
      <c r="D6" s="20">
        <v>45291</v>
      </c>
      <c r="G6">
        <f>Table4[[#This Row],[Hebergement selectionne]]*Table4[[#This Row],[Prix 2 personnes]]</f>
        <v>0</v>
      </c>
    </row>
    <row r="7" spans="1:7" x14ac:dyDescent="0.2">
      <c r="A7" s="3" t="s">
        <v>28</v>
      </c>
      <c r="C7" s="20">
        <v>44927</v>
      </c>
      <c r="D7" s="20">
        <v>45291</v>
      </c>
      <c r="G7">
        <f>Table4[[#This Row],[Hebergement selectionne]]*Table4[[#This Row],[Prix 2 personnes]]</f>
        <v>0</v>
      </c>
    </row>
    <row r="8" spans="1:7" x14ac:dyDescent="0.2">
      <c r="A8" s="2" t="s">
        <v>2</v>
      </c>
      <c r="B8" t="s">
        <v>178</v>
      </c>
      <c r="C8" s="20">
        <v>44927</v>
      </c>
      <c r="D8" s="20">
        <v>45291</v>
      </c>
      <c r="E8" s="22">
        <v>65</v>
      </c>
      <c r="G8">
        <f>Table4[[#This Row],[Hebergement selectionne]]*Table4[[#This Row],[Prix 2 personnes]]</f>
        <v>0</v>
      </c>
    </row>
    <row r="9" spans="1:7" x14ac:dyDescent="0.2">
      <c r="A9" s="2" t="s">
        <v>2</v>
      </c>
      <c r="B9" t="s">
        <v>210</v>
      </c>
      <c r="C9" s="20">
        <v>44927</v>
      </c>
      <c r="D9" s="20">
        <v>45291</v>
      </c>
      <c r="E9" s="22">
        <f>65+2*18.5</f>
        <v>102</v>
      </c>
      <c r="F9">
        <v>1</v>
      </c>
      <c r="G9">
        <f>Table4[[#This Row],[Hebergement selectionne]]*Table4[[#This Row],[Prix 2 personnes]]</f>
        <v>102</v>
      </c>
    </row>
    <row r="10" spans="1:7" x14ac:dyDescent="0.2">
      <c r="A10" s="3" t="s">
        <v>16</v>
      </c>
      <c r="B10" t="s">
        <v>101</v>
      </c>
      <c r="C10" s="20">
        <v>44927</v>
      </c>
      <c r="D10" s="20">
        <v>45199</v>
      </c>
      <c r="E10" s="22">
        <v>11</v>
      </c>
      <c r="G10">
        <f>Table4[[#This Row],[Hebergement selectionne]]*Table4[[#This Row],[Prix 2 personnes]]</f>
        <v>0</v>
      </c>
    </row>
    <row r="11" spans="1:7" x14ac:dyDescent="0.2">
      <c r="A11" s="2" t="s">
        <v>42</v>
      </c>
      <c r="C11" s="20">
        <v>44927</v>
      </c>
      <c r="D11" s="20">
        <v>45291</v>
      </c>
      <c r="G11">
        <f>Table4[[#This Row],[Hebergement selectionne]]*Table4[[#This Row],[Prix 2 personnes]]</f>
        <v>0</v>
      </c>
    </row>
    <row r="12" spans="1:7" x14ac:dyDescent="0.2">
      <c r="A12" s="3" t="s">
        <v>43</v>
      </c>
      <c r="C12" s="20">
        <v>44927</v>
      </c>
      <c r="D12" s="20">
        <v>45291</v>
      </c>
      <c r="G12">
        <f>Table4[[#This Row],[Hebergement selectionne]]*Table4[[#This Row],[Prix 2 personnes]]</f>
        <v>0</v>
      </c>
    </row>
    <row r="13" spans="1:7" x14ac:dyDescent="0.2">
      <c r="A13" s="3" t="s">
        <v>192</v>
      </c>
      <c r="C13" s="20">
        <v>44927</v>
      </c>
      <c r="D13" s="20">
        <v>45291</v>
      </c>
      <c r="E13" s="22">
        <v>0</v>
      </c>
      <c r="F13">
        <v>1</v>
      </c>
      <c r="G13">
        <f>Table4[[#This Row],[Hebergement selectionne]]*Table4[[#This Row],[Prix 2 personnes]]</f>
        <v>0</v>
      </c>
    </row>
    <row r="14" spans="1:7" x14ac:dyDescent="0.2">
      <c r="A14" s="2" t="s">
        <v>32</v>
      </c>
      <c r="C14" s="20">
        <v>44927</v>
      </c>
      <c r="D14" s="20">
        <v>45291</v>
      </c>
      <c r="G14">
        <f>Table4[[#This Row],[Hebergement selectionne]]*Table4[[#This Row],[Prix 2 personnes]]</f>
        <v>0</v>
      </c>
    </row>
    <row r="15" spans="1:7" x14ac:dyDescent="0.2">
      <c r="A15" s="3" t="s">
        <v>3</v>
      </c>
      <c r="C15" s="20">
        <v>44927</v>
      </c>
      <c r="D15" s="20">
        <v>45291</v>
      </c>
      <c r="G15">
        <f>Table4[[#This Row],[Hebergement selectionne]]*Table4[[#This Row],[Prix 2 personnes]]</f>
        <v>0</v>
      </c>
    </row>
    <row r="16" spans="1:7" x14ac:dyDescent="0.2">
      <c r="A16" s="2" t="s">
        <v>4</v>
      </c>
      <c r="C16" s="20">
        <v>44927</v>
      </c>
      <c r="D16" s="20">
        <v>45291</v>
      </c>
      <c r="G16">
        <f>Table4[[#This Row],[Hebergement selectionne]]*Table4[[#This Row],[Prix 2 personnes]]</f>
        <v>0</v>
      </c>
    </row>
    <row r="17" spans="1:7" x14ac:dyDescent="0.2">
      <c r="A17" s="3" t="s">
        <v>13</v>
      </c>
      <c r="B17" t="s">
        <v>96</v>
      </c>
      <c r="C17" s="20">
        <v>45066</v>
      </c>
      <c r="D17" s="20">
        <v>45189</v>
      </c>
      <c r="E17" s="22">
        <v>20</v>
      </c>
      <c r="G17">
        <f>Table4[[#This Row],[Hebergement selectionne]]*Table4[[#This Row],[Prix 2 personnes]]</f>
        <v>0</v>
      </c>
    </row>
    <row r="18" spans="1:7" x14ac:dyDescent="0.2">
      <c r="A18" s="2" t="s">
        <v>5</v>
      </c>
      <c r="C18" s="20">
        <v>44927</v>
      </c>
      <c r="D18" s="20">
        <v>45291</v>
      </c>
      <c r="G18">
        <f>Table4[[#This Row],[Hebergement selectionne]]*Table4[[#This Row],[Prix 2 personnes]]</f>
        <v>0</v>
      </c>
    </row>
    <row r="19" spans="1:7" x14ac:dyDescent="0.2">
      <c r="A19" s="3" t="s">
        <v>47</v>
      </c>
      <c r="B19" t="s">
        <v>206</v>
      </c>
      <c r="C19" s="20">
        <v>45078</v>
      </c>
      <c r="D19" s="20">
        <v>45199</v>
      </c>
      <c r="E19" s="22">
        <v>12.4</v>
      </c>
      <c r="F19">
        <v>1</v>
      </c>
      <c r="G19">
        <f>Table4[[#This Row],[Hebergement selectionne]]*Table4[[#This Row],[Prix 2 personnes]]</f>
        <v>12.4</v>
      </c>
    </row>
    <row r="20" spans="1:7" x14ac:dyDescent="0.2">
      <c r="A20" s="2" t="s">
        <v>78</v>
      </c>
      <c r="C20" s="20">
        <v>44927</v>
      </c>
      <c r="D20" s="20">
        <v>45291</v>
      </c>
      <c r="G20">
        <f>Table4[[#This Row],[Hebergement selectionne]]*Table4[[#This Row],[Prix 2 personnes]]</f>
        <v>0</v>
      </c>
    </row>
    <row r="21" spans="1:7" x14ac:dyDescent="0.2">
      <c r="A21" s="3" t="s">
        <v>33</v>
      </c>
      <c r="C21" s="20">
        <v>44927</v>
      </c>
      <c r="D21" s="20">
        <v>45291</v>
      </c>
      <c r="G21">
        <f>Table4[[#This Row],[Hebergement selectionne]]*Table4[[#This Row],[Prix 2 personnes]]</f>
        <v>0</v>
      </c>
    </row>
    <row r="22" spans="1:7" x14ac:dyDescent="0.2">
      <c r="A22" s="2" t="s">
        <v>6</v>
      </c>
      <c r="C22" s="20">
        <v>44927</v>
      </c>
      <c r="D22" s="20">
        <v>45291</v>
      </c>
      <c r="G22">
        <f>Table4[[#This Row],[Hebergement selectionne]]*Table4[[#This Row],[Prix 2 personnes]]</f>
        <v>0</v>
      </c>
    </row>
    <row r="23" spans="1:7" x14ac:dyDescent="0.2">
      <c r="A23" s="3" t="s">
        <v>7</v>
      </c>
      <c r="B23" t="s">
        <v>104</v>
      </c>
      <c r="C23" s="20">
        <v>45072</v>
      </c>
      <c r="D23" s="20">
        <v>45193</v>
      </c>
      <c r="E23" s="22">
        <v>20</v>
      </c>
      <c r="F23">
        <v>1</v>
      </c>
      <c r="G23">
        <f>Table4[[#This Row],[Hebergement selectionne]]*Table4[[#This Row],[Prix 2 personnes]]</f>
        <v>20</v>
      </c>
    </row>
    <row r="24" spans="1:7" x14ac:dyDescent="0.2">
      <c r="A24" s="2" t="s">
        <v>79</v>
      </c>
      <c r="C24" s="20">
        <v>44927</v>
      </c>
      <c r="D24" s="20">
        <v>45291</v>
      </c>
      <c r="G24">
        <f>Table4[[#This Row],[Hebergement selectionne]]*Table4[[#This Row],[Prix 2 personnes]]</f>
        <v>0</v>
      </c>
    </row>
    <row r="25" spans="1:7" x14ac:dyDescent="0.2">
      <c r="A25" s="3" t="s">
        <v>39</v>
      </c>
      <c r="C25" s="20">
        <v>44927</v>
      </c>
      <c r="D25" s="20">
        <v>45291</v>
      </c>
      <c r="G25">
        <f>Table4[[#This Row],[Hebergement selectionne]]*Table4[[#This Row],[Prix 2 personnes]]</f>
        <v>0</v>
      </c>
    </row>
    <row r="26" spans="1:7" x14ac:dyDescent="0.2">
      <c r="A26" s="2" t="s">
        <v>8</v>
      </c>
      <c r="C26" s="20">
        <v>44927</v>
      </c>
      <c r="D26" s="20">
        <v>45291</v>
      </c>
      <c r="G26">
        <f>Table4[[#This Row],[Hebergement selectionne]]*Table4[[#This Row],[Prix 2 personnes]]</f>
        <v>0</v>
      </c>
    </row>
    <row r="27" spans="1:7" x14ac:dyDescent="0.2">
      <c r="A27" s="3" t="s">
        <v>81</v>
      </c>
      <c r="C27" s="20">
        <v>44927</v>
      </c>
      <c r="D27" s="20">
        <v>45291</v>
      </c>
      <c r="G27">
        <f>Table4[[#This Row],[Hebergement selectionne]]*Table4[[#This Row],[Prix 2 personnes]]</f>
        <v>0</v>
      </c>
    </row>
    <row r="28" spans="1:7" x14ac:dyDescent="0.2">
      <c r="A28" s="2" t="s">
        <v>23</v>
      </c>
      <c r="B28" t="s">
        <v>105</v>
      </c>
      <c r="C28" s="20">
        <v>44927</v>
      </c>
      <c r="D28" s="20">
        <v>45291</v>
      </c>
      <c r="E28" s="22">
        <v>15.4</v>
      </c>
      <c r="G28">
        <f>Table4[[#This Row],[Hebergement selectionne]]*Table4[[#This Row],[Prix 2 personnes]]</f>
        <v>0</v>
      </c>
    </row>
    <row r="29" spans="1:7" x14ac:dyDescent="0.2">
      <c r="A29" s="3" t="s">
        <v>9</v>
      </c>
      <c r="B29" t="s">
        <v>106</v>
      </c>
      <c r="C29" s="20">
        <v>44927</v>
      </c>
      <c r="D29" s="20">
        <v>45193</v>
      </c>
      <c r="E29" s="22">
        <v>20</v>
      </c>
      <c r="F29">
        <v>1</v>
      </c>
      <c r="G29">
        <f>Table4[[#This Row],[Hebergement selectionne]]*Table4[[#This Row],[Prix 2 personnes]]</f>
        <v>20</v>
      </c>
    </row>
    <row r="30" spans="1:7" x14ac:dyDescent="0.2">
      <c r="A30" s="3" t="s">
        <v>9</v>
      </c>
      <c r="B30" t="s">
        <v>108</v>
      </c>
      <c r="C30" s="20">
        <v>45058</v>
      </c>
      <c r="D30" s="20">
        <v>45193</v>
      </c>
      <c r="E30" s="22">
        <f>20.21 + 7.72</f>
        <v>27.93</v>
      </c>
      <c r="G30">
        <f>Table4[[#This Row],[Hebergement selectionne]]*Table4[[#This Row],[Prix 2 personnes]]</f>
        <v>0</v>
      </c>
    </row>
    <row r="31" spans="1:7" x14ac:dyDescent="0.2">
      <c r="A31" s="2" t="s">
        <v>10</v>
      </c>
      <c r="C31" s="20">
        <v>44927</v>
      </c>
      <c r="D31" s="20">
        <v>45291</v>
      </c>
      <c r="G31">
        <f>Table4[[#This Row],[Hebergement selectionne]]*Table4[[#This Row],[Prix 2 personnes]]</f>
        <v>0</v>
      </c>
    </row>
    <row r="32" spans="1:7" x14ac:dyDescent="0.2">
      <c r="A32" s="3" t="s">
        <v>44</v>
      </c>
      <c r="B32" t="s">
        <v>109</v>
      </c>
      <c r="C32" s="20">
        <v>44927</v>
      </c>
      <c r="D32" s="20">
        <v>45291</v>
      </c>
      <c r="E32" s="22">
        <v>0</v>
      </c>
      <c r="F32">
        <v>1</v>
      </c>
      <c r="G32">
        <f>Table4[[#This Row],[Hebergement selectionne]]*Table4[[#This Row],[Prix 2 personnes]]</f>
        <v>0</v>
      </c>
    </row>
    <row r="33" spans="1:7" x14ac:dyDescent="0.2">
      <c r="A33" s="2" t="s">
        <v>45</v>
      </c>
      <c r="C33" s="20">
        <v>44927</v>
      </c>
      <c r="D33" s="20">
        <v>45291</v>
      </c>
      <c r="G33">
        <f>Table4[[#This Row],[Hebergement selectionne]]*Table4[[#This Row],[Prix 2 personnes]]</f>
        <v>0</v>
      </c>
    </row>
    <row r="34" spans="1:7" x14ac:dyDescent="0.2">
      <c r="A34" s="3" t="s">
        <v>46</v>
      </c>
      <c r="C34" s="20">
        <v>44927</v>
      </c>
      <c r="D34" s="20">
        <v>45291</v>
      </c>
      <c r="G34">
        <f>Table4[[#This Row],[Hebergement selectionne]]*Table4[[#This Row],[Prix 2 personnes]]</f>
        <v>0</v>
      </c>
    </row>
    <row r="35" spans="1:7" x14ac:dyDescent="0.2">
      <c r="A35" s="2" t="s">
        <v>14</v>
      </c>
      <c r="B35" s="2" t="s">
        <v>14</v>
      </c>
      <c r="C35" s="20">
        <v>45092</v>
      </c>
      <c r="D35" s="20">
        <v>45199</v>
      </c>
      <c r="E35" s="22">
        <v>41</v>
      </c>
      <c r="F35">
        <v>1</v>
      </c>
      <c r="G35">
        <f>Table4[[#This Row],[Hebergement selectionne]]*Table4[[#This Row],[Prix 2 personnes]]</f>
        <v>41</v>
      </c>
    </row>
    <row r="36" spans="1:7" x14ac:dyDescent="0.2">
      <c r="A36" s="2" t="s">
        <v>14</v>
      </c>
      <c r="B36" s="2" t="s">
        <v>110</v>
      </c>
      <c r="C36" s="20">
        <v>45092</v>
      </c>
      <c r="D36" s="20">
        <v>45199</v>
      </c>
      <c r="E36" s="22">
        <v>96</v>
      </c>
      <c r="F36">
        <v>0</v>
      </c>
      <c r="G36">
        <f>Table4[[#This Row],[Hebergement selectionne]]*Table4[[#This Row],[Prix 2 personnes]]</f>
        <v>0</v>
      </c>
    </row>
    <row r="37" spans="1:7" x14ac:dyDescent="0.2">
      <c r="A37" s="3" t="s">
        <v>48</v>
      </c>
      <c r="C37" s="20">
        <v>44927</v>
      </c>
      <c r="D37" s="20">
        <v>45291</v>
      </c>
      <c r="G37">
        <f>Table4[[#This Row],[Hebergement selectionne]]*Table4[[#This Row],[Prix 2 personnes]]</f>
        <v>0</v>
      </c>
    </row>
    <row r="38" spans="1:7" x14ac:dyDescent="0.2">
      <c r="A38" s="2" t="s">
        <v>49</v>
      </c>
      <c r="C38" s="20">
        <v>44927</v>
      </c>
      <c r="D38" s="20">
        <v>45291</v>
      </c>
      <c r="G38">
        <f>Table4[[#This Row],[Hebergement selectionne]]*Table4[[#This Row],[Prix 2 personnes]]</f>
        <v>0</v>
      </c>
    </row>
    <row r="39" spans="1:7" x14ac:dyDescent="0.2">
      <c r="A39" s="3" t="s">
        <v>50</v>
      </c>
      <c r="C39" s="20">
        <v>44927</v>
      </c>
      <c r="D39" s="20">
        <v>45291</v>
      </c>
      <c r="G39">
        <f>Table4[[#This Row],[Hebergement selectionne]]*Table4[[#This Row],[Prix 2 personnes]]</f>
        <v>0</v>
      </c>
    </row>
    <row r="40" spans="1:7" x14ac:dyDescent="0.2">
      <c r="A40" s="2" t="s">
        <v>11</v>
      </c>
      <c r="B40" s="2" t="s">
        <v>11</v>
      </c>
      <c r="C40" s="20">
        <v>45087</v>
      </c>
      <c r="D40" s="20">
        <v>45200</v>
      </c>
      <c r="E40" s="22">
        <v>50</v>
      </c>
      <c r="F40">
        <v>1</v>
      </c>
      <c r="G40">
        <f>Table4[[#This Row],[Hebergement selectionne]]*Table4[[#This Row],[Prix 2 personnes]]</f>
        <v>50</v>
      </c>
    </row>
    <row r="41" spans="1:7" x14ac:dyDescent="0.2">
      <c r="A41" s="2" t="s">
        <v>11</v>
      </c>
      <c r="B41" s="2" t="s">
        <v>111</v>
      </c>
      <c r="C41" s="20">
        <v>45087</v>
      </c>
      <c r="D41" s="20">
        <v>45200</v>
      </c>
      <c r="E41" s="22">
        <v>108.2</v>
      </c>
      <c r="F41">
        <v>0</v>
      </c>
      <c r="G41">
        <f>Table4[[#This Row],[Hebergement selectionne]]*Table4[[#This Row],[Prix 2 personnes]]</f>
        <v>0</v>
      </c>
    </row>
    <row r="42" spans="1:7" x14ac:dyDescent="0.2">
      <c r="A42" s="3" t="s">
        <v>82</v>
      </c>
      <c r="C42" s="20">
        <v>44927</v>
      </c>
      <c r="D42" s="20">
        <v>45291</v>
      </c>
      <c r="G42">
        <f>Table4[[#This Row],[Hebergement selectionne]]*Table4[[#This Row],[Prix 2 personnes]]</f>
        <v>0</v>
      </c>
    </row>
    <row r="43" spans="1:7" x14ac:dyDescent="0.2">
      <c r="A43" s="2" t="s">
        <v>83</v>
      </c>
      <c r="C43" s="20">
        <v>44927</v>
      </c>
      <c r="D43" s="20">
        <v>45291</v>
      </c>
      <c r="G43">
        <f>Table4[[#This Row],[Hebergement selectionne]]*Table4[[#This Row],[Prix 2 personnes]]</f>
        <v>0</v>
      </c>
    </row>
    <row r="44" spans="1:7" x14ac:dyDescent="0.2">
      <c r="A44" s="3" t="s">
        <v>51</v>
      </c>
      <c r="C44" s="20">
        <v>44927</v>
      </c>
      <c r="D44" s="20">
        <v>45291</v>
      </c>
      <c r="G44">
        <f>Table4[[#This Row],[Hebergement selectionne]]*Table4[[#This Row],[Prix 2 personnes]]</f>
        <v>0</v>
      </c>
    </row>
    <row r="45" spans="1:7" x14ac:dyDescent="0.2">
      <c r="A45" s="2" t="s">
        <v>52</v>
      </c>
      <c r="C45" s="20">
        <v>45087</v>
      </c>
      <c r="D45" s="20">
        <v>45193</v>
      </c>
      <c r="G45">
        <f>Table4[[#This Row],[Hebergement selectionne]]*Table4[[#This Row],[Prix 2 personnes]]</f>
        <v>0</v>
      </c>
    </row>
    <row r="46" spans="1:7" x14ac:dyDescent="0.2">
      <c r="A46" s="3" t="s">
        <v>6</v>
      </c>
      <c r="C46" s="20">
        <v>44927</v>
      </c>
      <c r="D46" s="20">
        <v>45291</v>
      </c>
      <c r="G46">
        <f>Table4[[#This Row],[Hebergement selectionne]]*Table4[[#This Row],[Prix 2 personnes]]</f>
        <v>0</v>
      </c>
    </row>
    <row r="47" spans="1:7" x14ac:dyDescent="0.2">
      <c r="A47" s="2" t="s">
        <v>18</v>
      </c>
      <c r="C47" s="20">
        <v>44927</v>
      </c>
      <c r="D47" s="20">
        <v>45291</v>
      </c>
      <c r="G47">
        <f>Table4[[#This Row],[Hebergement selectionne]]*Table4[[#This Row],[Prix 2 personnes]]</f>
        <v>0</v>
      </c>
    </row>
    <row r="48" spans="1:7" x14ac:dyDescent="0.2">
      <c r="A48" s="3" t="s">
        <v>53</v>
      </c>
      <c r="C48" s="20">
        <v>44927</v>
      </c>
      <c r="D48" s="20">
        <v>45291</v>
      </c>
      <c r="G48">
        <f>Table4[[#This Row],[Hebergement selectionne]]*Table4[[#This Row],[Prix 2 personnes]]</f>
        <v>0</v>
      </c>
    </row>
    <row r="49" spans="1:7" x14ac:dyDescent="0.2">
      <c r="A49" s="2" t="s">
        <v>54</v>
      </c>
      <c r="B49" t="s">
        <v>211</v>
      </c>
      <c r="C49" s="20">
        <v>44958</v>
      </c>
      <c r="D49" s="20">
        <v>45260</v>
      </c>
      <c r="E49" s="22">
        <f>2*16</f>
        <v>32</v>
      </c>
      <c r="G49">
        <f>Table4[[#This Row],[Hebergement selectionne]]*Table4[[#This Row],[Prix 2 personnes]]</f>
        <v>0</v>
      </c>
    </row>
    <row r="50" spans="1:7" x14ac:dyDescent="0.2">
      <c r="A50" s="2" t="s">
        <v>54</v>
      </c>
      <c r="B50" t="s">
        <v>212</v>
      </c>
      <c r="C50" s="20">
        <v>45060</v>
      </c>
      <c r="D50" s="20">
        <v>45199</v>
      </c>
      <c r="E50" s="22">
        <f>3.5+2*3.5+2*0.4</f>
        <v>11.3</v>
      </c>
      <c r="G50">
        <f>Table4[[#This Row],[Hebergement selectionne]]*Table4[[#This Row],[Prix 2 personnes]]</f>
        <v>0</v>
      </c>
    </row>
    <row r="51" spans="1:7" x14ac:dyDescent="0.2">
      <c r="A51" s="3" t="s">
        <v>15</v>
      </c>
      <c r="B51" s="3" t="s">
        <v>15</v>
      </c>
      <c r="C51" s="20">
        <v>45092</v>
      </c>
      <c r="D51" s="20">
        <v>45184</v>
      </c>
      <c r="E51" s="22">
        <v>49</v>
      </c>
      <c r="F51">
        <v>1</v>
      </c>
      <c r="G51">
        <f>Table4[[#This Row],[Hebergement selectionne]]*Table4[[#This Row],[Prix 2 personnes]]</f>
        <v>49</v>
      </c>
    </row>
    <row r="52" spans="1:7" x14ac:dyDescent="0.2">
      <c r="A52" s="2" t="s">
        <v>55</v>
      </c>
      <c r="C52" s="20">
        <v>44927</v>
      </c>
      <c r="D52" s="20">
        <v>45291</v>
      </c>
      <c r="G52">
        <f>Table4[[#This Row],[Hebergement selectionne]]*Table4[[#This Row],[Prix 2 personnes]]</f>
        <v>0</v>
      </c>
    </row>
    <row r="53" spans="1:7" x14ac:dyDescent="0.2">
      <c r="A53" s="3" t="s">
        <v>12</v>
      </c>
      <c r="B53" t="s">
        <v>113</v>
      </c>
      <c r="C53" s="20">
        <v>44927</v>
      </c>
      <c r="D53" s="20">
        <v>45291</v>
      </c>
      <c r="E53" s="22">
        <v>38</v>
      </c>
      <c r="G53">
        <f>Table4[[#This Row],[Hebergement selectionne]]*Table4[[#This Row],[Prix 2 personnes]]</f>
        <v>0</v>
      </c>
    </row>
    <row r="54" spans="1:7" x14ac:dyDescent="0.2">
      <c r="A54" s="3" t="s">
        <v>12</v>
      </c>
      <c r="B54" t="s">
        <v>114</v>
      </c>
      <c r="C54" s="20">
        <v>44927</v>
      </c>
      <c r="D54" s="20">
        <v>45291</v>
      </c>
      <c r="E54" s="22">
        <v>98</v>
      </c>
      <c r="F54">
        <v>0</v>
      </c>
      <c r="G54">
        <f>Table4[[#This Row],[Hebergement selectionne]]*Table4[[#This Row],[Prix 2 personnes]]</f>
        <v>0</v>
      </c>
    </row>
    <row r="55" spans="1:7" x14ac:dyDescent="0.2">
      <c r="A55" s="3" t="s">
        <v>12</v>
      </c>
      <c r="B55" t="s">
        <v>112</v>
      </c>
      <c r="C55" s="20">
        <v>44927</v>
      </c>
      <c r="D55" s="20">
        <v>45291</v>
      </c>
      <c r="E55" s="22">
        <v>9</v>
      </c>
      <c r="F55">
        <v>1</v>
      </c>
      <c r="G55">
        <f>Table4[[#This Row],[Hebergement selectionne]]*Table4[[#This Row],[Prix 2 personnes]]</f>
        <v>9</v>
      </c>
    </row>
    <row r="56" spans="1:7" x14ac:dyDescent="0.2">
      <c r="A56" s="2" t="s">
        <v>56</v>
      </c>
      <c r="C56" s="20">
        <v>44927</v>
      </c>
      <c r="D56" s="20">
        <v>45291</v>
      </c>
      <c r="G56">
        <f>Table4[[#This Row],[Hebergement selectionne]]*Table4[[#This Row],[Prix 2 personnes]]</f>
        <v>0</v>
      </c>
    </row>
    <row r="57" spans="1:7" x14ac:dyDescent="0.2">
      <c r="A57" s="3" t="s">
        <v>57</v>
      </c>
      <c r="C57" s="20">
        <v>44927</v>
      </c>
      <c r="D57" s="20">
        <v>45291</v>
      </c>
      <c r="G57">
        <f>Table4[[#This Row],[Hebergement selectionne]]*Table4[[#This Row],[Prix 2 personnes]]</f>
        <v>0</v>
      </c>
    </row>
    <row r="58" spans="1:7" x14ac:dyDescent="0.2">
      <c r="A58" s="2" t="s">
        <v>59</v>
      </c>
      <c r="B58" t="s">
        <v>115</v>
      </c>
      <c r="C58" s="20">
        <v>44927</v>
      </c>
      <c r="D58" s="20">
        <v>45291</v>
      </c>
      <c r="E58" s="22">
        <v>38.6</v>
      </c>
      <c r="G58">
        <f>Table4[[#This Row],[Hebergement selectionne]]*Table4[[#This Row],[Prix 2 personnes]]</f>
        <v>0</v>
      </c>
    </row>
    <row r="59" spans="1:7" x14ac:dyDescent="0.2">
      <c r="A59" s="2" t="s">
        <v>59</v>
      </c>
      <c r="B59" t="s">
        <v>117</v>
      </c>
      <c r="C59" s="20">
        <v>44927</v>
      </c>
      <c r="D59" s="20">
        <v>45291</v>
      </c>
      <c r="E59" s="22">
        <v>96</v>
      </c>
      <c r="F59">
        <v>1</v>
      </c>
      <c r="G59">
        <f>Table4[[#This Row],[Hebergement selectionne]]*Table4[[#This Row],[Prix 2 personnes]]</f>
        <v>96</v>
      </c>
    </row>
    <row r="60" spans="1:7" x14ac:dyDescent="0.2">
      <c r="A60" s="2" t="s">
        <v>59</v>
      </c>
      <c r="B60" t="s">
        <v>118</v>
      </c>
      <c r="C60" s="20">
        <v>44927</v>
      </c>
      <c r="D60" s="20">
        <v>45291</v>
      </c>
      <c r="G60">
        <f>Table4[[#This Row],[Hebergement selectionne]]*Table4[[#This Row],[Prix 2 personnes]]</f>
        <v>0</v>
      </c>
    </row>
    <row r="61" spans="1:7" x14ac:dyDescent="0.2">
      <c r="A61" s="3" t="s">
        <v>58</v>
      </c>
      <c r="C61" s="20">
        <v>44927</v>
      </c>
      <c r="D61" s="20">
        <v>45291</v>
      </c>
      <c r="G61">
        <f>Table4[[#This Row],[Hebergement selectionne]]*Table4[[#This Row],[Prix 2 personnes]]</f>
        <v>0</v>
      </c>
    </row>
    <row r="62" spans="1:7" x14ac:dyDescent="0.2">
      <c r="A62" s="2" t="s">
        <v>60</v>
      </c>
      <c r="C62" s="20">
        <v>44927</v>
      </c>
      <c r="D62" s="20">
        <v>45291</v>
      </c>
      <c r="G62">
        <f>Table4[[#This Row],[Hebergement selectionne]]*Table4[[#This Row],[Prix 2 personnes]]</f>
        <v>0</v>
      </c>
    </row>
    <row r="63" spans="1:7" x14ac:dyDescent="0.2">
      <c r="A63" s="3" t="s">
        <v>84</v>
      </c>
      <c r="B63" s="3" t="s">
        <v>84</v>
      </c>
      <c r="C63" s="20">
        <v>44927</v>
      </c>
      <c r="D63" s="20">
        <v>45199</v>
      </c>
      <c r="E63" s="22">
        <v>48</v>
      </c>
      <c r="F63">
        <v>1</v>
      </c>
      <c r="G63">
        <f>Table4[[#This Row],[Hebergement selectionne]]*Table4[[#This Row],[Prix 2 personnes]]</f>
        <v>48</v>
      </c>
    </row>
    <row r="64" spans="1:7" x14ac:dyDescent="0.2">
      <c r="A64" s="3" t="s">
        <v>84</v>
      </c>
      <c r="B64" s="3" t="s">
        <v>119</v>
      </c>
      <c r="C64" s="20">
        <v>44927</v>
      </c>
      <c r="D64" s="20">
        <v>45199</v>
      </c>
      <c r="E64" s="22">
        <v>104</v>
      </c>
      <c r="G64">
        <f>Table4[[#This Row],[Hebergement selectionne]]*Table4[[#This Row],[Prix 2 personnes]]</f>
        <v>0</v>
      </c>
    </row>
    <row r="65" spans="1:7" x14ac:dyDescent="0.2">
      <c r="A65" s="2" t="s">
        <v>61</v>
      </c>
      <c r="C65" s="20">
        <v>44927</v>
      </c>
      <c r="D65" s="20">
        <v>45291</v>
      </c>
      <c r="G65">
        <f>Table4[[#This Row],[Hebergement selectionne]]*Table4[[#This Row],[Prix 2 personnes]]</f>
        <v>0</v>
      </c>
    </row>
    <row r="66" spans="1:7" x14ac:dyDescent="0.2">
      <c r="A66" s="3" t="s">
        <v>62</v>
      </c>
      <c r="C66" s="20">
        <v>44927</v>
      </c>
      <c r="D66" s="20">
        <v>45291</v>
      </c>
      <c r="G66">
        <f>Table4[[#This Row],[Hebergement selectionne]]*Table4[[#This Row],[Prix 2 personnes]]</f>
        <v>0</v>
      </c>
    </row>
    <row r="67" spans="1:7" x14ac:dyDescent="0.2">
      <c r="A67" s="2" t="s">
        <v>63</v>
      </c>
      <c r="C67" s="20">
        <v>44927</v>
      </c>
      <c r="D67" s="20">
        <v>45291</v>
      </c>
      <c r="G67">
        <f>Table4[[#This Row],[Hebergement selectionne]]*Table4[[#This Row],[Prix 2 personnes]]</f>
        <v>0</v>
      </c>
    </row>
    <row r="68" spans="1:7" x14ac:dyDescent="0.2">
      <c r="A68" s="3" t="s">
        <v>85</v>
      </c>
      <c r="C68" s="20">
        <v>44927</v>
      </c>
      <c r="D68" s="20">
        <v>45291</v>
      </c>
      <c r="G68">
        <f>Table4[[#This Row],[Hebergement selectionne]]*Table4[[#This Row],[Prix 2 personnes]]</f>
        <v>0</v>
      </c>
    </row>
    <row r="69" spans="1:7" x14ac:dyDescent="0.2">
      <c r="A69" s="2" t="s">
        <v>64</v>
      </c>
      <c r="C69" s="20">
        <v>44927</v>
      </c>
      <c r="D69" s="20">
        <v>45291</v>
      </c>
      <c r="G69">
        <f>Table4[[#This Row],[Hebergement selectionne]]*Table4[[#This Row],[Prix 2 personnes]]</f>
        <v>0</v>
      </c>
    </row>
    <row r="70" spans="1:7" x14ac:dyDescent="0.2">
      <c r="A70" s="3" t="s">
        <v>86</v>
      </c>
      <c r="C70" s="20">
        <v>44927</v>
      </c>
      <c r="D70" s="20">
        <v>45291</v>
      </c>
      <c r="G70">
        <f>Table4[[#This Row],[Hebergement selectionne]]*Table4[[#This Row],[Prix 2 personnes]]</f>
        <v>0</v>
      </c>
    </row>
    <row r="71" spans="1:7" x14ac:dyDescent="0.2">
      <c r="A71" s="2" t="s">
        <v>87</v>
      </c>
      <c r="C71" s="20">
        <v>44927</v>
      </c>
      <c r="D71" s="20">
        <v>45291</v>
      </c>
      <c r="G71">
        <f>Table4[[#This Row],[Hebergement selectionne]]*Table4[[#This Row],[Prix 2 personnes]]</f>
        <v>0</v>
      </c>
    </row>
    <row r="72" spans="1:7" x14ac:dyDescent="0.2">
      <c r="A72" s="3" t="s">
        <v>88</v>
      </c>
      <c r="C72" s="20">
        <v>44927</v>
      </c>
      <c r="D72" s="20">
        <v>45291</v>
      </c>
      <c r="G72">
        <f>Table4[[#This Row],[Hebergement selectionne]]*Table4[[#This Row],[Prix 2 personnes]]</f>
        <v>0</v>
      </c>
    </row>
    <row r="73" spans="1:7" x14ac:dyDescent="0.2">
      <c r="A73" s="2" t="s">
        <v>89</v>
      </c>
      <c r="C73" s="20">
        <v>44927</v>
      </c>
      <c r="D73" s="20">
        <v>45291</v>
      </c>
      <c r="G73">
        <f>Table4[[#This Row],[Hebergement selectionne]]*Table4[[#This Row],[Prix 2 personnes]]</f>
        <v>0</v>
      </c>
    </row>
    <row r="74" spans="1:7" x14ac:dyDescent="0.2">
      <c r="A74" s="3" t="s">
        <v>90</v>
      </c>
      <c r="C74" s="20">
        <v>44927</v>
      </c>
      <c r="D74" s="20">
        <v>45291</v>
      </c>
      <c r="G74">
        <f>Table4[[#This Row],[Hebergement selectionne]]*Table4[[#This Row],[Prix 2 personnes]]</f>
        <v>0</v>
      </c>
    </row>
    <row r="75" spans="1:7" x14ac:dyDescent="0.2">
      <c r="A75" s="2" t="s">
        <v>91</v>
      </c>
      <c r="C75" s="20">
        <v>44927</v>
      </c>
      <c r="D75" s="20">
        <v>45291</v>
      </c>
      <c r="G75">
        <f>Table4[[#This Row],[Hebergement selectionne]]*Table4[[#This Row],[Prix 2 personnes]]</f>
        <v>0</v>
      </c>
    </row>
    <row r="76" spans="1:7" x14ac:dyDescent="0.2">
      <c r="A76" s="3" t="s">
        <v>92</v>
      </c>
      <c r="C76" s="20">
        <v>44927</v>
      </c>
      <c r="D76" s="20">
        <v>45291</v>
      </c>
      <c r="G76">
        <f>Table4[[#This Row],[Hebergement selectionne]]*Table4[[#This Row],[Prix 2 personnes]]</f>
        <v>0</v>
      </c>
    </row>
    <row r="77" spans="1:7" x14ac:dyDescent="0.2">
      <c r="A77" s="2" t="s">
        <v>116</v>
      </c>
      <c r="C77" s="20">
        <v>44927</v>
      </c>
      <c r="D77" s="20">
        <v>45291</v>
      </c>
      <c r="G77">
        <f>Table4[[#This Row],[Hebergement selectionne]]*Table4[[#This Row],[Prix 2 personnes]]</f>
        <v>0</v>
      </c>
    </row>
    <row r="78" spans="1:7" x14ac:dyDescent="0.2">
      <c r="A78" s="3" t="s">
        <v>93</v>
      </c>
      <c r="C78" s="20">
        <v>44927</v>
      </c>
      <c r="D78" s="20">
        <v>45291</v>
      </c>
      <c r="G78">
        <f>Table4[[#This Row],[Hebergement selectionne]]*Table4[[#This Row],[Prix 2 personnes]]</f>
        <v>0</v>
      </c>
    </row>
    <row r="79" spans="1:7" x14ac:dyDescent="0.2">
      <c r="A79" s="24"/>
      <c r="G79">
        <f>SUBTOTAL(109,Table4[Dépense])</f>
        <v>485.4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Etapes - Resume</vt:lpstr>
      <vt:lpstr>Etapes - Details</vt:lpstr>
      <vt:lpstr>Ressources - Resume</vt:lpstr>
      <vt:lpstr>Ressources - Details</vt:lpstr>
    </vt:vector>
  </TitlesOfParts>
  <Company>Banque de France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SASSI Adel (DGSI DDSA)</dc:creator>
  <cp:lastModifiedBy>Microsoft Office User</cp:lastModifiedBy>
  <dcterms:created xsi:type="dcterms:W3CDTF">2023-08-19T15:31:28Z</dcterms:created>
  <dcterms:modified xsi:type="dcterms:W3CDTF">2023-09-05T20:35:08Z</dcterms:modified>
</cp:coreProperties>
</file>