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Dataset" sheetId="1" r:id="rId4"/>
    <sheet state="visible" name="2-Basic Functions" sheetId="2" r:id="rId5"/>
    <sheet state="visible" name="3-Select and Filter" sheetId="3" r:id="rId6"/>
    <sheet state="visible" name="4-Dynamic Query" sheetId="4" r:id="rId7"/>
    <sheet state="visible" name="5-Basic Statistics" sheetId="5" r:id="rId8"/>
  </sheets>
  <definedNames>
    <definedName name="IMDB">'1-Dataset'!$A$1:$G$101</definedName>
    <definedName hidden="1" localSheetId="1" name="_xlnm._FilterDatabase">'2-Basic Functions'!$A$1:$J$101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<sst xmlns="http://schemas.openxmlformats.org/spreadsheetml/2006/main" count="372" uniqueCount="215">
  <si>
    <t>NO</t>
  </si>
  <si>
    <t>MOVIE_NAME</t>
  </si>
  <si>
    <t>YEAR</t>
  </si>
  <si>
    <t>RATING</t>
  </si>
  <si>
    <t>LENGTH</t>
  </si>
  <si>
    <t>GENRE</t>
  </si>
  <si>
    <t>SCORE</t>
  </si>
  <si>
    <t>Source : From IMDB website about top 100 rank of movie score</t>
  </si>
  <si>
    <t>The Shawshank Redemption</t>
  </si>
  <si>
    <t>R</t>
  </si>
  <si>
    <t>Drama</t>
  </si>
  <si>
    <t>https://www.imdb.com/search/title/?groups=top_100&amp;sort=user_rating,desc</t>
  </si>
  <si>
    <t>The Godfather</t>
  </si>
  <si>
    <t>Crime, Drama</t>
  </si>
  <si>
    <t>The Dark Knight</t>
  </si>
  <si>
    <t>PG-13</t>
  </si>
  <si>
    <t>Action, Crime, Drama</t>
  </si>
  <si>
    <t>The Godfather: Part II</t>
  </si>
  <si>
    <t>The Lord of the Rings: The Return of the King</t>
  </si>
  <si>
    <t>Action, Adventure, Drama</t>
  </si>
  <si>
    <t>Pulp Fiction</t>
  </si>
  <si>
    <t>Schindler's List</t>
  </si>
  <si>
    <t>Biography, Drama, History</t>
  </si>
  <si>
    <t>12 Angry Men</t>
  </si>
  <si>
    <t>Approved</t>
  </si>
  <si>
    <t>Inception</t>
  </si>
  <si>
    <t>Action, Adventure, Sci-Fi</t>
  </si>
  <si>
    <t>Fight Club</t>
  </si>
  <si>
    <t>The Lord of the Rings: The Fellowship of the Ring</t>
  </si>
  <si>
    <t>Forrest Gump</t>
  </si>
  <si>
    <t>Drama, Romance</t>
  </si>
  <si>
    <t>The Good, the Bad and the Ugly</t>
  </si>
  <si>
    <t>Western</t>
  </si>
  <si>
    <t>Hamilton</t>
  </si>
  <si>
    <t>The Lord of the Rings: The Two Towers</t>
  </si>
  <si>
    <t>The Matrix</t>
  </si>
  <si>
    <t>Action, Sci-Fi</t>
  </si>
  <si>
    <t>Goodfellas</t>
  </si>
  <si>
    <t>Biography, Crime, Drama</t>
  </si>
  <si>
    <t>Star Wars: Episode V - The Empire Strikes Back</t>
  </si>
  <si>
    <t>PG</t>
  </si>
  <si>
    <t>Action, Adventure, Fantasy</t>
  </si>
  <si>
    <t>One Flew Over the Cuckoo's Nest</t>
  </si>
  <si>
    <t>Parasite</t>
  </si>
  <si>
    <t>Comedy, Drama, Thriller</t>
  </si>
  <si>
    <t>Interstellar</t>
  </si>
  <si>
    <t>Adventure, Drama, Sci-Fi</t>
  </si>
  <si>
    <t>City of God</t>
  </si>
  <si>
    <t>Spirited Away</t>
  </si>
  <si>
    <t>Animation, Adventure, Family</t>
  </si>
  <si>
    <t>Saving Private Ryan</t>
  </si>
  <si>
    <t>Drama, War</t>
  </si>
  <si>
    <t>The Green Mile</t>
  </si>
  <si>
    <t>Crime, Drama, Fantasy</t>
  </si>
  <si>
    <t>Life Is Beautiful</t>
  </si>
  <si>
    <t>Comedy, Drama, Romance</t>
  </si>
  <si>
    <t>Se7en</t>
  </si>
  <si>
    <t>Crime, Drama, Mystery</t>
  </si>
  <si>
    <t>The Silence of the Lambs</t>
  </si>
  <si>
    <t>Crime, Drama, Thriller</t>
  </si>
  <si>
    <t>Star Wars: Episode IV - A New Hope</t>
  </si>
  <si>
    <t>Harakiri</t>
  </si>
  <si>
    <t>Not Rated</t>
  </si>
  <si>
    <t>Action, Drama, Mystery</t>
  </si>
  <si>
    <t>Seven Samurai</t>
  </si>
  <si>
    <t>It's a Wonderful Life</t>
  </si>
  <si>
    <t>Drama, Family, Fantasy</t>
  </si>
  <si>
    <t>Joker</t>
  </si>
  <si>
    <t>Whiplash</t>
  </si>
  <si>
    <t>Drama, Music</t>
  </si>
  <si>
    <t>The Intouchables</t>
  </si>
  <si>
    <t>Biography, Comedy, Drama</t>
  </si>
  <si>
    <t>The Prestige</t>
  </si>
  <si>
    <t>Drama, Mystery, Sci-Fi</t>
  </si>
  <si>
    <t>The Departed</t>
  </si>
  <si>
    <t>The Pianist</t>
  </si>
  <si>
    <t>Biography, Drama, Music</t>
  </si>
  <si>
    <t>Gladiator</t>
  </si>
  <si>
    <t>American History X</t>
  </si>
  <si>
    <t>The Usual Suspects</t>
  </si>
  <si>
    <t>Crime, Mystery, Thriller</t>
  </si>
  <si>
    <t>Léon: The Professional</t>
  </si>
  <si>
    <t>The Lion King</t>
  </si>
  <si>
    <t>G</t>
  </si>
  <si>
    <t>Animation, Adventure, Drama</t>
  </si>
  <si>
    <t>Terminator 2: Judgment Day</t>
  </si>
  <si>
    <t>Cinema Paradiso</t>
  </si>
  <si>
    <t>Grave of the Fireflies</t>
  </si>
  <si>
    <t>Animation, Drama, War</t>
  </si>
  <si>
    <t>Back to the Future</t>
  </si>
  <si>
    <t>Adventure, Comedy, Sci-Fi</t>
  </si>
  <si>
    <t>Anand</t>
  </si>
  <si>
    <t>Drama, Musical</t>
  </si>
  <si>
    <t>Once Upon a Time in the West</t>
  </si>
  <si>
    <t>Psycho</t>
  </si>
  <si>
    <t>Horror, Mystery, Thriller</t>
  </si>
  <si>
    <t>Casablanca</t>
  </si>
  <si>
    <t>Drama, Romance, War</t>
  </si>
  <si>
    <t>Modern Times</t>
  </si>
  <si>
    <t>Comedy, Drama, Family</t>
  </si>
  <si>
    <t>City Lights</t>
  </si>
  <si>
    <t>Capharnaüm</t>
  </si>
  <si>
    <t>Ayla: The Daughter of War</t>
  </si>
  <si>
    <t>Your Name.</t>
  </si>
  <si>
    <t>Animation, Drama, Fantasy</t>
  </si>
  <si>
    <t>Dangal</t>
  </si>
  <si>
    <t>Action, Biography, Drama</t>
  </si>
  <si>
    <t>Spider-Man: Into the Spider-Verse</t>
  </si>
  <si>
    <t>Animation, Action, Adventure</t>
  </si>
  <si>
    <t>Avengers: Endgame</t>
  </si>
  <si>
    <t>Avengers: Infinity War</t>
  </si>
  <si>
    <t>Coco</t>
  </si>
  <si>
    <t>Django Unchained</t>
  </si>
  <si>
    <t>Drama, Western</t>
  </si>
  <si>
    <t>The Dark Knight Rises</t>
  </si>
  <si>
    <t>Action, Adventure</t>
  </si>
  <si>
    <t>3 Idiots</t>
  </si>
  <si>
    <t>Comedy, Drama</t>
  </si>
  <si>
    <t>Taare Zameen Par</t>
  </si>
  <si>
    <t>Drama, Family</t>
  </si>
  <si>
    <t>WALL·E</t>
  </si>
  <si>
    <t>The Lives of Others</t>
  </si>
  <si>
    <t>Drama, Mystery, Thriller</t>
  </si>
  <si>
    <t>Oldboy</t>
  </si>
  <si>
    <t>Memento</t>
  </si>
  <si>
    <t>Mystery, Thriller</t>
  </si>
  <si>
    <t>Princess Mononoke</t>
  </si>
  <si>
    <t>Animation, Adventure, Fantasy</t>
  </si>
  <si>
    <t>Once Upon a Time in America</t>
  </si>
  <si>
    <t>Raiders of the Lost Ark</t>
  </si>
  <si>
    <t>The Shining</t>
  </si>
  <si>
    <t>Drama, Horror</t>
  </si>
  <si>
    <t>Apocalypse Now</t>
  </si>
  <si>
    <t>Drama, Mystery, War</t>
  </si>
  <si>
    <t>Alien</t>
  </si>
  <si>
    <t>Horror, Sci-Fi</t>
  </si>
  <si>
    <t>High and Low</t>
  </si>
  <si>
    <t>Dr. Strangelove or: How I Learned to Stop Worrying and Love the Bomb</t>
  </si>
  <si>
    <t>Comedy</t>
  </si>
  <si>
    <t>Witness for the Prosecution</t>
  </si>
  <si>
    <t>Paths of Glory</t>
  </si>
  <si>
    <t>Rear Window</t>
  </si>
  <si>
    <t>Sunset Blvd.</t>
  </si>
  <si>
    <t>Passed</t>
  </si>
  <si>
    <t>Drama, Film-Noir</t>
  </si>
  <si>
    <t>The Great Dictator</t>
  </si>
  <si>
    <t>Comedy, Drama, War</t>
  </si>
  <si>
    <t>Uri: The Surgical Strike</t>
  </si>
  <si>
    <t>Action, Drama, War</t>
  </si>
  <si>
    <t>Tumbbad</t>
  </si>
  <si>
    <t>Drama, Fantasy, Horror</t>
  </si>
  <si>
    <t>Andhadhun</t>
  </si>
  <si>
    <t>Crime, Thriller</t>
  </si>
  <si>
    <t>Drishyam</t>
  </si>
  <si>
    <t>The Hunt</t>
  </si>
  <si>
    <t>A Separation</t>
  </si>
  <si>
    <t>Drama, Thriller</t>
  </si>
  <si>
    <t>Incendies</t>
  </si>
  <si>
    <t>Yedinci Kogustaki Mucize</t>
  </si>
  <si>
    <t>Babam ve Oglum</t>
  </si>
  <si>
    <t>Toy Story 3</t>
  </si>
  <si>
    <t>Animation, Adventure, Comedy</t>
  </si>
  <si>
    <t>Inglourious Basterds</t>
  </si>
  <si>
    <t>Adventure, Drama, War</t>
  </si>
  <si>
    <t>Eternal Sunshine of the Spotless Mind</t>
  </si>
  <si>
    <t>Drama, Romance, Sci-Fi</t>
  </si>
  <si>
    <t>Amélie</t>
  </si>
  <si>
    <t>Comedy, Romance</t>
  </si>
  <si>
    <t>Snatch</t>
  </si>
  <si>
    <t>Comedy, Crime</t>
  </si>
  <si>
    <t>Requiem for a Dream</t>
  </si>
  <si>
    <t>American Beauty</t>
  </si>
  <si>
    <t>Good Will Hunting</t>
  </si>
  <si>
    <t>MOVIE_TYPE</t>
  </si>
  <si>
    <t>LENGTH_TYPE</t>
  </si>
  <si>
    <t>LENGTH_To_TIME</t>
  </si>
  <si>
    <t>AVERAGE of SCORE</t>
  </si>
  <si>
    <t>AVERAGE of LENGTH</t>
  </si>
  <si>
    <t>Aggregate data (summary stats)</t>
  </si>
  <si>
    <t>New Movie</t>
  </si>
  <si>
    <t>Old Movie</t>
  </si>
  <si>
    <t>Grand Total</t>
  </si>
  <si>
    <t>Aggregate data by groups</t>
  </si>
  <si>
    <t>Long</t>
  </si>
  <si>
    <t>Normal</t>
  </si>
  <si>
    <t>Short</t>
  </si>
  <si>
    <t>Filter data : Movie rating = "R" and score &gt; 8.5</t>
  </si>
  <si>
    <t>Filter data : Movie in "Adventure" genre and score &gt; 8.5</t>
  </si>
  <si>
    <t>Dynamic Query : Movie in "Action" genre and year &gt; 2000</t>
  </si>
  <si>
    <t>Action</t>
  </si>
  <si>
    <t>Z_LENGTH</t>
  </si>
  <si>
    <t>Basic statistisc of length</t>
  </si>
  <si>
    <t>Relationship between score and length of movie</t>
  </si>
  <si>
    <t>Mean</t>
  </si>
  <si>
    <t>Correlation :</t>
  </si>
  <si>
    <t>(Positive)</t>
  </si>
  <si>
    <t>Median</t>
  </si>
  <si>
    <t>SD</t>
  </si>
  <si>
    <t>Lower</t>
  </si>
  <si>
    <t>Upper</t>
  </si>
  <si>
    <t>Probability</t>
  </si>
  <si>
    <t>+/-1SD</t>
  </si>
  <si>
    <t>+/-2SD</t>
  </si>
  <si>
    <t>+/-3SD</t>
  </si>
  <si>
    <t>Spread</t>
  </si>
  <si>
    <t>VAR</t>
  </si>
  <si>
    <t>IQR</t>
  </si>
  <si>
    <t>Per3th-Per1th</t>
  </si>
  <si>
    <t>Position</t>
  </si>
  <si>
    <t>Min(per 0th)</t>
  </si>
  <si>
    <t>per 25th</t>
  </si>
  <si>
    <t>per 50th</t>
  </si>
  <si>
    <t>***Median</t>
  </si>
  <si>
    <t>per 75th</t>
  </si>
  <si>
    <t>Max(per 99.99)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</si>
</sst>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%"/>
  </numFmts>
  <fonts count="13">
    <font>
      <sz val="10.0"/>
      <color rgb="FF000000"/>
      <name val="Arial"/>
      <scheme val="minor"/>
    </font>
    <font>
      <b/>
      <color theme="1"/>
      <name val="&quot;Work Sans&quot;"/>
    </font>
    <font>
      <color theme="1"/>
      <name val="Arial"/>
      <scheme val="minor"/>
    </font>
    <font>
      <b/>
      <color theme="1"/>
      <name val="Work Sans"/>
    </font>
    <font>
      <color theme="1"/>
      <name val="&quot;Work Sans&quot;"/>
    </font>
    <font>
      <u/>
      <color rgb="FF0000FF"/>
      <name val="Work Sans"/>
    </font>
    <font>
      <b/>
      <color rgb="FFFF0000"/>
      <name val="Work Sans"/>
    </font>
    <font>
      <color theme="1"/>
      <name val="Work Sans"/>
    </font>
    <font>
      <color theme="1"/>
      <name val="Arial"/>
    </font>
    <font>
      <b/>
      <color rgb="FF0000FF"/>
      <name val="Work Sans"/>
    </font>
    <font>
      <b/>
      <color rgb="FF0000FF"/>
      <name val="Arial"/>
      <scheme val="minor"/>
    </font>
    <font>
      <b/>
      <sz val="10.0"/>
      <color theme="1"/>
      <name val="Work Sans"/>
    </font>
    <font>
      <sz val="10.0"/>
      <color theme="1"/>
      <name val="Work Sans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/>
    </xf>
    <xf borderId="1" fillId="2" fontId="6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1" fillId="4" fontId="7" numFmtId="0" xfId="0" applyAlignment="1" applyBorder="1" applyFill="1" applyFont="1">
      <alignment horizontal="center"/>
    </xf>
    <xf borderId="1" fillId="5" fontId="7" numFmtId="0" xfId="0" applyAlignment="1" applyBorder="1" applyFill="1" applyFont="1">
      <alignment horizontal="center"/>
    </xf>
    <xf borderId="1" fillId="5" fontId="7" numFmtId="2" xfId="0" applyAlignment="1" applyBorder="1" applyFont="1" applyNumberFormat="1">
      <alignment horizontal="center"/>
    </xf>
    <xf borderId="0" fillId="0" fontId="7" numFmtId="2" xfId="0" applyAlignment="1" applyFont="1" applyNumberFormat="1">
      <alignment horizontal="center"/>
    </xf>
    <xf borderId="0" fillId="0" fontId="7" numFmtId="1" xfId="0" applyAlignment="1" applyFont="1" applyNumberFormat="1">
      <alignment horizontal="center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6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3" numFmtId="0" xfId="0" applyAlignment="1" applyFont="1">
      <alignment horizontal="left" readingOrder="0"/>
    </xf>
    <xf borderId="1" fillId="6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7" fontId="7" numFmtId="0" xfId="0" applyAlignment="1" applyBorder="1" applyFill="1" applyFont="1">
      <alignment horizontal="center"/>
    </xf>
    <xf borderId="0" fillId="8" fontId="9" numFmtId="0" xfId="0" applyAlignment="1" applyFill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7" numFmtId="0" xfId="0" applyFont="1"/>
    <xf borderId="1" fillId="9" fontId="11" numFmtId="0" xfId="0" applyAlignment="1" applyBorder="1" applyFill="1" applyFont="1">
      <alignment horizontal="center"/>
    </xf>
    <xf borderId="1" fillId="9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center"/>
    </xf>
    <xf borderId="1" fillId="0" fontId="12" numFmtId="0" xfId="0" applyAlignment="1" applyBorder="1" applyFont="1">
      <alignment horizontal="center"/>
    </xf>
    <xf borderId="1" fillId="0" fontId="12" numFmtId="2" xfId="0" applyAlignment="1" applyBorder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0" fillId="0" fontId="12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/>
    </xf>
    <xf quotePrefix="1" borderId="0" fillId="0" fontId="12" numFmtId="0" xfId="0" applyAlignment="1" applyFont="1">
      <alignment horizontal="center" readingOrder="0"/>
    </xf>
    <xf borderId="0" fillId="0" fontId="12" numFmtId="164" xfId="0" applyAlignment="1" applyFont="1" applyNumberFormat="1">
      <alignment horizontal="center"/>
    </xf>
    <xf borderId="0" fillId="0" fontId="12" numFmtId="166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SCORE vs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'5-Basic Statistics'!$B$1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A9999">
                    <a:alpha val="70196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'5-Basic Statistics'!$C$2:$C$101</c:f>
            </c:numRef>
          </c:xVal>
          <c:yVal>
            <c:numRef>
              <c:f>'5-Basic Statistics'!$B$2:$B$101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63395"/>
        <c:axId val="928646745"/>
      </c:scatterChart>
      <c:valAx>
        <c:axId val="14230633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646745"/>
      </c:valAx>
      <c:valAx>
        <c:axId val="928646745"/>
        <c:scaling>
          <c:orientation val="minMax"/>
          <c:min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063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1" sheet="2-Basic Functions"/>
  </cacheSource>
  <cacheFields>
    <cacheField name="N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MOVIE_NAME" numFmtId="0">
      <sharedItems>
        <s v="The Shawshank Redemption"/>
        <s v="The Godfather"/>
        <s v="The Dark Knight"/>
        <s v="The Godfather: Part II"/>
        <s v="The Lord of the Rings: The Return of the King"/>
        <s v="Pulp Fiction"/>
        <s v="Schindler's List"/>
        <s v="12 Angry Men"/>
        <s v="Inception"/>
        <s v="Fight Club"/>
        <s v="The Lord of the Rings: The Fellowship of the Ring"/>
        <s v="Forrest Gump"/>
        <s v="The Good, the Bad and the Ugly"/>
        <s v="Hamilton"/>
        <s v="The Lord of the Rings: The Two Towers"/>
        <s v="The Matrix"/>
        <s v="Goodfellas"/>
        <s v="Star Wars: Episode V - The Empire Strikes Back"/>
        <s v="One Flew Over the Cuckoo's Nest"/>
        <s v="Parasite"/>
        <s v="Interstellar"/>
        <s v="City of God"/>
        <s v="Spirited Away"/>
        <s v="Saving Private Ryan"/>
        <s v="The Green Mile"/>
        <s v="Life Is Beautiful"/>
        <s v="Se7en"/>
        <s v="The Silence of the Lambs"/>
        <s v="Star Wars: Episode IV - A New Hope"/>
        <s v="Harakiri"/>
        <s v="Seven Samurai"/>
        <s v="It's a Wonderful Life"/>
        <s v="Joker"/>
        <s v="Whiplash"/>
        <s v="The Intouchables"/>
        <s v="The Prestige"/>
        <s v="The Departed"/>
        <s v="The Pianist"/>
        <s v="Gladiator"/>
        <s v="American History X"/>
        <s v="The Usual Suspects"/>
        <s v="Léon: The Professional"/>
        <s v="The Lion King"/>
        <s v="Terminator 2: Judgment Day"/>
        <s v="Cinema Paradiso"/>
        <s v="Grave of the Fireflies"/>
        <s v="Back to the Future"/>
        <s v="Anand"/>
        <s v="Once Upon a Time in the West"/>
        <s v="Psycho"/>
        <s v="Casablanca"/>
        <s v="Modern Times"/>
        <s v="City Lights"/>
        <s v="Capharnaüm"/>
        <s v="Ayla: The Daughter of War"/>
        <s v="Your Name."/>
        <s v="Dangal"/>
        <s v="Spider-Man: Into the Spider-Verse"/>
        <s v="Avengers: Endgame"/>
        <s v="Avengers: Infinity War"/>
        <s v="Coco"/>
        <s v="Django Unchained"/>
        <s v="The Dark Knight Rises"/>
        <s v="3 Idiots"/>
        <s v="Taare Zameen Par"/>
        <s v="WALL·E"/>
        <s v="The Lives of Others"/>
        <s v="Oldboy"/>
        <s v="Memento"/>
        <s v="Princess Mononoke"/>
        <s v="Once Upon a Time in America"/>
        <s v="Raiders of the Lost Ark"/>
        <s v="The Shining"/>
        <s v="Apocalypse Now"/>
        <s v="Alien"/>
        <s v="High and Low"/>
        <s v="Dr. Strangelove or: How I Learned to Stop Worrying and Love the Bomb"/>
        <s v="Witness for the Prosecution"/>
        <s v="Paths of Glory"/>
        <s v="Rear Window"/>
        <s v="Sunset Blvd."/>
        <s v="The Great Dictator"/>
        <s v="1917"/>
        <s v="Uri: The Surgical Strike"/>
        <s v="Tumbbad"/>
        <s v="Andhadhun"/>
        <s v="Drishyam"/>
        <s v="The Hunt"/>
        <s v="A Separation"/>
        <s v="Incendies"/>
        <s v="Yedinci Kogustaki Mucize"/>
        <s v="Babam ve Oglum"/>
        <s v="Toy Story 3"/>
        <s v="Inglourious Basterds"/>
        <s v="Eternal Sunshine of the Spotless Mind"/>
        <s v="Amélie"/>
        <s v="Snatch"/>
        <s v="Requiem for a Dream"/>
        <s v="American Beauty"/>
        <s v="Good Will Hunting"/>
      </sharedItems>
    </cacheField>
    <cacheField name="YEAR" numFmtId="0">
      <sharedItems containsSemiMixedTypes="0" containsString="0" containsNumber="1" containsInteger="1">
        <n v="1994.0"/>
        <n v="1972.0"/>
        <n v="2008.0"/>
        <n v="1974.0"/>
        <n v="2003.0"/>
        <n v="1993.0"/>
        <n v="1957.0"/>
        <n v="2010.0"/>
        <n v="1999.0"/>
        <n v="2001.0"/>
        <n v="1966.0"/>
        <n v="2020.0"/>
        <n v="2002.0"/>
        <n v="1990.0"/>
        <n v="1980.0"/>
        <n v="1975.0"/>
        <n v="2019.0"/>
        <n v="2014.0"/>
        <n v="1998.0"/>
        <n v="1997.0"/>
        <n v="1995.0"/>
        <n v="1991.0"/>
        <n v="1977.0"/>
        <n v="1962.0"/>
        <n v="1954.0"/>
        <n v="1946.0"/>
        <n v="2011.0"/>
        <n v="2006.0"/>
        <n v="2000.0"/>
        <n v="1988.0"/>
        <n v="1985.0"/>
        <n v="1971.0"/>
        <n v="1968.0"/>
        <n v="1960.0"/>
        <n v="1942.0"/>
        <n v="1936.0"/>
        <n v="1931.0"/>
        <n v="2018.0"/>
        <n v="2017.0"/>
        <n v="2016.0"/>
        <n v="2012.0"/>
        <n v="2009.0"/>
        <n v="2007.0"/>
        <n v="1984.0"/>
        <n v="1981.0"/>
        <n v="1979.0"/>
        <n v="1963.0"/>
        <n v="1964.0"/>
        <n v="1950.0"/>
        <n v="1940.0"/>
        <n v="2013.0"/>
        <n v="2005.0"/>
        <n v="2004.0"/>
      </sharedItems>
    </cacheField>
    <cacheField name="RATING" numFmtId="0">
      <sharedItems containsBlank="1">
        <s v="R"/>
        <s v="PG-13"/>
        <s v="Approved"/>
        <s v="PG"/>
        <s v="Not Rated"/>
        <s v="G"/>
        <m/>
        <s v="Passed"/>
      </sharedItems>
    </cacheField>
    <cacheField name="LENGTH" numFmtId="0">
      <sharedItems containsSemiMixedTypes="0" containsString="0" containsNumber="1" containsInteger="1">
        <n v="142.0"/>
        <n v="175.0"/>
        <n v="152.0"/>
        <n v="202.0"/>
        <n v="201.0"/>
        <n v="154.0"/>
        <n v="195.0"/>
        <n v="96.0"/>
        <n v="148.0"/>
        <n v="139.0"/>
        <n v="178.0"/>
        <n v="160.0"/>
        <n v="179.0"/>
        <n v="136.0"/>
        <n v="146.0"/>
        <n v="124.0"/>
        <n v="133.0"/>
        <n v="132.0"/>
        <n v="169.0"/>
        <n v="130.0"/>
        <n v="125.0"/>
        <n v="189.0"/>
        <n v="116.0"/>
        <n v="127.0"/>
        <n v="118.0"/>
        <n v="121.0"/>
        <n v="207.0"/>
        <n v="122.0"/>
        <n v="106.0"/>
        <n v="112.0"/>
        <n v="151.0"/>
        <n v="150.0"/>
        <n v="155.0"/>
        <n v="119.0"/>
        <n v="110.0"/>
        <n v="88.0"/>
        <n v="137.0"/>
        <n v="89.0"/>
        <n v="165.0"/>
        <n v="109.0"/>
        <n v="102.0"/>
        <n v="87.0"/>
        <n v="126.0"/>
        <n v="161.0"/>
        <n v="117.0"/>
        <n v="181.0"/>
        <n v="149.0"/>
        <n v="105.0"/>
        <n v="164.0"/>
        <n v="170.0"/>
        <n v="98.0"/>
        <n v="120.0"/>
        <n v="113.0"/>
        <n v="134.0"/>
        <n v="229.0"/>
        <n v="115.0"/>
        <n v="147.0"/>
        <n v="143.0"/>
        <n v="95.0"/>
        <n v="138.0"/>
        <n v="104.0"/>
        <n v="123.0"/>
        <n v="131.0"/>
        <n v="103.0"/>
        <n v="153.0"/>
        <n v="108.0"/>
      </sharedItems>
    </cacheField>
    <cacheField name="GENRE" numFmtId="0">
      <sharedItems>
        <s v="Drama"/>
        <s v="Crime, Drama"/>
        <s v="Action, Crime, Drama"/>
        <s v="Action, Adventure, Drama"/>
        <s v="Biography, Drama, History"/>
        <s v="Action, Adventure, Sci-Fi"/>
        <s v="Drama, Romance"/>
        <s v="Western"/>
        <s v="Action, Sci-Fi"/>
        <s v="Biography, Crime, Drama"/>
        <s v="Action, Adventure, Fantasy"/>
        <s v="Comedy, Drama, Thriller"/>
        <s v="Adventure, Drama, Sci-Fi"/>
        <s v="Animation, Adventure, Family"/>
        <s v="Drama, War"/>
        <s v="Crime, Drama, Fantasy"/>
        <s v="Comedy, Drama, Romance"/>
        <s v="Crime, Drama, Mystery"/>
        <s v="Crime, Drama, Thriller"/>
        <s v="Action, Drama, Mystery"/>
        <s v="Drama, Family, Fantasy"/>
        <s v="Drama, Music"/>
        <s v="Biography, Comedy, Drama"/>
        <s v="Drama, Mystery, Sci-Fi"/>
        <s v="Biography, Drama, Music"/>
        <s v="Crime, Mystery, Thriller"/>
        <s v="Animation, Adventure, Drama"/>
        <s v="Animation, Drama, War"/>
        <s v="Adventure, Comedy, Sci-Fi"/>
        <s v="Drama, Musical"/>
        <s v="Horror, Mystery, Thriller"/>
        <s v="Drama, Romance, War"/>
        <s v="Comedy, Drama, Family"/>
        <s v="Animation, Drama, Fantasy"/>
        <s v="Action, Biography, Drama"/>
        <s v="Animation, Action, Adventure"/>
        <s v="Drama, Western"/>
        <s v="Action, Adventure"/>
        <s v="Comedy, Drama"/>
        <s v="Drama, Family"/>
        <s v="Drama, Mystery, Thriller"/>
        <s v="Mystery, Thriller"/>
        <s v="Animation, Adventure, Fantasy"/>
        <s v="Drama, Horror"/>
        <s v="Drama, Mystery, War"/>
        <s v="Horror, Sci-Fi"/>
        <s v="Comedy"/>
        <s v="Drama, Film-Noir"/>
        <s v="Comedy, Drama, War"/>
        <s v="Action, Drama, War"/>
        <s v="Drama, Fantasy, Horror"/>
        <s v="Crime, Thriller"/>
        <s v="Drama, Thriller"/>
        <s v="Animation, Adventure, Comedy"/>
        <s v="Adventure, Drama, War"/>
        <s v="Drama, Romance, Sci-Fi"/>
        <s v="Comedy, Romance"/>
        <s v="Comedy, Crime"/>
      </sharedItems>
    </cacheField>
    <cacheField name="SCORE" numFmtId="0">
      <sharedItems containsSemiMixedTypes="0" containsString="0" containsNumber="1">
        <n v="9.3"/>
        <n v="9.2"/>
        <n v="9.0"/>
        <n v="8.9"/>
        <n v="8.8"/>
        <n v="8.7"/>
        <n v="8.6"/>
        <n v="8.5"/>
        <n v="8.4"/>
        <n v="8.3"/>
      </sharedItems>
    </cacheField>
    <cacheField name="MOVIE_TYPE" numFmtId="0">
      <sharedItems>
        <s v="Old Movie"/>
        <s v="New Movie"/>
      </sharedItems>
    </cacheField>
    <cacheField name="LENGTH_TYPE" numFmtId="0">
      <sharedItems>
        <s v="Long"/>
        <s v="Normal"/>
        <s v="Short"/>
      </sharedItems>
    </cacheField>
    <cacheField name="LENGTH_To_TIME" numFmtId="2">
      <sharedItems>
        <s v="2 Hrs. 22 Mins"/>
        <s v="2 Hrs. 55 Mins"/>
        <s v="2 Hrs. 32 Mins"/>
        <s v="3 Hrs. 22 Mins"/>
        <s v="3 Hrs. 21 Mins"/>
        <s v="2 Hrs. 34 Mins"/>
        <s v="3 Hrs. 15 Mins"/>
        <s v="1 Hrs. 36 Mins"/>
        <s v="2 Hrs. 28 Mins"/>
        <s v="2 Hrs. 19 Mins"/>
        <s v="2 Hrs. 58 Mins"/>
        <s v="2 Hrs. 40 Mins"/>
        <s v="2 Hrs. 59 Mins"/>
        <s v="2 Hrs. 16 Mins"/>
        <s v="2 Hrs. 26 Mins"/>
        <s v="2 Hrs. 4 Mins"/>
        <s v="2 Hrs. 13 Mins"/>
        <s v="2 Hrs. 12 Mins"/>
        <s v="2 Hrs. 49 Mins"/>
        <s v="2 Hrs. 10 Mins"/>
        <s v="2 Hrs. 5 Mins"/>
        <s v="3 Hrs. 9 Mins"/>
        <s v="1 Hrs. 56 Mins"/>
        <s v="2 Hrs. 7 Mins"/>
        <s v="1 Hrs. 58 Mins"/>
        <s v="2 Hrs. 1 Mins"/>
        <s v="3 Hrs. 27 Mins"/>
        <s v="2 Hrs. 2 Mins"/>
        <s v="1 Hrs. 46 Mins"/>
        <s v="1 Hrs. 52 Mins"/>
        <s v="2 Hrs. 31 Mins"/>
        <s v="2 Hrs. 30 Mins"/>
        <s v="2 Hrs. 35 Mins"/>
        <s v="1 Hrs. 59 Mins"/>
        <s v="1 Hrs. 50 Mins"/>
        <s v="1 Hrs. 28 Mins"/>
        <s v="2 Hrs. 17 Mins"/>
        <s v="1 Hrs. 29 Mins"/>
        <s v="2 Hrs. 45 Mins"/>
        <s v="1 Hrs. 49 Mins"/>
        <s v="1 Hrs. 42 Mins"/>
        <s v="1 Hrs. 27 Mins"/>
        <s v="2 Hrs. 6 Mins"/>
        <s v="2 Hrs. 41 Mins"/>
        <s v="1 Hrs. 57 Mins"/>
        <s v="3 Hrs. 1 Mins"/>
        <s v="2 Hrs. 29 Mins"/>
        <s v="1 Hrs. 45 Mins"/>
        <s v="2 Hrs. 44 Mins"/>
        <s v="2 Hrs. 50 Mins"/>
        <s v="1 Hrs. 38 Mins"/>
        <s v="2 Hrs. 0 Mins"/>
        <s v="1 Hrs. 53 Mins"/>
        <s v="2 Hrs. 14 Mins"/>
        <s v="3 Hrs. 49 Mins"/>
        <s v="1 Hrs. 55 Mins"/>
        <s v="2 Hrs. 27 Mins"/>
        <s v="2 Hrs. 23 Mins"/>
        <s v="1 Hrs. 35 Mins"/>
        <s v="2 Hrs. 18 Mins"/>
        <s v="1 Hrs. 44 Mins"/>
        <s v="2 Hrs. 3 Mins"/>
        <s v="2 Hrs. 11 Mins"/>
        <s v="1 Hrs. 43 Mins"/>
        <s v="2 Hrs. 33 Mins"/>
        <s v="1 Hrs. 48 Min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2-Basic Functions" cacheId="0" dataCaption="" compact="0" compactData="0">
  <location ref="L1:M10" firstHeaderRow="0" firstDataRow="1" firstDataCol="0"/>
  <pivotFields>
    <pivotField name="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OVI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RATING" axis="axisRow" compact="0" outline="0" multipleItemSelectionAllowed="1" showAll="0" sortType="ascending">
      <items>
        <item x="6"/>
        <item x="2"/>
        <item x="5"/>
        <item x="4"/>
        <item x="7"/>
        <item x="3"/>
        <item x="1"/>
        <item x="0"/>
        <item t="default"/>
      </items>
    </pivotField>
    <pivotField name="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IE_TYPE" compact="0" outline="0" multipleItemSelectionAllowed="1" showAll="0">
      <items>
        <item x="0"/>
        <item x="1"/>
        <item t="default"/>
      </items>
    </pivotField>
    <pivotField name="LENGTH_TYPE" compact="0" outline="0" multipleItemSelectionAllowed="1" showAll="0">
      <items>
        <item x="0"/>
        <item x="1"/>
        <item x="2"/>
        <item t="default"/>
      </items>
    </pivotField>
    <pivotField name="LENGTH_To_TI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>
    <field x="3"/>
  </rowFields>
  <dataFields>
    <dataField name="AVERAGE of SCORE" fld="6" subtotal="average" baseField="0"/>
  </dataFields>
</pivotTableDefinition>
</file>

<file path=xl/pivotTables/pivotTable2.xml><?xml version="1.0" encoding="utf-8"?>
<pivotTableDefinition xmlns="http://schemas.openxmlformats.org/spreadsheetml/2006/main" name="2-Basic Functions 2" cacheId="0" dataCaption="" compact="0" compactData="0">
  <location ref="O1:Q4" firstHeaderRow="0" firstDataRow="2" firstDataCol="0"/>
  <pivotFields>
    <pivotField name="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OVI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IE_TYPE" axis="axisRow" compact="0" outline="0" multipleItemSelectionAllowed="1" showAll="0" sortType="ascending">
      <items>
        <item x="1"/>
        <item x="0"/>
        <item t="default"/>
      </items>
    </pivotField>
    <pivotField name="LENGTH_TYPE" compact="0" outline="0" multipleItemSelectionAllowed="1" showAll="0">
      <items>
        <item x="0"/>
        <item x="1"/>
        <item x="2"/>
        <item t="default"/>
      </items>
    </pivotField>
    <pivotField name="LENGTH_To_TI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>
    <field x="7"/>
  </rowFields>
  <colFields>
    <field x="-2"/>
  </colFields>
  <dataFields>
    <dataField name="AVERAGE of SCORE" fld="6" subtotal="average" baseField="0"/>
    <dataField name="AVERAGE of LENGTH" fld="4" subtotal="average" baseField="0"/>
  </dataFields>
</pivotTableDefinition>
</file>

<file path=xl/pivotTables/pivotTable3.xml><?xml version="1.0" encoding="utf-8"?>
<pivotTableDefinition xmlns="http://schemas.openxmlformats.org/spreadsheetml/2006/main" name="2-Basic Functions 3" cacheId="0" dataCaption="" compact="0" compactData="0">
  <location ref="O6:P10" firstHeaderRow="0" firstDataRow="1" firstDataCol="0"/>
  <pivotFields>
    <pivotField name="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OVI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IE_TYPE" compact="0" outline="0" multipleItemSelectionAllowed="1" showAll="0">
      <items>
        <item x="0"/>
        <item x="1"/>
        <item t="default"/>
      </items>
    </pivotField>
    <pivotField name="LENGTH_TYPE" axis="axisRow" compact="0" outline="0" multipleItemSelectionAllowed="1" showAll="0" sortType="ascending">
      <items>
        <item x="0"/>
        <item x="1"/>
        <item x="2"/>
        <item t="default"/>
      </items>
    </pivotField>
    <pivotField name="LENGTH_To_TI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>
    <field x="8"/>
  </rowFields>
  <dataFields>
    <dataField name="AVERAGE of SCORE" fld="6" subtotal="average" baseField="0"/>
  </dataFields>
</pivotTableDefinition>
</file>

<file path=xl/pivotTables/pivotTable4.xml><?xml version="1.0" encoding="utf-8"?>
<pivotTableDefinition xmlns="http://schemas.openxmlformats.org/spreadsheetml/2006/main" name="2-Basic Functions 4" cacheId="0" dataCaption="" compact="0" compactData="0">
  <location ref="L12:M21" firstHeaderRow="0" firstDataRow="1" firstDataCol="0"/>
  <pivotFields>
    <pivotField name="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OVI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RATING" axis="axisRow" compact="0" outline="0" multipleItemSelectionAllowed="1" showAll="0" sortType="ascending">
      <items>
        <item x="6"/>
        <item x="2"/>
        <item x="5"/>
        <item x="4"/>
        <item x="7"/>
        <item x="3"/>
        <item x="1"/>
        <item x="0"/>
        <item t="default"/>
      </items>
    </pivotField>
    <pivotField name="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IE_TYPE" compact="0" outline="0" multipleItemSelectionAllowed="1" showAll="0">
      <items>
        <item x="0"/>
        <item x="1"/>
        <item t="default"/>
      </items>
    </pivotField>
    <pivotField name="LENGTH_TYPE" compact="0" outline="0" multipleItemSelectionAllowed="1" showAll="0">
      <items>
        <item x="0"/>
        <item x="1"/>
        <item x="2"/>
        <item t="default"/>
      </items>
    </pivotField>
    <pivotField name="LENGTH_To_TI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>
    <field x="3"/>
  </rowFields>
  <dataFields>
    <dataField name="AVERAGE of LENGTH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search/title/?groups=top_100&amp;sort=user_rating,desc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59.25"/>
    <col customWidth="1" min="3" max="3" width="5.38"/>
    <col customWidth="1" min="4" max="4" width="9.13"/>
    <col customWidth="1" min="5" max="5" width="7.75"/>
    <col customWidth="1" min="6" max="6" width="26.13"/>
    <col customWidth="1" min="7" max="7" width="6.63"/>
    <col customWidth="1" min="9" max="9" width="6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1.0</v>
      </c>
      <c r="B2" s="4" t="s">
        <v>8</v>
      </c>
      <c r="C2" s="4">
        <v>1994.0</v>
      </c>
      <c r="D2" s="4" t="s">
        <v>9</v>
      </c>
      <c r="E2" s="4">
        <v>142.0</v>
      </c>
      <c r="F2" s="4" t="s">
        <v>10</v>
      </c>
      <c r="G2" s="4">
        <v>9.3</v>
      </c>
      <c r="H2" s="2"/>
      <c r="I2" s="5" t="s">
        <v>11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2.0</v>
      </c>
      <c r="B3" s="4" t="s">
        <v>12</v>
      </c>
      <c r="C3" s="4">
        <v>1972.0</v>
      </c>
      <c r="D3" s="4" t="s">
        <v>9</v>
      </c>
      <c r="E3" s="4">
        <v>175.0</v>
      </c>
      <c r="F3" s="4" t="s">
        <v>13</v>
      </c>
      <c r="G3" s="4">
        <v>9.2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3.0</v>
      </c>
      <c r="B4" s="4" t="s">
        <v>14</v>
      </c>
      <c r="C4" s="4">
        <v>2008.0</v>
      </c>
      <c r="D4" s="4" t="s">
        <v>15</v>
      </c>
      <c r="E4" s="4">
        <v>152.0</v>
      </c>
      <c r="F4" s="4" t="s">
        <v>16</v>
      </c>
      <c r="G4" s="4">
        <v>9.0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4.0</v>
      </c>
      <c r="B5" s="4" t="s">
        <v>17</v>
      </c>
      <c r="C5" s="4">
        <v>1974.0</v>
      </c>
      <c r="D5" s="4" t="s">
        <v>9</v>
      </c>
      <c r="E5" s="4">
        <v>202.0</v>
      </c>
      <c r="F5" s="4" t="s">
        <v>13</v>
      </c>
      <c r="G5" s="4">
        <v>9.0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5.0</v>
      </c>
      <c r="B6" s="4" t="s">
        <v>18</v>
      </c>
      <c r="C6" s="4">
        <v>2003.0</v>
      </c>
      <c r="D6" s="4" t="s">
        <v>15</v>
      </c>
      <c r="E6" s="4">
        <v>201.0</v>
      </c>
      <c r="F6" s="4" t="s">
        <v>19</v>
      </c>
      <c r="G6" s="4">
        <v>8.9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6.0</v>
      </c>
      <c r="B7" s="4" t="s">
        <v>20</v>
      </c>
      <c r="C7" s="4">
        <v>1994.0</v>
      </c>
      <c r="D7" s="4" t="s">
        <v>9</v>
      </c>
      <c r="E7" s="4">
        <v>154.0</v>
      </c>
      <c r="F7" s="4" t="s">
        <v>13</v>
      </c>
      <c r="G7" s="4">
        <v>8.9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7.0</v>
      </c>
      <c r="B8" s="4" t="s">
        <v>21</v>
      </c>
      <c r="C8" s="4">
        <v>1993.0</v>
      </c>
      <c r="D8" s="4" t="s">
        <v>9</v>
      </c>
      <c r="E8" s="4">
        <v>195.0</v>
      </c>
      <c r="F8" s="4" t="s">
        <v>22</v>
      </c>
      <c r="G8" s="4">
        <v>8.9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8.0</v>
      </c>
      <c r="B9" s="4" t="s">
        <v>23</v>
      </c>
      <c r="C9" s="4">
        <v>1957.0</v>
      </c>
      <c r="D9" s="4" t="s">
        <v>24</v>
      </c>
      <c r="E9" s="4">
        <v>96.0</v>
      </c>
      <c r="F9" s="4" t="s">
        <v>13</v>
      </c>
      <c r="G9" s="4">
        <v>8.9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9.0</v>
      </c>
      <c r="B10" s="4" t="s">
        <v>25</v>
      </c>
      <c r="C10" s="4">
        <v>2010.0</v>
      </c>
      <c r="D10" s="4" t="s">
        <v>15</v>
      </c>
      <c r="E10" s="4">
        <v>148.0</v>
      </c>
      <c r="F10" s="4" t="s">
        <v>26</v>
      </c>
      <c r="G10" s="4">
        <v>8.8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10.0</v>
      </c>
      <c r="B11" s="4" t="s">
        <v>27</v>
      </c>
      <c r="C11" s="4">
        <v>1999.0</v>
      </c>
      <c r="D11" s="4" t="s">
        <v>9</v>
      </c>
      <c r="E11" s="4">
        <v>139.0</v>
      </c>
      <c r="F11" s="4" t="s">
        <v>10</v>
      </c>
      <c r="G11" s="4">
        <v>8.8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11.0</v>
      </c>
      <c r="B12" s="4" t="s">
        <v>28</v>
      </c>
      <c r="C12" s="4">
        <v>2001.0</v>
      </c>
      <c r="D12" s="4" t="s">
        <v>15</v>
      </c>
      <c r="E12" s="4">
        <v>178.0</v>
      </c>
      <c r="F12" s="4" t="s">
        <v>19</v>
      </c>
      <c r="G12" s="4">
        <v>8.8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12.0</v>
      </c>
      <c r="B13" s="4" t="s">
        <v>29</v>
      </c>
      <c r="C13" s="4">
        <v>1994.0</v>
      </c>
      <c r="D13" s="4" t="s">
        <v>15</v>
      </c>
      <c r="E13" s="4">
        <v>142.0</v>
      </c>
      <c r="F13" s="4" t="s">
        <v>30</v>
      </c>
      <c r="G13" s="4">
        <v>8.8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13.0</v>
      </c>
      <c r="B14" s="4" t="s">
        <v>31</v>
      </c>
      <c r="C14" s="4">
        <v>1966.0</v>
      </c>
      <c r="D14" s="4" t="s">
        <v>9</v>
      </c>
      <c r="E14" s="4">
        <v>178.0</v>
      </c>
      <c r="F14" s="4" t="s">
        <v>32</v>
      </c>
      <c r="G14" s="4">
        <v>8.8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14.0</v>
      </c>
      <c r="B15" s="4" t="s">
        <v>33</v>
      </c>
      <c r="C15" s="4">
        <v>2020.0</v>
      </c>
      <c r="D15" s="4" t="s">
        <v>15</v>
      </c>
      <c r="E15" s="4">
        <v>160.0</v>
      </c>
      <c r="F15" s="4" t="s">
        <v>22</v>
      </c>
      <c r="G15" s="4">
        <v>8.7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15.0</v>
      </c>
      <c r="B16" s="4" t="s">
        <v>34</v>
      </c>
      <c r="C16" s="4">
        <v>2002.0</v>
      </c>
      <c r="D16" s="4" t="s">
        <v>15</v>
      </c>
      <c r="E16" s="4">
        <v>179.0</v>
      </c>
      <c r="F16" s="4" t="s">
        <v>19</v>
      </c>
      <c r="G16" s="4">
        <v>8.7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16.0</v>
      </c>
      <c r="B17" s="4" t="s">
        <v>35</v>
      </c>
      <c r="C17" s="4">
        <v>1999.0</v>
      </c>
      <c r="D17" s="4" t="s">
        <v>9</v>
      </c>
      <c r="E17" s="4">
        <v>136.0</v>
      </c>
      <c r="F17" s="4" t="s">
        <v>36</v>
      </c>
      <c r="G17" s="4">
        <v>8.7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17.0</v>
      </c>
      <c r="B18" s="4" t="s">
        <v>37</v>
      </c>
      <c r="C18" s="4">
        <v>1990.0</v>
      </c>
      <c r="D18" s="4" t="s">
        <v>9</v>
      </c>
      <c r="E18" s="4">
        <v>146.0</v>
      </c>
      <c r="F18" s="4" t="s">
        <v>38</v>
      </c>
      <c r="G18" s="4">
        <v>8.7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18.0</v>
      </c>
      <c r="B19" s="4" t="s">
        <v>39</v>
      </c>
      <c r="C19" s="4">
        <v>1980.0</v>
      </c>
      <c r="D19" s="4" t="s">
        <v>40</v>
      </c>
      <c r="E19" s="4">
        <v>124.0</v>
      </c>
      <c r="F19" s="4" t="s">
        <v>41</v>
      </c>
      <c r="G19" s="4">
        <v>8.7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19.0</v>
      </c>
      <c r="B20" s="4" t="s">
        <v>42</v>
      </c>
      <c r="C20" s="4">
        <v>1975.0</v>
      </c>
      <c r="D20" s="4" t="s">
        <v>9</v>
      </c>
      <c r="E20" s="4">
        <v>133.0</v>
      </c>
      <c r="F20" s="4" t="s">
        <v>10</v>
      </c>
      <c r="G20" s="4">
        <v>8.7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20.0</v>
      </c>
      <c r="B21" s="4" t="s">
        <v>43</v>
      </c>
      <c r="C21" s="4">
        <v>2019.0</v>
      </c>
      <c r="D21" s="4" t="s">
        <v>9</v>
      </c>
      <c r="E21" s="4">
        <v>132.0</v>
      </c>
      <c r="F21" s="4" t="s">
        <v>44</v>
      </c>
      <c r="G21" s="4">
        <v>8.6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21.0</v>
      </c>
      <c r="B22" s="4" t="s">
        <v>45</v>
      </c>
      <c r="C22" s="4">
        <v>2014.0</v>
      </c>
      <c r="D22" s="4" t="s">
        <v>15</v>
      </c>
      <c r="E22" s="4">
        <v>169.0</v>
      </c>
      <c r="F22" s="4" t="s">
        <v>46</v>
      </c>
      <c r="G22" s="4">
        <v>8.6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22.0</v>
      </c>
      <c r="B23" s="4" t="s">
        <v>47</v>
      </c>
      <c r="C23" s="4">
        <v>2002.0</v>
      </c>
      <c r="D23" s="4" t="s">
        <v>9</v>
      </c>
      <c r="E23" s="4">
        <v>130.0</v>
      </c>
      <c r="F23" s="4" t="s">
        <v>13</v>
      </c>
      <c r="G23" s="4">
        <v>8.6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23.0</v>
      </c>
      <c r="B24" s="4" t="s">
        <v>48</v>
      </c>
      <c r="C24" s="4">
        <v>2001.0</v>
      </c>
      <c r="D24" s="4" t="s">
        <v>40</v>
      </c>
      <c r="E24" s="4">
        <v>125.0</v>
      </c>
      <c r="F24" s="4" t="s">
        <v>49</v>
      </c>
      <c r="G24" s="4">
        <v>8.6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24.0</v>
      </c>
      <c r="B25" s="4" t="s">
        <v>50</v>
      </c>
      <c r="C25" s="4">
        <v>1998.0</v>
      </c>
      <c r="D25" s="4" t="s">
        <v>9</v>
      </c>
      <c r="E25" s="4">
        <v>169.0</v>
      </c>
      <c r="F25" s="4" t="s">
        <v>51</v>
      </c>
      <c r="G25" s="4">
        <v>8.6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25.0</v>
      </c>
      <c r="B26" s="4" t="s">
        <v>52</v>
      </c>
      <c r="C26" s="4">
        <v>1999.0</v>
      </c>
      <c r="D26" s="4" t="s">
        <v>9</v>
      </c>
      <c r="E26" s="4">
        <v>189.0</v>
      </c>
      <c r="F26" s="4" t="s">
        <v>53</v>
      </c>
      <c r="G26" s="4">
        <v>8.6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26.0</v>
      </c>
      <c r="B27" s="4" t="s">
        <v>54</v>
      </c>
      <c r="C27" s="4">
        <v>1997.0</v>
      </c>
      <c r="D27" s="4" t="s">
        <v>15</v>
      </c>
      <c r="E27" s="4">
        <v>116.0</v>
      </c>
      <c r="F27" s="4" t="s">
        <v>55</v>
      </c>
      <c r="G27" s="4">
        <v>8.6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27.0</v>
      </c>
      <c r="B28" s="4" t="s">
        <v>56</v>
      </c>
      <c r="C28" s="4">
        <v>1995.0</v>
      </c>
      <c r="D28" s="4" t="s">
        <v>9</v>
      </c>
      <c r="E28" s="4">
        <v>127.0</v>
      </c>
      <c r="F28" s="4" t="s">
        <v>57</v>
      </c>
      <c r="G28" s="4">
        <v>8.6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28.0</v>
      </c>
      <c r="B29" s="4" t="s">
        <v>58</v>
      </c>
      <c r="C29" s="4">
        <v>1991.0</v>
      </c>
      <c r="D29" s="4" t="s">
        <v>9</v>
      </c>
      <c r="E29" s="4">
        <v>118.0</v>
      </c>
      <c r="F29" s="4" t="s">
        <v>59</v>
      </c>
      <c r="G29" s="4">
        <v>8.6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29.0</v>
      </c>
      <c r="B30" s="4" t="s">
        <v>60</v>
      </c>
      <c r="C30" s="4">
        <v>1977.0</v>
      </c>
      <c r="D30" s="4" t="s">
        <v>40</v>
      </c>
      <c r="E30" s="4">
        <v>121.0</v>
      </c>
      <c r="F30" s="4" t="s">
        <v>41</v>
      </c>
      <c r="G30" s="4">
        <v>8.6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30.0</v>
      </c>
      <c r="B31" s="4" t="s">
        <v>61</v>
      </c>
      <c r="C31" s="4">
        <v>1962.0</v>
      </c>
      <c r="D31" s="4" t="s">
        <v>62</v>
      </c>
      <c r="E31" s="4">
        <v>133.0</v>
      </c>
      <c r="F31" s="4" t="s">
        <v>63</v>
      </c>
      <c r="G31" s="4">
        <v>8.6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31.0</v>
      </c>
      <c r="B32" s="4" t="s">
        <v>64</v>
      </c>
      <c r="C32" s="4">
        <v>1954.0</v>
      </c>
      <c r="D32" s="4" t="s">
        <v>62</v>
      </c>
      <c r="E32" s="4">
        <v>207.0</v>
      </c>
      <c r="F32" s="4" t="s">
        <v>19</v>
      </c>
      <c r="G32" s="4">
        <v>8.6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32.0</v>
      </c>
      <c r="B33" s="4" t="s">
        <v>65</v>
      </c>
      <c r="C33" s="4">
        <v>1946.0</v>
      </c>
      <c r="D33" s="4" t="s">
        <v>40</v>
      </c>
      <c r="E33" s="4">
        <v>130.0</v>
      </c>
      <c r="F33" s="4" t="s">
        <v>66</v>
      </c>
      <c r="G33" s="4">
        <v>8.6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33.0</v>
      </c>
      <c r="B34" s="4" t="s">
        <v>67</v>
      </c>
      <c r="C34" s="4">
        <v>2019.0</v>
      </c>
      <c r="D34" s="4" t="s">
        <v>9</v>
      </c>
      <c r="E34" s="4">
        <v>122.0</v>
      </c>
      <c r="F34" s="4" t="s">
        <v>59</v>
      </c>
      <c r="G34" s="4">
        <v>8.5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34.0</v>
      </c>
      <c r="B35" s="4" t="s">
        <v>68</v>
      </c>
      <c r="C35" s="4">
        <v>2014.0</v>
      </c>
      <c r="D35" s="4" t="s">
        <v>9</v>
      </c>
      <c r="E35" s="4">
        <v>106.0</v>
      </c>
      <c r="F35" s="4" t="s">
        <v>69</v>
      </c>
      <c r="G35" s="4">
        <v>8.5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35.0</v>
      </c>
      <c r="B36" s="4" t="s">
        <v>70</v>
      </c>
      <c r="C36" s="4">
        <v>2011.0</v>
      </c>
      <c r="D36" s="4" t="s">
        <v>9</v>
      </c>
      <c r="E36" s="4">
        <v>112.0</v>
      </c>
      <c r="F36" s="4" t="s">
        <v>71</v>
      </c>
      <c r="G36" s="4">
        <v>8.5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36.0</v>
      </c>
      <c r="B37" s="4" t="s">
        <v>72</v>
      </c>
      <c r="C37" s="4">
        <v>2006.0</v>
      </c>
      <c r="D37" s="4" t="s">
        <v>15</v>
      </c>
      <c r="E37" s="4">
        <v>130.0</v>
      </c>
      <c r="F37" s="4" t="s">
        <v>73</v>
      </c>
      <c r="G37" s="4">
        <v>8.5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37.0</v>
      </c>
      <c r="B38" s="4" t="s">
        <v>74</v>
      </c>
      <c r="C38" s="4">
        <v>2006.0</v>
      </c>
      <c r="D38" s="4" t="s">
        <v>9</v>
      </c>
      <c r="E38" s="4">
        <v>151.0</v>
      </c>
      <c r="F38" s="4" t="s">
        <v>59</v>
      </c>
      <c r="G38" s="4">
        <v>8.5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38.0</v>
      </c>
      <c r="B39" s="4" t="s">
        <v>75</v>
      </c>
      <c r="C39" s="4">
        <v>2002.0</v>
      </c>
      <c r="D39" s="4" t="s">
        <v>9</v>
      </c>
      <c r="E39" s="4">
        <v>150.0</v>
      </c>
      <c r="F39" s="4" t="s">
        <v>76</v>
      </c>
      <c r="G39" s="4">
        <v>8.5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39.0</v>
      </c>
      <c r="B40" s="4" t="s">
        <v>77</v>
      </c>
      <c r="C40" s="4">
        <v>2000.0</v>
      </c>
      <c r="D40" s="4" t="s">
        <v>9</v>
      </c>
      <c r="E40" s="4">
        <v>155.0</v>
      </c>
      <c r="F40" s="4" t="s">
        <v>19</v>
      </c>
      <c r="G40" s="4">
        <v>8.5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40.0</v>
      </c>
      <c r="B41" s="4" t="s">
        <v>78</v>
      </c>
      <c r="C41" s="4">
        <v>1998.0</v>
      </c>
      <c r="D41" s="4" t="s">
        <v>9</v>
      </c>
      <c r="E41" s="4">
        <v>119.0</v>
      </c>
      <c r="F41" s="4" t="s">
        <v>10</v>
      </c>
      <c r="G41" s="4">
        <v>8.5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41.0</v>
      </c>
      <c r="B42" s="4" t="s">
        <v>79</v>
      </c>
      <c r="C42" s="4">
        <v>1995.0</v>
      </c>
      <c r="D42" s="4" t="s">
        <v>9</v>
      </c>
      <c r="E42" s="4">
        <v>106.0</v>
      </c>
      <c r="F42" s="4" t="s">
        <v>80</v>
      </c>
      <c r="G42" s="4">
        <v>8.5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42.0</v>
      </c>
      <c r="B43" s="4" t="s">
        <v>81</v>
      </c>
      <c r="C43" s="4">
        <v>1994.0</v>
      </c>
      <c r="D43" s="4" t="s">
        <v>9</v>
      </c>
      <c r="E43" s="4">
        <v>110.0</v>
      </c>
      <c r="F43" s="4" t="s">
        <v>16</v>
      </c>
      <c r="G43" s="4">
        <v>8.5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43.0</v>
      </c>
      <c r="B44" s="4" t="s">
        <v>82</v>
      </c>
      <c r="C44" s="4">
        <v>1994.0</v>
      </c>
      <c r="D44" s="4" t="s">
        <v>83</v>
      </c>
      <c r="E44" s="4">
        <v>88.0</v>
      </c>
      <c r="F44" s="4" t="s">
        <v>84</v>
      </c>
      <c r="G44" s="4">
        <v>8.5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44.0</v>
      </c>
      <c r="B45" s="4" t="s">
        <v>85</v>
      </c>
      <c r="C45" s="4">
        <v>1991.0</v>
      </c>
      <c r="D45" s="4" t="s">
        <v>9</v>
      </c>
      <c r="E45" s="4">
        <v>137.0</v>
      </c>
      <c r="F45" s="4" t="s">
        <v>36</v>
      </c>
      <c r="G45" s="4">
        <v>8.5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45.0</v>
      </c>
      <c r="B46" s="4" t="s">
        <v>86</v>
      </c>
      <c r="C46" s="4">
        <v>1988.0</v>
      </c>
      <c r="D46" s="4" t="s">
        <v>9</v>
      </c>
      <c r="E46" s="4">
        <v>155.0</v>
      </c>
      <c r="F46" s="4" t="s">
        <v>10</v>
      </c>
      <c r="G46" s="4">
        <v>8.5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46.0</v>
      </c>
      <c r="B47" s="4" t="s">
        <v>87</v>
      </c>
      <c r="C47" s="4">
        <v>1988.0</v>
      </c>
      <c r="D47" s="4" t="s">
        <v>62</v>
      </c>
      <c r="E47" s="4">
        <v>89.0</v>
      </c>
      <c r="F47" s="4" t="s">
        <v>88</v>
      </c>
      <c r="G47" s="4">
        <v>8.5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47.0</v>
      </c>
      <c r="B48" s="4" t="s">
        <v>89</v>
      </c>
      <c r="C48" s="4">
        <v>1985.0</v>
      </c>
      <c r="D48" s="4" t="s">
        <v>40</v>
      </c>
      <c r="E48" s="4">
        <v>116.0</v>
      </c>
      <c r="F48" s="4" t="s">
        <v>90</v>
      </c>
      <c r="G48" s="4">
        <v>8.5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48.0</v>
      </c>
      <c r="B49" s="4" t="s">
        <v>91</v>
      </c>
      <c r="C49" s="4">
        <v>1971.0</v>
      </c>
      <c r="D49" s="4" t="s">
        <v>62</v>
      </c>
      <c r="E49" s="4">
        <v>122.0</v>
      </c>
      <c r="F49" s="4" t="s">
        <v>92</v>
      </c>
      <c r="G49" s="4">
        <v>8.5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49.0</v>
      </c>
      <c r="B50" s="4" t="s">
        <v>93</v>
      </c>
      <c r="C50" s="4">
        <v>1968.0</v>
      </c>
      <c r="D50" s="4" t="s">
        <v>15</v>
      </c>
      <c r="E50" s="4">
        <v>165.0</v>
      </c>
      <c r="F50" s="4" t="s">
        <v>32</v>
      </c>
      <c r="G50" s="4">
        <v>8.5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50.0</v>
      </c>
      <c r="B51" s="4" t="s">
        <v>94</v>
      </c>
      <c r="C51" s="4">
        <v>1960.0</v>
      </c>
      <c r="D51" s="4" t="s">
        <v>9</v>
      </c>
      <c r="E51" s="4">
        <v>109.0</v>
      </c>
      <c r="F51" s="4" t="s">
        <v>95</v>
      </c>
      <c r="G51" s="4">
        <v>8.5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51.0</v>
      </c>
      <c r="B52" s="4" t="s">
        <v>96</v>
      </c>
      <c r="C52" s="4">
        <v>1942.0</v>
      </c>
      <c r="D52" s="4" t="s">
        <v>40</v>
      </c>
      <c r="E52" s="4">
        <v>102.0</v>
      </c>
      <c r="F52" s="4" t="s">
        <v>97</v>
      </c>
      <c r="G52" s="4">
        <v>8.5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52.0</v>
      </c>
      <c r="B53" s="4" t="s">
        <v>98</v>
      </c>
      <c r="C53" s="4">
        <v>1936.0</v>
      </c>
      <c r="D53" s="4" t="s">
        <v>83</v>
      </c>
      <c r="E53" s="4">
        <v>87.0</v>
      </c>
      <c r="F53" s="4" t="s">
        <v>99</v>
      </c>
      <c r="G53" s="4">
        <v>8.5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53.0</v>
      </c>
      <c r="B54" s="4" t="s">
        <v>100</v>
      </c>
      <c r="C54" s="4">
        <v>1931.0</v>
      </c>
      <c r="D54" s="4" t="s">
        <v>83</v>
      </c>
      <c r="E54" s="4">
        <v>87.0</v>
      </c>
      <c r="F54" s="4" t="s">
        <v>55</v>
      </c>
      <c r="G54" s="4">
        <v>8.5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54.0</v>
      </c>
      <c r="B55" s="4" t="s">
        <v>101</v>
      </c>
      <c r="C55" s="4">
        <v>2018.0</v>
      </c>
      <c r="D55" s="4" t="s">
        <v>9</v>
      </c>
      <c r="E55" s="4">
        <v>126.0</v>
      </c>
      <c r="F55" s="4" t="s">
        <v>10</v>
      </c>
      <c r="G55" s="4">
        <v>8.4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55.0</v>
      </c>
      <c r="B56" s="4" t="s">
        <v>102</v>
      </c>
      <c r="C56" s="4">
        <v>2017.0</v>
      </c>
      <c r="D56" s="4"/>
      <c r="E56" s="4">
        <v>125.0</v>
      </c>
      <c r="F56" s="4" t="s">
        <v>22</v>
      </c>
      <c r="G56" s="4">
        <v>8.4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56.0</v>
      </c>
      <c r="B57" s="4" t="s">
        <v>103</v>
      </c>
      <c r="C57" s="4">
        <v>2016.0</v>
      </c>
      <c r="D57" s="4" t="s">
        <v>40</v>
      </c>
      <c r="E57" s="4">
        <v>106.0</v>
      </c>
      <c r="F57" s="4" t="s">
        <v>104</v>
      </c>
      <c r="G57" s="4">
        <v>8.4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57.0</v>
      </c>
      <c r="B58" s="4" t="s">
        <v>105</v>
      </c>
      <c r="C58" s="4">
        <v>2016.0</v>
      </c>
      <c r="D58" s="4" t="s">
        <v>62</v>
      </c>
      <c r="E58" s="4">
        <v>161.0</v>
      </c>
      <c r="F58" s="4" t="s">
        <v>106</v>
      </c>
      <c r="G58" s="4">
        <v>8.4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58.0</v>
      </c>
      <c r="B59" s="4" t="s">
        <v>107</v>
      </c>
      <c r="C59" s="4">
        <v>2018.0</v>
      </c>
      <c r="D59" s="4" t="s">
        <v>40</v>
      </c>
      <c r="E59" s="4">
        <v>117.0</v>
      </c>
      <c r="F59" s="4" t="s">
        <v>108</v>
      </c>
      <c r="G59" s="4">
        <v>8.4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59.0</v>
      </c>
      <c r="B60" s="4" t="s">
        <v>109</v>
      </c>
      <c r="C60" s="4">
        <v>2019.0</v>
      </c>
      <c r="D60" s="4" t="s">
        <v>15</v>
      </c>
      <c r="E60" s="4">
        <v>181.0</v>
      </c>
      <c r="F60" s="4" t="s">
        <v>19</v>
      </c>
      <c r="G60" s="4">
        <v>8.4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60.0</v>
      </c>
      <c r="B61" s="4" t="s">
        <v>110</v>
      </c>
      <c r="C61" s="4">
        <v>2018.0</v>
      </c>
      <c r="D61" s="4" t="s">
        <v>15</v>
      </c>
      <c r="E61" s="4">
        <v>149.0</v>
      </c>
      <c r="F61" s="4" t="s">
        <v>26</v>
      </c>
      <c r="G61" s="4">
        <v>8.4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61.0</v>
      </c>
      <c r="B62" s="4" t="s">
        <v>111</v>
      </c>
      <c r="C62" s="4">
        <v>2017.0</v>
      </c>
      <c r="D62" s="4" t="s">
        <v>40</v>
      </c>
      <c r="E62" s="4">
        <v>105.0</v>
      </c>
      <c r="F62" s="4" t="s">
        <v>49</v>
      </c>
      <c r="G62" s="4">
        <v>8.4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62.0</v>
      </c>
      <c r="B63" s="4" t="s">
        <v>112</v>
      </c>
      <c r="C63" s="4">
        <v>2012.0</v>
      </c>
      <c r="D63" s="4" t="s">
        <v>9</v>
      </c>
      <c r="E63" s="4">
        <v>165.0</v>
      </c>
      <c r="F63" s="4" t="s">
        <v>113</v>
      </c>
      <c r="G63" s="4">
        <v>8.4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63.0</v>
      </c>
      <c r="B64" s="4" t="s">
        <v>114</v>
      </c>
      <c r="C64" s="4">
        <v>2012.0</v>
      </c>
      <c r="D64" s="4" t="s">
        <v>15</v>
      </c>
      <c r="E64" s="4">
        <v>164.0</v>
      </c>
      <c r="F64" s="4" t="s">
        <v>115</v>
      </c>
      <c r="G64" s="4">
        <v>8.4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64.0</v>
      </c>
      <c r="B65" s="4" t="s">
        <v>116</v>
      </c>
      <c r="C65" s="4">
        <v>2009.0</v>
      </c>
      <c r="D65" s="4" t="s">
        <v>15</v>
      </c>
      <c r="E65" s="4">
        <v>170.0</v>
      </c>
      <c r="F65" s="4" t="s">
        <v>117</v>
      </c>
      <c r="G65" s="4">
        <v>8.4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65.0</v>
      </c>
      <c r="B66" s="4" t="s">
        <v>118</v>
      </c>
      <c r="C66" s="4">
        <v>2007.0</v>
      </c>
      <c r="D66" s="4" t="s">
        <v>40</v>
      </c>
      <c r="E66" s="4">
        <v>165.0</v>
      </c>
      <c r="F66" s="4" t="s">
        <v>119</v>
      </c>
      <c r="G66" s="4">
        <v>8.4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66.0</v>
      </c>
      <c r="B67" s="4" t="s">
        <v>120</v>
      </c>
      <c r="C67" s="4">
        <v>2008.0</v>
      </c>
      <c r="D67" s="4" t="s">
        <v>83</v>
      </c>
      <c r="E67" s="4">
        <v>98.0</v>
      </c>
      <c r="F67" s="4" t="s">
        <v>49</v>
      </c>
      <c r="G67" s="4">
        <v>8.4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67.0</v>
      </c>
      <c r="B68" s="4" t="s">
        <v>121</v>
      </c>
      <c r="C68" s="4">
        <v>2006.0</v>
      </c>
      <c r="D68" s="4" t="s">
        <v>9</v>
      </c>
      <c r="E68" s="4">
        <v>137.0</v>
      </c>
      <c r="F68" s="4" t="s">
        <v>122</v>
      </c>
      <c r="G68" s="4">
        <v>8.4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68.0</v>
      </c>
      <c r="B69" s="4" t="s">
        <v>123</v>
      </c>
      <c r="C69" s="4">
        <v>2003.0</v>
      </c>
      <c r="D69" s="4" t="s">
        <v>9</v>
      </c>
      <c r="E69" s="4">
        <v>120.0</v>
      </c>
      <c r="F69" s="4" t="s">
        <v>63</v>
      </c>
      <c r="G69" s="4">
        <v>8.4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69.0</v>
      </c>
      <c r="B70" s="4" t="s">
        <v>124</v>
      </c>
      <c r="C70" s="4">
        <v>2000.0</v>
      </c>
      <c r="D70" s="4" t="s">
        <v>9</v>
      </c>
      <c r="E70" s="4">
        <v>113.0</v>
      </c>
      <c r="F70" s="4" t="s">
        <v>125</v>
      </c>
      <c r="G70" s="4">
        <v>8.4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70.0</v>
      </c>
      <c r="B71" s="4" t="s">
        <v>126</v>
      </c>
      <c r="C71" s="4">
        <v>1997.0</v>
      </c>
      <c r="D71" s="4" t="s">
        <v>15</v>
      </c>
      <c r="E71" s="4">
        <v>134.0</v>
      </c>
      <c r="F71" s="4" t="s">
        <v>127</v>
      </c>
      <c r="G71" s="4">
        <v>8.4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71.0</v>
      </c>
      <c r="B72" s="4" t="s">
        <v>128</v>
      </c>
      <c r="C72" s="4">
        <v>1984.0</v>
      </c>
      <c r="D72" s="4" t="s">
        <v>9</v>
      </c>
      <c r="E72" s="4">
        <v>229.0</v>
      </c>
      <c r="F72" s="4" t="s">
        <v>13</v>
      </c>
      <c r="G72" s="4">
        <v>8.4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72.0</v>
      </c>
      <c r="B73" s="4" t="s">
        <v>129</v>
      </c>
      <c r="C73" s="4">
        <v>1981.0</v>
      </c>
      <c r="D73" s="4" t="s">
        <v>40</v>
      </c>
      <c r="E73" s="4">
        <v>115.0</v>
      </c>
      <c r="F73" s="4" t="s">
        <v>115</v>
      </c>
      <c r="G73" s="4">
        <v>8.4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73.0</v>
      </c>
      <c r="B74" s="4" t="s">
        <v>130</v>
      </c>
      <c r="C74" s="4">
        <v>1980.0</v>
      </c>
      <c r="D74" s="4" t="s">
        <v>9</v>
      </c>
      <c r="E74" s="4">
        <v>146.0</v>
      </c>
      <c r="F74" s="4" t="s">
        <v>131</v>
      </c>
      <c r="G74" s="4">
        <v>8.4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74.0</v>
      </c>
      <c r="B75" s="4" t="s">
        <v>132</v>
      </c>
      <c r="C75" s="4">
        <v>1979.0</v>
      </c>
      <c r="D75" s="4" t="s">
        <v>9</v>
      </c>
      <c r="E75" s="4">
        <v>147.0</v>
      </c>
      <c r="F75" s="4" t="s">
        <v>133</v>
      </c>
      <c r="G75" s="4">
        <v>8.4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75.0</v>
      </c>
      <c r="B76" s="4" t="s">
        <v>134</v>
      </c>
      <c r="C76" s="4">
        <v>1979.0</v>
      </c>
      <c r="D76" s="4" t="s">
        <v>9</v>
      </c>
      <c r="E76" s="4">
        <v>117.0</v>
      </c>
      <c r="F76" s="4" t="s">
        <v>135</v>
      </c>
      <c r="G76" s="4">
        <v>8.4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76.0</v>
      </c>
      <c r="B77" s="4" t="s">
        <v>136</v>
      </c>
      <c r="C77" s="4">
        <v>1963.0</v>
      </c>
      <c r="D77" s="4" t="s">
        <v>62</v>
      </c>
      <c r="E77" s="4">
        <v>143.0</v>
      </c>
      <c r="F77" s="4" t="s">
        <v>57</v>
      </c>
      <c r="G77" s="4">
        <v>8.4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77.0</v>
      </c>
      <c r="B78" s="4" t="s">
        <v>137</v>
      </c>
      <c r="C78" s="4">
        <v>1964.0</v>
      </c>
      <c r="D78" s="4" t="s">
        <v>40</v>
      </c>
      <c r="E78" s="4">
        <v>95.0</v>
      </c>
      <c r="F78" s="4" t="s">
        <v>138</v>
      </c>
      <c r="G78" s="4">
        <v>8.4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78.0</v>
      </c>
      <c r="B79" s="4" t="s">
        <v>139</v>
      </c>
      <c r="C79" s="4">
        <v>1957.0</v>
      </c>
      <c r="D79" s="4" t="s">
        <v>24</v>
      </c>
      <c r="E79" s="4">
        <v>116.0</v>
      </c>
      <c r="F79" s="4" t="s">
        <v>57</v>
      </c>
      <c r="G79" s="4">
        <v>8.4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79.0</v>
      </c>
      <c r="B80" s="4" t="s">
        <v>140</v>
      </c>
      <c r="C80" s="4">
        <v>1957.0</v>
      </c>
      <c r="D80" s="4" t="s">
        <v>24</v>
      </c>
      <c r="E80" s="4">
        <v>88.0</v>
      </c>
      <c r="F80" s="4" t="s">
        <v>51</v>
      </c>
      <c r="G80" s="4">
        <v>8.4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80.0</v>
      </c>
      <c r="B81" s="4" t="s">
        <v>141</v>
      </c>
      <c r="C81" s="4">
        <v>1954.0</v>
      </c>
      <c r="D81" s="4" t="s">
        <v>40</v>
      </c>
      <c r="E81" s="4">
        <v>112.0</v>
      </c>
      <c r="F81" s="4" t="s">
        <v>125</v>
      </c>
      <c r="G81" s="4">
        <v>8.4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81.0</v>
      </c>
      <c r="B82" s="4" t="s">
        <v>142</v>
      </c>
      <c r="C82" s="4">
        <v>1950.0</v>
      </c>
      <c r="D82" s="4" t="s">
        <v>143</v>
      </c>
      <c r="E82" s="4">
        <v>110.0</v>
      </c>
      <c r="F82" s="4" t="s">
        <v>144</v>
      </c>
      <c r="G82" s="4">
        <v>8.4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82.0</v>
      </c>
      <c r="B83" s="4" t="s">
        <v>145</v>
      </c>
      <c r="C83" s="4">
        <v>1940.0</v>
      </c>
      <c r="D83" s="4" t="s">
        <v>143</v>
      </c>
      <c r="E83" s="4">
        <v>125.0</v>
      </c>
      <c r="F83" s="4" t="s">
        <v>146</v>
      </c>
      <c r="G83" s="4">
        <v>8.4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83.0</v>
      </c>
      <c r="B84" s="4">
        <v>1917.0</v>
      </c>
      <c r="C84" s="4">
        <v>2019.0</v>
      </c>
      <c r="D84" s="4" t="s">
        <v>9</v>
      </c>
      <c r="E84" s="4">
        <v>119.0</v>
      </c>
      <c r="F84" s="4" t="s">
        <v>51</v>
      </c>
      <c r="G84" s="4">
        <v>8.3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84.0</v>
      </c>
      <c r="B85" s="4" t="s">
        <v>147</v>
      </c>
      <c r="C85" s="4">
        <v>2019.0</v>
      </c>
      <c r="D85" s="4" t="s">
        <v>62</v>
      </c>
      <c r="E85" s="4">
        <v>138.0</v>
      </c>
      <c r="F85" s="4" t="s">
        <v>148</v>
      </c>
      <c r="G85" s="4">
        <v>8.3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85.0</v>
      </c>
      <c r="B86" s="4" t="s">
        <v>149</v>
      </c>
      <c r="C86" s="4">
        <v>2018.0</v>
      </c>
      <c r="D86" s="4" t="s">
        <v>62</v>
      </c>
      <c r="E86" s="4">
        <v>104.0</v>
      </c>
      <c r="F86" s="4" t="s">
        <v>150</v>
      </c>
      <c r="G86" s="4">
        <v>8.3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86.0</v>
      </c>
      <c r="B87" s="4" t="s">
        <v>151</v>
      </c>
      <c r="C87" s="4">
        <v>2018.0</v>
      </c>
      <c r="D87" s="4" t="s">
        <v>62</v>
      </c>
      <c r="E87" s="4">
        <v>139.0</v>
      </c>
      <c r="F87" s="4" t="s">
        <v>152</v>
      </c>
      <c r="G87" s="4">
        <v>8.3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87.0</v>
      </c>
      <c r="B88" s="4" t="s">
        <v>153</v>
      </c>
      <c r="C88" s="4">
        <v>2013.0</v>
      </c>
      <c r="D88" s="4" t="s">
        <v>62</v>
      </c>
      <c r="E88" s="4">
        <v>160.0</v>
      </c>
      <c r="F88" s="4" t="s">
        <v>59</v>
      </c>
      <c r="G88" s="4">
        <v>8.3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88.0</v>
      </c>
      <c r="B89" s="4" t="s">
        <v>154</v>
      </c>
      <c r="C89" s="4">
        <v>2012.0</v>
      </c>
      <c r="D89" s="4" t="s">
        <v>9</v>
      </c>
      <c r="E89" s="4">
        <v>115.0</v>
      </c>
      <c r="F89" s="4" t="s">
        <v>10</v>
      </c>
      <c r="G89" s="4">
        <v>8.3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89.0</v>
      </c>
      <c r="B90" s="4" t="s">
        <v>155</v>
      </c>
      <c r="C90" s="4">
        <v>2011.0</v>
      </c>
      <c r="D90" s="4" t="s">
        <v>15</v>
      </c>
      <c r="E90" s="4">
        <v>123.0</v>
      </c>
      <c r="F90" s="4" t="s">
        <v>156</v>
      </c>
      <c r="G90" s="4">
        <v>8.3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90.0</v>
      </c>
      <c r="B91" s="4" t="s">
        <v>157</v>
      </c>
      <c r="C91" s="4">
        <v>2010.0</v>
      </c>
      <c r="D91" s="4" t="s">
        <v>9</v>
      </c>
      <c r="E91" s="4">
        <v>131.0</v>
      </c>
      <c r="F91" s="4" t="s">
        <v>133</v>
      </c>
      <c r="G91" s="4">
        <v>8.3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91.0</v>
      </c>
      <c r="B92" s="4" t="s">
        <v>158</v>
      </c>
      <c r="C92" s="4">
        <v>2019.0</v>
      </c>
      <c r="D92" s="4"/>
      <c r="E92" s="4">
        <v>132.0</v>
      </c>
      <c r="F92" s="4" t="s">
        <v>10</v>
      </c>
      <c r="G92" s="4">
        <v>8.3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92.0</v>
      </c>
      <c r="B93" s="4" t="s">
        <v>159</v>
      </c>
      <c r="C93" s="4">
        <v>2005.0</v>
      </c>
      <c r="D93" s="4"/>
      <c r="E93" s="4">
        <v>112.0</v>
      </c>
      <c r="F93" s="4" t="s">
        <v>119</v>
      </c>
      <c r="G93" s="4">
        <v>8.3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93.0</v>
      </c>
      <c r="B94" s="4" t="s">
        <v>160</v>
      </c>
      <c r="C94" s="4">
        <v>2010.0</v>
      </c>
      <c r="D94" s="4" t="s">
        <v>83</v>
      </c>
      <c r="E94" s="4">
        <v>103.0</v>
      </c>
      <c r="F94" s="4" t="s">
        <v>161</v>
      </c>
      <c r="G94" s="4">
        <v>8.3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94.0</v>
      </c>
      <c r="B95" s="4" t="s">
        <v>162</v>
      </c>
      <c r="C95" s="4">
        <v>2009.0</v>
      </c>
      <c r="D95" s="4" t="s">
        <v>9</v>
      </c>
      <c r="E95" s="4">
        <v>153.0</v>
      </c>
      <c r="F95" s="4" t="s">
        <v>163</v>
      </c>
      <c r="G95" s="4">
        <v>8.3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95.0</v>
      </c>
      <c r="B96" s="4" t="s">
        <v>164</v>
      </c>
      <c r="C96" s="4">
        <v>2004.0</v>
      </c>
      <c r="D96" s="4" t="s">
        <v>9</v>
      </c>
      <c r="E96" s="4">
        <v>108.0</v>
      </c>
      <c r="F96" s="4" t="s">
        <v>165</v>
      </c>
      <c r="G96" s="4">
        <v>8.3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96.0</v>
      </c>
      <c r="B97" s="4" t="s">
        <v>166</v>
      </c>
      <c r="C97" s="4">
        <v>2001.0</v>
      </c>
      <c r="D97" s="4" t="s">
        <v>9</v>
      </c>
      <c r="E97" s="4">
        <v>122.0</v>
      </c>
      <c r="F97" s="4" t="s">
        <v>167</v>
      </c>
      <c r="G97" s="4">
        <v>8.3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97.0</v>
      </c>
      <c r="B98" s="4" t="s">
        <v>168</v>
      </c>
      <c r="C98" s="4">
        <v>2000.0</v>
      </c>
      <c r="D98" s="4" t="s">
        <v>9</v>
      </c>
      <c r="E98" s="4">
        <v>102.0</v>
      </c>
      <c r="F98" s="4" t="s">
        <v>169</v>
      </c>
      <c r="G98" s="4">
        <v>8.3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98.0</v>
      </c>
      <c r="B99" s="4" t="s">
        <v>170</v>
      </c>
      <c r="C99" s="4">
        <v>2000.0</v>
      </c>
      <c r="D99" s="4" t="s">
        <v>9</v>
      </c>
      <c r="E99" s="4">
        <v>102.0</v>
      </c>
      <c r="F99" s="4" t="s">
        <v>10</v>
      </c>
      <c r="G99" s="4">
        <v>8.3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99.0</v>
      </c>
      <c r="B100" s="4" t="s">
        <v>171</v>
      </c>
      <c r="C100" s="4">
        <v>1999.0</v>
      </c>
      <c r="D100" s="4" t="s">
        <v>9</v>
      </c>
      <c r="E100" s="4">
        <v>122.0</v>
      </c>
      <c r="F100" s="4" t="s">
        <v>10</v>
      </c>
      <c r="G100" s="4">
        <v>8.3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100.0</v>
      </c>
      <c r="B101" s="4" t="s">
        <v>172</v>
      </c>
      <c r="C101" s="4">
        <v>1997.0</v>
      </c>
      <c r="D101" s="4" t="s">
        <v>9</v>
      </c>
      <c r="E101" s="4">
        <v>126.0</v>
      </c>
      <c r="F101" s="4" t="s">
        <v>30</v>
      </c>
      <c r="G101" s="4">
        <v>8.3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I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0"/>
    <col customWidth="1" min="2" max="2" width="59.25"/>
    <col customWidth="1" min="3" max="3" width="7.88"/>
    <col customWidth="1" min="4" max="4" width="9.75"/>
    <col customWidth="1" min="5" max="5" width="10.25"/>
    <col customWidth="1" min="6" max="6" width="26.13"/>
    <col customWidth="1" min="7" max="7" width="9.13"/>
    <col customWidth="1" min="8" max="8" width="14.0"/>
    <col customWidth="1" min="9" max="9" width="15.38"/>
    <col customWidth="1" min="10" max="10" width="18.0"/>
    <col customWidth="1" min="12" max="12" width="10.63"/>
    <col customWidth="1" min="13" max="13" width="18.0"/>
    <col customWidth="1" min="15" max="15" width="12.25"/>
    <col customWidth="1" min="16" max="16" width="17.0"/>
    <col customWidth="1" min="17" max="17" width="18.0"/>
    <col customWidth="1" min="19" max="19" width="27.38"/>
    <col customWidth="1" min="20" max="20" width="11.75"/>
    <col customWidth="1" min="21" max="21" width="11.38"/>
    <col customWidth="1" min="22" max="22" width="11.75"/>
    <col customWidth="1" min="23" max="23" width="13.0"/>
  </cols>
  <sheetData>
    <row r="1">
      <c r="A1" s="6" t="str">
        <f>IFERROR(__xludf.DUMMYFUNCTION("QUERY(IMDB, ""SELECT *"")"),"NO")</f>
        <v>NO</v>
      </c>
      <c r="B1" s="7" t="str">
        <f>IFERROR(__xludf.DUMMYFUNCTION("""COMPUTED_VALUE"""),"MOVIE_NAME")</f>
        <v>MOVIE_NAME</v>
      </c>
      <c r="C1" s="7" t="str">
        <f>IFERROR(__xludf.DUMMYFUNCTION("""COMPUTED_VALUE"""),"YEAR")</f>
        <v>YEAR</v>
      </c>
      <c r="D1" s="7" t="str">
        <f>IFERROR(__xludf.DUMMYFUNCTION("""COMPUTED_VALUE"""),"RATING")</f>
        <v>RATING</v>
      </c>
      <c r="E1" s="7" t="str">
        <f>IFERROR(__xludf.DUMMYFUNCTION("""COMPUTED_VALUE"""),"LENGTH")</f>
        <v>LENGTH</v>
      </c>
      <c r="F1" s="7" t="str">
        <f>IFERROR(__xludf.DUMMYFUNCTION("""COMPUTED_VALUE"""),"GENRE")</f>
        <v>GENRE</v>
      </c>
      <c r="G1" s="7" t="str">
        <f>IFERROR(__xludf.DUMMYFUNCTION("""COMPUTED_VALUE"""),"SCORE")</f>
        <v>SCORE</v>
      </c>
      <c r="H1" s="8" t="s">
        <v>173</v>
      </c>
      <c r="I1" s="8" t="s">
        <v>174</v>
      </c>
      <c r="J1" s="8" t="s">
        <v>175</v>
      </c>
      <c r="K1" s="9"/>
      <c r="N1" s="9"/>
      <c r="R1" s="9"/>
      <c r="S1" s="10" t="s">
        <v>178</v>
      </c>
      <c r="T1" s="11"/>
      <c r="U1" s="11"/>
      <c r="V1" s="11"/>
      <c r="W1" s="11"/>
      <c r="X1" s="9"/>
      <c r="Y1" s="9"/>
      <c r="Z1" s="9"/>
      <c r="AA1" s="9"/>
    </row>
    <row r="2">
      <c r="A2" s="12">
        <f>IFERROR(__xludf.DUMMYFUNCTION("""COMPUTED_VALUE"""),1.0)</f>
        <v>1</v>
      </c>
      <c r="B2" s="12" t="str">
        <f>IFERROR(__xludf.DUMMYFUNCTION("""COMPUTED_VALUE"""),"The Shawshank Redemption")</f>
        <v>The Shawshank Redemption</v>
      </c>
      <c r="C2" s="12">
        <f>IFERROR(__xludf.DUMMYFUNCTION("""COMPUTED_VALUE"""),1994.0)</f>
        <v>1994</v>
      </c>
      <c r="D2" s="12" t="str">
        <f>IFERROR(__xludf.DUMMYFUNCTION("""COMPUTED_VALUE"""),"R")</f>
        <v>R</v>
      </c>
      <c r="E2" s="12">
        <f>IFERROR(__xludf.DUMMYFUNCTION("""COMPUTED_VALUE"""),142.0)</f>
        <v>142</v>
      </c>
      <c r="F2" s="12" t="str">
        <f>IFERROR(__xludf.DUMMYFUNCTION("""COMPUTED_VALUE"""),"Drama")</f>
        <v>Drama</v>
      </c>
      <c r="G2" s="12">
        <f>IFERROR(__xludf.DUMMYFUNCTION("""COMPUTED_VALUE"""),9.3)</f>
        <v>9.3</v>
      </c>
      <c r="H2" s="13" t="str">
        <f t="shared" ref="H2:H101" si="1">IF(C2&lt;2000,"Old Movie","New Movie")</f>
        <v>Old Movie</v>
      </c>
      <c r="I2" s="13" t="str">
        <f t="shared" ref="I2:I101" si="2">IFS(E2&lt;90,"Short",E2&lt;=120,"Normal",E2&gt;120,"Long")</f>
        <v>Long</v>
      </c>
      <c r="J2" s="14" t="str">
        <f t="shared" ref="J2:J101" si="3">CONCATENATE(ROUNDDOWN(E2/60,0)," Hrs. ",(E2-(ROUNDDOWN(E2/60,0)*60))," Mins")</f>
        <v>2 Hrs. 22 Mins</v>
      </c>
      <c r="K2" s="9"/>
      <c r="N2" s="9"/>
      <c r="R2" s="9"/>
      <c r="S2" s="17" t="str">
        <f>IFERROR(__xludf.DUMMYFUNCTION("QUERY(IMDB, ""SELECT AVG(E), SUM(E), MIN(E), MAX(E), COUNT(E)"")"),"avg LENGTH")</f>
        <v>avg LENGTH</v>
      </c>
      <c r="T2" s="18" t="str">
        <f>IFERROR(__xludf.DUMMYFUNCTION("""COMPUTED_VALUE"""),"sum LENGTH")</f>
        <v>sum LENGTH</v>
      </c>
      <c r="U2" s="18" t="str">
        <f>IFERROR(__xludf.DUMMYFUNCTION("""COMPUTED_VALUE"""),"min LENGTH")</f>
        <v>min LENGTH</v>
      </c>
      <c r="V2" s="18" t="str">
        <f>IFERROR(__xludf.DUMMYFUNCTION("""COMPUTED_VALUE"""),"max LENGTH")</f>
        <v>max LENGTH</v>
      </c>
      <c r="W2" s="18" t="str">
        <f>IFERROR(__xludf.DUMMYFUNCTION("""COMPUTED_VALUE"""),"count LENGTH")</f>
        <v>count LENGTH</v>
      </c>
      <c r="X2" s="9"/>
      <c r="Y2" s="9"/>
      <c r="Z2" s="9"/>
      <c r="AA2" s="9"/>
    </row>
    <row r="3">
      <c r="A3" s="12">
        <f>IFERROR(__xludf.DUMMYFUNCTION("""COMPUTED_VALUE"""),2.0)</f>
        <v>2</v>
      </c>
      <c r="B3" s="12" t="str">
        <f>IFERROR(__xludf.DUMMYFUNCTION("""COMPUTED_VALUE"""),"The Godfather")</f>
        <v>The Godfather</v>
      </c>
      <c r="C3" s="12">
        <f>IFERROR(__xludf.DUMMYFUNCTION("""COMPUTED_VALUE"""),1972.0)</f>
        <v>1972</v>
      </c>
      <c r="D3" s="12" t="str">
        <f>IFERROR(__xludf.DUMMYFUNCTION("""COMPUTED_VALUE"""),"R")</f>
        <v>R</v>
      </c>
      <c r="E3" s="12">
        <f>IFERROR(__xludf.DUMMYFUNCTION("""COMPUTED_VALUE"""),175.0)</f>
        <v>175</v>
      </c>
      <c r="F3" s="12" t="str">
        <f>IFERROR(__xludf.DUMMYFUNCTION("""COMPUTED_VALUE"""),"Crime, Drama")</f>
        <v>Crime, Drama</v>
      </c>
      <c r="G3" s="12">
        <f>IFERROR(__xludf.DUMMYFUNCTION("""COMPUTED_VALUE"""),9.2)</f>
        <v>9.2</v>
      </c>
      <c r="H3" s="13" t="str">
        <f t="shared" si="1"/>
        <v>Old Movie</v>
      </c>
      <c r="I3" s="13" t="str">
        <f t="shared" si="2"/>
        <v>Long</v>
      </c>
      <c r="J3" s="14" t="str">
        <f t="shared" si="3"/>
        <v>2 Hrs. 55 Mins</v>
      </c>
      <c r="K3" s="9"/>
      <c r="N3" s="9"/>
      <c r="R3" s="9"/>
      <c r="S3" s="19">
        <f>IFERROR(__xludf.DUMMYFUNCTION("""COMPUTED_VALUE"""),134.54)</f>
        <v>134.54</v>
      </c>
      <c r="T3" s="19">
        <f>IFERROR(__xludf.DUMMYFUNCTION("""COMPUTED_VALUE"""),13454.0)</f>
        <v>13454</v>
      </c>
      <c r="U3" s="19">
        <f>IFERROR(__xludf.DUMMYFUNCTION("""COMPUTED_VALUE"""),87.0)</f>
        <v>87</v>
      </c>
      <c r="V3" s="19">
        <f>IFERROR(__xludf.DUMMYFUNCTION("""COMPUTED_VALUE"""),229.0)</f>
        <v>229</v>
      </c>
      <c r="W3" s="19">
        <f>IFERROR(__xludf.DUMMYFUNCTION("""COMPUTED_VALUE"""),100.0)</f>
        <v>100</v>
      </c>
      <c r="X3" s="9"/>
      <c r="Y3" s="9"/>
      <c r="Z3" s="9"/>
      <c r="AA3" s="9"/>
    </row>
    <row r="4">
      <c r="A4" s="12">
        <f>IFERROR(__xludf.DUMMYFUNCTION("""COMPUTED_VALUE"""),3.0)</f>
        <v>3</v>
      </c>
      <c r="B4" s="12" t="str">
        <f>IFERROR(__xludf.DUMMYFUNCTION("""COMPUTED_VALUE"""),"The Dark Knight")</f>
        <v>The Dark Knight</v>
      </c>
      <c r="C4" s="12">
        <f>IFERROR(__xludf.DUMMYFUNCTION("""COMPUTED_VALUE"""),2008.0)</f>
        <v>2008</v>
      </c>
      <c r="D4" s="12" t="str">
        <f>IFERROR(__xludf.DUMMYFUNCTION("""COMPUTED_VALUE"""),"PG-13")</f>
        <v>PG-13</v>
      </c>
      <c r="E4" s="12">
        <f>IFERROR(__xludf.DUMMYFUNCTION("""COMPUTED_VALUE"""),152.0)</f>
        <v>152</v>
      </c>
      <c r="F4" s="12" t="str">
        <f>IFERROR(__xludf.DUMMYFUNCTION("""COMPUTED_VALUE"""),"Action, Crime, Drama")</f>
        <v>Action, Crime, Drama</v>
      </c>
      <c r="G4" s="12">
        <f>IFERROR(__xludf.DUMMYFUNCTION("""COMPUTED_VALUE"""),9.0)</f>
        <v>9</v>
      </c>
      <c r="H4" s="13" t="str">
        <f t="shared" si="1"/>
        <v>New Movie</v>
      </c>
      <c r="I4" s="13" t="str">
        <f t="shared" si="2"/>
        <v>Long</v>
      </c>
      <c r="J4" s="14" t="str">
        <f t="shared" si="3"/>
        <v>2 Hrs. 32 Mins</v>
      </c>
      <c r="K4" s="9"/>
      <c r="N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2">
        <f>IFERROR(__xludf.DUMMYFUNCTION("""COMPUTED_VALUE"""),4.0)</f>
        <v>4</v>
      </c>
      <c r="B5" s="12" t="str">
        <f>IFERROR(__xludf.DUMMYFUNCTION("""COMPUTED_VALUE"""),"The Godfather: Part II")</f>
        <v>The Godfather: Part II</v>
      </c>
      <c r="C5" s="12">
        <f>IFERROR(__xludf.DUMMYFUNCTION("""COMPUTED_VALUE"""),1974.0)</f>
        <v>1974</v>
      </c>
      <c r="D5" s="12" t="str">
        <f>IFERROR(__xludf.DUMMYFUNCTION("""COMPUTED_VALUE"""),"R")</f>
        <v>R</v>
      </c>
      <c r="E5" s="12">
        <f>IFERROR(__xludf.DUMMYFUNCTION("""COMPUTED_VALUE"""),202.0)</f>
        <v>202</v>
      </c>
      <c r="F5" s="12" t="str">
        <f>IFERROR(__xludf.DUMMYFUNCTION("""COMPUTED_VALUE"""),"Crime, Drama")</f>
        <v>Crime, Drama</v>
      </c>
      <c r="G5" s="12">
        <f>IFERROR(__xludf.DUMMYFUNCTION("""COMPUTED_VALUE"""),9.0)</f>
        <v>9</v>
      </c>
      <c r="H5" s="13" t="str">
        <f t="shared" si="1"/>
        <v>Old Movie</v>
      </c>
      <c r="I5" s="13" t="str">
        <f t="shared" si="2"/>
        <v>Long</v>
      </c>
      <c r="J5" s="14" t="str">
        <f t="shared" si="3"/>
        <v>3 Hrs. 22 Mins</v>
      </c>
      <c r="K5" s="9"/>
      <c r="N5" s="9"/>
      <c r="O5" s="9"/>
      <c r="P5" s="9"/>
      <c r="Q5" s="9"/>
      <c r="R5" s="9"/>
      <c r="S5" s="10" t="s">
        <v>182</v>
      </c>
      <c r="T5" s="11"/>
      <c r="U5" s="9"/>
      <c r="V5" s="9"/>
      <c r="W5" s="9"/>
      <c r="X5" s="9"/>
      <c r="Y5" s="9"/>
      <c r="Z5" s="9"/>
      <c r="AA5" s="9"/>
    </row>
    <row r="6">
      <c r="A6" s="12">
        <f>IFERROR(__xludf.DUMMYFUNCTION("""COMPUTED_VALUE"""),5.0)</f>
        <v>5</v>
      </c>
      <c r="B6" s="12" t="str">
        <f>IFERROR(__xludf.DUMMYFUNCTION("""COMPUTED_VALUE"""),"The Lord of the Rings: The Return of the King")</f>
        <v>The Lord of the Rings: The Return of the King</v>
      </c>
      <c r="C6" s="12">
        <f>IFERROR(__xludf.DUMMYFUNCTION("""COMPUTED_VALUE"""),2003.0)</f>
        <v>2003</v>
      </c>
      <c r="D6" s="12" t="str">
        <f>IFERROR(__xludf.DUMMYFUNCTION("""COMPUTED_VALUE"""),"PG-13")</f>
        <v>PG-13</v>
      </c>
      <c r="E6" s="12">
        <f>IFERROR(__xludf.DUMMYFUNCTION("""COMPUTED_VALUE"""),201.0)</f>
        <v>201</v>
      </c>
      <c r="F6" s="12" t="str">
        <f>IFERROR(__xludf.DUMMYFUNCTION("""COMPUTED_VALUE"""),"Action, Adventure, Drama")</f>
        <v>Action, Adventure, Drama</v>
      </c>
      <c r="G6" s="12">
        <f>IFERROR(__xludf.DUMMYFUNCTION("""COMPUTED_VALUE"""),8.9)</f>
        <v>8.9</v>
      </c>
      <c r="H6" s="13" t="str">
        <f t="shared" si="1"/>
        <v>New Movie</v>
      </c>
      <c r="I6" s="13" t="str">
        <f t="shared" si="2"/>
        <v>Long</v>
      </c>
      <c r="J6" s="14" t="str">
        <f t="shared" si="3"/>
        <v>3 Hrs. 21 Mins</v>
      </c>
      <c r="K6" s="9"/>
      <c r="N6" s="9"/>
      <c r="Q6" s="9"/>
      <c r="R6" s="9"/>
      <c r="S6" s="20" t="str">
        <f>IFERROR(__xludf.DUMMYFUNCTION("QUERY(IMDB,""SELECT D, AVG(E) WHERE D is NOT NULL GROUP BY D"")"),"RATING")</f>
        <v>RATING</v>
      </c>
      <c r="T6" s="21" t="str">
        <f>IFERROR(__xludf.DUMMYFUNCTION("""COMPUTED_VALUE"""),"avg LENGTH")</f>
        <v>avg LENGTH</v>
      </c>
      <c r="U6" s="9"/>
      <c r="V6" s="9"/>
      <c r="W6" s="9"/>
      <c r="X6" s="9"/>
      <c r="Y6" s="9"/>
      <c r="Z6" s="9"/>
      <c r="AA6" s="9"/>
    </row>
    <row r="7">
      <c r="A7" s="12">
        <f>IFERROR(__xludf.DUMMYFUNCTION("""COMPUTED_VALUE"""),6.0)</f>
        <v>6</v>
      </c>
      <c r="B7" s="12" t="str">
        <f>IFERROR(__xludf.DUMMYFUNCTION("""COMPUTED_VALUE"""),"Pulp Fiction")</f>
        <v>Pulp Fiction</v>
      </c>
      <c r="C7" s="12">
        <f>IFERROR(__xludf.DUMMYFUNCTION("""COMPUTED_VALUE"""),1994.0)</f>
        <v>1994</v>
      </c>
      <c r="D7" s="12" t="str">
        <f>IFERROR(__xludf.DUMMYFUNCTION("""COMPUTED_VALUE"""),"R")</f>
        <v>R</v>
      </c>
      <c r="E7" s="12">
        <f>IFERROR(__xludf.DUMMYFUNCTION("""COMPUTED_VALUE"""),154.0)</f>
        <v>154</v>
      </c>
      <c r="F7" s="12" t="str">
        <f>IFERROR(__xludf.DUMMYFUNCTION("""COMPUTED_VALUE"""),"Crime, Drama")</f>
        <v>Crime, Drama</v>
      </c>
      <c r="G7" s="12">
        <f>IFERROR(__xludf.DUMMYFUNCTION("""COMPUTED_VALUE"""),8.9)</f>
        <v>8.9</v>
      </c>
      <c r="H7" s="13" t="str">
        <f t="shared" si="1"/>
        <v>Old Movie</v>
      </c>
      <c r="I7" s="13" t="str">
        <f t="shared" si="2"/>
        <v>Long</v>
      </c>
      <c r="J7" s="14" t="str">
        <f t="shared" si="3"/>
        <v>2 Hrs. 34 Mins</v>
      </c>
      <c r="K7" s="9"/>
      <c r="N7" s="9"/>
      <c r="Q7" s="9"/>
      <c r="R7" s="9"/>
      <c r="S7" s="21" t="str">
        <f>IFERROR(__xludf.DUMMYFUNCTION("""COMPUTED_VALUE"""),"Approved")</f>
        <v>Approved</v>
      </c>
      <c r="T7" s="22">
        <f>IFERROR(__xludf.DUMMYFUNCTION("""COMPUTED_VALUE"""),100.0)</f>
        <v>100</v>
      </c>
      <c r="U7" s="9"/>
      <c r="V7" s="9"/>
      <c r="W7" s="9"/>
      <c r="X7" s="9"/>
      <c r="Y7" s="9"/>
      <c r="Z7" s="9"/>
      <c r="AA7" s="9"/>
    </row>
    <row r="8">
      <c r="A8" s="12">
        <f>IFERROR(__xludf.DUMMYFUNCTION("""COMPUTED_VALUE"""),7.0)</f>
        <v>7</v>
      </c>
      <c r="B8" s="12" t="str">
        <f>IFERROR(__xludf.DUMMYFUNCTION("""COMPUTED_VALUE"""),"Schindler's List")</f>
        <v>Schindler's List</v>
      </c>
      <c r="C8" s="12">
        <f>IFERROR(__xludf.DUMMYFUNCTION("""COMPUTED_VALUE"""),1993.0)</f>
        <v>1993</v>
      </c>
      <c r="D8" s="12" t="str">
        <f>IFERROR(__xludf.DUMMYFUNCTION("""COMPUTED_VALUE"""),"R")</f>
        <v>R</v>
      </c>
      <c r="E8" s="12">
        <f>IFERROR(__xludf.DUMMYFUNCTION("""COMPUTED_VALUE"""),195.0)</f>
        <v>195</v>
      </c>
      <c r="F8" s="12" t="str">
        <f>IFERROR(__xludf.DUMMYFUNCTION("""COMPUTED_VALUE"""),"Biography, Drama, History")</f>
        <v>Biography, Drama, History</v>
      </c>
      <c r="G8" s="12">
        <f>IFERROR(__xludf.DUMMYFUNCTION("""COMPUTED_VALUE"""),8.9)</f>
        <v>8.9</v>
      </c>
      <c r="H8" s="13" t="str">
        <f t="shared" si="1"/>
        <v>Old Movie</v>
      </c>
      <c r="I8" s="13" t="str">
        <f t="shared" si="2"/>
        <v>Long</v>
      </c>
      <c r="J8" s="14" t="str">
        <f t="shared" si="3"/>
        <v>3 Hrs. 15 Mins</v>
      </c>
      <c r="K8" s="9"/>
      <c r="N8" s="9"/>
      <c r="Q8" s="9"/>
      <c r="R8" s="9"/>
      <c r="S8" s="21" t="str">
        <f>IFERROR(__xludf.DUMMYFUNCTION("""COMPUTED_VALUE"""),"G")</f>
        <v>G</v>
      </c>
      <c r="T8" s="22">
        <f>IFERROR(__xludf.DUMMYFUNCTION("""COMPUTED_VALUE"""),92.6)</f>
        <v>92.6</v>
      </c>
      <c r="U8" s="9"/>
      <c r="V8" s="9"/>
      <c r="W8" s="9"/>
      <c r="X8" s="9"/>
      <c r="Y8" s="9"/>
      <c r="Z8" s="9"/>
      <c r="AA8" s="9"/>
    </row>
    <row r="9">
      <c r="A9" s="12">
        <f>IFERROR(__xludf.DUMMYFUNCTION("""COMPUTED_VALUE"""),8.0)</f>
        <v>8</v>
      </c>
      <c r="B9" s="12" t="str">
        <f>IFERROR(__xludf.DUMMYFUNCTION("""COMPUTED_VALUE"""),"12 Angry Men")</f>
        <v>12 Angry Men</v>
      </c>
      <c r="C9" s="12">
        <f>IFERROR(__xludf.DUMMYFUNCTION("""COMPUTED_VALUE"""),1957.0)</f>
        <v>1957</v>
      </c>
      <c r="D9" s="12" t="str">
        <f>IFERROR(__xludf.DUMMYFUNCTION("""COMPUTED_VALUE"""),"Approved")</f>
        <v>Approved</v>
      </c>
      <c r="E9" s="12">
        <f>IFERROR(__xludf.DUMMYFUNCTION("""COMPUTED_VALUE"""),96.0)</f>
        <v>96</v>
      </c>
      <c r="F9" s="12" t="str">
        <f>IFERROR(__xludf.DUMMYFUNCTION("""COMPUTED_VALUE"""),"Crime, Drama")</f>
        <v>Crime, Drama</v>
      </c>
      <c r="G9" s="12">
        <f>IFERROR(__xludf.DUMMYFUNCTION("""COMPUTED_VALUE"""),8.9)</f>
        <v>8.9</v>
      </c>
      <c r="H9" s="13" t="str">
        <f t="shared" si="1"/>
        <v>Old Movie</v>
      </c>
      <c r="I9" s="13" t="str">
        <f t="shared" si="2"/>
        <v>Normal</v>
      </c>
      <c r="J9" s="14" t="str">
        <f t="shared" si="3"/>
        <v>1 Hrs. 36 Mins</v>
      </c>
      <c r="K9" s="9"/>
      <c r="N9" s="9"/>
      <c r="Q9" s="9"/>
      <c r="R9" s="9"/>
      <c r="S9" s="21" t="str">
        <f>IFERROR(__xludf.DUMMYFUNCTION("""COMPUTED_VALUE"""),"Not Rated")</f>
        <v>Not Rated</v>
      </c>
      <c r="T9" s="22">
        <f>IFERROR(__xludf.DUMMYFUNCTION("""COMPUTED_VALUE"""),139.6)</f>
        <v>139.6</v>
      </c>
      <c r="U9" s="9"/>
      <c r="V9" s="9"/>
      <c r="W9" s="9"/>
      <c r="X9" s="9"/>
      <c r="Y9" s="9"/>
      <c r="Z9" s="9"/>
      <c r="AA9" s="9"/>
    </row>
    <row r="10">
      <c r="A10" s="12">
        <f>IFERROR(__xludf.DUMMYFUNCTION("""COMPUTED_VALUE"""),9.0)</f>
        <v>9</v>
      </c>
      <c r="B10" s="12" t="str">
        <f>IFERROR(__xludf.DUMMYFUNCTION("""COMPUTED_VALUE"""),"Inception")</f>
        <v>Inception</v>
      </c>
      <c r="C10" s="12">
        <f>IFERROR(__xludf.DUMMYFUNCTION("""COMPUTED_VALUE"""),2010.0)</f>
        <v>2010</v>
      </c>
      <c r="D10" s="12" t="str">
        <f>IFERROR(__xludf.DUMMYFUNCTION("""COMPUTED_VALUE"""),"PG-13")</f>
        <v>PG-13</v>
      </c>
      <c r="E10" s="12">
        <f>IFERROR(__xludf.DUMMYFUNCTION("""COMPUTED_VALUE"""),148.0)</f>
        <v>148</v>
      </c>
      <c r="F10" s="12" t="str">
        <f>IFERROR(__xludf.DUMMYFUNCTION("""COMPUTED_VALUE"""),"Action, Adventure, Sci-Fi")</f>
        <v>Action, Adventure, Sci-Fi</v>
      </c>
      <c r="G10" s="12">
        <f>IFERROR(__xludf.DUMMYFUNCTION("""COMPUTED_VALUE"""),8.8)</f>
        <v>8.8</v>
      </c>
      <c r="H10" s="13" t="str">
        <f t="shared" si="1"/>
        <v>New Movie</v>
      </c>
      <c r="I10" s="13" t="str">
        <f t="shared" si="2"/>
        <v>Long</v>
      </c>
      <c r="J10" s="14" t="str">
        <f t="shared" si="3"/>
        <v>2 Hrs. 28 Mins</v>
      </c>
      <c r="K10" s="9"/>
      <c r="N10" s="9"/>
      <c r="Q10" s="9"/>
      <c r="R10" s="9"/>
      <c r="S10" s="21" t="str">
        <f>IFERROR(__xludf.DUMMYFUNCTION("""COMPUTED_VALUE"""),"PG")</f>
        <v>PG</v>
      </c>
      <c r="T10" s="22">
        <f>IFERROR(__xludf.DUMMYFUNCTION("""COMPUTED_VALUE"""),117.92307692307692)</f>
        <v>117.9230769</v>
      </c>
      <c r="U10" s="9"/>
      <c r="V10" s="9"/>
      <c r="W10" s="9"/>
      <c r="X10" s="9"/>
      <c r="Y10" s="9"/>
      <c r="Z10" s="9"/>
      <c r="AA10" s="9"/>
    </row>
    <row r="11">
      <c r="A11" s="12">
        <f>IFERROR(__xludf.DUMMYFUNCTION("""COMPUTED_VALUE"""),10.0)</f>
        <v>10</v>
      </c>
      <c r="B11" s="12" t="str">
        <f>IFERROR(__xludf.DUMMYFUNCTION("""COMPUTED_VALUE"""),"Fight Club")</f>
        <v>Fight Club</v>
      </c>
      <c r="C11" s="12">
        <f>IFERROR(__xludf.DUMMYFUNCTION("""COMPUTED_VALUE"""),1999.0)</f>
        <v>1999</v>
      </c>
      <c r="D11" s="12" t="str">
        <f>IFERROR(__xludf.DUMMYFUNCTION("""COMPUTED_VALUE"""),"R")</f>
        <v>R</v>
      </c>
      <c r="E11" s="12">
        <f>IFERROR(__xludf.DUMMYFUNCTION("""COMPUTED_VALUE"""),139.0)</f>
        <v>139</v>
      </c>
      <c r="F11" s="12" t="str">
        <f>IFERROR(__xludf.DUMMYFUNCTION("""COMPUTED_VALUE"""),"Drama")</f>
        <v>Drama</v>
      </c>
      <c r="G11" s="12">
        <f>IFERROR(__xludf.DUMMYFUNCTION("""COMPUTED_VALUE"""),8.8)</f>
        <v>8.8</v>
      </c>
      <c r="H11" s="13" t="str">
        <f t="shared" si="1"/>
        <v>Old Movie</v>
      </c>
      <c r="I11" s="13" t="str">
        <f t="shared" si="2"/>
        <v>Long</v>
      </c>
      <c r="J11" s="14" t="str">
        <f t="shared" si="3"/>
        <v>2 Hrs. 19 Mins</v>
      </c>
      <c r="K11" s="9"/>
      <c r="L11" s="9"/>
      <c r="M11" s="9"/>
      <c r="N11" s="9"/>
      <c r="O11" s="9"/>
      <c r="P11" s="9"/>
      <c r="Q11" s="9"/>
      <c r="R11" s="9"/>
      <c r="S11" s="21" t="str">
        <f>IFERROR(__xludf.DUMMYFUNCTION("""COMPUTED_VALUE"""),"PG-13")</f>
        <v>PG-13</v>
      </c>
      <c r="T11" s="22">
        <f>IFERROR(__xludf.DUMMYFUNCTION("""COMPUTED_VALUE"""),156.52941176470588)</f>
        <v>156.5294118</v>
      </c>
      <c r="U11" s="9"/>
      <c r="V11" s="9"/>
      <c r="W11" s="9"/>
      <c r="X11" s="9"/>
      <c r="Y11" s="9"/>
      <c r="Z11" s="9"/>
      <c r="AA11" s="9"/>
    </row>
    <row r="12">
      <c r="A12" s="12">
        <f>IFERROR(__xludf.DUMMYFUNCTION("""COMPUTED_VALUE"""),11.0)</f>
        <v>11</v>
      </c>
      <c r="B12" s="12" t="str">
        <f>IFERROR(__xludf.DUMMYFUNCTION("""COMPUTED_VALUE"""),"The Lord of the Rings: The Fellowship of the Ring")</f>
        <v>The Lord of the Rings: The Fellowship of the Ring</v>
      </c>
      <c r="C12" s="12">
        <f>IFERROR(__xludf.DUMMYFUNCTION("""COMPUTED_VALUE"""),2001.0)</f>
        <v>2001</v>
      </c>
      <c r="D12" s="12" t="str">
        <f>IFERROR(__xludf.DUMMYFUNCTION("""COMPUTED_VALUE"""),"PG-13")</f>
        <v>PG-13</v>
      </c>
      <c r="E12" s="12">
        <f>IFERROR(__xludf.DUMMYFUNCTION("""COMPUTED_VALUE"""),178.0)</f>
        <v>178</v>
      </c>
      <c r="F12" s="12" t="str">
        <f>IFERROR(__xludf.DUMMYFUNCTION("""COMPUTED_VALUE"""),"Action, Adventure, Drama")</f>
        <v>Action, Adventure, Drama</v>
      </c>
      <c r="G12" s="12">
        <f>IFERROR(__xludf.DUMMYFUNCTION("""COMPUTED_VALUE"""),8.8)</f>
        <v>8.8</v>
      </c>
      <c r="H12" s="13" t="str">
        <f t="shared" si="1"/>
        <v>New Movie</v>
      </c>
      <c r="I12" s="13" t="str">
        <f t="shared" si="2"/>
        <v>Long</v>
      </c>
      <c r="J12" s="14" t="str">
        <f t="shared" si="3"/>
        <v>2 Hrs. 58 Mins</v>
      </c>
      <c r="K12" s="9"/>
      <c r="N12" s="9"/>
      <c r="O12" s="9"/>
      <c r="P12" s="9"/>
      <c r="Q12" s="9"/>
      <c r="R12" s="9"/>
      <c r="S12" s="21" t="str">
        <f>IFERROR(__xludf.DUMMYFUNCTION("""COMPUTED_VALUE"""),"Passed")</f>
        <v>Passed</v>
      </c>
      <c r="T12" s="22">
        <f>IFERROR(__xludf.DUMMYFUNCTION("""COMPUTED_VALUE"""),117.5)</f>
        <v>117.5</v>
      </c>
      <c r="U12" s="9"/>
      <c r="V12" s="9"/>
      <c r="W12" s="9"/>
      <c r="X12" s="9"/>
      <c r="Y12" s="9"/>
      <c r="Z12" s="9"/>
      <c r="AA12" s="9"/>
    </row>
    <row r="13">
      <c r="A13" s="12">
        <f>IFERROR(__xludf.DUMMYFUNCTION("""COMPUTED_VALUE"""),12.0)</f>
        <v>12</v>
      </c>
      <c r="B13" s="12" t="str">
        <f>IFERROR(__xludf.DUMMYFUNCTION("""COMPUTED_VALUE"""),"Forrest Gump")</f>
        <v>Forrest Gump</v>
      </c>
      <c r="C13" s="12">
        <f>IFERROR(__xludf.DUMMYFUNCTION("""COMPUTED_VALUE"""),1994.0)</f>
        <v>1994</v>
      </c>
      <c r="D13" s="12" t="str">
        <f>IFERROR(__xludf.DUMMYFUNCTION("""COMPUTED_VALUE"""),"PG-13")</f>
        <v>PG-13</v>
      </c>
      <c r="E13" s="12">
        <f>IFERROR(__xludf.DUMMYFUNCTION("""COMPUTED_VALUE"""),142.0)</f>
        <v>142</v>
      </c>
      <c r="F13" s="12" t="str">
        <f>IFERROR(__xludf.DUMMYFUNCTION("""COMPUTED_VALUE"""),"Drama, Romance")</f>
        <v>Drama, Romance</v>
      </c>
      <c r="G13" s="12">
        <f>IFERROR(__xludf.DUMMYFUNCTION("""COMPUTED_VALUE"""),8.8)</f>
        <v>8.8</v>
      </c>
      <c r="H13" s="13" t="str">
        <f t="shared" si="1"/>
        <v>Old Movie</v>
      </c>
      <c r="I13" s="13" t="str">
        <f t="shared" si="2"/>
        <v>Long</v>
      </c>
      <c r="J13" s="14" t="str">
        <f t="shared" si="3"/>
        <v>2 Hrs. 22 Mins</v>
      </c>
      <c r="K13" s="9"/>
      <c r="N13" s="9"/>
      <c r="O13" s="9"/>
      <c r="P13" s="9"/>
      <c r="Q13" s="9"/>
      <c r="R13" s="9"/>
      <c r="S13" s="21" t="str">
        <f>IFERROR(__xludf.DUMMYFUNCTION("""COMPUTED_VALUE"""),"R")</f>
        <v>R</v>
      </c>
      <c r="T13" s="22">
        <f>IFERROR(__xludf.DUMMYFUNCTION("""COMPUTED_VALUE"""),138.2340425531915)</f>
        <v>138.2340426</v>
      </c>
      <c r="U13" s="9"/>
      <c r="V13" s="9"/>
      <c r="W13" s="9"/>
      <c r="X13" s="9"/>
      <c r="Y13" s="9"/>
      <c r="Z13" s="9"/>
      <c r="AA13" s="9"/>
    </row>
    <row r="14">
      <c r="A14" s="12">
        <f>IFERROR(__xludf.DUMMYFUNCTION("""COMPUTED_VALUE"""),13.0)</f>
        <v>13</v>
      </c>
      <c r="B14" s="12" t="str">
        <f>IFERROR(__xludf.DUMMYFUNCTION("""COMPUTED_VALUE"""),"The Good, the Bad and the Ugly")</f>
        <v>The Good, the Bad and the Ugly</v>
      </c>
      <c r="C14" s="12">
        <f>IFERROR(__xludf.DUMMYFUNCTION("""COMPUTED_VALUE"""),1966.0)</f>
        <v>1966</v>
      </c>
      <c r="D14" s="12" t="str">
        <f>IFERROR(__xludf.DUMMYFUNCTION("""COMPUTED_VALUE"""),"R")</f>
        <v>R</v>
      </c>
      <c r="E14" s="12">
        <f>IFERROR(__xludf.DUMMYFUNCTION("""COMPUTED_VALUE"""),178.0)</f>
        <v>178</v>
      </c>
      <c r="F14" s="12" t="str">
        <f>IFERROR(__xludf.DUMMYFUNCTION("""COMPUTED_VALUE"""),"Western")</f>
        <v>Western</v>
      </c>
      <c r="G14" s="12">
        <f>IFERROR(__xludf.DUMMYFUNCTION("""COMPUTED_VALUE"""),8.8)</f>
        <v>8.8</v>
      </c>
      <c r="H14" s="13" t="str">
        <f t="shared" si="1"/>
        <v>Old Movie</v>
      </c>
      <c r="I14" s="13" t="str">
        <f t="shared" si="2"/>
        <v>Long</v>
      </c>
      <c r="J14" s="14" t="str">
        <f t="shared" si="3"/>
        <v>2 Hrs. 58 Mins</v>
      </c>
      <c r="K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2">
        <f>IFERROR(__xludf.DUMMYFUNCTION("""COMPUTED_VALUE"""),14.0)</f>
        <v>14</v>
      </c>
      <c r="B15" s="12" t="str">
        <f>IFERROR(__xludf.DUMMYFUNCTION("""COMPUTED_VALUE"""),"Hamilton")</f>
        <v>Hamilton</v>
      </c>
      <c r="C15" s="12">
        <f>IFERROR(__xludf.DUMMYFUNCTION("""COMPUTED_VALUE"""),2020.0)</f>
        <v>2020</v>
      </c>
      <c r="D15" s="12" t="str">
        <f>IFERROR(__xludf.DUMMYFUNCTION("""COMPUTED_VALUE"""),"PG-13")</f>
        <v>PG-13</v>
      </c>
      <c r="E15" s="12">
        <f>IFERROR(__xludf.DUMMYFUNCTION("""COMPUTED_VALUE"""),160.0)</f>
        <v>160</v>
      </c>
      <c r="F15" s="12" t="str">
        <f>IFERROR(__xludf.DUMMYFUNCTION("""COMPUTED_VALUE"""),"Biography, Drama, History")</f>
        <v>Biography, Drama, History</v>
      </c>
      <c r="G15" s="12">
        <f>IFERROR(__xludf.DUMMYFUNCTION("""COMPUTED_VALUE"""),8.7)</f>
        <v>8.7</v>
      </c>
      <c r="H15" s="13" t="str">
        <f t="shared" si="1"/>
        <v>New Movie</v>
      </c>
      <c r="I15" s="13" t="str">
        <f t="shared" si="2"/>
        <v>Long</v>
      </c>
      <c r="J15" s="14" t="str">
        <f t="shared" si="3"/>
        <v>2 Hrs. 40 Mins</v>
      </c>
      <c r="K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2">
        <f>IFERROR(__xludf.DUMMYFUNCTION("""COMPUTED_VALUE"""),15.0)</f>
        <v>15</v>
      </c>
      <c r="B16" s="12" t="str">
        <f>IFERROR(__xludf.DUMMYFUNCTION("""COMPUTED_VALUE"""),"The Lord of the Rings: The Two Towers")</f>
        <v>The Lord of the Rings: The Two Towers</v>
      </c>
      <c r="C16" s="12">
        <f>IFERROR(__xludf.DUMMYFUNCTION("""COMPUTED_VALUE"""),2002.0)</f>
        <v>2002</v>
      </c>
      <c r="D16" s="12" t="str">
        <f>IFERROR(__xludf.DUMMYFUNCTION("""COMPUTED_VALUE"""),"PG-13")</f>
        <v>PG-13</v>
      </c>
      <c r="E16" s="12">
        <f>IFERROR(__xludf.DUMMYFUNCTION("""COMPUTED_VALUE"""),179.0)</f>
        <v>179</v>
      </c>
      <c r="F16" s="12" t="str">
        <f>IFERROR(__xludf.DUMMYFUNCTION("""COMPUTED_VALUE"""),"Action, Adventure, Drama")</f>
        <v>Action, Adventure, Drama</v>
      </c>
      <c r="G16" s="12">
        <f>IFERROR(__xludf.DUMMYFUNCTION("""COMPUTED_VALUE"""),8.7)</f>
        <v>8.7</v>
      </c>
      <c r="H16" s="13" t="str">
        <f t="shared" si="1"/>
        <v>New Movie</v>
      </c>
      <c r="I16" s="13" t="str">
        <f t="shared" si="2"/>
        <v>Long</v>
      </c>
      <c r="J16" s="14" t="str">
        <f t="shared" si="3"/>
        <v>2 Hrs. 59 Mins</v>
      </c>
      <c r="K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12">
        <f>IFERROR(__xludf.DUMMYFUNCTION("""COMPUTED_VALUE"""),16.0)</f>
        <v>16</v>
      </c>
      <c r="B17" s="12" t="str">
        <f>IFERROR(__xludf.DUMMYFUNCTION("""COMPUTED_VALUE"""),"The Matrix")</f>
        <v>The Matrix</v>
      </c>
      <c r="C17" s="12">
        <f>IFERROR(__xludf.DUMMYFUNCTION("""COMPUTED_VALUE"""),1999.0)</f>
        <v>1999</v>
      </c>
      <c r="D17" s="12" t="str">
        <f>IFERROR(__xludf.DUMMYFUNCTION("""COMPUTED_VALUE"""),"R")</f>
        <v>R</v>
      </c>
      <c r="E17" s="12">
        <f>IFERROR(__xludf.DUMMYFUNCTION("""COMPUTED_VALUE"""),136.0)</f>
        <v>136</v>
      </c>
      <c r="F17" s="12" t="str">
        <f>IFERROR(__xludf.DUMMYFUNCTION("""COMPUTED_VALUE"""),"Action, Sci-Fi")</f>
        <v>Action, Sci-Fi</v>
      </c>
      <c r="G17" s="12">
        <f>IFERROR(__xludf.DUMMYFUNCTION("""COMPUTED_VALUE"""),8.7)</f>
        <v>8.7</v>
      </c>
      <c r="H17" s="13" t="str">
        <f t="shared" si="1"/>
        <v>Old Movie</v>
      </c>
      <c r="I17" s="13" t="str">
        <f t="shared" si="2"/>
        <v>Long</v>
      </c>
      <c r="J17" s="14" t="str">
        <f t="shared" si="3"/>
        <v>2 Hrs. 16 Mins</v>
      </c>
      <c r="K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2">
        <f>IFERROR(__xludf.DUMMYFUNCTION("""COMPUTED_VALUE"""),17.0)</f>
        <v>17</v>
      </c>
      <c r="B18" s="12" t="str">
        <f>IFERROR(__xludf.DUMMYFUNCTION("""COMPUTED_VALUE"""),"Goodfellas")</f>
        <v>Goodfellas</v>
      </c>
      <c r="C18" s="12">
        <f>IFERROR(__xludf.DUMMYFUNCTION("""COMPUTED_VALUE"""),1990.0)</f>
        <v>1990</v>
      </c>
      <c r="D18" s="12" t="str">
        <f>IFERROR(__xludf.DUMMYFUNCTION("""COMPUTED_VALUE"""),"R")</f>
        <v>R</v>
      </c>
      <c r="E18" s="12">
        <f>IFERROR(__xludf.DUMMYFUNCTION("""COMPUTED_VALUE"""),146.0)</f>
        <v>146</v>
      </c>
      <c r="F18" s="12" t="str">
        <f>IFERROR(__xludf.DUMMYFUNCTION("""COMPUTED_VALUE"""),"Biography, Crime, Drama")</f>
        <v>Biography, Crime, Drama</v>
      </c>
      <c r="G18" s="12">
        <f>IFERROR(__xludf.DUMMYFUNCTION("""COMPUTED_VALUE"""),8.7)</f>
        <v>8.7</v>
      </c>
      <c r="H18" s="13" t="str">
        <f t="shared" si="1"/>
        <v>Old Movie</v>
      </c>
      <c r="I18" s="13" t="str">
        <f t="shared" si="2"/>
        <v>Long</v>
      </c>
      <c r="J18" s="14" t="str">
        <f t="shared" si="3"/>
        <v>2 Hrs. 26 Mins</v>
      </c>
      <c r="K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2">
        <f>IFERROR(__xludf.DUMMYFUNCTION("""COMPUTED_VALUE"""),18.0)</f>
        <v>18</v>
      </c>
      <c r="B19" s="12" t="str">
        <f>IFERROR(__xludf.DUMMYFUNCTION("""COMPUTED_VALUE"""),"Star Wars: Episode V - The Empire Strikes Back")</f>
        <v>Star Wars: Episode V - The Empire Strikes Back</v>
      </c>
      <c r="C19" s="12">
        <f>IFERROR(__xludf.DUMMYFUNCTION("""COMPUTED_VALUE"""),1980.0)</f>
        <v>1980</v>
      </c>
      <c r="D19" s="12" t="str">
        <f>IFERROR(__xludf.DUMMYFUNCTION("""COMPUTED_VALUE"""),"PG")</f>
        <v>PG</v>
      </c>
      <c r="E19" s="12">
        <f>IFERROR(__xludf.DUMMYFUNCTION("""COMPUTED_VALUE"""),124.0)</f>
        <v>124</v>
      </c>
      <c r="F19" s="12" t="str">
        <f>IFERROR(__xludf.DUMMYFUNCTION("""COMPUTED_VALUE"""),"Action, Adventure, Fantasy")</f>
        <v>Action, Adventure, Fantasy</v>
      </c>
      <c r="G19" s="12">
        <f>IFERROR(__xludf.DUMMYFUNCTION("""COMPUTED_VALUE"""),8.7)</f>
        <v>8.7</v>
      </c>
      <c r="H19" s="13" t="str">
        <f t="shared" si="1"/>
        <v>Old Movie</v>
      </c>
      <c r="I19" s="13" t="str">
        <f t="shared" si="2"/>
        <v>Long</v>
      </c>
      <c r="J19" s="14" t="str">
        <f t="shared" si="3"/>
        <v>2 Hrs. 4 Mins</v>
      </c>
      <c r="K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2">
        <f>IFERROR(__xludf.DUMMYFUNCTION("""COMPUTED_VALUE"""),19.0)</f>
        <v>19</v>
      </c>
      <c r="B20" s="12" t="str">
        <f>IFERROR(__xludf.DUMMYFUNCTION("""COMPUTED_VALUE"""),"One Flew Over the Cuckoo's Nest")</f>
        <v>One Flew Over the Cuckoo's Nest</v>
      </c>
      <c r="C20" s="12">
        <f>IFERROR(__xludf.DUMMYFUNCTION("""COMPUTED_VALUE"""),1975.0)</f>
        <v>1975</v>
      </c>
      <c r="D20" s="12" t="str">
        <f>IFERROR(__xludf.DUMMYFUNCTION("""COMPUTED_VALUE"""),"R")</f>
        <v>R</v>
      </c>
      <c r="E20" s="12">
        <f>IFERROR(__xludf.DUMMYFUNCTION("""COMPUTED_VALUE"""),133.0)</f>
        <v>133</v>
      </c>
      <c r="F20" s="12" t="str">
        <f>IFERROR(__xludf.DUMMYFUNCTION("""COMPUTED_VALUE"""),"Drama")</f>
        <v>Drama</v>
      </c>
      <c r="G20" s="12">
        <f>IFERROR(__xludf.DUMMYFUNCTION("""COMPUTED_VALUE"""),8.7)</f>
        <v>8.7</v>
      </c>
      <c r="H20" s="13" t="str">
        <f t="shared" si="1"/>
        <v>Old Movie</v>
      </c>
      <c r="I20" s="13" t="str">
        <f t="shared" si="2"/>
        <v>Long</v>
      </c>
      <c r="J20" s="14" t="str">
        <f t="shared" si="3"/>
        <v>2 Hrs. 13 Mins</v>
      </c>
      <c r="K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2">
        <f>IFERROR(__xludf.DUMMYFUNCTION("""COMPUTED_VALUE"""),20.0)</f>
        <v>20</v>
      </c>
      <c r="B21" s="12" t="str">
        <f>IFERROR(__xludf.DUMMYFUNCTION("""COMPUTED_VALUE"""),"Parasite")</f>
        <v>Parasite</v>
      </c>
      <c r="C21" s="12">
        <f>IFERROR(__xludf.DUMMYFUNCTION("""COMPUTED_VALUE"""),2019.0)</f>
        <v>2019</v>
      </c>
      <c r="D21" s="12" t="str">
        <f>IFERROR(__xludf.DUMMYFUNCTION("""COMPUTED_VALUE"""),"R")</f>
        <v>R</v>
      </c>
      <c r="E21" s="12">
        <f>IFERROR(__xludf.DUMMYFUNCTION("""COMPUTED_VALUE"""),132.0)</f>
        <v>132</v>
      </c>
      <c r="F21" s="12" t="str">
        <f>IFERROR(__xludf.DUMMYFUNCTION("""COMPUTED_VALUE"""),"Comedy, Drama, Thriller")</f>
        <v>Comedy, Drama, Thriller</v>
      </c>
      <c r="G21" s="12">
        <f>IFERROR(__xludf.DUMMYFUNCTION("""COMPUTED_VALUE"""),8.6)</f>
        <v>8.6</v>
      </c>
      <c r="H21" s="13" t="str">
        <f t="shared" si="1"/>
        <v>New Movie</v>
      </c>
      <c r="I21" s="13" t="str">
        <f t="shared" si="2"/>
        <v>Long</v>
      </c>
      <c r="J21" s="14" t="str">
        <f t="shared" si="3"/>
        <v>2 Hrs. 12 Mins</v>
      </c>
      <c r="K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12">
        <f>IFERROR(__xludf.DUMMYFUNCTION("""COMPUTED_VALUE"""),21.0)</f>
        <v>21</v>
      </c>
      <c r="B22" s="12" t="str">
        <f>IFERROR(__xludf.DUMMYFUNCTION("""COMPUTED_VALUE"""),"Interstellar")</f>
        <v>Interstellar</v>
      </c>
      <c r="C22" s="12">
        <f>IFERROR(__xludf.DUMMYFUNCTION("""COMPUTED_VALUE"""),2014.0)</f>
        <v>2014</v>
      </c>
      <c r="D22" s="12" t="str">
        <f>IFERROR(__xludf.DUMMYFUNCTION("""COMPUTED_VALUE"""),"PG-13")</f>
        <v>PG-13</v>
      </c>
      <c r="E22" s="12">
        <f>IFERROR(__xludf.DUMMYFUNCTION("""COMPUTED_VALUE"""),169.0)</f>
        <v>169</v>
      </c>
      <c r="F22" s="12" t="str">
        <f>IFERROR(__xludf.DUMMYFUNCTION("""COMPUTED_VALUE"""),"Adventure, Drama, Sci-Fi")</f>
        <v>Adventure, Drama, Sci-Fi</v>
      </c>
      <c r="G22" s="12">
        <f>IFERROR(__xludf.DUMMYFUNCTION("""COMPUTED_VALUE"""),8.6)</f>
        <v>8.6</v>
      </c>
      <c r="H22" s="13" t="str">
        <f t="shared" si="1"/>
        <v>New Movie</v>
      </c>
      <c r="I22" s="13" t="str">
        <f t="shared" si="2"/>
        <v>Long</v>
      </c>
      <c r="J22" s="14" t="str">
        <f t="shared" si="3"/>
        <v>2 Hrs. 49 Mins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2">
        <f>IFERROR(__xludf.DUMMYFUNCTION("""COMPUTED_VALUE"""),22.0)</f>
        <v>22</v>
      </c>
      <c r="B23" s="12" t="str">
        <f>IFERROR(__xludf.DUMMYFUNCTION("""COMPUTED_VALUE"""),"City of God")</f>
        <v>City of God</v>
      </c>
      <c r="C23" s="12">
        <f>IFERROR(__xludf.DUMMYFUNCTION("""COMPUTED_VALUE"""),2002.0)</f>
        <v>2002</v>
      </c>
      <c r="D23" s="12" t="str">
        <f>IFERROR(__xludf.DUMMYFUNCTION("""COMPUTED_VALUE"""),"R")</f>
        <v>R</v>
      </c>
      <c r="E23" s="12">
        <f>IFERROR(__xludf.DUMMYFUNCTION("""COMPUTED_VALUE"""),130.0)</f>
        <v>130</v>
      </c>
      <c r="F23" s="12" t="str">
        <f>IFERROR(__xludf.DUMMYFUNCTION("""COMPUTED_VALUE"""),"Crime, Drama")</f>
        <v>Crime, Drama</v>
      </c>
      <c r="G23" s="12">
        <f>IFERROR(__xludf.DUMMYFUNCTION("""COMPUTED_VALUE"""),8.6)</f>
        <v>8.6</v>
      </c>
      <c r="H23" s="13" t="str">
        <f t="shared" si="1"/>
        <v>New Movie</v>
      </c>
      <c r="I23" s="13" t="str">
        <f t="shared" si="2"/>
        <v>Long</v>
      </c>
      <c r="J23" s="14" t="str">
        <f t="shared" si="3"/>
        <v>2 Hrs. 10 Mins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12">
        <f>IFERROR(__xludf.DUMMYFUNCTION("""COMPUTED_VALUE"""),23.0)</f>
        <v>23</v>
      </c>
      <c r="B24" s="12" t="str">
        <f>IFERROR(__xludf.DUMMYFUNCTION("""COMPUTED_VALUE"""),"Spirited Away")</f>
        <v>Spirited Away</v>
      </c>
      <c r="C24" s="12">
        <f>IFERROR(__xludf.DUMMYFUNCTION("""COMPUTED_VALUE"""),2001.0)</f>
        <v>2001</v>
      </c>
      <c r="D24" s="12" t="str">
        <f>IFERROR(__xludf.DUMMYFUNCTION("""COMPUTED_VALUE"""),"PG")</f>
        <v>PG</v>
      </c>
      <c r="E24" s="12">
        <f>IFERROR(__xludf.DUMMYFUNCTION("""COMPUTED_VALUE"""),125.0)</f>
        <v>125</v>
      </c>
      <c r="F24" s="12" t="str">
        <f>IFERROR(__xludf.DUMMYFUNCTION("""COMPUTED_VALUE"""),"Animation, Adventure, Family")</f>
        <v>Animation, Adventure, Family</v>
      </c>
      <c r="G24" s="12">
        <f>IFERROR(__xludf.DUMMYFUNCTION("""COMPUTED_VALUE"""),8.6)</f>
        <v>8.6</v>
      </c>
      <c r="H24" s="13" t="str">
        <f t="shared" si="1"/>
        <v>New Movie</v>
      </c>
      <c r="I24" s="13" t="str">
        <f t="shared" si="2"/>
        <v>Long</v>
      </c>
      <c r="J24" s="14" t="str">
        <f t="shared" si="3"/>
        <v>2 Hrs. 5 Mins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2">
        <f>IFERROR(__xludf.DUMMYFUNCTION("""COMPUTED_VALUE"""),24.0)</f>
        <v>24</v>
      </c>
      <c r="B25" s="12" t="str">
        <f>IFERROR(__xludf.DUMMYFUNCTION("""COMPUTED_VALUE"""),"Saving Private Ryan")</f>
        <v>Saving Private Ryan</v>
      </c>
      <c r="C25" s="12">
        <f>IFERROR(__xludf.DUMMYFUNCTION("""COMPUTED_VALUE"""),1998.0)</f>
        <v>1998</v>
      </c>
      <c r="D25" s="12" t="str">
        <f>IFERROR(__xludf.DUMMYFUNCTION("""COMPUTED_VALUE"""),"R")</f>
        <v>R</v>
      </c>
      <c r="E25" s="12">
        <f>IFERROR(__xludf.DUMMYFUNCTION("""COMPUTED_VALUE"""),169.0)</f>
        <v>169</v>
      </c>
      <c r="F25" s="12" t="str">
        <f>IFERROR(__xludf.DUMMYFUNCTION("""COMPUTED_VALUE"""),"Drama, War")</f>
        <v>Drama, War</v>
      </c>
      <c r="G25" s="12">
        <f>IFERROR(__xludf.DUMMYFUNCTION("""COMPUTED_VALUE"""),8.6)</f>
        <v>8.6</v>
      </c>
      <c r="H25" s="13" t="str">
        <f t="shared" si="1"/>
        <v>Old Movie</v>
      </c>
      <c r="I25" s="13" t="str">
        <f t="shared" si="2"/>
        <v>Long</v>
      </c>
      <c r="J25" s="14" t="str">
        <f t="shared" si="3"/>
        <v>2 Hrs. 49 Mins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2">
        <f>IFERROR(__xludf.DUMMYFUNCTION("""COMPUTED_VALUE"""),25.0)</f>
        <v>25</v>
      </c>
      <c r="B26" s="12" t="str">
        <f>IFERROR(__xludf.DUMMYFUNCTION("""COMPUTED_VALUE"""),"The Green Mile")</f>
        <v>The Green Mile</v>
      </c>
      <c r="C26" s="12">
        <f>IFERROR(__xludf.DUMMYFUNCTION("""COMPUTED_VALUE"""),1999.0)</f>
        <v>1999</v>
      </c>
      <c r="D26" s="12" t="str">
        <f>IFERROR(__xludf.DUMMYFUNCTION("""COMPUTED_VALUE"""),"R")</f>
        <v>R</v>
      </c>
      <c r="E26" s="12">
        <f>IFERROR(__xludf.DUMMYFUNCTION("""COMPUTED_VALUE"""),189.0)</f>
        <v>189</v>
      </c>
      <c r="F26" s="12" t="str">
        <f>IFERROR(__xludf.DUMMYFUNCTION("""COMPUTED_VALUE"""),"Crime, Drama, Fantasy")</f>
        <v>Crime, Drama, Fantasy</v>
      </c>
      <c r="G26" s="12">
        <f>IFERROR(__xludf.DUMMYFUNCTION("""COMPUTED_VALUE"""),8.6)</f>
        <v>8.6</v>
      </c>
      <c r="H26" s="13" t="str">
        <f t="shared" si="1"/>
        <v>Old Movie</v>
      </c>
      <c r="I26" s="13" t="str">
        <f t="shared" si="2"/>
        <v>Long</v>
      </c>
      <c r="J26" s="14" t="str">
        <f t="shared" si="3"/>
        <v>3 Hrs. 9 Mins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2">
        <f>IFERROR(__xludf.DUMMYFUNCTION("""COMPUTED_VALUE"""),26.0)</f>
        <v>26</v>
      </c>
      <c r="B27" s="12" t="str">
        <f>IFERROR(__xludf.DUMMYFUNCTION("""COMPUTED_VALUE"""),"Life Is Beautiful")</f>
        <v>Life Is Beautiful</v>
      </c>
      <c r="C27" s="12">
        <f>IFERROR(__xludf.DUMMYFUNCTION("""COMPUTED_VALUE"""),1997.0)</f>
        <v>1997</v>
      </c>
      <c r="D27" s="12" t="str">
        <f>IFERROR(__xludf.DUMMYFUNCTION("""COMPUTED_VALUE"""),"PG-13")</f>
        <v>PG-13</v>
      </c>
      <c r="E27" s="12">
        <f>IFERROR(__xludf.DUMMYFUNCTION("""COMPUTED_VALUE"""),116.0)</f>
        <v>116</v>
      </c>
      <c r="F27" s="12" t="str">
        <f>IFERROR(__xludf.DUMMYFUNCTION("""COMPUTED_VALUE"""),"Comedy, Drama, Romance")</f>
        <v>Comedy, Drama, Romance</v>
      </c>
      <c r="G27" s="12">
        <f>IFERROR(__xludf.DUMMYFUNCTION("""COMPUTED_VALUE"""),8.6)</f>
        <v>8.6</v>
      </c>
      <c r="H27" s="13" t="str">
        <f t="shared" si="1"/>
        <v>Old Movie</v>
      </c>
      <c r="I27" s="13" t="str">
        <f t="shared" si="2"/>
        <v>Normal</v>
      </c>
      <c r="J27" s="14" t="str">
        <f t="shared" si="3"/>
        <v>1 Hrs. 56 Mins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12">
        <f>IFERROR(__xludf.DUMMYFUNCTION("""COMPUTED_VALUE"""),27.0)</f>
        <v>27</v>
      </c>
      <c r="B28" s="12" t="str">
        <f>IFERROR(__xludf.DUMMYFUNCTION("""COMPUTED_VALUE"""),"Se7en")</f>
        <v>Se7en</v>
      </c>
      <c r="C28" s="12">
        <f>IFERROR(__xludf.DUMMYFUNCTION("""COMPUTED_VALUE"""),1995.0)</f>
        <v>1995</v>
      </c>
      <c r="D28" s="12" t="str">
        <f>IFERROR(__xludf.DUMMYFUNCTION("""COMPUTED_VALUE"""),"R")</f>
        <v>R</v>
      </c>
      <c r="E28" s="12">
        <f>IFERROR(__xludf.DUMMYFUNCTION("""COMPUTED_VALUE"""),127.0)</f>
        <v>127</v>
      </c>
      <c r="F28" s="12" t="str">
        <f>IFERROR(__xludf.DUMMYFUNCTION("""COMPUTED_VALUE"""),"Crime, Drama, Mystery")</f>
        <v>Crime, Drama, Mystery</v>
      </c>
      <c r="G28" s="12">
        <f>IFERROR(__xludf.DUMMYFUNCTION("""COMPUTED_VALUE"""),8.6)</f>
        <v>8.6</v>
      </c>
      <c r="H28" s="13" t="str">
        <f t="shared" si="1"/>
        <v>Old Movie</v>
      </c>
      <c r="I28" s="13" t="str">
        <f t="shared" si="2"/>
        <v>Long</v>
      </c>
      <c r="J28" s="14" t="str">
        <f t="shared" si="3"/>
        <v>2 Hrs. 7 Mins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2">
        <f>IFERROR(__xludf.DUMMYFUNCTION("""COMPUTED_VALUE"""),28.0)</f>
        <v>28</v>
      </c>
      <c r="B29" s="12" t="str">
        <f>IFERROR(__xludf.DUMMYFUNCTION("""COMPUTED_VALUE"""),"The Silence of the Lambs")</f>
        <v>The Silence of the Lambs</v>
      </c>
      <c r="C29" s="12">
        <f>IFERROR(__xludf.DUMMYFUNCTION("""COMPUTED_VALUE"""),1991.0)</f>
        <v>1991</v>
      </c>
      <c r="D29" s="12" t="str">
        <f>IFERROR(__xludf.DUMMYFUNCTION("""COMPUTED_VALUE"""),"R")</f>
        <v>R</v>
      </c>
      <c r="E29" s="12">
        <f>IFERROR(__xludf.DUMMYFUNCTION("""COMPUTED_VALUE"""),118.0)</f>
        <v>118</v>
      </c>
      <c r="F29" s="12" t="str">
        <f>IFERROR(__xludf.DUMMYFUNCTION("""COMPUTED_VALUE"""),"Crime, Drama, Thriller")</f>
        <v>Crime, Drama, Thriller</v>
      </c>
      <c r="G29" s="12">
        <f>IFERROR(__xludf.DUMMYFUNCTION("""COMPUTED_VALUE"""),8.6)</f>
        <v>8.6</v>
      </c>
      <c r="H29" s="13" t="str">
        <f t="shared" si="1"/>
        <v>Old Movie</v>
      </c>
      <c r="I29" s="13" t="str">
        <f t="shared" si="2"/>
        <v>Normal</v>
      </c>
      <c r="J29" s="14" t="str">
        <f t="shared" si="3"/>
        <v>1 Hrs. 58 Mins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2">
        <f>IFERROR(__xludf.DUMMYFUNCTION("""COMPUTED_VALUE"""),29.0)</f>
        <v>29</v>
      </c>
      <c r="B30" s="12" t="str">
        <f>IFERROR(__xludf.DUMMYFUNCTION("""COMPUTED_VALUE"""),"Star Wars: Episode IV - A New Hope")</f>
        <v>Star Wars: Episode IV - A New Hope</v>
      </c>
      <c r="C30" s="12">
        <f>IFERROR(__xludf.DUMMYFUNCTION("""COMPUTED_VALUE"""),1977.0)</f>
        <v>1977</v>
      </c>
      <c r="D30" s="12" t="str">
        <f>IFERROR(__xludf.DUMMYFUNCTION("""COMPUTED_VALUE"""),"PG")</f>
        <v>PG</v>
      </c>
      <c r="E30" s="12">
        <f>IFERROR(__xludf.DUMMYFUNCTION("""COMPUTED_VALUE"""),121.0)</f>
        <v>121</v>
      </c>
      <c r="F30" s="12" t="str">
        <f>IFERROR(__xludf.DUMMYFUNCTION("""COMPUTED_VALUE"""),"Action, Adventure, Fantasy")</f>
        <v>Action, Adventure, Fantasy</v>
      </c>
      <c r="G30" s="12">
        <f>IFERROR(__xludf.DUMMYFUNCTION("""COMPUTED_VALUE"""),8.6)</f>
        <v>8.6</v>
      </c>
      <c r="H30" s="13" t="str">
        <f t="shared" si="1"/>
        <v>Old Movie</v>
      </c>
      <c r="I30" s="13" t="str">
        <f t="shared" si="2"/>
        <v>Long</v>
      </c>
      <c r="J30" s="14" t="str">
        <f t="shared" si="3"/>
        <v>2 Hrs. 1 Mins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2">
        <f>IFERROR(__xludf.DUMMYFUNCTION("""COMPUTED_VALUE"""),30.0)</f>
        <v>30</v>
      </c>
      <c r="B31" s="12" t="str">
        <f>IFERROR(__xludf.DUMMYFUNCTION("""COMPUTED_VALUE"""),"Harakiri")</f>
        <v>Harakiri</v>
      </c>
      <c r="C31" s="12">
        <f>IFERROR(__xludf.DUMMYFUNCTION("""COMPUTED_VALUE"""),1962.0)</f>
        <v>1962</v>
      </c>
      <c r="D31" s="12" t="str">
        <f>IFERROR(__xludf.DUMMYFUNCTION("""COMPUTED_VALUE"""),"Not Rated")</f>
        <v>Not Rated</v>
      </c>
      <c r="E31" s="12">
        <f>IFERROR(__xludf.DUMMYFUNCTION("""COMPUTED_VALUE"""),133.0)</f>
        <v>133</v>
      </c>
      <c r="F31" s="12" t="str">
        <f>IFERROR(__xludf.DUMMYFUNCTION("""COMPUTED_VALUE"""),"Action, Drama, Mystery")</f>
        <v>Action, Drama, Mystery</v>
      </c>
      <c r="G31" s="12">
        <f>IFERROR(__xludf.DUMMYFUNCTION("""COMPUTED_VALUE"""),8.6)</f>
        <v>8.6</v>
      </c>
      <c r="H31" s="13" t="str">
        <f t="shared" si="1"/>
        <v>Old Movie</v>
      </c>
      <c r="I31" s="13" t="str">
        <f t="shared" si="2"/>
        <v>Long</v>
      </c>
      <c r="J31" s="14" t="str">
        <f t="shared" si="3"/>
        <v>2 Hrs. 13 Mins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2">
        <f>IFERROR(__xludf.DUMMYFUNCTION("""COMPUTED_VALUE"""),31.0)</f>
        <v>31</v>
      </c>
      <c r="B32" s="12" t="str">
        <f>IFERROR(__xludf.DUMMYFUNCTION("""COMPUTED_VALUE"""),"Seven Samurai")</f>
        <v>Seven Samurai</v>
      </c>
      <c r="C32" s="12">
        <f>IFERROR(__xludf.DUMMYFUNCTION("""COMPUTED_VALUE"""),1954.0)</f>
        <v>1954</v>
      </c>
      <c r="D32" s="12" t="str">
        <f>IFERROR(__xludf.DUMMYFUNCTION("""COMPUTED_VALUE"""),"Not Rated")</f>
        <v>Not Rated</v>
      </c>
      <c r="E32" s="12">
        <f>IFERROR(__xludf.DUMMYFUNCTION("""COMPUTED_VALUE"""),207.0)</f>
        <v>207</v>
      </c>
      <c r="F32" s="12" t="str">
        <f>IFERROR(__xludf.DUMMYFUNCTION("""COMPUTED_VALUE"""),"Action, Adventure, Drama")</f>
        <v>Action, Adventure, Drama</v>
      </c>
      <c r="G32" s="12">
        <f>IFERROR(__xludf.DUMMYFUNCTION("""COMPUTED_VALUE"""),8.6)</f>
        <v>8.6</v>
      </c>
      <c r="H32" s="13" t="str">
        <f t="shared" si="1"/>
        <v>Old Movie</v>
      </c>
      <c r="I32" s="13" t="str">
        <f t="shared" si="2"/>
        <v>Long</v>
      </c>
      <c r="J32" s="14" t="str">
        <f t="shared" si="3"/>
        <v>3 Hrs. 27 Mins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2">
        <f>IFERROR(__xludf.DUMMYFUNCTION("""COMPUTED_VALUE"""),32.0)</f>
        <v>32</v>
      </c>
      <c r="B33" s="12" t="str">
        <f>IFERROR(__xludf.DUMMYFUNCTION("""COMPUTED_VALUE"""),"It's a Wonderful Life")</f>
        <v>It's a Wonderful Life</v>
      </c>
      <c r="C33" s="12">
        <f>IFERROR(__xludf.DUMMYFUNCTION("""COMPUTED_VALUE"""),1946.0)</f>
        <v>1946</v>
      </c>
      <c r="D33" s="12" t="str">
        <f>IFERROR(__xludf.DUMMYFUNCTION("""COMPUTED_VALUE"""),"PG")</f>
        <v>PG</v>
      </c>
      <c r="E33" s="12">
        <f>IFERROR(__xludf.DUMMYFUNCTION("""COMPUTED_VALUE"""),130.0)</f>
        <v>130</v>
      </c>
      <c r="F33" s="12" t="str">
        <f>IFERROR(__xludf.DUMMYFUNCTION("""COMPUTED_VALUE"""),"Drama, Family, Fantasy")</f>
        <v>Drama, Family, Fantasy</v>
      </c>
      <c r="G33" s="12">
        <f>IFERROR(__xludf.DUMMYFUNCTION("""COMPUTED_VALUE"""),8.6)</f>
        <v>8.6</v>
      </c>
      <c r="H33" s="13" t="str">
        <f t="shared" si="1"/>
        <v>Old Movie</v>
      </c>
      <c r="I33" s="13" t="str">
        <f t="shared" si="2"/>
        <v>Long</v>
      </c>
      <c r="J33" s="14" t="str">
        <f t="shared" si="3"/>
        <v>2 Hrs. 10 Mins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12">
        <f>IFERROR(__xludf.DUMMYFUNCTION("""COMPUTED_VALUE"""),33.0)</f>
        <v>33</v>
      </c>
      <c r="B34" s="12" t="str">
        <f>IFERROR(__xludf.DUMMYFUNCTION("""COMPUTED_VALUE"""),"Joker")</f>
        <v>Joker</v>
      </c>
      <c r="C34" s="12">
        <f>IFERROR(__xludf.DUMMYFUNCTION("""COMPUTED_VALUE"""),2019.0)</f>
        <v>2019</v>
      </c>
      <c r="D34" s="12" t="str">
        <f>IFERROR(__xludf.DUMMYFUNCTION("""COMPUTED_VALUE"""),"R")</f>
        <v>R</v>
      </c>
      <c r="E34" s="12">
        <f>IFERROR(__xludf.DUMMYFUNCTION("""COMPUTED_VALUE"""),122.0)</f>
        <v>122</v>
      </c>
      <c r="F34" s="12" t="str">
        <f>IFERROR(__xludf.DUMMYFUNCTION("""COMPUTED_VALUE"""),"Crime, Drama, Thriller")</f>
        <v>Crime, Drama, Thriller</v>
      </c>
      <c r="G34" s="12">
        <f>IFERROR(__xludf.DUMMYFUNCTION("""COMPUTED_VALUE"""),8.5)</f>
        <v>8.5</v>
      </c>
      <c r="H34" s="13" t="str">
        <f t="shared" si="1"/>
        <v>New Movie</v>
      </c>
      <c r="I34" s="13" t="str">
        <f t="shared" si="2"/>
        <v>Long</v>
      </c>
      <c r="J34" s="14" t="str">
        <f t="shared" si="3"/>
        <v>2 Hrs. 2 Mins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2">
        <f>IFERROR(__xludf.DUMMYFUNCTION("""COMPUTED_VALUE"""),34.0)</f>
        <v>34</v>
      </c>
      <c r="B35" s="12" t="str">
        <f>IFERROR(__xludf.DUMMYFUNCTION("""COMPUTED_VALUE"""),"Whiplash")</f>
        <v>Whiplash</v>
      </c>
      <c r="C35" s="12">
        <f>IFERROR(__xludf.DUMMYFUNCTION("""COMPUTED_VALUE"""),2014.0)</f>
        <v>2014</v>
      </c>
      <c r="D35" s="12" t="str">
        <f>IFERROR(__xludf.DUMMYFUNCTION("""COMPUTED_VALUE"""),"R")</f>
        <v>R</v>
      </c>
      <c r="E35" s="12">
        <f>IFERROR(__xludf.DUMMYFUNCTION("""COMPUTED_VALUE"""),106.0)</f>
        <v>106</v>
      </c>
      <c r="F35" s="12" t="str">
        <f>IFERROR(__xludf.DUMMYFUNCTION("""COMPUTED_VALUE"""),"Drama, Music")</f>
        <v>Drama, Music</v>
      </c>
      <c r="G35" s="12">
        <f>IFERROR(__xludf.DUMMYFUNCTION("""COMPUTED_VALUE"""),8.5)</f>
        <v>8.5</v>
      </c>
      <c r="H35" s="13" t="str">
        <f t="shared" si="1"/>
        <v>New Movie</v>
      </c>
      <c r="I35" s="13" t="str">
        <f t="shared" si="2"/>
        <v>Normal</v>
      </c>
      <c r="J35" s="14" t="str">
        <f t="shared" si="3"/>
        <v>1 Hrs. 46 Mins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12">
        <f>IFERROR(__xludf.DUMMYFUNCTION("""COMPUTED_VALUE"""),35.0)</f>
        <v>35</v>
      </c>
      <c r="B36" s="12" t="str">
        <f>IFERROR(__xludf.DUMMYFUNCTION("""COMPUTED_VALUE"""),"The Intouchables")</f>
        <v>The Intouchables</v>
      </c>
      <c r="C36" s="12">
        <f>IFERROR(__xludf.DUMMYFUNCTION("""COMPUTED_VALUE"""),2011.0)</f>
        <v>2011</v>
      </c>
      <c r="D36" s="12" t="str">
        <f>IFERROR(__xludf.DUMMYFUNCTION("""COMPUTED_VALUE"""),"R")</f>
        <v>R</v>
      </c>
      <c r="E36" s="12">
        <f>IFERROR(__xludf.DUMMYFUNCTION("""COMPUTED_VALUE"""),112.0)</f>
        <v>112</v>
      </c>
      <c r="F36" s="12" t="str">
        <f>IFERROR(__xludf.DUMMYFUNCTION("""COMPUTED_VALUE"""),"Biography, Comedy, Drama")</f>
        <v>Biography, Comedy, Drama</v>
      </c>
      <c r="G36" s="12">
        <f>IFERROR(__xludf.DUMMYFUNCTION("""COMPUTED_VALUE"""),8.5)</f>
        <v>8.5</v>
      </c>
      <c r="H36" s="13" t="str">
        <f t="shared" si="1"/>
        <v>New Movie</v>
      </c>
      <c r="I36" s="13" t="str">
        <f t="shared" si="2"/>
        <v>Normal</v>
      </c>
      <c r="J36" s="14" t="str">
        <f t="shared" si="3"/>
        <v>1 Hrs. 52 Mins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2">
        <f>IFERROR(__xludf.DUMMYFUNCTION("""COMPUTED_VALUE"""),36.0)</f>
        <v>36</v>
      </c>
      <c r="B37" s="12" t="str">
        <f>IFERROR(__xludf.DUMMYFUNCTION("""COMPUTED_VALUE"""),"The Prestige")</f>
        <v>The Prestige</v>
      </c>
      <c r="C37" s="12">
        <f>IFERROR(__xludf.DUMMYFUNCTION("""COMPUTED_VALUE"""),2006.0)</f>
        <v>2006</v>
      </c>
      <c r="D37" s="12" t="str">
        <f>IFERROR(__xludf.DUMMYFUNCTION("""COMPUTED_VALUE"""),"PG-13")</f>
        <v>PG-13</v>
      </c>
      <c r="E37" s="12">
        <f>IFERROR(__xludf.DUMMYFUNCTION("""COMPUTED_VALUE"""),130.0)</f>
        <v>130</v>
      </c>
      <c r="F37" s="12" t="str">
        <f>IFERROR(__xludf.DUMMYFUNCTION("""COMPUTED_VALUE"""),"Drama, Mystery, Sci-Fi")</f>
        <v>Drama, Mystery, Sci-Fi</v>
      </c>
      <c r="G37" s="12">
        <f>IFERROR(__xludf.DUMMYFUNCTION("""COMPUTED_VALUE"""),8.5)</f>
        <v>8.5</v>
      </c>
      <c r="H37" s="13" t="str">
        <f t="shared" si="1"/>
        <v>New Movie</v>
      </c>
      <c r="I37" s="13" t="str">
        <f t="shared" si="2"/>
        <v>Long</v>
      </c>
      <c r="J37" s="14" t="str">
        <f t="shared" si="3"/>
        <v>2 Hrs. 10 Mins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12">
        <f>IFERROR(__xludf.DUMMYFUNCTION("""COMPUTED_VALUE"""),37.0)</f>
        <v>37</v>
      </c>
      <c r="B38" s="12" t="str">
        <f>IFERROR(__xludf.DUMMYFUNCTION("""COMPUTED_VALUE"""),"The Departed")</f>
        <v>The Departed</v>
      </c>
      <c r="C38" s="12">
        <f>IFERROR(__xludf.DUMMYFUNCTION("""COMPUTED_VALUE"""),2006.0)</f>
        <v>2006</v>
      </c>
      <c r="D38" s="12" t="str">
        <f>IFERROR(__xludf.DUMMYFUNCTION("""COMPUTED_VALUE"""),"R")</f>
        <v>R</v>
      </c>
      <c r="E38" s="12">
        <f>IFERROR(__xludf.DUMMYFUNCTION("""COMPUTED_VALUE"""),151.0)</f>
        <v>151</v>
      </c>
      <c r="F38" s="12" t="str">
        <f>IFERROR(__xludf.DUMMYFUNCTION("""COMPUTED_VALUE"""),"Crime, Drama, Thriller")</f>
        <v>Crime, Drama, Thriller</v>
      </c>
      <c r="G38" s="12">
        <f>IFERROR(__xludf.DUMMYFUNCTION("""COMPUTED_VALUE"""),8.5)</f>
        <v>8.5</v>
      </c>
      <c r="H38" s="13" t="str">
        <f t="shared" si="1"/>
        <v>New Movie</v>
      </c>
      <c r="I38" s="13" t="str">
        <f t="shared" si="2"/>
        <v>Long</v>
      </c>
      <c r="J38" s="14" t="str">
        <f t="shared" si="3"/>
        <v>2 Hrs. 31 Mins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12">
        <f>IFERROR(__xludf.DUMMYFUNCTION("""COMPUTED_VALUE"""),38.0)</f>
        <v>38</v>
      </c>
      <c r="B39" s="12" t="str">
        <f>IFERROR(__xludf.DUMMYFUNCTION("""COMPUTED_VALUE"""),"The Pianist")</f>
        <v>The Pianist</v>
      </c>
      <c r="C39" s="12">
        <f>IFERROR(__xludf.DUMMYFUNCTION("""COMPUTED_VALUE"""),2002.0)</f>
        <v>2002</v>
      </c>
      <c r="D39" s="12" t="str">
        <f>IFERROR(__xludf.DUMMYFUNCTION("""COMPUTED_VALUE"""),"R")</f>
        <v>R</v>
      </c>
      <c r="E39" s="12">
        <f>IFERROR(__xludf.DUMMYFUNCTION("""COMPUTED_VALUE"""),150.0)</f>
        <v>150</v>
      </c>
      <c r="F39" s="12" t="str">
        <f>IFERROR(__xludf.DUMMYFUNCTION("""COMPUTED_VALUE"""),"Biography, Drama, Music")</f>
        <v>Biography, Drama, Music</v>
      </c>
      <c r="G39" s="12">
        <f>IFERROR(__xludf.DUMMYFUNCTION("""COMPUTED_VALUE"""),8.5)</f>
        <v>8.5</v>
      </c>
      <c r="H39" s="13" t="str">
        <f t="shared" si="1"/>
        <v>New Movie</v>
      </c>
      <c r="I39" s="13" t="str">
        <f t="shared" si="2"/>
        <v>Long</v>
      </c>
      <c r="J39" s="14" t="str">
        <f t="shared" si="3"/>
        <v>2 Hrs. 30 Mins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12">
        <f>IFERROR(__xludf.DUMMYFUNCTION("""COMPUTED_VALUE"""),39.0)</f>
        <v>39</v>
      </c>
      <c r="B40" s="12" t="str">
        <f>IFERROR(__xludf.DUMMYFUNCTION("""COMPUTED_VALUE"""),"Gladiator")</f>
        <v>Gladiator</v>
      </c>
      <c r="C40" s="12">
        <f>IFERROR(__xludf.DUMMYFUNCTION("""COMPUTED_VALUE"""),2000.0)</f>
        <v>2000</v>
      </c>
      <c r="D40" s="12" t="str">
        <f>IFERROR(__xludf.DUMMYFUNCTION("""COMPUTED_VALUE"""),"R")</f>
        <v>R</v>
      </c>
      <c r="E40" s="12">
        <f>IFERROR(__xludf.DUMMYFUNCTION("""COMPUTED_VALUE"""),155.0)</f>
        <v>155</v>
      </c>
      <c r="F40" s="12" t="str">
        <f>IFERROR(__xludf.DUMMYFUNCTION("""COMPUTED_VALUE"""),"Action, Adventure, Drama")</f>
        <v>Action, Adventure, Drama</v>
      </c>
      <c r="G40" s="12">
        <f>IFERROR(__xludf.DUMMYFUNCTION("""COMPUTED_VALUE"""),8.5)</f>
        <v>8.5</v>
      </c>
      <c r="H40" s="13" t="str">
        <f t="shared" si="1"/>
        <v>New Movie</v>
      </c>
      <c r="I40" s="13" t="str">
        <f t="shared" si="2"/>
        <v>Long</v>
      </c>
      <c r="J40" s="14" t="str">
        <f t="shared" si="3"/>
        <v>2 Hrs. 35 Mins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12">
        <f>IFERROR(__xludf.DUMMYFUNCTION("""COMPUTED_VALUE"""),40.0)</f>
        <v>40</v>
      </c>
      <c r="B41" s="12" t="str">
        <f>IFERROR(__xludf.DUMMYFUNCTION("""COMPUTED_VALUE"""),"American History X")</f>
        <v>American History X</v>
      </c>
      <c r="C41" s="12">
        <f>IFERROR(__xludf.DUMMYFUNCTION("""COMPUTED_VALUE"""),1998.0)</f>
        <v>1998</v>
      </c>
      <c r="D41" s="12" t="str">
        <f>IFERROR(__xludf.DUMMYFUNCTION("""COMPUTED_VALUE"""),"R")</f>
        <v>R</v>
      </c>
      <c r="E41" s="12">
        <f>IFERROR(__xludf.DUMMYFUNCTION("""COMPUTED_VALUE"""),119.0)</f>
        <v>119</v>
      </c>
      <c r="F41" s="12" t="str">
        <f>IFERROR(__xludf.DUMMYFUNCTION("""COMPUTED_VALUE"""),"Drama")</f>
        <v>Drama</v>
      </c>
      <c r="G41" s="12">
        <f>IFERROR(__xludf.DUMMYFUNCTION("""COMPUTED_VALUE"""),8.5)</f>
        <v>8.5</v>
      </c>
      <c r="H41" s="13" t="str">
        <f t="shared" si="1"/>
        <v>Old Movie</v>
      </c>
      <c r="I41" s="13" t="str">
        <f t="shared" si="2"/>
        <v>Normal</v>
      </c>
      <c r="J41" s="14" t="str">
        <f t="shared" si="3"/>
        <v>1 Hrs. 59 Mins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12">
        <f>IFERROR(__xludf.DUMMYFUNCTION("""COMPUTED_VALUE"""),41.0)</f>
        <v>41</v>
      </c>
      <c r="B42" s="12" t="str">
        <f>IFERROR(__xludf.DUMMYFUNCTION("""COMPUTED_VALUE"""),"The Usual Suspects")</f>
        <v>The Usual Suspects</v>
      </c>
      <c r="C42" s="12">
        <f>IFERROR(__xludf.DUMMYFUNCTION("""COMPUTED_VALUE"""),1995.0)</f>
        <v>1995</v>
      </c>
      <c r="D42" s="12" t="str">
        <f>IFERROR(__xludf.DUMMYFUNCTION("""COMPUTED_VALUE"""),"R")</f>
        <v>R</v>
      </c>
      <c r="E42" s="12">
        <f>IFERROR(__xludf.DUMMYFUNCTION("""COMPUTED_VALUE"""),106.0)</f>
        <v>106</v>
      </c>
      <c r="F42" s="12" t="str">
        <f>IFERROR(__xludf.DUMMYFUNCTION("""COMPUTED_VALUE"""),"Crime, Mystery, Thriller")</f>
        <v>Crime, Mystery, Thriller</v>
      </c>
      <c r="G42" s="12">
        <f>IFERROR(__xludf.DUMMYFUNCTION("""COMPUTED_VALUE"""),8.5)</f>
        <v>8.5</v>
      </c>
      <c r="H42" s="13" t="str">
        <f t="shared" si="1"/>
        <v>Old Movie</v>
      </c>
      <c r="I42" s="13" t="str">
        <f t="shared" si="2"/>
        <v>Normal</v>
      </c>
      <c r="J42" s="14" t="str">
        <f t="shared" si="3"/>
        <v>1 Hrs. 46 Mins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2">
        <f>IFERROR(__xludf.DUMMYFUNCTION("""COMPUTED_VALUE"""),42.0)</f>
        <v>42</v>
      </c>
      <c r="B43" s="12" t="str">
        <f>IFERROR(__xludf.DUMMYFUNCTION("""COMPUTED_VALUE"""),"Léon: The Professional")</f>
        <v>Léon: The Professional</v>
      </c>
      <c r="C43" s="12">
        <f>IFERROR(__xludf.DUMMYFUNCTION("""COMPUTED_VALUE"""),1994.0)</f>
        <v>1994</v>
      </c>
      <c r="D43" s="12" t="str">
        <f>IFERROR(__xludf.DUMMYFUNCTION("""COMPUTED_VALUE"""),"R")</f>
        <v>R</v>
      </c>
      <c r="E43" s="12">
        <f>IFERROR(__xludf.DUMMYFUNCTION("""COMPUTED_VALUE"""),110.0)</f>
        <v>110</v>
      </c>
      <c r="F43" s="12" t="str">
        <f>IFERROR(__xludf.DUMMYFUNCTION("""COMPUTED_VALUE"""),"Action, Crime, Drama")</f>
        <v>Action, Crime, Drama</v>
      </c>
      <c r="G43" s="12">
        <f>IFERROR(__xludf.DUMMYFUNCTION("""COMPUTED_VALUE"""),8.5)</f>
        <v>8.5</v>
      </c>
      <c r="H43" s="13" t="str">
        <f t="shared" si="1"/>
        <v>Old Movie</v>
      </c>
      <c r="I43" s="13" t="str">
        <f t="shared" si="2"/>
        <v>Normal</v>
      </c>
      <c r="J43" s="14" t="str">
        <f t="shared" si="3"/>
        <v>1 Hrs. 50 Mins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12">
        <f>IFERROR(__xludf.DUMMYFUNCTION("""COMPUTED_VALUE"""),43.0)</f>
        <v>43</v>
      </c>
      <c r="B44" s="12" t="str">
        <f>IFERROR(__xludf.DUMMYFUNCTION("""COMPUTED_VALUE"""),"The Lion King")</f>
        <v>The Lion King</v>
      </c>
      <c r="C44" s="12">
        <f>IFERROR(__xludf.DUMMYFUNCTION("""COMPUTED_VALUE"""),1994.0)</f>
        <v>1994</v>
      </c>
      <c r="D44" s="12" t="str">
        <f>IFERROR(__xludf.DUMMYFUNCTION("""COMPUTED_VALUE"""),"G")</f>
        <v>G</v>
      </c>
      <c r="E44" s="12">
        <f>IFERROR(__xludf.DUMMYFUNCTION("""COMPUTED_VALUE"""),88.0)</f>
        <v>88</v>
      </c>
      <c r="F44" s="12" t="str">
        <f>IFERROR(__xludf.DUMMYFUNCTION("""COMPUTED_VALUE"""),"Animation, Adventure, Drama")</f>
        <v>Animation, Adventure, Drama</v>
      </c>
      <c r="G44" s="12">
        <f>IFERROR(__xludf.DUMMYFUNCTION("""COMPUTED_VALUE"""),8.5)</f>
        <v>8.5</v>
      </c>
      <c r="H44" s="13" t="str">
        <f t="shared" si="1"/>
        <v>Old Movie</v>
      </c>
      <c r="I44" s="13" t="str">
        <f t="shared" si="2"/>
        <v>Short</v>
      </c>
      <c r="J44" s="14" t="str">
        <f t="shared" si="3"/>
        <v>1 Hrs. 28 Mins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12">
        <f>IFERROR(__xludf.DUMMYFUNCTION("""COMPUTED_VALUE"""),44.0)</f>
        <v>44</v>
      </c>
      <c r="B45" s="12" t="str">
        <f>IFERROR(__xludf.DUMMYFUNCTION("""COMPUTED_VALUE"""),"Terminator 2: Judgment Day")</f>
        <v>Terminator 2: Judgment Day</v>
      </c>
      <c r="C45" s="12">
        <f>IFERROR(__xludf.DUMMYFUNCTION("""COMPUTED_VALUE"""),1991.0)</f>
        <v>1991</v>
      </c>
      <c r="D45" s="12" t="str">
        <f>IFERROR(__xludf.DUMMYFUNCTION("""COMPUTED_VALUE"""),"R")</f>
        <v>R</v>
      </c>
      <c r="E45" s="12">
        <f>IFERROR(__xludf.DUMMYFUNCTION("""COMPUTED_VALUE"""),137.0)</f>
        <v>137</v>
      </c>
      <c r="F45" s="12" t="str">
        <f>IFERROR(__xludf.DUMMYFUNCTION("""COMPUTED_VALUE"""),"Action, Sci-Fi")</f>
        <v>Action, Sci-Fi</v>
      </c>
      <c r="G45" s="12">
        <f>IFERROR(__xludf.DUMMYFUNCTION("""COMPUTED_VALUE"""),8.5)</f>
        <v>8.5</v>
      </c>
      <c r="H45" s="13" t="str">
        <f t="shared" si="1"/>
        <v>Old Movie</v>
      </c>
      <c r="I45" s="13" t="str">
        <f t="shared" si="2"/>
        <v>Long</v>
      </c>
      <c r="J45" s="14" t="str">
        <f t="shared" si="3"/>
        <v>2 Hrs. 17 Mins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12">
        <f>IFERROR(__xludf.DUMMYFUNCTION("""COMPUTED_VALUE"""),45.0)</f>
        <v>45</v>
      </c>
      <c r="B46" s="12" t="str">
        <f>IFERROR(__xludf.DUMMYFUNCTION("""COMPUTED_VALUE"""),"Cinema Paradiso")</f>
        <v>Cinema Paradiso</v>
      </c>
      <c r="C46" s="12">
        <f>IFERROR(__xludf.DUMMYFUNCTION("""COMPUTED_VALUE"""),1988.0)</f>
        <v>1988</v>
      </c>
      <c r="D46" s="12" t="str">
        <f>IFERROR(__xludf.DUMMYFUNCTION("""COMPUTED_VALUE"""),"R")</f>
        <v>R</v>
      </c>
      <c r="E46" s="12">
        <f>IFERROR(__xludf.DUMMYFUNCTION("""COMPUTED_VALUE"""),155.0)</f>
        <v>155</v>
      </c>
      <c r="F46" s="12" t="str">
        <f>IFERROR(__xludf.DUMMYFUNCTION("""COMPUTED_VALUE"""),"Drama")</f>
        <v>Drama</v>
      </c>
      <c r="G46" s="12">
        <f>IFERROR(__xludf.DUMMYFUNCTION("""COMPUTED_VALUE"""),8.5)</f>
        <v>8.5</v>
      </c>
      <c r="H46" s="13" t="str">
        <f t="shared" si="1"/>
        <v>Old Movie</v>
      </c>
      <c r="I46" s="13" t="str">
        <f t="shared" si="2"/>
        <v>Long</v>
      </c>
      <c r="J46" s="14" t="str">
        <f t="shared" si="3"/>
        <v>2 Hrs. 35 Mins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12">
        <f>IFERROR(__xludf.DUMMYFUNCTION("""COMPUTED_VALUE"""),46.0)</f>
        <v>46</v>
      </c>
      <c r="B47" s="12" t="str">
        <f>IFERROR(__xludf.DUMMYFUNCTION("""COMPUTED_VALUE"""),"Grave of the Fireflies")</f>
        <v>Grave of the Fireflies</v>
      </c>
      <c r="C47" s="12">
        <f>IFERROR(__xludf.DUMMYFUNCTION("""COMPUTED_VALUE"""),1988.0)</f>
        <v>1988</v>
      </c>
      <c r="D47" s="12" t="str">
        <f>IFERROR(__xludf.DUMMYFUNCTION("""COMPUTED_VALUE"""),"Not Rated")</f>
        <v>Not Rated</v>
      </c>
      <c r="E47" s="12">
        <f>IFERROR(__xludf.DUMMYFUNCTION("""COMPUTED_VALUE"""),89.0)</f>
        <v>89</v>
      </c>
      <c r="F47" s="12" t="str">
        <f>IFERROR(__xludf.DUMMYFUNCTION("""COMPUTED_VALUE"""),"Animation, Drama, War")</f>
        <v>Animation, Drama, War</v>
      </c>
      <c r="G47" s="12">
        <f>IFERROR(__xludf.DUMMYFUNCTION("""COMPUTED_VALUE"""),8.5)</f>
        <v>8.5</v>
      </c>
      <c r="H47" s="13" t="str">
        <f t="shared" si="1"/>
        <v>Old Movie</v>
      </c>
      <c r="I47" s="13" t="str">
        <f t="shared" si="2"/>
        <v>Short</v>
      </c>
      <c r="J47" s="14" t="str">
        <f t="shared" si="3"/>
        <v>1 Hrs. 29 Mins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12">
        <f>IFERROR(__xludf.DUMMYFUNCTION("""COMPUTED_VALUE"""),47.0)</f>
        <v>47</v>
      </c>
      <c r="B48" s="12" t="str">
        <f>IFERROR(__xludf.DUMMYFUNCTION("""COMPUTED_VALUE"""),"Back to the Future")</f>
        <v>Back to the Future</v>
      </c>
      <c r="C48" s="12">
        <f>IFERROR(__xludf.DUMMYFUNCTION("""COMPUTED_VALUE"""),1985.0)</f>
        <v>1985</v>
      </c>
      <c r="D48" s="12" t="str">
        <f>IFERROR(__xludf.DUMMYFUNCTION("""COMPUTED_VALUE"""),"PG")</f>
        <v>PG</v>
      </c>
      <c r="E48" s="12">
        <f>IFERROR(__xludf.DUMMYFUNCTION("""COMPUTED_VALUE"""),116.0)</f>
        <v>116</v>
      </c>
      <c r="F48" s="12" t="str">
        <f>IFERROR(__xludf.DUMMYFUNCTION("""COMPUTED_VALUE"""),"Adventure, Comedy, Sci-Fi")</f>
        <v>Adventure, Comedy, Sci-Fi</v>
      </c>
      <c r="G48" s="12">
        <f>IFERROR(__xludf.DUMMYFUNCTION("""COMPUTED_VALUE"""),8.5)</f>
        <v>8.5</v>
      </c>
      <c r="H48" s="13" t="str">
        <f t="shared" si="1"/>
        <v>Old Movie</v>
      </c>
      <c r="I48" s="13" t="str">
        <f t="shared" si="2"/>
        <v>Normal</v>
      </c>
      <c r="J48" s="14" t="str">
        <f t="shared" si="3"/>
        <v>1 Hrs. 56 Mins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12">
        <f>IFERROR(__xludf.DUMMYFUNCTION("""COMPUTED_VALUE"""),48.0)</f>
        <v>48</v>
      </c>
      <c r="B49" s="12" t="str">
        <f>IFERROR(__xludf.DUMMYFUNCTION("""COMPUTED_VALUE"""),"Anand")</f>
        <v>Anand</v>
      </c>
      <c r="C49" s="12">
        <f>IFERROR(__xludf.DUMMYFUNCTION("""COMPUTED_VALUE"""),1971.0)</f>
        <v>1971</v>
      </c>
      <c r="D49" s="12" t="str">
        <f>IFERROR(__xludf.DUMMYFUNCTION("""COMPUTED_VALUE"""),"Not Rated")</f>
        <v>Not Rated</v>
      </c>
      <c r="E49" s="12">
        <f>IFERROR(__xludf.DUMMYFUNCTION("""COMPUTED_VALUE"""),122.0)</f>
        <v>122</v>
      </c>
      <c r="F49" s="12" t="str">
        <f>IFERROR(__xludf.DUMMYFUNCTION("""COMPUTED_VALUE"""),"Drama, Musical")</f>
        <v>Drama, Musical</v>
      </c>
      <c r="G49" s="12">
        <f>IFERROR(__xludf.DUMMYFUNCTION("""COMPUTED_VALUE"""),8.5)</f>
        <v>8.5</v>
      </c>
      <c r="H49" s="13" t="str">
        <f t="shared" si="1"/>
        <v>Old Movie</v>
      </c>
      <c r="I49" s="13" t="str">
        <f t="shared" si="2"/>
        <v>Long</v>
      </c>
      <c r="J49" s="14" t="str">
        <f t="shared" si="3"/>
        <v>2 Hrs. 2 Mins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12">
        <f>IFERROR(__xludf.DUMMYFUNCTION("""COMPUTED_VALUE"""),49.0)</f>
        <v>49</v>
      </c>
      <c r="B50" s="12" t="str">
        <f>IFERROR(__xludf.DUMMYFUNCTION("""COMPUTED_VALUE"""),"Once Upon a Time in the West")</f>
        <v>Once Upon a Time in the West</v>
      </c>
      <c r="C50" s="12">
        <f>IFERROR(__xludf.DUMMYFUNCTION("""COMPUTED_VALUE"""),1968.0)</f>
        <v>1968</v>
      </c>
      <c r="D50" s="12" t="str">
        <f>IFERROR(__xludf.DUMMYFUNCTION("""COMPUTED_VALUE"""),"PG-13")</f>
        <v>PG-13</v>
      </c>
      <c r="E50" s="12">
        <f>IFERROR(__xludf.DUMMYFUNCTION("""COMPUTED_VALUE"""),165.0)</f>
        <v>165</v>
      </c>
      <c r="F50" s="12" t="str">
        <f>IFERROR(__xludf.DUMMYFUNCTION("""COMPUTED_VALUE"""),"Western")</f>
        <v>Western</v>
      </c>
      <c r="G50" s="12">
        <f>IFERROR(__xludf.DUMMYFUNCTION("""COMPUTED_VALUE"""),8.5)</f>
        <v>8.5</v>
      </c>
      <c r="H50" s="13" t="str">
        <f t="shared" si="1"/>
        <v>Old Movie</v>
      </c>
      <c r="I50" s="13" t="str">
        <f t="shared" si="2"/>
        <v>Long</v>
      </c>
      <c r="J50" s="14" t="str">
        <f t="shared" si="3"/>
        <v>2 Hrs. 45 Mins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12">
        <f>IFERROR(__xludf.DUMMYFUNCTION("""COMPUTED_VALUE"""),50.0)</f>
        <v>50</v>
      </c>
      <c r="B51" s="12" t="str">
        <f>IFERROR(__xludf.DUMMYFUNCTION("""COMPUTED_VALUE"""),"Psycho")</f>
        <v>Psycho</v>
      </c>
      <c r="C51" s="12">
        <f>IFERROR(__xludf.DUMMYFUNCTION("""COMPUTED_VALUE"""),1960.0)</f>
        <v>1960</v>
      </c>
      <c r="D51" s="12" t="str">
        <f>IFERROR(__xludf.DUMMYFUNCTION("""COMPUTED_VALUE"""),"R")</f>
        <v>R</v>
      </c>
      <c r="E51" s="12">
        <f>IFERROR(__xludf.DUMMYFUNCTION("""COMPUTED_VALUE"""),109.0)</f>
        <v>109</v>
      </c>
      <c r="F51" s="12" t="str">
        <f>IFERROR(__xludf.DUMMYFUNCTION("""COMPUTED_VALUE"""),"Horror, Mystery, Thriller")</f>
        <v>Horror, Mystery, Thriller</v>
      </c>
      <c r="G51" s="12">
        <f>IFERROR(__xludf.DUMMYFUNCTION("""COMPUTED_VALUE"""),8.5)</f>
        <v>8.5</v>
      </c>
      <c r="H51" s="13" t="str">
        <f t="shared" si="1"/>
        <v>Old Movie</v>
      </c>
      <c r="I51" s="13" t="str">
        <f t="shared" si="2"/>
        <v>Normal</v>
      </c>
      <c r="J51" s="14" t="str">
        <f t="shared" si="3"/>
        <v>1 Hrs. 49 Mins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2">
        <f>IFERROR(__xludf.DUMMYFUNCTION("""COMPUTED_VALUE"""),51.0)</f>
        <v>51</v>
      </c>
      <c r="B52" s="12" t="str">
        <f>IFERROR(__xludf.DUMMYFUNCTION("""COMPUTED_VALUE"""),"Casablanca")</f>
        <v>Casablanca</v>
      </c>
      <c r="C52" s="12">
        <f>IFERROR(__xludf.DUMMYFUNCTION("""COMPUTED_VALUE"""),1942.0)</f>
        <v>1942</v>
      </c>
      <c r="D52" s="12" t="str">
        <f>IFERROR(__xludf.DUMMYFUNCTION("""COMPUTED_VALUE"""),"PG")</f>
        <v>PG</v>
      </c>
      <c r="E52" s="12">
        <f>IFERROR(__xludf.DUMMYFUNCTION("""COMPUTED_VALUE"""),102.0)</f>
        <v>102</v>
      </c>
      <c r="F52" s="12" t="str">
        <f>IFERROR(__xludf.DUMMYFUNCTION("""COMPUTED_VALUE"""),"Drama, Romance, War")</f>
        <v>Drama, Romance, War</v>
      </c>
      <c r="G52" s="12">
        <f>IFERROR(__xludf.DUMMYFUNCTION("""COMPUTED_VALUE"""),8.5)</f>
        <v>8.5</v>
      </c>
      <c r="H52" s="13" t="str">
        <f t="shared" si="1"/>
        <v>Old Movie</v>
      </c>
      <c r="I52" s="13" t="str">
        <f t="shared" si="2"/>
        <v>Normal</v>
      </c>
      <c r="J52" s="14" t="str">
        <f t="shared" si="3"/>
        <v>1 Hrs. 42 Mins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2">
        <f>IFERROR(__xludf.DUMMYFUNCTION("""COMPUTED_VALUE"""),52.0)</f>
        <v>52</v>
      </c>
      <c r="B53" s="12" t="str">
        <f>IFERROR(__xludf.DUMMYFUNCTION("""COMPUTED_VALUE"""),"Modern Times")</f>
        <v>Modern Times</v>
      </c>
      <c r="C53" s="12">
        <f>IFERROR(__xludf.DUMMYFUNCTION("""COMPUTED_VALUE"""),1936.0)</f>
        <v>1936</v>
      </c>
      <c r="D53" s="12" t="str">
        <f>IFERROR(__xludf.DUMMYFUNCTION("""COMPUTED_VALUE"""),"G")</f>
        <v>G</v>
      </c>
      <c r="E53" s="12">
        <f>IFERROR(__xludf.DUMMYFUNCTION("""COMPUTED_VALUE"""),87.0)</f>
        <v>87</v>
      </c>
      <c r="F53" s="12" t="str">
        <f>IFERROR(__xludf.DUMMYFUNCTION("""COMPUTED_VALUE"""),"Comedy, Drama, Family")</f>
        <v>Comedy, Drama, Family</v>
      </c>
      <c r="G53" s="12">
        <f>IFERROR(__xludf.DUMMYFUNCTION("""COMPUTED_VALUE"""),8.5)</f>
        <v>8.5</v>
      </c>
      <c r="H53" s="13" t="str">
        <f t="shared" si="1"/>
        <v>Old Movie</v>
      </c>
      <c r="I53" s="13" t="str">
        <f t="shared" si="2"/>
        <v>Short</v>
      </c>
      <c r="J53" s="14" t="str">
        <f t="shared" si="3"/>
        <v>1 Hrs. 27 Mins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12">
        <f>IFERROR(__xludf.DUMMYFUNCTION("""COMPUTED_VALUE"""),53.0)</f>
        <v>53</v>
      </c>
      <c r="B54" s="12" t="str">
        <f>IFERROR(__xludf.DUMMYFUNCTION("""COMPUTED_VALUE"""),"City Lights")</f>
        <v>City Lights</v>
      </c>
      <c r="C54" s="12">
        <f>IFERROR(__xludf.DUMMYFUNCTION("""COMPUTED_VALUE"""),1931.0)</f>
        <v>1931</v>
      </c>
      <c r="D54" s="12" t="str">
        <f>IFERROR(__xludf.DUMMYFUNCTION("""COMPUTED_VALUE"""),"G")</f>
        <v>G</v>
      </c>
      <c r="E54" s="12">
        <f>IFERROR(__xludf.DUMMYFUNCTION("""COMPUTED_VALUE"""),87.0)</f>
        <v>87</v>
      </c>
      <c r="F54" s="12" t="str">
        <f>IFERROR(__xludf.DUMMYFUNCTION("""COMPUTED_VALUE"""),"Comedy, Drama, Romance")</f>
        <v>Comedy, Drama, Romance</v>
      </c>
      <c r="G54" s="12">
        <f>IFERROR(__xludf.DUMMYFUNCTION("""COMPUTED_VALUE"""),8.5)</f>
        <v>8.5</v>
      </c>
      <c r="H54" s="13" t="str">
        <f t="shared" si="1"/>
        <v>Old Movie</v>
      </c>
      <c r="I54" s="13" t="str">
        <f t="shared" si="2"/>
        <v>Short</v>
      </c>
      <c r="J54" s="14" t="str">
        <f t="shared" si="3"/>
        <v>1 Hrs. 27 Mins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12">
        <f>IFERROR(__xludf.DUMMYFUNCTION("""COMPUTED_VALUE"""),54.0)</f>
        <v>54</v>
      </c>
      <c r="B55" s="12" t="str">
        <f>IFERROR(__xludf.DUMMYFUNCTION("""COMPUTED_VALUE"""),"Capharnaüm")</f>
        <v>Capharnaüm</v>
      </c>
      <c r="C55" s="12">
        <f>IFERROR(__xludf.DUMMYFUNCTION("""COMPUTED_VALUE"""),2018.0)</f>
        <v>2018</v>
      </c>
      <c r="D55" s="12" t="str">
        <f>IFERROR(__xludf.DUMMYFUNCTION("""COMPUTED_VALUE"""),"R")</f>
        <v>R</v>
      </c>
      <c r="E55" s="12">
        <f>IFERROR(__xludf.DUMMYFUNCTION("""COMPUTED_VALUE"""),126.0)</f>
        <v>126</v>
      </c>
      <c r="F55" s="12" t="str">
        <f>IFERROR(__xludf.DUMMYFUNCTION("""COMPUTED_VALUE"""),"Drama")</f>
        <v>Drama</v>
      </c>
      <c r="G55" s="12">
        <f>IFERROR(__xludf.DUMMYFUNCTION("""COMPUTED_VALUE"""),8.4)</f>
        <v>8.4</v>
      </c>
      <c r="H55" s="13" t="str">
        <f t="shared" si="1"/>
        <v>New Movie</v>
      </c>
      <c r="I55" s="13" t="str">
        <f t="shared" si="2"/>
        <v>Long</v>
      </c>
      <c r="J55" s="14" t="str">
        <f t="shared" si="3"/>
        <v>2 Hrs. 6 Mins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12">
        <f>IFERROR(__xludf.DUMMYFUNCTION("""COMPUTED_VALUE"""),55.0)</f>
        <v>55</v>
      </c>
      <c r="B56" s="12" t="str">
        <f>IFERROR(__xludf.DUMMYFUNCTION("""COMPUTED_VALUE"""),"Ayla: The Daughter of War")</f>
        <v>Ayla: The Daughter of War</v>
      </c>
      <c r="C56" s="12">
        <f>IFERROR(__xludf.DUMMYFUNCTION("""COMPUTED_VALUE"""),2017.0)</f>
        <v>2017</v>
      </c>
      <c r="D56" s="12"/>
      <c r="E56" s="12">
        <f>IFERROR(__xludf.DUMMYFUNCTION("""COMPUTED_VALUE"""),125.0)</f>
        <v>125</v>
      </c>
      <c r="F56" s="12" t="str">
        <f>IFERROR(__xludf.DUMMYFUNCTION("""COMPUTED_VALUE"""),"Biography, Drama, History")</f>
        <v>Biography, Drama, History</v>
      </c>
      <c r="G56" s="12">
        <f>IFERROR(__xludf.DUMMYFUNCTION("""COMPUTED_VALUE"""),8.4)</f>
        <v>8.4</v>
      </c>
      <c r="H56" s="13" t="str">
        <f t="shared" si="1"/>
        <v>New Movie</v>
      </c>
      <c r="I56" s="13" t="str">
        <f t="shared" si="2"/>
        <v>Long</v>
      </c>
      <c r="J56" s="14" t="str">
        <f t="shared" si="3"/>
        <v>2 Hrs. 5 Mins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12">
        <f>IFERROR(__xludf.DUMMYFUNCTION("""COMPUTED_VALUE"""),56.0)</f>
        <v>56</v>
      </c>
      <c r="B57" s="12" t="str">
        <f>IFERROR(__xludf.DUMMYFUNCTION("""COMPUTED_VALUE"""),"Your Name.")</f>
        <v>Your Name.</v>
      </c>
      <c r="C57" s="12">
        <f>IFERROR(__xludf.DUMMYFUNCTION("""COMPUTED_VALUE"""),2016.0)</f>
        <v>2016</v>
      </c>
      <c r="D57" s="12" t="str">
        <f>IFERROR(__xludf.DUMMYFUNCTION("""COMPUTED_VALUE"""),"PG")</f>
        <v>PG</v>
      </c>
      <c r="E57" s="12">
        <f>IFERROR(__xludf.DUMMYFUNCTION("""COMPUTED_VALUE"""),106.0)</f>
        <v>106</v>
      </c>
      <c r="F57" s="12" t="str">
        <f>IFERROR(__xludf.DUMMYFUNCTION("""COMPUTED_VALUE"""),"Animation, Drama, Fantasy")</f>
        <v>Animation, Drama, Fantasy</v>
      </c>
      <c r="G57" s="12">
        <f>IFERROR(__xludf.DUMMYFUNCTION("""COMPUTED_VALUE"""),8.4)</f>
        <v>8.4</v>
      </c>
      <c r="H57" s="13" t="str">
        <f t="shared" si="1"/>
        <v>New Movie</v>
      </c>
      <c r="I57" s="13" t="str">
        <f t="shared" si="2"/>
        <v>Normal</v>
      </c>
      <c r="J57" s="14" t="str">
        <f t="shared" si="3"/>
        <v>1 Hrs. 46 Mins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2">
        <f>IFERROR(__xludf.DUMMYFUNCTION("""COMPUTED_VALUE"""),57.0)</f>
        <v>57</v>
      </c>
      <c r="B58" s="12" t="str">
        <f>IFERROR(__xludf.DUMMYFUNCTION("""COMPUTED_VALUE"""),"Dangal")</f>
        <v>Dangal</v>
      </c>
      <c r="C58" s="12">
        <f>IFERROR(__xludf.DUMMYFUNCTION("""COMPUTED_VALUE"""),2016.0)</f>
        <v>2016</v>
      </c>
      <c r="D58" s="12" t="str">
        <f>IFERROR(__xludf.DUMMYFUNCTION("""COMPUTED_VALUE"""),"Not Rated")</f>
        <v>Not Rated</v>
      </c>
      <c r="E58" s="12">
        <f>IFERROR(__xludf.DUMMYFUNCTION("""COMPUTED_VALUE"""),161.0)</f>
        <v>161</v>
      </c>
      <c r="F58" s="12" t="str">
        <f>IFERROR(__xludf.DUMMYFUNCTION("""COMPUTED_VALUE"""),"Action, Biography, Drama")</f>
        <v>Action, Biography, Drama</v>
      </c>
      <c r="G58" s="12">
        <f>IFERROR(__xludf.DUMMYFUNCTION("""COMPUTED_VALUE"""),8.4)</f>
        <v>8.4</v>
      </c>
      <c r="H58" s="13" t="str">
        <f t="shared" si="1"/>
        <v>New Movie</v>
      </c>
      <c r="I58" s="13" t="str">
        <f t="shared" si="2"/>
        <v>Long</v>
      </c>
      <c r="J58" s="14" t="str">
        <f t="shared" si="3"/>
        <v>2 Hrs. 41 Mins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2">
        <f>IFERROR(__xludf.DUMMYFUNCTION("""COMPUTED_VALUE"""),58.0)</f>
        <v>58</v>
      </c>
      <c r="B59" s="12" t="str">
        <f>IFERROR(__xludf.DUMMYFUNCTION("""COMPUTED_VALUE"""),"Spider-Man: Into the Spider-Verse")</f>
        <v>Spider-Man: Into the Spider-Verse</v>
      </c>
      <c r="C59" s="12">
        <f>IFERROR(__xludf.DUMMYFUNCTION("""COMPUTED_VALUE"""),2018.0)</f>
        <v>2018</v>
      </c>
      <c r="D59" s="12" t="str">
        <f>IFERROR(__xludf.DUMMYFUNCTION("""COMPUTED_VALUE"""),"PG")</f>
        <v>PG</v>
      </c>
      <c r="E59" s="12">
        <f>IFERROR(__xludf.DUMMYFUNCTION("""COMPUTED_VALUE"""),117.0)</f>
        <v>117</v>
      </c>
      <c r="F59" s="12" t="str">
        <f>IFERROR(__xludf.DUMMYFUNCTION("""COMPUTED_VALUE"""),"Animation, Action, Adventure")</f>
        <v>Animation, Action, Adventure</v>
      </c>
      <c r="G59" s="12">
        <f>IFERROR(__xludf.DUMMYFUNCTION("""COMPUTED_VALUE"""),8.4)</f>
        <v>8.4</v>
      </c>
      <c r="H59" s="13" t="str">
        <f t="shared" si="1"/>
        <v>New Movie</v>
      </c>
      <c r="I59" s="13" t="str">
        <f t="shared" si="2"/>
        <v>Normal</v>
      </c>
      <c r="J59" s="14" t="str">
        <f t="shared" si="3"/>
        <v>1 Hrs. 57 Mins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2">
        <f>IFERROR(__xludf.DUMMYFUNCTION("""COMPUTED_VALUE"""),59.0)</f>
        <v>59</v>
      </c>
      <c r="B60" s="12" t="str">
        <f>IFERROR(__xludf.DUMMYFUNCTION("""COMPUTED_VALUE"""),"Avengers: Endgame")</f>
        <v>Avengers: Endgame</v>
      </c>
      <c r="C60" s="12">
        <f>IFERROR(__xludf.DUMMYFUNCTION("""COMPUTED_VALUE"""),2019.0)</f>
        <v>2019</v>
      </c>
      <c r="D60" s="12" t="str">
        <f>IFERROR(__xludf.DUMMYFUNCTION("""COMPUTED_VALUE"""),"PG-13")</f>
        <v>PG-13</v>
      </c>
      <c r="E60" s="12">
        <f>IFERROR(__xludf.DUMMYFUNCTION("""COMPUTED_VALUE"""),181.0)</f>
        <v>181</v>
      </c>
      <c r="F60" s="12" t="str">
        <f>IFERROR(__xludf.DUMMYFUNCTION("""COMPUTED_VALUE"""),"Action, Adventure, Drama")</f>
        <v>Action, Adventure, Drama</v>
      </c>
      <c r="G60" s="12">
        <f>IFERROR(__xludf.DUMMYFUNCTION("""COMPUTED_VALUE"""),8.4)</f>
        <v>8.4</v>
      </c>
      <c r="H60" s="13" t="str">
        <f t="shared" si="1"/>
        <v>New Movie</v>
      </c>
      <c r="I60" s="13" t="str">
        <f t="shared" si="2"/>
        <v>Long</v>
      </c>
      <c r="J60" s="14" t="str">
        <f t="shared" si="3"/>
        <v>3 Hrs. 1 Mins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2">
        <f>IFERROR(__xludf.DUMMYFUNCTION("""COMPUTED_VALUE"""),60.0)</f>
        <v>60</v>
      </c>
      <c r="B61" s="12" t="str">
        <f>IFERROR(__xludf.DUMMYFUNCTION("""COMPUTED_VALUE"""),"Avengers: Infinity War")</f>
        <v>Avengers: Infinity War</v>
      </c>
      <c r="C61" s="12">
        <f>IFERROR(__xludf.DUMMYFUNCTION("""COMPUTED_VALUE"""),2018.0)</f>
        <v>2018</v>
      </c>
      <c r="D61" s="12" t="str">
        <f>IFERROR(__xludf.DUMMYFUNCTION("""COMPUTED_VALUE"""),"PG-13")</f>
        <v>PG-13</v>
      </c>
      <c r="E61" s="12">
        <f>IFERROR(__xludf.DUMMYFUNCTION("""COMPUTED_VALUE"""),149.0)</f>
        <v>149</v>
      </c>
      <c r="F61" s="12" t="str">
        <f>IFERROR(__xludf.DUMMYFUNCTION("""COMPUTED_VALUE"""),"Action, Adventure, Sci-Fi")</f>
        <v>Action, Adventure, Sci-Fi</v>
      </c>
      <c r="G61" s="12">
        <f>IFERROR(__xludf.DUMMYFUNCTION("""COMPUTED_VALUE"""),8.4)</f>
        <v>8.4</v>
      </c>
      <c r="H61" s="13" t="str">
        <f t="shared" si="1"/>
        <v>New Movie</v>
      </c>
      <c r="I61" s="13" t="str">
        <f t="shared" si="2"/>
        <v>Long</v>
      </c>
      <c r="J61" s="14" t="str">
        <f t="shared" si="3"/>
        <v>2 Hrs. 29 Mins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2">
        <f>IFERROR(__xludf.DUMMYFUNCTION("""COMPUTED_VALUE"""),61.0)</f>
        <v>61</v>
      </c>
      <c r="B62" s="12" t="str">
        <f>IFERROR(__xludf.DUMMYFUNCTION("""COMPUTED_VALUE"""),"Coco")</f>
        <v>Coco</v>
      </c>
      <c r="C62" s="12">
        <f>IFERROR(__xludf.DUMMYFUNCTION("""COMPUTED_VALUE"""),2017.0)</f>
        <v>2017</v>
      </c>
      <c r="D62" s="12" t="str">
        <f>IFERROR(__xludf.DUMMYFUNCTION("""COMPUTED_VALUE"""),"PG")</f>
        <v>PG</v>
      </c>
      <c r="E62" s="12">
        <f>IFERROR(__xludf.DUMMYFUNCTION("""COMPUTED_VALUE"""),105.0)</f>
        <v>105</v>
      </c>
      <c r="F62" s="12" t="str">
        <f>IFERROR(__xludf.DUMMYFUNCTION("""COMPUTED_VALUE"""),"Animation, Adventure, Family")</f>
        <v>Animation, Adventure, Family</v>
      </c>
      <c r="G62" s="12">
        <f>IFERROR(__xludf.DUMMYFUNCTION("""COMPUTED_VALUE"""),8.4)</f>
        <v>8.4</v>
      </c>
      <c r="H62" s="13" t="str">
        <f t="shared" si="1"/>
        <v>New Movie</v>
      </c>
      <c r="I62" s="13" t="str">
        <f t="shared" si="2"/>
        <v>Normal</v>
      </c>
      <c r="J62" s="14" t="str">
        <f t="shared" si="3"/>
        <v>1 Hrs. 45 Mins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2">
        <f>IFERROR(__xludf.DUMMYFUNCTION("""COMPUTED_VALUE"""),62.0)</f>
        <v>62</v>
      </c>
      <c r="B63" s="12" t="str">
        <f>IFERROR(__xludf.DUMMYFUNCTION("""COMPUTED_VALUE"""),"Django Unchained")</f>
        <v>Django Unchained</v>
      </c>
      <c r="C63" s="12">
        <f>IFERROR(__xludf.DUMMYFUNCTION("""COMPUTED_VALUE"""),2012.0)</f>
        <v>2012</v>
      </c>
      <c r="D63" s="12" t="str">
        <f>IFERROR(__xludf.DUMMYFUNCTION("""COMPUTED_VALUE"""),"R")</f>
        <v>R</v>
      </c>
      <c r="E63" s="12">
        <f>IFERROR(__xludf.DUMMYFUNCTION("""COMPUTED_VALUE"""),165.0)</f>
        <v>165</v>
      </c>
      <c r="F63" s="12" t="str">
        <f>IFERROR(__xludf.DUMMYFUNCTION("""COMPUTED_VALUE"""),"Drama, Western")</f>
        <v>Drama, Western</v>
      </c>
      <c r="G63" s="12">
        <f>IFERROR(__xludf.DUMMYFUNCTION("""COMPUTED_VALUE"""),8.4)</f>
        <v>8.4</v>
      </c>
      <c r="H63" s="13" t="str">
        <f t="shared" si="1"/>
        <v>New Movie</v>
      </c>
      <c r="I63" s="13" t="str">
        <f t="shared" si="2"/>
        <v>Long</v>
      </c>
      <c r="J63" s="14" t="str">
        <f t="shared" si="3"/>
        <v>2 Hrs. 45 Mins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12">
        <f>IFERROR(__xludf.DUMMYFUNCTION("""COMPUTED_VALUE"""),63.0)</f>
        <v>63</v>
      </c>
      <c r="B64" s="12" t="str">
        <f>IFERROR(__xludf.DUMMYFUNCTION("""COMPUTED_VALUE"""),"The Dark Knight Rises")</f>
        <v>The Dark Knight Rises</v>
      </c>
      <c r="C64" s="12">
        <f>IFERROR(__xludf.DUMMYFUNCTION("""COMPUTED_VALUE"""),2012.0)</f>
        <v>2012</v>
      </c>
      <c r="D64" s="12" t="str">
        <f>IFERROR(__xludf.DUMMYFUNCTION("""COMPUTED_VALUE"""),"PG-13")</f>
        <v>PG-13</v>
      </c>
      <c r="E64" s="12">
        <f>IFERROR(__xludf.DUMMYFUNCTION("""COMPUTED_VALUE"""),164.0)</f>
        <v>164</v>
      </c>
      <c r="F64" s="12" t="str">
        <f>IFERROR(__xludf.DUMMYFUNCTION("""COMPUTED_VALUE"""),"Action, Adventure")</f>
        <v>Action, Adventure</v>
      </c>
      <c r="G64" s="12">
        <f>IFERROR(__xludf.DUMMYFUNCTION("""COMPUTED_VALUE"""),8.4)</f>
        <v>8.4</v>
      </c>
      <c r="H64" s="13" t="str">
        <f t="shared" si="1"/>
        <v>New Movie</v>
      </c>
      <c r="I64" s="13" t="str">
        <f t="shared" si="2"/>
        <v>Long</v>
      </c>
      <c r="J64" s="14" t="str">
        <f t="shared" si="3"/>
        <v>2 Hrs. 44 Mins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12">
        <f>IFERROR(__xludf.DUMMYFUNCTION("""COMPUTED_VALUE"""),64.0)</f>
        <v>64</v>
      </c>
      <c r="B65" s="12" t="str">
        <f>IFERROR(__xludf.DUMMYFUNCTION("""COMPUTED_VALUE"""),"3 Idiots")</f>
        <v>3 Idiots</v>
      </c>
      <c r="C65" s="12">
        <f>IFERROR(__xludf.DUMMYFUNCTION("""COMPUTED_VALUE"""),2009.0)</f>
        <v>2009</v>
      </c>
      <c r="D65" s="12" t="str">
        <f>IFERROR(__xludf.DUMMYFUNCTION("""COMPUTED_VALUE"""),"PG-13")</f>
        <v>PG-13</v>
      </c>
      <c r="E65" s="12">
        <f>IFERROR(__xludf.DUMMYFUNCTION("""COMPUTED_VALUE"""),170.0)</f>
        <v>170</v>
      </c>
      <c r="F65" s="12" t="str">
        <f>IFERROR(__xludf.DUMMYFUNCTION("""COMPUTED_VALUE"""),"Comedy, Drama")</f>
        <v>Comedy, Drama</v>
      </c>
      <c r="G65" s="12">
        <f>IFERROR(__xludf.DUMMYFUNCTION("""COMPUTED_VALUE"""),8.4)</f>
        <v>8.4</v>
      </c>
      <c r="H65" s="13" t="str">
        <f t="shared" si="1"/>
        <v>New Movie</v>
      </c>
      <c r="I65" s="13" t="str">
        <f t="shared" si="2"/>
        <v>Long</v>
      </c>
      <c r="J65" s="14" t="str">
        <f t="shared" si="3"/>
        <v>2 Hrs. 50 Mins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12">
        <f>IFERROR(__xludf.DUMMYFUNCTION("""COMPUTED_VALUE"""),65.0)</f>
        <v>65</v>
      </c>
      <c r="B66" s="12" t="str">
        <f>IFERROR(__xludf.DUMMYFUNCTION("""COMPUTED_VALUE"""),"Taare Zameen Par")</f>
        <v>Taare Zameen Par</v>
      </c>
      <c r="C66" s="12">
        <f>IFERROR(__xludf.DUMMYFUNCTION("""COMPUTED_VALUE"""),2007.0)</f>
        <v>2007</v>
      </c>
      <c r="D66" s="12" t="str">
        <f>IFERROR(__xludf.DUMMYFUNCTION("""COMPUTED_VALUE"""),"PG")</f>
        <v>PG</v>
      </c>
      <c r="E66" s="12">
        <f>IFERROR(__xludf.DUMMYFUNCTION("""COMPUTED_VALUE"""),165.0)</f>
        <v>165</v>
      </c>
      <c r="F66" s="12" t="str">
        <f>IFERROR(__xludf.DUMMYFUNCTION("""COMPUTED_VALUE"""),"Drama, Family")</f>
        <v>Drama, Family</v>
      </c>
      <c r="G66" s="12">
        <f>IFERROR(__xludf.DUMMYFUNCTION("""COMPUTED_VALUE"""),8.4)</f>
        <v>8.4</v>
      </c>
      <c r="H66" s="13" t="str">
        <f t="shared" si="1"/>
        <v>New Movie</v>
      </c>
      <c r="I66" s="13" t="str">
        <f t="shared" si="2"/>
        <v>Long</v>
      </c>
      <c r="J66" s="14" t="str">
        <f t="shared" si="3"/>
        <v>2 Hrs. 45 Mins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12">
        <f>IFERROR(__xludf.DUMMYFUNCTION("""COMPUTED_VALUE"""),66.0)</f>
        <v>66</v>
      </c>
      <c r="B67" s="12" t="str">
        <f>IFERROR(__xludf.DUMMYFUNCTION("""COMPUTED_VALUE"""),"WALL·E")</f>
        <v>WALL·E</v>
      </c>
      <c r="C67" s="12">
        <f>IFERROR(__xludf.DUMMYFUNCTION("""COMPUTED_VALUE"""),2008.0)</f>
        <v>2008</v>
      </c>
      <c r="D67" s="12" t="str">
        <f>IFERROR(__xludf.DUMMYFUNCTION("""COMPUTED_VALUE"""),"G")</f>
        <v>G</v>
      </c>
      <c r="E67" s="12">
        <f>IFERROR(__xludf.DUMMYFUNCTION("""COMPUTED_VALUE"""),98.0)</f>
        <v>98</v>
      </c>
      <c r="F67" s="12" t="str">
        <f>IFERROR(__xludf.DUMMYFUNCTION("""COMPUTED_VALUE"""),"Animation, Adventure, Family")</f>
        <v>Animation, Adventure, Family</v>
      </c>
      <c r="G67" s="12">
        <f>IFERROR(__xludf.DUMMYFUNCTION("""COMPUTED_VALUE"""),8.4)</f>
        <v>8.4</v>
      </c>
      <c r="H67" s="13" t="str">
        <f t="shared" si="1"/>
        <v>New Movie</v>
      </c>
      <c r="I67" s="13" t="str">
        <f t="shared" si="2"/>
        <v>Normal</v>
      </c>
      <c r="J67" s="14" t="str">
        <f t="shared" si="3"/>
        <v>1 Hrs. 38 Mins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2">
        <f>IFERROR(__xludf.DUMMYFUNCTION("""COMPUTED_VALUE"""),67.0)</f>
        <v>67</v>
      </c>
      <c r="B68" s="12" t="str">
        <f>IFERROR(__xludf.DUMMYFUNCTION("""COMPUTED_VALUE"""),"The Lives of Others")</f>
        <v>The Lives of Others</v>
      </c>
      <c r="C68" s="12">
        <f>IFERROR(__xludf.DUMMYFUNCTION("""COMPUTED_VALUE"""),2006.0)</f>
        <v>2006</v>
      </c>
      <c r="D68" s="12" t="str">
        <f>IFERROR(__xludf.DUMMYFUNCTION("""COMPUTED_VALUE"""),"R")</f>
        <v>R</v>
      </c>
      <c r="E68" s="12">
        <f>IFERROR(__xludf.DUMMYFUNCTION("""COMPUTED_VALUE"""),137.0)</f>
        <v>137</v>
      </c>
      <c r="F68" s="12" t="str">
        <f>IFERROR(__xludf.DUMMYFUNCTION("""COMPUTED_VALUE"""),"Drama, Mystery, Thriller")</f>
        <v>Drama, Mystery, Thriller</v>
      </c>
      <c r="G68" s="12">
        <f>IFERROR(__xludf.DUMMYFUNCTION("""COMPUTED_VALUE"""),8.4)</f>
        <v>8.4</v>
      </c>
      <c r="H68" s="13" t="str">
        <f t="shared" si="1"/>
        <v>New Movie</v>
      </c>
      <c r="I68" s="13" t="str">
        <f t="shared" si="2"/>
        <v>Long</v>
      </c>
      <c r="J68" s="14" t="str">
        <f t="shared" si="3"/>
        <v>2 Hrs. 17 Mins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12">
        <f>IFERROR(__xludf.DUMMYFUNCTION("""COMPUTED_VALUE"""),68.0)</f>
        <v>68</v>
      </c>
      <c r="B69" s="12" t="str">
        <f>IFERROR(__xludf.DUMMYFUNCTION("""COMPUTED_VALUE"""),"Oldboy")</f>
        <v>Oldboy</v>
      </c>
      <c r="C69" s="12">
        <f>IFERROR(__xludf.DUMMYFUNCTION("""COMPUTED_VALUE"""),2003.0)</f>
        <v>2003</v>
      </c>
      <c r="D69" s="12" t="str">
        <f>IFERROR(__xludf.DUMMYFUNCTION("""COMPUTED_VALUE"""),"R")</f>
        <v>R</v>
      </c>
      <c r="E69" s="12">
        <f>IFERROR(__xludf.DUMMYFUNCTION("""COMPUTED_VALUE"""),120.0)</f>
        <v>120</v>
      </c>
      <c r="F69" s="12" t="str">
        <f>IFERROR(__xludf.DUMMYFUNCTION("""COMPUTED_VALUE"""),"Action, Drama, Mystery")</f>
        <v>Action, Drama, Mystery</v>
      </c>
      <c r="G69" s="12">
        <f>IFERROR(__xludf.DUMMYFUNCTION("""COMPUTED_VALUE"""),8.4)</f>
        <v>8.4</v>
      </c>
      <c r="H69" s="13" t="str">
        <f t="shared" si="1"/>
        <v>New Movie</v>
      </c>
      <c r="I69" s="13" t="str">
        <f t="shared" si="2"/>
        <v>Normal</v>
      </c>
      <c r="J69" s="14" t="str">
        <f t="shared" si="3"/>
        <v>2 Hrs. 0 Mins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12">
        <f>IFERROR(__xludf.DUMMYFUNCTION("""COMPUTED_VALUE"""),69.0)</f>
        <v>69</v>
      </c>
      <c r="B70" s="12" t="str">
        <f>IFERROR(__xludf.DUMMYFUNCTION("""COMPUTED_VALUE"""),"Memento")</f>
        <v>Memento</v>
      </c>
      <c r="C70" s="12">
        <f>IFERROR(__xludf.DUMMYFUNCTION("""COMPUTED_VALUE"""),2000.0)</f>
        <v>2000</v>
      </c>
      <c r="D70" s="12" t="str">
        <f>IFERROR(__xludf.DUMMYFUNCTION("""COMPUTED_VALUE"""),"R")</f>
        <v>R</v>
      </c>
      <c r="E70" s="12">
        <f>IFERROR(__xludf.DUMMYFUNCTION("""COMPUTED_VALUE"""),113.0)</f>
        <v>113</v>
      </c>
      <c r="F70" s="12" t="str">
        <f>IFERROR(__xludf.DUMMYFUNCTION("""COMPUTED_VALUE"""),"Mystery, Thriller")</f>
        <v>Mystery, Thriller</v>
      </c>
      <c r="G70" s="12">
        <f>IFERROR(__xludf.DUMMYFUNCTION("""COMPUTED_VALUE"""),8.4)</f>
        <v>8.4</v>
      </c>
      <c r="H70" s="13" t="str">
        <f t="shared" si="1"/>
        <v>New Movie</v>
      </c>
      <c r="I70" s="13" t="str">
        <f t="shared" si="2"/>
        <v>Normal</v>
      </c>
      <c r="J70" s="14" t="str">
        <f t="shared" si="3"/>
        <v>1 Hrs. 53 Mins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12">
        <f>IFERROR(__xludf.DUMMYFUNCTION("""COMPUTED_VALUE"""),70.0)</f>
        <v>70</v>
      </c>
      <c r="B71" s="12" t="str">
        <f>IFERROR(__xludf.DUMMYFUNCTION("""COMPUTED_VALUE"""),"Princess Mononoke")</f>
        <v>Princess Mononoke</v>
      </c>
      <c r="C71" s="12">
        <f>IFERROR(__xludf.DUMMYFUNCTION("""COMPUTED_VALUE"""),1997.0)</f>
        <v>1997</v>
      </c>
      <c r="D71" s="12" t="str">
        <f>IFERROR(__xludf.DUMMYFUNCTION("""COMPUTED_VALUE"""),"PG-13")</f>
        <v>PG-13</v>
      </c>
      <c r="E71" s="12">
        <f>IFERROR(__xludf.DUMMYFUNCTION("""COMPUTED_VALUE"""),134.0)</f>
        <v>134</v>
      </c>
      <c r="F71" s="12" t="str">
        <f>IFERROR(__xludf.DUMMYFUNCTION("""COMPUTED_VALUE"""),"Animation, Adventure, Fantasy")</f>
        <v>Animation, Adventure, Fantasy</v>
      </c>
      <c r="G71" s="12">
        <f>IFERROR(__xludf.DUMMYFUNCTION("""COMPUTED_VALUE"""),8.4)</f>
        <v>8.4</v>
      </c>
      <c r="H71" s="13" t="str">
        <f t="shared" si="1"/>
        <v>Old Movie</v>
      </c>
      <c r="I71" s="13" t="str">
        <f t="shared" si="2"/>
        <v>Long</v>
      </c>
      <c r="J71" s="14" t="str">
        <f t="shared" si="3"/>
        <v>2 Hrs. 14 Mins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12">
        <f>IFERROR(__xludf.DUMMYFUNCTION("""COMPUTED_VALUE"""),71.0)</f>
        <v>71</v>
      </c>
      <c r="B72" s="12" t="str">
        <f>IFERROR(__xludf.DUMMYFUNCTION("""COMPUTED_VALUE"""),"Once Upon a Time in America")</f>
        <v>Once Upon a Time in America</v>
      </c>
      <c r="C72" s="12">
        <f>IFERROR(__xludf.DUMMYFUNCTION("""COMPUTED_VALUE"""),1984.0)</f>
        <v>1984</v>
      </c>
      <c r="D72" s="12" t="str">
        <f>IFERROR(__xludf.DUMMYFUNCTION("""COMPUTED_VALUE"""),"R")</f>
        <v>R</v>
      </c>
      <c r="E72" s="12">
        <f>IFERROR(__xludf.DUMMYFUNCTION("""COMPUTED_VALUE"""),229.0)</f>
        <v>229</v>
      </c>
      <c r="F72" s="12" t="str">
        <f>IFERROR(__xludf.DUMMYFUNCTION("""COMPUTED_VALUE"""),"Crime, Drama")</f>
        <v>Crime, Drama</v>
      </c>
      <c r="G72" s="12">
        <f>IFERROR(__xludf.DUMMYFUNCTION("""COMPUTED_VALUE"""),8.4)</f>
        <v>8.4</v>
      </c>
      <c r="H72" s="13" t="str">
        <f t="shared" si="1"/>
        <v>Old Movie</v>
      </c>
      <c r="I72" s="13" t="str">
        <f t="shared" si="2"/>
        <v>Long</v>
      </c>
      <c r="J72" s="14" t="str">
        <f t="shared" si="3"/>
        <v>3 Hrs. 49 Mins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2">
        <f>IFERROR(__xludf.DUMMYFUNCTION("""COMPUTED_VALUE"""),72.0)</f>
        <v>72</v>
      </c>
      <c r="B73" s="12" t="str">
        <f>IFERROR(__xludf.DUMMYFUNCTION("""COMPUTED_VALUE"""),"Raiders of the Lost Ark")</f>
        <v>Raiders of the Lost Ark</v>
      </c>
      <c r="C73" s="12">
        <f>IFERROR(__xludf.DUMMYFUNCTION("""COMPUTED_VALUE"""),1981.0)</f>
        <v>1981</v>
      </c>
      <c r="D73" s="12" t="str">
        <f>IFERROR(__xludf.DUMMYFUNCTION("""COMPUTED_VALUE"""),"PG")</f>
        <v>PG</v>
      </c>
      <c r="E73" s="12">
        <f>IFERROR(__xludf.DUMMYFUNCTION("""COMPUTED_VALUE"""),115.0)</f>
        <v>115</v>
      </c>
      <c r="F73" s="12" t="str">
        <f>IFERROR(__xludf.DUMMYFUNCTION("""COMPUTED_VALUE"""),"Action, Adventure")</f>
        <v>Action, Adventure</v>
      </c>
      <c r="G73" s="12">
        <f>IFERROR(__xludf.DUMMYFUNCTION("""COMPUTED_VALUE"""),8.4)</f>
        <v>8.4</v>
      </c>
      <c r="H73" s="13" t="str">
        <f t="shared" si="1"/>
        <v>Old Movie</v>
      </c>
      <c r="I73" s="13" t="str">
        <f t="shared" si="2"/>
        <v>Normal</v>
      </c>
      <c r="J73" s="14" t="str">
        <f t="shared" si="3"/>
        <v>1 Hrs. 55 Mins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12">
        <f>IFERROR(__xludf.DUMMYFUNCTION("""COMPUTED_VALUE"""),73.0)</f>
        <v>73</v>
      </c>
      <c r="B74" s="12" t="str">
        <f>IFERROR(__xludf.DUMMYFUNCTION("""COMPUTED_VALUE"""),"The Shining")</f>
        <v>The Shining</v>
      </c>
      <c r="C74" s="12">
        <f>IFERROR(__xludf.DUMMYFUNCTION("""COMPUTED_VALUE"""),1980.0)</f>
        <v>1980</v>
      </c>
      <c r="D74" s="12" t="str">
        <f>IFERROR(__xludf.DUMMYFUNCTION("""COMPUTED_VALUE"""),"R")</f>
        <v>R</v>
      </c>
      <c r="E74" s="12">
        <f>IFERROR(__xludf.DUMMYFUNCTION("""COMPUTED_VALUE"""),146.0)</f>
        <v>146</v>
      </c>
      <c r="F74" s="12" t="str">
        <f>IFERROR(__xludf.DUMMYFUNCTION("""COMPUTED_VALUE"""),"Drama, Horror")</f>
        <v>Drama, Horror</v>
      </c>
      <c r="G74" s="12">
        <f>IFERROR(__xludf.DUMMYFUNCTION("""COMPUTED_VALUE"""),8.4)</f>
        <v>8.4</v>
      </c>
      <c r="H74" s="13" t="str">
        <f t="shared" si="1"/>
        <v>Old Movie</v>
      </c>
      <c r="I74" s="13" t="str">
        <f t="shared" si="2"/>
        <v>Long</v>
      </c>
      <c r="J74" s="14" t="str">
        <f t="shared" si="3"/>
        <v>2 Hrs. 26 Mins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12">
        <f>IFERROR(__xludf.DUMMYFUNCTION("""COMPUTED_VALUE"""),74.0)</f>
        <v>74</v>
      </c>
      <c r="B75" s="12" t="str">
        <f>IFERROR(__xludf.DUMMYFUNCTION("""COMPUTED_VALUE"""),"Apocalypse Now")</f>
        <v>Apocalypse Now</v>
      </c>
      <c r="C75" s="12">
        <f>IFERROR(__xludf.DUMMYFUNCTION("""COMPUTED_VALUE"""),1979.0)</f>
        <v>1979</v>
      </c>
      <c r="D75" s="12" t="str">
        <f>IFERROR(__xludf.DUMMYFUNCTION("""COMPUTED_VALUE"""),"R")</f>
        <v>R</v>
      </c>
      <c r="E75" s="12">
        <f>IFERROR(__xludf.DUMMYFUNCTION("""COMPUTED_VALUE"""),147.0)</f>
        <v>147</v>
      </c>
      <c r="F75" s="12" t="str">
        <f>IFERROR(__xludf.DUMMYFUNCTION("""COMPUTED_VALUE"""),"Drama, Mystery, War")</f>
        <v>Drama, Mystery, War</v>
      </c>
      <c r="G75" s="12">
        <f>IFERROR(__xludf.DUMMYFUNCTION("""COMPUTED_VALUE"""),8.4)</f>
        <v>8.4</v>
      </c>
      <c r="H75" s="13" t="str">
        <f t="shared" si="1"/>
        <v>Old Movie</v>
      </c>
      <c r="I75" s="13" t="str">
        <f t="shared" si="2"/>
        <v>Long</v>
      </c>
      <c r="J75" s="14" t="str">
        <f t="shared" si="3"/>
        <v>2 Hrs. 27 Mins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2">
        <f>IFERROR(__xludf.DUMMYFUNCTION("""COMPUTED_VALUE"""),75.0)</f>
        <v>75</v>
      </c>
      <c r="B76" s="12" t="str">
        <f>IFERROR(__xludf.DUMMYFUNCTION("""COMPUTED_VALUE"""),"Alien")</f>
        <v>Alien</v>
      </c>
      <c r="C76" s="12">
        <f>IFERROR(__xludf.DUMMYFUNCTION("""COMPUTED_VALUE"""),1979.0)</f>
        <v>1979</v>
      </c>
      <c r="D76" s="12" t="str">
        <f>IFERROR(__xludf.DUMMYFUNCTION("""COMPUTED_VALUE"""),"R")</f>
        <v>R</v>
      </c>
      <c r="E76" s="12">
        <f>IFERROR(__xludf.DUMMYFUNCTION("""COMPUTED_VALUE"""),117.0)</f>
        <v>117</v>
      </c>
      <c r="F76" s="12" t="str">
        <f>IFERROR(__xludf.DUMMYFUNCTION("""COMPUTED_VALUE"""),"Horror, Sci-Fi")</f>
        <v>Horror, Sci-Fi</v>
      </c>
      <c r="G76" s="12">
        <f>IFERROR(__xludf.DUMMYFUNCTION("""COMPUTED_VALUE"""),8.4)</f>
        <v>8.4</v>
      </c>
      <c r="H76" s="13" t="str">
        <f t="shared" si="1"/>
        <v>Old Movie</v>
      </c>
      <c r="I76" s="13" t="str">
        <f t="shared" si="2"/>
        <v>Normal</v>
      </c>
      <c r="J76" s="14" t="str">
        <f t="shared" si="3"/>
        <v>1 Hrs. 57 Mins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12">
        <f>IFERROR(__xludf.DUMMYFUNCTION("""COMPUTED_VALUE"""),76.0)</f>
        <v>76</v>
      </c>
      <c r="B77" s="12" t="str">
        <f>IFERROR(__xludf.DUMMYFUNCTION("""COMPUTED_VALUE"""),"High and Low")</f>
        <v>High and Low</v>
      </c>
      <c r="C77" s="12">
        <f>IFERROR(__xludf.DUMMYFUNCTION("""COMPUTED_VALUE"""),1963.0)</f>
        <v>1963</v>
      </c>
      <c r="D77" s="12" t="str">
        <f>IFERROR(__xludf.DUMMYFUNCTION("""COMPUTED_VALUE"""),"Not Rated")</f>
        <v>Not Rated</v>
      </c>
      <c r="E77" s="12">
        <f>IFERROR(__xludf.DUMMYFUNCTION("""COMPUTED_VALUE"""),143.0)</f>
        <v>143</v>
      </c>
      <c r="F77" s="12" t="str">
        <f>IFERROR(__xludf.DUMMYFUNCTION("""COMPUTED_VALUE"""),"Crime, Drama, Mystery")</f>
        <v>Crime, Drama, Mystery</v>
      </c>
      <c r="G77" s="12">
        <f>IFERROR(__xludf.DUMMYFUNCTION("""COMPUTED_VALUE"""),8.4)</f>
        <v>8.4</v>
      </c>
      <c r="H77" s="13" t="str">
        <f t="shared" si="1"/>
        <v>Old Movie</v>
      </c>
      <c r="I77" s="13" t="str">
        <f t="shared" si="2"/>
        <v>Long</v>
      </c>
      <c r="J77" s="14" t="str">
        <f t="shared" si="3"/>
        <v>2 Hrs. 23 Mins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12">
        <f>IFERROR(__xludf.DUMMYFUNCTION("""COMPUTED_VALUE"""),77.0)</f>
        <v>77</v>
      </c>
      <c r="B78" s="12" t="str">
        <f>IFERROR(__xludf.DUMMYFUNCTION("""COMPUTED_VALUE"""),"Dr. Strangelove or: How I Learned to Stop Worrying and Love the Bomb")</f>
        <v>Dr. Strangelove or: How I Learned to Stop Worrying and Love the Bomb</v>
      </c>
      <c r="C78" s="12">
        <f>IFERROR(__xludf.DUMMYFUNCTION("""COMPUTED_VALUE"""),1964.0)</f>
        <v>1964</v>
      </c>
      <c r="D78" s="12" t="str">
        <f>IFERROR(__xludf.DUMMYFUNCTION("""COMPUTED_VALUE"""),"PG")</f>
        <v>PG</v>
      </c>
      <c r="E78" s="12">
        <f>IFERROR(__xludf.DUMMYFUNCTION("""COMPUTED_VALUE"""),95.0)</f>
        <v>95</v>
      </c>
      <c r="F78" s="12" t="str">
        <f>IFERROR(__xludf.DUMMYFUNCTION("""COMPUTED_VALUE"""),"Comedy")</f>
        <v>Comedy</v>
      </c>
      <c r="G78" s="12">
        <f>IFERROR(__xludf.DUMMYFUNCTION("""COMPUTED_VALUE"""),8.4)</f>
        <v>8.4</v>
      </c>
      <c r="H78" s="13" t="str">
        <f t="shared" si="1"/>
        <v>Old Movie</v>
      </c>
      <c r="I78" s="13" t="str">
        <f t="shared" si="2"/>
        <v>Normal</v>
      </c>
      <c r="J78" s="14" t="str">
        <f t="shared" si="3"/>
        <v>1 Hrs. 35 Mins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2">
        <f>IFERROR(__xludf.DUMMYFUNCTION("""COMPUTED_VALUE"""),78.0)</f>
        <v>78</v>
      </c>
      <c r="B79" s="12" t="str">
        <f>IFERROR(__xludf.DUMMYFUNCTION("""COMPUTED_VALUE"""),"Witness for the Prosecution")</f>
        <v>Witness for the Prosecution</v>
      </c>
      <c r="C79" s="12">
        <f>IFERROR(__xludf.DUMMYFUNCTION("""COMPUTED_VALUE"""),1957.0)</f>
        <v>1957</v>
      </c>
      <c r="D79" s="12" t="str">
        <f>IFERROR(__xludf.DUMMYFUNCTION("""COMPUTED_VALUE"""),"Approved")</f>
        <v>Approved</v>
      </c>
      <c r="E79" s="12">
        <f>IFERROR(__xludf.DUMMYFUNCTION("""COMPUTED_VALUE"""),116.0)</f>
        <v>116</v>
      </c>
      <c r="F79" s="12" t="str">
        <f>IFERROR(__xludf.DUMMYFUNCTION("""COMPUTED_VALUE"""),"Crime, Drama, Mystery")</f>
        <v>Crime, Drama, Mystery</v>
      </c>
      <c r="G79" s="12">
        <f>IFERROR(__xludf.DUMMYFUNCTION("""COMPUTED_VALUE"""),8.4)</f>
        <v>8.4</v>
      </c>
      <c r="H79" s="13" t="str">
        <f t="shared" si="1"/>
        <v>Old Movie</v>
      </c>
      <c r="I79" s="13" t="str">
        <f t="shared" si="2"/>
        <v>Normal</v>
      </c>
      <c r="J79" s="14" t="str">
        <f t="shared" si="3"/>
        <v>1 Hrs. 56 Mins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12">
        <f>IFERROR(__xludf.DUMMYFUNCTION("""COMPUTED_VALUE"""),79.0)</f>
        <v>79</v>
      </c>
      <c r="B80" s="12" t="str">
        <f>IFERROR(__xludf.DUMMYFUNCTION("""COMPUTED_VALUE"""),"Paths of Glory")</f>
        <v>Paths of Glory</v>
      </c>
      <c r="C80" s="12">
        <f>IFERROR(__xludf.DUMMYFUNCTION("""COMPUTED_VALUE"""),1957.0)</f>
        <v>1957</v>
      </c>
      <c r="D80" s="12" t="str">
        <f>IFERROR(__xludf.DUMMYFUNCTION("""COMPUTED_VALUE"""),"Approved")</f>
        <v>Approved</v>
      </c>
      <c r="E80" s="12">
        <f>IFERROR(__xludf.DUMMYFUNCTION("""COMPUTED_VALUE"""),88.0)</f>
        <v>88</v>
      </c>
      <c r="F80" s="12" t="str">
        <f>IFERROR(__xludf.DUMMYFUNCTION("""COMPUTED_VALUE"""),"Drama, War")</f>
        <v>Drama, War</v>
      </c>
      <c r="G80" s="12">
        <f>IFERROR(__xludf.DUMMYFUNCTION("""COMPUTED_VALUE"""),8.4)</f>
        <v>8.4</v>
      </c>
      <c r="H80" s="13" t="str">
        <f t="shared" si="1"/>
        <v>Old Movie</v>
      </c>
      <c r="I80" s="13" t="str">
        <f t="shared" si="2"/>
        <v>Short</v>
      </c>
      <c r="J80" s="14" t="str">
        <f t="shared" si="3"/>
        <v>1 Hrs. 28 Mins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12">
        <f>IFERROR(__xludf.DUMMYFUNCTION("""COMPUTED_VALUE"""),80.0)</f>
        <v>80</v>
      </c>
      <c r="B81" s="12" t="str">
        <f>IFERROR(__xludf.DUMMYFUNCTION("""COMPUTED_VALUE"""),"Rear Window")</f>
        <v>Rear Window</v>
      </c>
      <c r="C81" s="12">
        <f>IFERROR(__xludf.DUMMYFUNCTION("""COMPUTED_VALUE"""),1954.0)</f>
        <v>1954</v>
      </c>
      <c r="D81" s="12" t="str">
        <f>IFERROR(__xludf.DUMMYFUNCTION("""COMPUTED_VALUE"""),"PG")</f>
        <v>PG</v>
      </c>
      <c r="E81" s="12">
        <f>IFERROR(__xludf.DUMMYFUNCTION("""COMPUTED_VALUE"""),112.0)</f>
        <v>112</v>
      </c>
      <c r="F81" s="12" t="str">
        <f>IFERROR(__xludf.DUMMYFUNCTION("""COMPUTED_VALUE"""),"Mystery, Thriller")</f>
        <v>Mystery, Thriller</v>
      </c>
      <c r="G81" s="12">
        <f>IFERROR(__xludf.DUMMYFUNCTION("""COMPUTED_VALUE"""),8.4)</f>
        <v>8.4</v>
      </c>
      <c r="H81" s="13" t="str">
        <f t="shared" si="1"/>
        <v>Old Movie</v>
      </c>
      <c r="I81" s="13" t="str">
        <f t="shared" si="2"/>
        <v>Normal</v>
      </c>
      <c r="J81" s="14" t="str">
        <f t="shared" si="3"/>
        <v>1 Hrs. 52 Mins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12">
        <f>IFERROR(__xludf.DUMMYFUNCTION("""COMPUTED_VALUE"""),81.0)</f>
        <v>81</v>
      </c>
      <c r="B82" s="12" t="str">
        <f>IFERROR(__xludf.DUMMYFUNCTION("""COMPUTED_VALUE"""),"Sunset Blvd.")</f>
        <v>Sunset Blvd.</v>
      </c>
      <c r="C82" s="12">
        <f>IFERROR(__xludf.DUMMYFUNCTION("""COMPUTED_VALUE"""),1950.0)</f>
        <v>1950</v>
      </c>
      <c r="D82" s="12" t="str">
        <f>IFERROR(__xludf.DUMMYFUNCTION("""COMPUTED_VALUE"""),"Passed")</f>
        <v>Passed</v>
      </c>
      <c r="E82" s="12">
        <f>IFERROR(__xludf.DUMMYFUNCTION("""COMPUTED_VALUE"""),110.0)</f>
        <v>110</v>
      </c>
      <c r="F82" s="12" t="str">
        <f>IFERROR(__xludf.DUMMYFUNCTION("""COMPUTED_VALUE"""),"Drama, Film-Noir")</f>
        <v>Drama, Film-Noir</v>
      </c>
      <c r="G82" s="12">
        <f>IFERROR(__xludf.DUMMYFUNCTION("""COMPUTED_VALUE"""),8.4)</f>
        <v>8.4</v>
      </c>
      <c r="H82" s="13" t="str">
        <f t="shared" si="1"/>
        <v>Old Movie</v>
      </c>
      <c r="I82" s="13" t="str">
        <f t="shared" si="2"/>
        <v>Normal</v>
      </c>
      <c r="J82" s="14" t="str">
        <f t="shared" si="3"/>
        <v>1 Hrs. 50 Mins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2">
        <f>IFERROR(__xludf.DUMMYFUNCTION("""COMPUTED_VALUE"""),82.0)</f>
        <v>82</v>
      </c>
      <c r="B83" s="12" t="str">
        <f>IFERROR(__xludf.DUMMYFUNCTION("""COMPUTED_VALUE"""),"The Great Dictator")</f>
        <v>The Great Dictator</v>
      </c>
      <c r="C83" s="12">
        <f>IFERROR(__xludf.DUMMYFUNCTION("""COMPUTED_VALUE"""),1940.0)</f>
        <v>1940</v>
      </c>
      <c r="D83" s="12" t="str">
        <f>IFERROR(__xludf.DUMMYFUNCTION("""COMPUTED_VALUE"""),"Passed")</f>
        <v>Passed</v>
      </c>
      <c r="E83" s="12">
        <f>IFERROR(__xludf.DUMMYFUNCTION("""COMPUTED_VALUE"""),125.0)</f>
        <v>125</v>
      </c>
      <c r="F83" s="12" t="str">
        <f>IFERROR(__xludf.DUMMYFUNCTION("""COMPUTED_VALUE"""),"Comedy, Drama, War")</f>
        <v>Comedy, Drama, War</v>
      </c>
      <c r="G83" s="12">
        <f>IFERROR(__xludf.DUMMYFUNCTION("""COMPUTED_VALUE"""),8.4)</f>
        <v>8.4</v>
      </c>
      <c r="H83" s="13" t="str">
        <f t="shared" si="1"/>
        <v>Old Movie</v>
      </c>
      <c r="I83" s="13" t="str">
        <f t="shared" si="2"/>
        <v>Long</v>
      </c>
      <c r="J83" s="14" t="str">
        <f t="shared" si="3"/>
        <v>2 Hrs. 5 Mins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2">
        <f>IFERROR(__xludf.DUMMYFUNCTION("""COMPUTED_VALUE"""),83.0)</f>
        <v>83</v>
      </c>
      <c r="B84" s="12" t="str">
        <f>IFERROR(__xludf.DUMMYFUNCTION("""COMPUTED_VALUE"""),"1917")</f>
        <v>1917</v>
      </c>
      <c r="C84" s="12">
        <f>IFERROR(__xludf.DUMMYFUNCTION("""COMPUTED_VALUE"""),2019.0)</f>
        <v>2019</v>
      </c>
      <c r="D84" s="12" t="str">
        <f>IFERROR(__xludf.DUMMYFUNCTION("""COMPUTED_VALUE"""),"R")</f>
        <v>R</v>
      </c>
      <c r="E84" s="12">
        <f>IFERROR(__xludf.DUMMYFUNCTION("""COMPUTED_VALUE"""),119.0)</f>
        <v>119</v>
      </c>
      <c r="F84" s="12" t="str">
        <f>IFERROR(__xludf.DUMMYFUNCTION("""COMPUTED_VALUE"""),"Drama, War")</f>
        <v>Drama, War</v>
      </c>
      <c r="G84" s="12">
        <f>IFERROR(__xludf.DUMMYFUNCTION("""COMPUTED_VALUE"""),8.3)</f>
        <v>8.3</v>
      </c>
      <c r="H84" s="13" t="str">
        <f t="shared" si="1"/>
        <v>New Movie</v>
      </c>
      <c r="I84" s="13" t="str">
        <f t="shared" si="2"/>
        <v>Normal</v>
      </c>
      <c r="J84" s="14" t="str">
        <f t="shared" si="3"/>
        <v>1 Hrs. 59 Mins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2">
        <f>IFERROR(__xludf.DUMMYFUNCTION("""COMPUTED_VALUE"""),84.0)</f>
        <v>84</v>
      </c>
      <c r="B85" s="12" t="str">
        <f>IFERROR(__xludf.DUMMYFUNCTION("""COMPUTED_VALUE"""),"Uri: The Surgical Strike")</f>
        <v>Uri: The Surgical Strike</v>
      </c>
      <c r="C85" s="12">
        <f>IFERROR(__xludf.DUMMYFUNCTION("""COMPUTED_VALUE"""),2019.0)</f>
        <v>2019</v>
      </c>
      <c r="D85" s="12" t="str">
        <f>IFERROR(__xludf.DUMMYFUNCTION("""COMPUTED_VALUE"""),"Not Rated")</f>
        <v>Not Rated</v>
      </c>
      <c r="E85" s="12">
        <f>IFERROR(__xludf.DUMMYFUNCTION("""COMPUTED_VALUE"""),138.0)</f>
        <v>138</v>
      </c>
      <c r="F85" s="12" t="str">
        <f>IFERROR(__xludf.DUMMYFUNCTION("""COMPUTED_VALUE"""),"Action, Drama, War")</f>
        <v>Action, Drama, War</v>
      </c>
      <c r="G85" s="12">
        <f>IFERROR(__xludf.DUMMYFUNCTION("""COMPUTED_VALUE"""),8.3)</f>
        <v>8.3</v>
      </c>
      <c r="H85" s="13" t="str">
        <f t="shared" si="1"/>
        <v>New Movie</v>
      </c>
      <c r="I85" s="13" t="str">
        <f t="shared" si="2"/>
        <v>Long</v>
      </c>
      <c r="J85" s="14" t="str">
        <f t="shared" si="3"/>
        <v>2 Hrs. 18 Mins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2">
        <f>IFERROR(__xludf.DUMMYFUNCTION("""COMPUTED_VALUE"""),85.0)</f>
        <v>85</v>
      </c>
      <c r="B86" s="12" t="str">
        <f>IFERROR(__xludf.DUMMYFUNCTION("""COMPUTED_VALUE"""),"Tumbbad")</f>
        <v>Tumbbad</v>
      </c>
      <c r="C86" s="12">
        <f>IFERROR(__xludf.DUMMYFUNCTION("""COMPUTED_VALUE"""),2018.0)</f>
        <v>2018</v>
      </c>
      <c r="D86" s="12" t="str">
        <f>IFERROR(__xludf.DUMMYFUNCTION("""COMPUTED_VALUE"""),"Not Rated")</f>
        <v>Not Rated</v>
      </c>
      <c r="E86" s="12">
        <f>IFERROR(__xludf.DUMMYFUNCTION("""COMPUTED_VALUE"""),104.0)</f>
        <v>104</v>
      </c>
      <c r="F86" s="12" t="str">
        <f>IFERROR(__xludf.DUMMYFUNCTION("""COMPUTED_VALUE"""),"Drama, Fantasy, Horror")</f>
        <v>Drama, Fantasy, Horror</v>
      </c>
      <c r="G86" s="12">
        <f>IFERROR(__xludf.DUMMYFUNCTION("""COMPUTED_VALUE"""),8.3)</f>
        <v>8.3</v>
      </c>
      <c r="H86" s="13" t="str">
        <f t="shared" si="1"/>
        <v>New Movie</v>
      </c>
      <c r="I86" s="13" t="str">
        <f t="shared" si="2"/>
        <v>Normal</v>
      </c>
      <c r="J86" s="14" t="str">
        <f t="shared" si="3"/>
        <v>1 Hrs. 44 Mins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12">
        <f>IFERROR(__xludf.DUMMYFUNCTION("""COMPUTED_VALUE"""),86.0)</f>
        <v>86</v>
      </c>
      <c r="B87" s="12" t="str">
        <f>IFERROR(__xludf.DUMMYFUNCTION("""COMPUTED_VALUE"""),"Andhadhun")</f>
        <v>Andhadhun</v>
      </c>
      <c r="C87" s="12">
        <f>IFERROR(__xludf.DUMMYFUNCTION("""COMPUTED_VALUE"""),2018.0)</f>
        <v>2018</v>
      </c>
      <c r="D87" s="12" t="str">
        <f>IFERROR(__xludf.DUMMYFUNCTION("""COMPUTED_VALUE"""),"Not Rated")</f>
        <v>Not Rated</v>
      </c>
      <c r="E87" s="12">
        <f>IFERROR(__xludf.DUMMYFUNCTION("""COMPUTED_VALUE"""),139.0)</f>
        <v>139</v>
      </c>
      <c r="F87" s="12" t="str">
        <f>IFERROR(__xludf.DUMMYFUNCTION("""COMPUTED_VALUE"""),"Crime, Thriller")</f>
        <v>Crime, Thriller</v>
      </c>
      <c r="G87" s="12">
        <f>IFERROR(__xludf.DUMMYFUNCTION("""COMPUTED_VALUE"""),8.3)</f>
        <v>8.3</v>
      </c>
      <c r="H87" s="13" t="str">
        <f t="shared" si="1"/>
        <v>New Movie</v>
      </c>
      <c r="I87" s="13" t="str">
        <f t="shared" si="2"/>
        <v>Long</v>
      </c>
      <c r="J87" s="14" t="str">
        <f t="shared" si="3"/>
        <v>2 Hrs. 19 Mins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12">
        <f>IFERROR(__xludf.DUMMYFUNCTION("""COMPUTED_VALUE"""),87.0)</f>
        <v>87</v>
      </c>
      <c r="B88" s="12" t="str">
        <f>IFERROR(__xludf.DUMMYFUNCTION("""COMPUTED_VALUE"""),"Drishyam")</f>
        <v>Drishyam</v>
      </c>
      <c r="C88" s="12">
        <f>IFERROR(__xludf.DUMMYFUNCTION("""COMPUTED_VALUE"""),2013.0)</f>
        <v>2013</v>
      </c>
      <c r="D88" s="12" t="str">
        <f>IFERROR(__xludf.DUMMYFUNCTION("""COMPUTED_VALUE"""),"Not Rated")</f>
        <v>Not Rated</v>
      </c>
      <c r="E88" s="12">
        <f>IFERROR(__xludf.DUMMYFUNCTION("""COMPUTED_VALUE"""),160.0)</f>
        <v>160</v>
      </c>
      <c r="F88" s="12" t="str">
        <f>IFERROR(__xludf.DUMMYFUNCTION("""COMPUTED_VALUE"""),"Crime, Drama, Thriller")</f>
        <v>Crime, Drama, Thriller</v>
      </c>
      <c r="G88" s="12">
        <f>IFERROR(__xludf.DUMMYFUNCTION("""COMPUTED_VALUE"""),8.3)</f>
        <v>8.3</v>
      </c>
      <c r="H88" s="13" t="str">
        <f t="shared" si="1"/>
        <v>New Movie</v>
      </c>
      <c r="I88" s="13" t="str">
        <f t="shared" si="2"/>
        <v>Long</v>
      </c>
      <c r="J88" s="14" t="str">
        <f t="shared" si="3"/>
        <v>2 Hrs. 40 Mins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2">
        <f>IFERROR(__xludf.DUMMYFUNCTION("""COMPUTED_VALUE"""),88.0)</f>
        <v>88</v>
      </c>
      <c r="B89" s="12" t="str">
        <f>IFERROR(__xludf.DUMMYFUNCTION("""COMPUTED_VALUE"""),"The Hunt")</f>
        <v>The Hunt</v>
      </c>
      <c r="C89" s="12">
        <f>IFERROR(__xludf.DUMMYFUNCTION("""COMPUTED_VALUE"""),2012.0)</f>
        <v>2012</v>
      </c>
      <c r="D89" s="12" t="str">
        <f>IFERROR(__xludf.DUMMYFUNCTION("""COMPUTED_VALUE"""),"R")</f>
        <v>R</v>
      </c>
      <c r="E89" s="12">
        <f>IFERROR(__xludf.DUMMYFUNCTION("""COMPUTED_VALUE"""),115.0)</f>
        <v>115</v>
      </c>
      <c r="F89" s="12" t="str">
        <f>IFERROR(__xludf.DUMMYFUNCTION("""COMPUTED_VALUE"""),"Drama")</f>
        <v>Drama</v>
      </c>
      <c r="G89" s="12">
        <f>IFERROR(__xludf.DUMMYFUNCTION("""COMPUTED_VALUE"""),8.3)</f>
        <v>8.3</v>
      </c>
      <c r="H89" s="13" t="str">
        <f t="shared" si="1"/>
        <v>New Movie</v>
      </c>
      <c r="I89" s="13" t="str">
        <f t="shared" si="2"/>
        <v>Normal</v>
      </c>
      <c r="J89" s="14" t="str">
        <f t="shared" si="3"/>
        <v>1 Hrs. 55 Mins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12">
        <f>IFERROR(__xludf.DUMMYFUNCTION("""COMPUTED_VALUE"""),89.0)</f>
        <v>89</v>
      </c>
      <c r="B90" s="12" t="str">
        <f>IFERROR(__xludf.DUMMYFUNCTION("""COMPUTED_VALUE"""),"A Separation")</f>
        <v>A Separation</v>
      </c>
      <c r="C90" s="12">
        <f>IFERROR(__xludf.DUMMYFUNCTION("""COMPUTED_VALUE"""),2011.0)</f>
        <v>2011</v>
      </c>
      <c r="D90" s="12" t="str">
        <f>IFERROR(__xludf.DUMMYFUNCTION("""COMPUTED_VALUE"""),"PG-13")</f>
        <v>PG-13</v>
      </c>
      <c r="E90" s="12">
        <f>IFERROR(__xludf.DUMMYFUNCTION("""COMPUTED_VALUE"""),123.0)</f>
        <v>123</v>
      </c>
      <c r="F90" s="12" t="str">
        <f>IFERROR(__xludf.DUMMYFUNCTION("""COMPUTED_VALUE"""),"Drama, Thriller")</f>
        <v>Drama, Thriller</v>
      </c>
      <c r="G90" s="12">
        <f>IFERROR(__xludf.DUMMYFUNCTION("""COMPUTED_VALUE"""),8.3)</f>
        <v>8.3</v>
      </c>
      <c r="H90" s="13" t="str">
        <f t="shared" si="1"/>
        <v>New Movie</v>
      </c>
      <c r="I90" s="13" t="str">
        <f t="shared" si="2"/>
        <v>Long</v>
      </c>
      <c r="J90" s="14" t="str">
        <f t="shared" si="3"/>
        <v>2 Hrs. 3 Mins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12">
        <f>IFERROR(__xludf.DUMMYFUNCTION("""COMPUTED_VALUE"""),90.0)</f>
        <v>90</v>
      </c>
      <c r="B91" s="12" t="str">
        <f>IFERROR(__xludf.DUMMYFUNCTION("""COMPUTED_VALUE"""),"Incendies")</f>
        <v>Incendies</v>
      </c>
      <c r="C91" s="12">
        <f>IFERROR(__xludf.DUMMYFUNCTION("""COMPUTED_VALUE"""),2010.0)</f>
        <v>2010</v>
      </c>
      <c r="D91" s="12" t="str">
        <f>IFERROR(__xludf.DUMMYFUNCTION("""COMPUTED_VALUE"""),"R")</f>
        <v>R</v>
      </c>
      <c r="E91" s="12">
        <f>IFERROR(__xludf.DUMMYFUNCTION("""COMPUTED_VALUE"""),131.0)</f>
        <v>131</v>
      </c>
      <c r="F91" s="12" t="str">
        <f>IFERROR(__xludf.DUMMYFUNCTION("""COMPUTED_VALUE"""),"Drama, Mystery, War")</f>
        <v>Drama, Mystery, War</v>
      </c>
      <c r="G91" s="12">
        <f>IFERROR(__xludf.DUMMYFUNCTION("""COMPUTED_VALUE"""),8.3)</f>
        <v>8.3</v>
      </c>
      <c r="H91" s="13" t="str">
        <f t="shared" si="1"/>
        <v>New Movie</v>
      </c>
      <c r="I91" s="13" t="str">
        <f t="shared" si="2"/>
        <v>Long</v>
      </c>
      <c r="J91" s="14" t="str">
        <f t="shared" si="3"/>
        <v>2 Hrs. 11 Mins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2">
        <f>IFERROR(__xludf.DUMMYFUNCTION("""COMPUTED_VALUE"""),91.0)</f>
        <v>91</v>
      </c>
      <c r="B92" s="12" t="str">
        <f>IFERROR(__xludf.DUMMYFUNCTION("""COMPUTED_VALUE"""),"Yedinci Kogustaki Mucize")</f>
        <v>Yedinci Kogustaki Mucize</v>
      </c>
      <c r="C92" s="12">
        <f>IFERROR(__xludf.DUMMYFUNCTION("""COMPUTED_VALUE"""),2019.0)</f>
        <v>2019</v>
      </c>
      <c r="D92" s="12"/>
      <c r="E92" s="12">
        <f>IFERROR(__xludf.DUMMYFUNCTION("""COMPUTED_VALUE"""),132.0)</f>
        <v>132</v>
      </c>
      <c r="F92" s="12" t="str">
        <f>IFERROR(__xludf.DUMMYFUNCTION("""COMPUTED_VALUE"""),"Drama")</f>
        <v>Drama</v>
      </c>
      <c r="G92" s="12">
        <f>IFERROR(__xludf.DUMMYFUNCTION("""COMPUTED_VALUE"""),8.3)</f>
        <v>8.3</v>
      </c>
      <c r="H92" s="13" t="str">
        <f t="shared" si="1"/>
        <v>New Movie</v>
      </c>
      <c r="I92" s="13" t="str">
        <f t="shared" si="2"/>
        <v>Long</v>
      </c>
      <c r="J92" s="14" t="str">
        <f t="shared" si="3"/>
        <v>2 Hrs. 12 Mins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12">
        <f>IFERROR(__xludf.DUMMYFUNCTION("""COMPUTED_VALUE"""),92.0)</f>
        <v>92</v>
      </c>
      <c r="B93" s="12" t="str">
        <f>IFERROR(__xludf.DUMMYFUNCTION("""COMPUTED_VALUE"""),"Babam ve Oglum")</f>
        <v>Babam ve Oglum</v>
      </c>
      <c r="C93" s="12">
        <f>IFERROR(__xludf.DUMMYFUNCTION("""COMPUTED_VALUE"""),2005.0)</f>
        <v>2005</v>
      </c>
      <c r="D93" s="12"/>
      <c r="E93" s="12">
        <f>IFERROR(__xludf.DUMMYFUNCTION("""COMPUTED_VALUE"""),112.0)</f>
        <v>112</v>
      </c>
      <c r="F93" s="12" t="str">
        <f>IFERROR(__xludf.DUMMYFUNCTION("""COMPUTED_VALUE"""),"Drama, Family")</f>
        <v>Drama, Family</v>
      </c>
      <c r="G93" s="12">
        <f>IFERROR(__xludf.DUMMYFUNCTION("""COMPUTED_VALUE"""),8.3)</f>
        <v>8.3</v>
      </c>
      <c r="H93" s="13" t="str">
        <f t="shared" si="1"/>
        <v>New Movie</v>
      </c>
      <c r="I93" s="13" t="str">
        <f t="shared" si="2"/>
        <v>Normal</v>
      </c>
      <c r="J93" s="14" t="str">
        <f t="shared" si="3"/>
        <v>1 Hrs. 52 Mins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12">
        <f>IFERROR(__xludf.DUMMYFUNCTION("""COMPUTED_VALUE"""),93.0)</f>
        <v>93</v>
      </c>
      <c r="B94" s="12" t="str">
        <f>IFERROR(__xludf.DUMMYFUNCTION("""COMPUTED_VALUE"""),"Toy Story 3")</f>
        <v>Toy Story 3</v>
      </c>
      <c r="C94" s="12">
        <f>IFERROR(__xludf.DUMMYFUNCTION("""COMPUTED_VALUE"""),2010.0)</f>
        <v>2010</v>
      </c>
      <c r="D94" s="12" t="str">
        <f>IFERROR(__xludf.DUMMYFUNCTION("""COMPUTED_VALUE"""),"G")</f>
        <v>G</v>
      </c>
      <c r="E94" s="12">
        <f>IFERROR(__xludf.DUMMYFUNCTION("""COMPUTED_VALUE"""),103.0)</f>
        <v>103</v>
      </c>
      <c r="F94" s="12" t="str">
        <f>IFERROR(__xludf.DUMMYFUNCTION("""COMPUTED_VALUE"""),"Animation, Adventure, Comedy")</f>
        <v>Animation, Adventure, Comedy</v>
      </c>
      <c r="G94" s="12">
        <f>IFERROR(__xludf.DUMMYFUNCTION("""COMPUTED_VALUE"""),8.3)</f>
        <v>8.3</v>
      </c>
      <c r="H94" s="13" t="str">
        <f t="shared" si="1"/>
        <v>New Movie</v>
      </c>
      <c r="I94" s="13" t="str">
        <f t="shared" si="2"/>
        <v>Normal</v>
      </c>
      <c r="J94" s="14" t="str">
        <f t="shared" si="3"/>
        <v>1 Hrs. 43 Mins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2">
        <f>IFERROR(__xludf.DUMMYFUNCTION("""COMPUTED_VALUE"""),94.0)</f>
        <v>94</v>
      </c>
      <c r="B95" s="12" t="str">
        <f>IFERROR(__xludf.DUMMYFUNCTION("""COMPUTED_VALUE"""),"Inglourious Basterds")</f>
        <v>Inglourious Basterds</v>
      </c>
      <c r="C95" s="12">
        <f>IFERROR(__xludf.DUMMYFUNCTION("""COMPUTED_VALUE"""),2009.0)</f>
        <v>2009</v>
      </c>
      <c r="D95" s="12" t="str">
        <f>IFERROR(__xludf.DUMMYFUNCTION("""COMPUTED_VALUE"""),"R")</f>
        <v>R</v>
      </c>
      <c r="E95" s="12">
        <f>IFERROR(__xludf.DUMMYFUNCTION("""COMPUTED_VALUE"""),153.0)</f>
        <v>153</v>
      </c>
      <c r="F95" s="12" t="str">
        <f>IFERROR(__xludf.DUMMYFUNCTION("""COMPUTED_VALUE"""),"Adventure, Drama, War")</f>
        <v>Adventure, Drama, War</v>
      </c>
      <c r="G95" s="12">
        <f>IFERROR(__xludf.DUMMYFUNCTION("""COMPUTED_VALUE"""),8.3)</f>
        <v>8.3</v>
      </c>
      <c r="H95" s="13" t="str">
        <f t="shared" si="1"/>
        <v>New Movie</v>
      </c>
      <c r="I95" s="13" t="str">
        <f t="shared" si="2"/>
        <v>Long</v>
      </c>
      <c r="J95" s="14" t="str">
        <f t="shared" si="3"/>
        <v>2 Hrs. 33 Mins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12">
        <f>IFERROR(__xludf.DUMMYFUNCTION("""COMPUTED_VALUE"""),95.0)</f>
        <v>95</v>
      </c>
      <c r="B96" s="12" t="str">
        <f>IFERROR(__xludf.DUMMYFUNCTION("""COMPUTED_VALUE"""),"Eternal Sunshine of the Spotless Mind")</f>
        <v>Eternal Sunshine of the Spotless Mind</v>
      </c>
      <c r="C96" s="12">
        <f>IFERROR(__xludf.DUMMYFUNCTION("""COMPUTED_VALUE"""),2004.0)</f>
        <v>2004</v>
      </c>
      <c r="D96" s="12" t="str">
        <f>IFERROR(__xludf.DUMMYFUNCTION("""COMPUTED_VALUE"""),"R")</f>
        <v>R</v>
      </c>
      <c r="E96" s="12">
        <f>IFERROR(__xludf.DUMMYFUNCTION("""COMPUTED_VALUE"""),108.0)</f>
        <v>108</v>
      </c>
      <c r="F96" s="12" t="str">
        <f>IFERROR(__xludf.DUMMYFUNCTION("""COMPUTED_VALUE"""),"Drama, Romance, Sci-Fi")</f>
        <v>Drama, Romance, Sci-Fi</v>
      </c>
      <c r="G96" s="12">
        <f>IFERROR(__xludf.DUMMYFUNCTION("""COMPUTED_VALUE"""),8.3)</f>
        <v>8.3</v>
      </c>
      <c r="H96" s="13" t="str">
        <f t="shared" si="1"/>
        <v>New Movie</v>
      </c>
      <c r="I96" s="13" t="str">
        <f t="shared" si="2"/>
        <v>Normal</v>
      </c>
      <c r="J96" s="14" t="str">
        <f t="shared" si="3"/>
        <v>1 Hrs. 48 Mins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12">
        <f>IFERROR(__xludf.DUMMYFUNCTION("""COMPUTED_VALUE"""),96.0)</f>
        <v>96</v>
      </c>
      <c r="B97" s="12" t="str">
        <f>IFERROR(__xludf.DUMMYFUNCTION("""COMPUTED_VALUE"""),"Amélie")</f>
        <v>Amélie</v>
      </c>
      <c r="C97" s="12">
        <f>IFERROR(__xludf.DUMMYFUNCTION("""COMPUTED_VALUE"""),2001.0)</f>
        <v>2001</v>
      </c>
      <c r="D97" s="12" t="str">
        <f>IFERROR(__xludf.DUMMYFUNCTION("""COMPUTED_VALUE"""),"R")</f>
        <v>R</v>
      </c>
      <c r="E97" s="12">
        <f>IFERROR(__xludf.DUMMYFUNCTION("""COMPUTED_VALUE"""),122.0)</f>
        <v>122</v>
      </c>
      <c r="F97" s="12" t="str">
        <f>IFERROR(__xludf.DUMMYFUNCTION("""COMPUTED_VALUE"""),"Comedy, Romance")</f>
        <v>Comedy, Romance</v>
      </c>
      <c r="G97" s="12">
        <f>IFERROR(__xludf.DUMMYFUNCTION("""COMPUTED_VALUE"""),8.3)</f>
        <v>8.3</v>
      </c>
      <c r="H97" s="13" t="str">
        <f t="shared" si="1"/>
        <v>New Movie</v>
      </c>
      <c r="I97" s="13" t="str">
        <f t="shared" si="2"/>
        <v>Long</v>
      </c>
      <c r="J97" s="14" t="str">
        <f t="shared" si="3"/>
        <v>2 Hrs. 2 Mins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12">
        <f>IFERROR(__xludf.DUMMYFUNCTION("""COMPUTED_VALUE"""),97.0)</f>
        <v>97</v>
      </c>
      <c r="B98" s="12" t="str">
        <f>IFERROR(__xludf.DUMMYFUNCTION("""COMPUTED_VALUE"""),"Snatch")</f>
        <v>Snatch</v>
      </c>
      <c r="C98" s="12">
        <f>IFERROR(__xludf.DUMMYFUNCTION("""COMPUTED_VALUE"""),2000.0)</f>
        <v>2000</v>
      </c>
      <c r="D98" s="12" t="str">
        <f>IFERROR(__xludf.DUMMYFUNCTION("""COMPUTED_VALUE"""),"R")</f>
        <v>R</v>
      </c>
      <c r="E98" s="12">
        <f>IFERROR(__xludf.DUMMYFUNCTION("""COMPUTED_VALUE"""),102.0)</f>
        <v>102</v>
      </c>
      <c r="F98" s="12" t="str">
        <f>IFERROR(__xludf.DUMMYFUNCTION("""COMPUTED_VALUE"""),"Comedy, Crime")</f>
        <v>Comedy, Crime</v>
      </c>
      <c r="G98" s="12">
        <f>IFERROR(__xludf.DUMMYFUNCTION("""COMPUTED_VALUE"""),8.3)</f>
        <v>8.3</v>
      </c>
      <c r="H98" s="13" t="str">
        <f t="shared" si="1"/>
        <v>New Movie</v>
      </c>
      <c r="I98" s="13" t="str">
        <f t="shared" si="2"/>
        <v>Normal</v>
      </c>
      <c r="J98" s="14" t="str">
        <f t="shared" si="3"/>
        <v>1 Hrs. 42 Mins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2">
        <f>IFERROR(__xludf.DUMMYFUNCTION("""COMPUTED_VALUE"""),98.0)</f>
        <v>98</v>
      </c>
      <c r="B99" s="12" t="str">
        <f>IFERROR(__xludf.DUMMYFUNCTION("""COMPUTED_VALUE"""),"Requiem for a Dream")</f>
        <v>Requiem for a Dream</v>
      </c>
      <c r="C99" s="12">
        <f>IFERROR(__xludf.DUMMYFUNCTION("""COMPUTED_VALUE"""),2000.0)</f>
        <v>2000</v>
      </c>
      <c r="D99" s="12" t="str">
        <f>IFERROR(__xludf.DUMMYFUNCTION("""COMPUTED_VALUE"""),"R")</f>
        <v>R</v>
      </c>
      <c r="E99" s="12">
        <f>IFERROR(__xludf.DUMMYFUNCTION("""COMPUTED_VALUE"""),102.0)</f>
        <v>102</v>
      </c>
      <c r="F99" s="12" t="str">
        <f>IFERROR(__xludf.DUMMYFUNCTION("""COMPUTED_VALUE"""),"Drama")</f>
        <v>Drama</v>
      </c>
      <c r="G99" s="12">
        <f>IFERROR(__xludf.DUMMYFUNCTION("""COMPUTED_VALUE"""),8.3)</f>
        <v>8.3</v>
      </c>
      <c r="H99" s="13" t="str">
        <f t="shared" si="1"/>
        <v>New Movie</v>
      </c>
      <c r="I99" s="13" t="str">
        <f t="shared" si="2"/>
        <v>Normal</v>
      </c>
      <c r="J99" s="14" t="str">
        <f t="shared" si="3"/>
        <v>1 Hrs. 42 Mins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12">
        <f>IFERROR(__xludf.DUMMYFUNCTION("""COMPUTED_VALUE"""),99.0)</f>
        <v>99</v>
      </c>
      <c r="B100" s="12" t="str">
        <f>IFERROR(__xludf.DUMMYFUNCTION("""COMPUTED_VALUE"""),"American Beauty")</f>
        <v>American Beauty</v>
      </c>
      <c r="C100" s="12">
        <f>IFERROR(__xludf.DUMMYFUNCTION("""COMPUTED_VALUE"""),1999.0)</f>
        <v>1999</v>
      </c>
      <c r="D100" s="12" t="str">
        <f>IFERROR(__xludf.DUMMYFUNCTION("""COMPUTED_VALUE"""),"R")</f>
        <v>R</v>
      </c>
      <c r="E100" s="12">
        <f>IFERROR(__xludf.DUMMYFUNCTION("""COMPUTED_VALUE"""),122.0)</f>
        <v>122</v>
      </c>
      <c r="F100" s="12" t="str">
        <f>IFERROR(__xludf.DUMMYFUNCTION("""COMPUTED_VALUE"""),"Drama")</f>
        <v>Drama</v>
      </c>
      <c r="G100" s="12">
        <f>IFERROR(__xludf.DUMMYFUNCTION("""COMPUTED_VALUE"""),8.3)</f>
        <v>8.3</v>
      </c>
      <c r="H100" s="13" t="str">
        <f t="shared" si="1"/>
        <v>Old Movie</v>
      </c>
      <c r="I100" s="13" t="str">
        <f t="shared" si="2"/>
        <v>Long</v>
      </c>
      <c r="J100" s="14" t="str">
        <f t="shared" si="3"/>
        <v>2 Hrs. 2 Mins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12">
        <f>IFERROR(__xludf.DUMMYFUNCTION("""COMPUTED_VALUE"""),100.0)</f>
        <v>100</v>
      </c>
      <c r="B101" s="12" t="str">
        <f>IFERROR(__xludf.DUMMYFUNCTION("""COMPUTED_VALUE"""),"Good Will Hunting")</f>
        <v>Good Will Hunting</v>
      </c>
      <c r="C101" s="12">
        <f>IFERROR(__xludf.DUMMYFUNCTION("""COMPUTED_VALUE"""),1997.0)</f>
        <v>1997</v>
      </c>
      <c r="D101" s="12" t="str">
        <f>IFERROR(__xludf.DUMMYFUNCTION("""COMPUTED_VALUE"""),"R")</f>
        <v>R</v>
      </c>
      <c r="E101" s="12">
        <f>IFERROR(__xludf.DUMMYFUNCTION("""COMPUTED_VALUE"""),126.0)</f>
        <v>126</v>
      </c>
      <c r="F101" s="12" t="str">
        <f>IFERROR(__xludf.DUMMYFUNCTION("""COMPUTED_VALUE"""),"Drama, Romance")</f>
        <v>Drama, Romance</v>
      </c>
      <c r="G101" s="12">
        <f>IFERROR(__xludf.DUMMYFUNCTION("""COMPUTED_VALUE"""),8.3)</f>
        <v>8.3</v>
      </c>
      <c r="H101" s="13" t="str">
        <f t="shared" si="1"/>
        <v>Old Movie</v>
      </c>
      <c r="I101" s="13" t="str">
        <f t="shared" si="2"/>
        <v>Long</v>
      </c>
      <c r="J101" s="14" t="str">
        <f t="shared" si="3"/>
        <v>2 Hrs. 6 Mins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5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autoFilter ref="$A$1:$J$101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63"/>
    <col customWidth="1" min="2" max="2" width="28.38"/>
    <col customWidth="1" min="3" max="3" width="5.25"/>
    <col customWidth="1" min="4" max="4" width="7.0"/>
    <col customWidth="1" min="5" max="5" width="7.75"/>
    <col customWidth="1" min="6" max="6" width="22.63"/>
    <col customWidth="1" min="7" max="7" width="6.63"/>
    <col customWidth="1" min="9" max="9" width="9.63"/>
    <col customWidth="1" min="10" max="10" width="41.38"/>
    <col customWidth="1" min="11" max="11" width="5.25"/>
    <col customWidth="1" min="12" max="12" width="9.13"/>
    <col customWidth="1" min="13" max="13" width="7.75"/>
    <col customWidth="1" min="14" max="14" width="24.88"/>
    <col customWidth="1" min="15" max="15" width="6.63"/>
  </cols>
  <sheetData>
    <row r="1">
      <c r="A1" s="23" t="s">
        <v>186</v>
      </c>
      <c r="B1" s="9"/>
      <c r="C1" s="9"/>
      <c r="D1" s="9"/>
      <c r="E1" s="9"/>
      <c r="F1" s="9"/>
      <c r="G1" s="9"/>
      <c r="H1" s="9"/>
      <c r="I1" s="23" t="s">
        <v>187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4" t="str">
        <f>IFERROR(__xludf.DUMMYFUNCTION("QUERY(IMDB, ""SELECT * WHERE D = 'R' AND G &gt; 8.5 "")"),"NO")</f>
        <v>NO</v>
      </c>
      <c r="B2" s="25" t="str">
        <f>IFERROR(__xludf.DUMMYFUNCTION("""COMPUTED_VALUE"""),"MOVIE_NAME")</f>
        <v>MOVIE_NAME</v>
      </c>
      <c r="C2" s="25" t="str">
        <f>IFERROR(__xludf.DUMMYFUNCTION("""COMPUTED_VALUE"""),"YEAR")</f>
        <v>YEAR</v>
      </c>
      <c r="D2" s="26" t="str">
        <f>IFERROR(__xludf.DUMMYFUNCTION("""COMPUTED_VALUE"""),"RATING")</f>
        <v>RATING</v>
      </c>
      <c r="E2" s="25" t="str">
        <f>IFERROR(__xludf.DUMMYFUNCTION("""COMPUTED_VALUE"""),"LENGTH")</f>
        <v>LENGTH</v>
      </c>
      <c r="F2" s="25" t="str">
        <f>IFERROR(__xludf.DUMMYFUNCTION("""COMPUTED_VALUE"""),"GENRE")</f>
        <v>GENRE</v>
      </c>
      <c r="G2" s="26" t="str">
        <f>IFERROR(__xludf.DUMMYFUNCTION("""COMPUTED_VALUE"""),"SCORE")</f>
        <v>SCORE</v>
      </c>
      <c r="H2" s="9"/>
      <c r="I2" s="24" t="str">
        <f>IFERROR(__xludf.DUMMYFUNCTION("QUERY(IMDB, ""SELECT * WHERE F LIKE '%Adventure%' AND G &gt; 8.5 "")"),"NO")</f>
        <v>NO</v>
      </c>
      <c r="J2" s="25" t="str">
        <f>IFERROR(__xludf.DUMMYFUNCTION("""COMPUTED_VALUE"""),"MOVIE_NAME")</f>
        <v>MOVIE_NAME</v>
      </c>
      <c r="K2" s="25" t="str">
        <f>IFERROR(__xludf.DUMMYFUNCTION("""COMPUTED_VALUE"""),"YEAR")</f>
        <v>YEAR</v>
      </c>
      <c r="L2" s="25" t="str">
        <f>IFERROR(__xludf.DUMMYFUNCTION("""COMPUTED_VALUE"""),"RATING")</f>
        <v>RATING</v>
      </c>
      <c r="M2" s="25" t="str">
        <f>IFERROR(__xludf.DUMMYFUNCTION("""COMPUTED_VALUE"""),"LENGTH")</f>
        <v>LENGTH</v>
      </c>
      <c r="N2" s="26" t="str">
        <f>IFERROR(__xludf.DUMMYFUNCTION("""COMPUTED_VALUE"""),"GENRE")</f>
        <v>GENRE</v>
      </c>
      <c r="O2" s="26" t="str">
        <f>IFERROR(__xludf.DUMMYFUNCTION("""COMPUTED_VALUE"""),"SCORE")</f>
        <v>SCORE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5">
        <f>IFERROR(__xludf.DUMMYFUNCTION("""COMPUTED_VALUE"""),1.0)</f>
        <v>1</v>
      </c>
      <c r="B3" s="25" t="str">
        <f>IFERROR(__xludf.DUMMYFUNCTION("""COMPUTED_VALUE"""),"The Shawshank Redemption")</f>
        <v>The Shawshank Redemption</v>
      </c>
      <c r="C3" s="25">
        <f>IFERROR(__xludf.DUMMYFUNCTION("""COMPUTED_VALUE"""),1994.0)</f>
        <v>1994</v>
      </c>
      <c r="D3" s="25" t="str">
        <f>IFERROR(__xludf.DUMMYFUNCTION("""COMPUTED_VALUE"""),"R")</f>
        <v>R</v>
      </c>
      <c r="E3" s="25">
        <f>IFERROR(__xludf.DUMMYFUNCTION("""COMPUTED_VALUE"""),142.0)</f>
        <v>142</v>
      </c>
      <c r="F3" s="25" t="str">
        <f>IFERROR(__xludf.DUMMYFUNCTION("""COMPUTED_VALUE"""),"Drama")</f>
        <v>Drama</v>
      </c>
      <c r="G3" s="25">
        <f>IFERROR(__xludf.DUMMYFUNCTION("""COMPUTED_VALUE"""),9.3)</f>
        <v>9.3</v>
      </c>
      <c r="H3" s="9"/>
      <c r="I3" s="25">
        <f>IFERROR(__xludf.DUMMYFUNCTION("""COMPUTED_VALUE"""),5.0)</f>
        <v>5</v>
      </c>
      <c r="J3" s="25" t="str">
        <f>IFERROR(__xludf.DUMMYFUNCTION("""COMPUTED_VALUE"""),"The Lord of the Rings: The Return of the King")</f>
        <v>The Lord of the Rings: The Return of the King</v>
      </c>
      <c r="K3" s="25">
        <f>IFERROR(__xludf.DUMMYFUNCTION("""COMPUTED_VALUE"""),2003.0)</f>
        <v>2003</v>
      </c>
      <c r="L3" s="25" t="str">
        <f>IFERROR(__xludf.DUMMYFUNCTION("""COMPUTED_VALUE"""),"PG-13")</f>
        <v>PG-13</v>
      </c>
      <c r="M3" s="25">
        <f>IFERROR(__xludf.DUMMYFUNCTION("""COMPUTED_VALUE"""),201.0)</f>
        <v>201</v>
      </c>
      <c r="N3" s="25" t="str">
        <f>IFERROR(__xludf.DUMMYFUNCTION("""COMPUTED_VALUE"""),"Action, Adventure, Drama")</f>
        <v>Action, Adventure, Drama</v>
      </c>
      <c r="O3" s="25">
        <f>IFERROR(__xludf.DUMMYFUNCTION("""COMPUTED_VALUE"""),8.9)</f>
        <v>8.9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5">
        <f>IFERROR(__xludf.DUMMYFUNCTION("""COMPUTED_VALUE"""),2.0)</f>
        <v>2</v>
      </c>
      <c r="B4" s="25" t="str">
        <f>IFERROR(__xludf.DUMMYFUNCTION("""COMPUTED_VALUE"""),"The Godfather")</f>
        <v>The Godfather</v>
      </c>
      <c r="C4" s="25">
        <f>IFERROR(__xludf.DUMMYFUNCTION("""COMPUTED_VALUE"""),1972.0)</f>
        <v>1972</v>
      </c>
      <c r="D4" s="25" t="str">
        <f>IFERROR(__xludf.DUMMYFUNCTION("""COMPUTED_VALUE"""),"R")</f>
        <v>R</v>
      </c>
      <c r="E4" s="25">
        <f>IFERROR(__xludf.DUMMYFUNCTION("""COMPUTED_VALUE"""),175.0)</f>
        <v>175</v>
      </c>
      <c r="F4" s="25" t="str">
        <f>IFERROR(__xludf.DUMMYFUNCTION("""COMPUTED_VALUE"""),"Crime, Drama")</f>
        <v>Crime, Drama</v>
      </c>
      <c r="G4" s="25">
        <f>IFERROR(__xludf.DUMMYFUNCTION("""COMPUTED_VALUE"""),9.2)</f>
        <v>9.2</v>
      </c>
      <c r="H4" s="9"/>
      <c r="I4" s="25">
        <f>IFERROR(__xludf.DUMMYFUNCTION("""COMPUTED_VALUE"""),9.0)</f>
        <v>9</v>
      </c>
      <c r="J4" s="25" t="str">
        <f>IFERROR(__xludf.DUMMYFUNCTION("""COMPUTED_VALUE"""),"Inception")</f>
        <v>Inception</v>
      </c>
      <c r="K4" s="25">
        <f>IFERROR(__xludf.DUMMYFUNCTION("""COMPUTED_VALUE"""),2010.0)</f>
        <v>2010</v>
      </c>
      <c r="L4" s="25" t="str">
        <f>IFERROR(__xludf.DUMMYFUNCTION("""COMPUTED_VALUE"""),"PG-13")</f>
        <v>PG-13</v>
      </c>
      <c r="M4" s="25">
        <f>IFERROR(__xludf.DUMMYFUNCTION("""COMPUTED_VALUE"""),148.0)</f>
        <v>148</v>
      </c>
      <c r="N4" s="25" t="str">
        <f>IFERROR(__xludf.DUMMYFUNCTION("""COMPUTED_VALUE"""),"Action, Adventure, Sci-Fi")</f>
        <v>Action, Adventure, Sci-Fi</v>
      </c>
      <c r="O4" s="25">
        <f>IFERROR(__xludf.DUMMYFUNCTION("""COMPUTED_VALUE"""),8.8)</f>
        <v>8.8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5">
        <f>IFERROR(__xludf.DUMMYFUNCTION("""COMPUTED_VALUE"""),4.0)</f>
        <v>4</v>
      </c>
      <c r="B5" s="25" t="str">
        <f>IFERROR(__xludf.DUMMYFUNCTION("""COMPUTED_VALUE"""),"The Godfather: Part II")</f>
        <v>The Godfather: Part II</v>
      </c>
      <c r="C5" s="25">
        <f>IFERROR(__xludf.DUMMYFUNCTION("""COMPUTED_VALUE"""),1974.0)</f>
        <v>1974</v>
      </c>
      <c r="D5" s="25" t="str">
        <f>IFERROR(__xludf.DUMMYFUNCTION("""COMPUTED_VALUE"""),"R")</f>
        <v>R</v>
      </c>
      <c r="E5" s="25">
        <f>IFERROR(__xludf.DUMMYFUNCTION("""COMPUTED_VALUE"""),202.0)</f>
        <v>202</v>
      </c>
      <c r="F5" s="25" t="str">
        <f>IFERROR(__xludf.DUMMYFUNCTION("""COMPUTED_VALUE"""),"Crime, Drama")</f>
        <v>Crime, Drama</v>
      </c>
      <c r="G5" s="25">
        <f>IFERROR(__xludf.DUMMYFUNCTION("""COMPUTED_VALUE"""),9.0)</f>
        <v>9</v>
      </c>
      <c r="H5" s="9"/>
      <c r="I5" s="25">
        <f>IFERROR(__xludf.DUMMYFUNCTION("""COMPUTED_VALUE"""),11.0)</f>
        <v>11</v>
      </c>
      <c r="J5" s="25" t="str">
        <f>IFERROR(__xludf.DUMMYFUNCTION("""COMPUTED_VALUE"""),"The Lord of the Rings: The Fellowship of the Ring")</f>
        <v>The Lord of the Rings: The Fellowship of the Ring</v>
      </c>
      <c r="K5" s="25">
        <f>IFERROR(__xludf.DUMMYFUNCTION("""COMPUTED_VALUE"""),2001.0)</f>
        <v>2001</v>
      </c>
      <c r="L5" s="25" t="str">
        <f>IFERROR(__xludf.DUMMYFUNCTION("""COMPUTED_VALUE"""),"PG-13")</f>
        <v>PG-13</v>
      </c>
      <c r="M5" s="25">
        <f>IFERROR(__xludf.DUMMYFUNCTION("""COMPUTED_VALUE"""),178.0)</f>
        <v>178</v>
      </c>
      <c r="N5" s="25" t="str">
        <f>IFERROR(__xludf.DUMMYFUNCTION("""COMPUTED_VALUE"""),"Action, Adventure, Drama")</f>
        <v>Action, Adventure, Drama</v>
      </c>
      <c r="O5" s="25">
        <f>IFERROR(__xludf.DUMMYFUNCTION("""COMPUTED_VALUE"""),8.8)</f>
        <v>8.8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5">
        <f>IFERROR(__xludf.DUMMYFUNCTION("""COMPUTED_VALUE"""),6.0)</f>
        <v>6</v>
      </c>
      <c r="B6" s="25" t="str">
        <f>IFERROR(__xludf.DUMMYFUNCTION("""COMPUTED_VALUE"""),"Pulp Fiction")</f>
        <v>Pulp Fiction</v>
      </c>
      <c r="C6" s="25">
        <f>IFERROR(__xludf.DUMMYFUNCTION("""COMPUTED_VALUE"""),1994.0)</f>
        <v>1994</v>
      </c>
      <c r="D6" s="25" t="str">
        <f>IFERROR(__xludf.DUMMYFUNCTION("""COMPUTED_VALUE"""),"R")</f>
        <v>R</v>
      </c>
      <c r="E6" s="25">
        <f>IFERROR(__xludf.DUMMYFUNCTION("""COMPUTED_VALUE"""),154.0)</f>
        <v>154</v>
      </c>
      <c r="F6" s="25" t="str">
        <f>IFERROR(__xludf.DUMMYFUNCTION("""COMPUTED_VALUE"""),"Crime, Drama")</f>
        <v>Crime, Drama</v>
      </c>
      <c r="G6" s="25">
        <f>IFERROR(__xludf.DUMMYFUNCTION("""COMPUTED_VALUE"""),8.9)</f>
        <v>8.9</v>
      </c>
      <c r="H6" s="9"/>
      <c r="I6" s="25">
        <f>IFERROR(__xludf.DUMMYFUNCTION("""COMPUTED_VALUE"""),15.0)</f>
        <v>15</v>
      </c>
      <c r="J6" s="25" t="str">
        <f>IFERROR(__xludf.DUMMYFUNCTION("""COMPUTED_VALUE"""),"The Lord of the Rings: The Two Towers")</f>
        <v>The Lord of the Rings: The Two Towers</v>
      </c>
      <c r="K6" s="25">
        <f>IFERROR(__xludf.DUMMYFUNCTION("""COMPUTED_VALUE"""),2002.0)</f>
        <v>2002</v>
      </c>
      <c r="L6" s="25" t="str">
        <f>IFERROR(__xludf.DUMMYFUNCTION("""COMPUTED_VALUE"""),"PG-13")</f>
        <v>PG-13</v>
      </c>
      <c r="M6" s="25">
        <f>IFERROR(__xludf.DUMMYFUNCTION("""COMPUTED_VALUE"""),179.0)</f>
        <v>179</v>
      </c>
      <c r="N6" s="25" t="str">
        <f>IFERROR(__xludf.DUMMYFUNCTION("""COMPUTED_VALUE"""),"Action, Adventure, Drama")</f>
        <v>Action, Adventure, Drama</v>
      </c>
      <c r="O6" s="25">
        <f>IFERROR(__xludf.DUMMYFUNCTION("""COMPUTED_VALUE"""),8.7)</f>
        <v>8.7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5">
        <f>IFERROR(__xludf.DUMMYFUNCTION("""COMPUTED_VALUE"""),7.0)</f>
        <v>7</v>
      </c>
      <c r="B7" s="25" t="str">
        <f>IFERROR(__xludf.DUMMYFUNCTION("""COMPUTED_VALUE"""),"Schindler's List")</f>
        <v>Schindler's List</v>
      </c>
      <c r="C7" s="25">
        <f>IFERROR(__xludf.DUMMYFUNCTION("""COMPUTED_VALUE"""),1993.0)</f>
        <v>1993</v>
      </c>
      <c r="D7" s="25" t="str">
        <f>IFERROR(__xludf.DUMMYFUNCTION("""COMPUTED_VALUE"""),"R")</f>
        <v>R</v>
      </c>
      <c r="E7" s="25">
        <f>IFERROR(__xludf.DUMMYFUNCTION("""COMPUTED_VALUE"""),195.0)</f>
        <v>195</v>
      </c>
      <c r="F7" s="25" t="str">
        <f>IFERROR(__xludf.DUMMYFUNCTION("""COMPUTED_VALUE"""),"Biography, Drama, History")</f>
        <v>Biography, Drama, History</v>
      </c>
      <c r="G7" s="25">
        <f>IFERROR(__xludf.DUMMYFUNCTION("""COMPUTED_VALUE"""),8.9)</f>
        <v>8.9</v>
      </c>
      <c r="H7" s="9"/>
      <c r="I7" s="25">
        <f>IFERROR(__xludf.DUMMYFUNCTION("""COMPUTED_VALUE"""),18.0)</f>
        <v>18</v>
      </c>
      <c r="J7" s="25" t="str">
        <f>IFERROR(__xludf.DUMMYFUNCTION("""COMPUTED_VALUE"""),"Star Wars: Episode V - The Empire Strikes Back")</f>
        <v>Star Wars: Episode V - The Empire Strikes Back</v>
      </c>
      <c r="K7" s="25">
        <f>IFERROR(__xludf.DUMMYFUNCTION("""COMPUTED_VALUE"""),1980.0)</f>
        <v>1980</v>
      </c>
      <c r="L7" s="25" t="str">
        <f>IFERROR(__xludf.DUMMYFUNCTION("""COMPUTED_VALUE"""),"PG")</f>
        <v>PG</v>
      </c>
      <c r="M7" s="25">
        <f>IFERROR(__xludf.DUMMYFUNCTION("""COMPUTED_VALUE"""),124.0)</f>
        <v>124</v>
      </c>
      <c r="N7" s="25" t="str">
        <f>IFERROR(__xludf.DUMMYFUNCTION("""COMPUTED_VALUE"""),"Action, Adventure, Fantasy")</f>
        <v>Action, Adventure, Fantasy</v>
      </c>
      <c r="O7" s="25">
        <f>IFERROR(__xludf.DUMMYFUNCTION("""COMPUTED_VALUE"""),8.7)</f>
        <v>8.7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5">
        <f>IFERROR(__xludf.DUMMYFUNCTION("""COMPUTED_VALUE"""),10.0)</f>
        <v>10</v>
      </c>
      <c r="B8" s="25" t="str">
        <f>IFERROR(__xludf.DUMMYFUNCTION("""COMPUTED_VALUE"""),"Fight Club")</f>
        <v>Fight Club</v>
      </c>
      <c r="C8" s="25">
        <f>IFERROR(__xludf.DUMMYFUNCTION("""COMPUTED_VALUE"""),1999.0)</f>
        <v>1999</v>
      </c>
      <c r="D8" s="25" t="str">
        <f>IFERROR(__xludf.DUMMYFUNCTION("""COMPUTED_VALUE"""),"R")</f>
        <v>R</v>
      </c>
      <c r="E8" s="25">
        <f>IFERROR(__xludf.DUMMYFUNCTION("""COMPUTED_VALUE"""),139.0)</f>
        <v>139</v>
      </c>
      <c r="F8" s="25" t="str">
        <f>IFERROR(__xludf.DUMMYFUNCTION("""COMPUTED_VALUE"""),"Drama")</f>
        <v>Drama</v>
      </c>
      <c r="G8" s="25">
        <f>IFERROR(__xludf.DUMMYFUNCTION("""COMPUTED_VALUE"""),8.8)</f>
        <v>8.8</v>
      </c>
      <c r="H8" s="9"/>
      <c r="I8" s="25">
        <f>IFERROR(__xludf.DUMMYFUNCTION("""COMPUTED_VALUE"""),21.0)</f>
        <v>21</v>
      </c>
      <c r="J8" s="25" t="str">
        <f>IFERROR(__xludf.DUMMYFUNCTION("""COMPUTED_VALUE"""),"Interstellar")</f>
        <v>Interstellar</v>
      </c>
      <c r="K8" s="25">
        <f>IFERROR(__xludf.DUMMYFUNCTION("""COMPUTED_VALUE"""),2014.0)</f>
        <v>2014</v>
      </c>
      <c r="L8" s="25" t="str">
        <f>IFERROR(__xludf.DUMMYFUNCTION("""COMPUTED_VALUE"""),"PG-13")</f>
        <v>PG-13</v>
      </c>
      <c r="M8" s="25">
        <f>IFERROR(__xludf.DUMMYFUNCTION("""COMPUTED_VALUE"""),169.0)</f>
        <v>169</v>
      </c>
      <c r="N8" s="25" t="str">
        <f>IFERROR(__xludf.DUMMYFUNCTION("""COMPUTED_VALUE"""),"Adventure, Drama, Sci-Fi")</f>
        <v>Adventure, Drama, Sci-Fi</v>
      </c>
      <c r="O8" s="25">
        <f>IFERROR(__xludf.DUMMYFUNCTION("""COMPUTED_VALUE"""),8.6)</f>
        <v>8.6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5">
        <f>IFERROR(__xludf.DUMMYFUNCTION("""COMPUTED_VALUE"""),13.0)</f>
        <v>13</v>
      </c>
      <c r="B9" s="25" t="str">
        <f>IFERROR(__xludf.DUMMYFUNCTION("""COMPUTED_VALUE"""),"The Good, the Bad and the Ugly")</f>
        <v>The Good, the Bad and the Ugly</v>
      </c>
      <c r="C9" s="25">
        <f>IFERROR(__xludf.DUMMYFUNCTION("""COMPUTED_VALUE"""),1966.0)</f>
        <v>1966</v>
      </c>
      <c r="D9" s="25" t="str">
        <f>IFERROR(__xludf.DUMMYFUNCTION("""COMPUTED_VALUE"""),"R")</f>
        <v>R</v>
      </c>
      <c r="E9" s="25">
        <f>IFERROR(__xludf.DUMMYFUNCTION("""COMPUTED_VALUE"""),178.0)</f>
        <v>178</v>
      </c>
      <c r="F9" s="25" t="str">
        <f>IFERROR(__xludf.DUMMYFUNCTION("""COMPUTED_VALUE"""),"Western")</f>
        <v>Western</v>
      </c>
      <c r="G9" s="25">
        <f>IFERROR(__xludf.DUMMYFUNCTION("""COMPUTED_VALUE"""),8.8)</f>
        <v>8.8</v>
      </c>
      <c r="H9" s="9"/>
      <c r="I9" s="25">
        <f>IFERROR(__xludf.DUMMYFUNCTION("""COMPUTED_VALUE"""),23.0)</f>
        <v>23</v>
      </c>
      <c r="J9" s="25" t="str">
        <f>IFERROR(__xludf.DUMMYFUNCTION("""COMPUTED_VALUE"""),"Spirited Away")</f>
        <v>Spirited Away</v>
      </c>
      <c r="K9" s="25">
        <f>IFERROR(__xludf.DUMMYFUNCTION("""COMPUTED_VALUE"""),2001.0)</f>
        <v>2001</v>
      </c>
      <c r="L9" s="25" t="str">
        <f>IFERROR(__xludf.DUMMYFUNCTION("""COMPUTED_VALUE"""),"PG")</f>
        <v>PG</v>
      </c>
      <c r="M9" s="25">
        <f>IFERROR(__xludf.DUMMYFUNCTION("""COMPUTED_VALUE"""),125.0)</f>
        <v>125</v>
      </c>
      <c r="N9" s="25" t="str">
        <f>IFERROR(__xludf.DUMMYFUNCTION("""COMPUTED_VALUE"""),"Animation, Adventure, Family")</f>
        <v>Animation, Adventure, Family</v>
      </c>
      <c r="O9" s="25">
        <f>IFERROR(__xludf.DUMMYFUNCTION("""COMPUTED_VALUE"""),8.6)</f>
        <v>8.6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5">
        <f>IFERROR(__xludf.DUMMYFUNCTION("""COMPUTED_VALUE"""),16.0)</f>
        <v>16</v>
      </c>
      <c r="B10" s="25" t="str">
        <f>IFERROR(__xludf.DUMMYFUNCTION("""COMPUTED_VALUE"""),"The Matrix")</f>
        <v>The Matrix</v>
      </c>
      <c r="C10" s="25">
        <f>IFERROR(__xludf.DUMMYFUNCTION("""COMPUTED_VALUE"""),1999.0)</f>
        <v>1999</v>
      </c>
      <c r="D10" s="25" t="str">
        <f>IFERROR(__xludf.DUMMYFUNCTION("""COMPUTED_VALUE"""),"R")</f>
        <v>R</v>
      </c>
      <c r="E10" s="25">
        <f>IFERROR(__xludf.DUMMYFUNCTION("""COMPUTED_VALUE"""),136.0)</f>
        <v>136</v>
      </c>
      <c r="F10" s="25" t="str">
        <f>IFERROR(__xludf.DUMMYFUNCTION("""COMPUTED_VALUE"""),"Action, Sci-Fi")</f>
        <v>Action, Sci-Fi</v>
      </c>
      <c r="G10" s="25">
        <f>IFERROR(__xludf.DUMMYFUNCTION("""COMPUTED_VALUE"""),8.7)</f>
        <v>8.7</v>
      </c>
      <c r="H10" s="9"/>
      <c r="I10" s="25">
        <f>IFERROR(__xludf.DUMMYFUNCTION("""COMPUTED_VALUE"""),29.0)</f>
        <v>29</v>
      </c>
      <c r="J10" s="25" t="str">
        <f>IFERROR(__xludf.DUMMYFUNCTION("""COMPUTED_VALUE"""),"Star Wars: Episode IV - A New Hope")</f>
        <v>Star Wars: Episode IV - A New Hope</v>
      </c>
      <c r="K10" s="25">
        <f>IFERROR(__xludf.DUMMYFUNCTION("""COMPUTED_VALUE"""),1977.0)</f>
        <v>1977</v>
      </c>
      <c r="L10" s="25" t="str">
        <f>IFERROR(__xludf.DUMMYFUNCTION("""COMPUTED_VALUE"""),"PG")</f>
        <v>PG</v>
      </c>
      <c r="M10" s="25">
        <f>IFERROR(__xludf.DUMMYFUNCTION("""COMPUTED_VALUE"""),121.0)</f>
        <v>121</v>
      </c>
      <c r="N10" s="25" t="str">
        <f>IFERROR(__xludf.DUMMYFUNCTION("""COMPUTED_VALUE"""),"Action, Adventure, Fantasy")</f>
        <v>Action, Adventure, Fantasy</v>
      </c>
      <c r="O10" s="25">
        <f>IFERROR(__xludf.DUMMYFUNCTION("""COMPUTED_VALUE"""),8.6)</f>
        <v>8.6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5">
        <f>IFERROR(__xludf.DUMMYFUNCTION("""COMPUTED_VALUE"""),17.0)</f>
        <v>17</v>
      </c>
      <c r="B11" s="25" t="str">
        <f>IFERROR(__xludf.DUMMYFUNCTION("""COMPUTED_VALUE"""),"Goodfellas")</f>
        <v>Goodfellas</v>
      </c>
      <c r="C11" s="25">
        <f>IFERROR(__xludf.DUMMYFUNCTION("""COMPUTED_VALUE"""),1990.0)</f>
        <v>1990</v>
      </c>
      <c r="D11" s="25" t="str">
        <f>IFERROR(__xludf.DUMMYFUNCTION("""COMPUTED_VALUE"""),"R")</f>
        <v>R</v>
      </c>
      <c r="E11" s="25">
        <f>IFERROR(__xludf.DUMMYFUNCTION("""COMPUTED_VALUE"""),146.0)</f>
        <v>146</v>
      </c>
      <c r="F11" s="25" t="str">
        <f>IFERROR(__xludf.DUMMYFUNCTION("""COMPUTED_VALUE"""),"Biography, Crime, Drama")</f>
        <v>Biography, Crime, Drama</v>
      </c>
      <c r="G11" s="25">
        <f>IFERROR(__xludf.DUMMYFUNCTION("""COMPUTED_VALUE"""),8.7)</f>
        <v>8.7</v>
      </c>
      <c r="H11" s="9"/>
      <c r="I11" s="25">
        <f>IFERROR(__xludf.DUMMYFUNCTION("""COMPUTED_VALUE"""),31.0)</f>
        <v>31</v>
      </c>
      <c r="J11" s="25" t="str">
        <f>IFERROR(__xludf.DUMMYFUNCTION("""COMPUTED_VALUE"""),"Seven Samurai")</f>
        <v>Seven Samurai</v>
      </c>
      <c r="K11" s="25">
        <f>IFERROR(__xludf.DUMMYFUNCTION("""COMPUTED_VALUE"""),1954.0)</f>
        <v>1954</v>
      </c>
      <c r="L11" s="25" t="str">
        <f>IFERROR(__xludf.DUMMYFUNCTION("""COMPUTED_VALUE"""),"Not Rated")</f>
        <v>Not Rated</v>
      </c>
      <c r="M11" s="25">
        <f>IFERROR(__xludf.DUMMYFUNCTION("""COMPUTED_VALUE"""),207.0)</f>
        <v>207</v>
      </c>
      <c r="N11" s="25" t="str">
        <f>IFERROR(__xludf.DUMMYFUNCTION("""COMPUTED_VALUE"""),"Action, Adventure, Drama")</f>
        <v>Action, Adventure, Drama</v>
      </c>
      <c r="O11" s="25">
        <f>IFERROR(__xludf.DUMMYFUNCTION("""COMPUTED_VALUE"""),8.6)</f>
        <v>8.6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5">
        <f>IFERROR(__xludf.DUMMYFUNCTION("""COMPUTED_VALUE"""),19.0)</f>
        <v>19</v>
      </c>
      <c r="B12" s="25" t="str">
        <f>IFERROR(__xludf.DUMMYFUNCTION("""COMPUTED_VALUE"""),"One Flew Over the Cuckoo's Nest")</f>
        <v>One Flew Over the Cuckoo's Nest</v>
      </c>
      <c r="C12" s="25">
        <f>IFERROR(__xludf.DUMMYFUNCTION("""COMPUTED_VALUE"""),1975.0)</f>
        <v>1975</v>
      </c>
      <c r="D12" s="25" t="str">
        <f>IFERROR(__xludf.DUMMYFUNCTION("""COMPUTED_VALUE"""),"R")</f>
        <v>R</v>
      </c>
      <c r="E12" s="25">
        <f>IFERROR(__xludf.DUMMYFUNCTION("""COMPUTED_VALUE"""),133.0)</f>
        <v>133</v>
      </c>
      <c r="F12" s="25" t="str">
        <f>IFERROR(__xludf.DUMMYFUNCTION("""COMPUTED_VALUE"""),"Drama")</f>
        <v>Drama</v>
      </c>
      <c r="G12" s="25">
        <f>IFERROR(__xludf.DUMMYFUNCTION("""COMPUTED_VALUE"""),8.7)</f>
        <v>8.7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5">
        <f>IFERROR(__xludf.DUMMYFUNCTION("""COMPUTED_VALUE"""),20.0)</f>
        <v>20</v>
      </c>
      <c r="B13" s="25" t="str">
        <f>IFERROR(__xludf.DUMMYFUNCTION("""COMPUTED_VALUE"""),"Parasite")</f>
        <v>Parasite</v>
      </c>
      <c r="C13" s="25">
        <f>IFERROR(__xludf.DUMMYFUNCTION("""COMPUTED_VALUE"""),2019.0)</f>
        <v>2019</v>
      </c>
      <c r="D13" s="25" t="str">
        <f>IFERROR(__xludf.DUMMYFUNCTION("""COMPUTED_VALUE"""),"R")</f>
        <v>R</v>
      </c>
      <c r="E13" s="25">
        <f>IFERROR(__xludf.DUMMYFUNCTION("""COMPUTED_VALUE"""),132.0)</f>
        <v>132</v>
      </c>
      <c r="F13" s="25" t="str">
        <f>IFERROR(__xludf.DUMMYFUNCTION("""COMPUTED_VALUE"""),"Comedy, Drama, Thriller")</f>
        <v>Comedy, Drama, Thriller</v>
      </c>
      <c r="G13" s="25">
        <f>IFERROR(__xludf.DUMMYFUNCTION("""COMPUTED_VALUE"""),8.6)</f>
        <v>8.6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5">
        <f>IFERROR(__xludf.DUMMYFUNCTION("""COMPUTED_VALUE"""),22.0)</f>
        <v>22</v>
      </c>
      <c r="B14" s="25" t="str">
        <f>IFERROR(__xludf.DUMMYFUNCTION("""COMPUTED_VALUE"""),"City of God")</f>
        <v>City of God</v>
      </c>
      <c r="C14" s="25">
        <f>IFERROR(__xludf.DUMMYFUNCTION("""COMPUTED_VALUE"""),2002.0)</f>
        <v>2002</v>
      </c>
      <c r="D14" s="25" t="str">
        <f>IFERROR(__xludf.DUMMYFUNCTION("""COMPUTED_VALUE"""),"R")</f>
        <v>R</v>
      </c>
      <c r="E14" s="25">
        <f>IFERROR(__xludf.DUMMYFUNCTION("""COMPUTED_VALUE"""),130.0)</f>
        <v>130</v>
      </c>
      <c r="F14" s="25" t="str">
        <f>IFERROR(__xludf.DUMMYFUNCTION("""COMPUTED_VALUE"""),"Crime, Drama")</f>
        <v>Crime, Drama</v>
      </c>
      <c r="G14" s="25">
        <f>IFERROR(__xludf.DUMMYFUNCTION("""COMPUTED_VALUE"""),8.6)</f>
        <v>8.6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5">
        <f>IFERROR(__xludf.DUMMYFUNCTION("""COMPUTED_VALUE"""),24.0)</f>
        <v>24</v>
      </c>
      <c r="B15" s="25" t="str">
        <f>IFERROR(__xludf.DUMMYFUNCTION("""COMPUTED_VALUE"""),"Saving Private Ryan")</f>
        <v>Saving Private Ryan</v>
      </c>
      <c r="C15" s="25">
        <f>IFERROR(__xludf.DUMMYFUNCTION("""COMPUTED_VALUE"""),1998.0)</f>
        <v>1998</v>
      </c>
      <c r="D15" s="25" t="str">
        <f>IFERROR(__xludf.DUMMYFUNCTION("""COMPUTED_VALUE"""),"R")</f>
        <v>R</v>
      </c>
      <c r="E15" s="25">
        <f>IFERROR(__xludf.DUMMYFUNCTION("""COMPUTED_VALUE"""),169.0)</f>
        <v>169</v>
      </c>
      <c r="F15" s="25" t="str">
        <f>IFERROR(__xludf.DUMMYFUNCTION("""COMPUTED_VALUE"""),"Drama, War")</f>
        <v>Drama, War</v>
      </c>
      <c r="G15" s="25">
        <f>IFERROR(__xludf.DUMMYFUNCTION("""COMPUTED_VALUE"""),8.6)</f>
        <v>8.6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5">
        <f>IFERROR(__xludf.DUMMYFUNCTION("""COMPUTED_VALUE"""),25.0)</f>
        <v>25</v>
      </c>
      <c r="B16" s="25" t="str">
        <f>IFERROR(__xludf.DUMMYFUNCTION("""COMPUTED_VALUE"""),"The Green Mile")</f>
        <v>The Green Mile</v>
      </c>
      <c r="C16" s="25">
        <f>IFERROR(__xludf.DUMMYFUNCTION("""COMPUTED_VALUE"""),1999.0)</f>
        <v>1999</v>
      </c>
      <c r="D16" s="25" t="str">
        <f>IFERROR(__xludf.DUMMYFUNCTION("""COMPUTED_VALUE"""),"R")</f>
        <v>R</v>
      </c>
      <c r="E16" s="25">
        <f>IFERROR(__xludf.DUMMYFUNCTION("""COMPUTED_VALUE"""),189.0)</f>
        <v>189</v>
      </c>
      <c r="F16" s="25" t="str">
        <f>IFERROR(__xludf.DUMMYFUNCTION("""COMPUTED_VALUE"""),"Crime, Drama, Fantasy")</f>
        <v>Crime, Drama, Fantasy</v>
      </c>
      <c r="G16" s="25">
        <f>IFERROR(__xludf.DUMMYFUNCTION("""COMPUTED_VALUE"""),8.6)</f>
        <v>8.6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5">
        <f>IFERROR(__xludf.DUMMYFUNCTION("""COMPUTED_VALUE"""),27.0)</f>
        <v>27</v>
      </c>
      <c r="B17" s="25" t="str">
        <f>IFERROR(__xludf.DUMMYFUNCTION("""COMPUTED_VALUE"""),"Se7en")</f>
        <v>Se7en</v>
      </c>
      <c r="C17" s="25">
        <f>IFERROR(__xludf.DUMMYFUNCTION("""COMPUTED_VALUE"""),1995.0)</f>
        <v>1995</v>
      </c>
      <c r="D17" s="25" t="str">
        <f>IFERROR(__xludf.DUMMYFUNCTION("""COMPUTED_VALUE"""),"R")</f>
        <v>R</v>
      </c>
      <c r="E17" s="25">
        <f>IFERROR(__xludf.DUMMYFUNCTION("""COMPUTED_VALUE"""),127.0)</f>
        <v>127</v>
      </c>
      <c r="F17" s="25" t="str">
        <f>IFERROR(__xludf.DUMMYFUNCTION("""COMPUTED_VALUE"""),"Crime, Drama, Mystery")</f>
        <v>Crime, Drama, Mystery</v>
      </c>
      <c r="G17" s="25">
        <f>IFERROR(__xludf.DUMMYFUNCTION("""COMPUTED_VALUE"""),8.6)</f>
        <v>8.6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5">
        <f>IFERROR(__xludf.DUMMYFUNCTION("""COMPUTED_VALUE"""),28.0)</f>
        <v>28</v>
      </c>
      <c r="B18" s="25" t="str">
        <f>IFERROR(__xludf.DUMMYFUNCTION("""COMPUTED_VALUE"""),"The Silence of the Lambs")</f>
        <v>The Silence of the Lambs</v>
      </c>
      <c r="C18" s="25">
        <f>IFERROR(__xludf.DUMMYFUNCTION("""COMPUTED_VALUE"""),1991.0)</f>
        <v>1991</v>
      </c>
      <c r="D18" s="25" t="str">
        <f>IFERROR(__xludf.DUMMYFUNCTION("""COMPUTED_VALUE"""),"R")</f>
        <v>R</v>
      </c>
      <c r="E18" s="25">
        <f>IFERROR(__xludf.DUMMYFUNCTION("""COMPUTED_VALUE"""),118.0)</f>
        <v>118</v>
      </c>
      <c r="F18" s="25" t="str">
        <f>IFERROR(__xludf.DUMMYFUNCTION("""COMPUTED_VALUE"""),"Crime, Drama, Thriller")</f>
        <v>Crime, Drama, Thriller</v>
      </c>
      <c r="G18" s="25">
        <f>IFERROR(__xludf.DUMMYFUNCTION("""COMPUTED_VALUE"""),8.6)</f>
        <v>8.6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5"/>
    <col customWidth="1" min="2" max="2" width="41.38"/>
    <col customWidth="1" min="3" max="3" width="10.5"/>
    <col customWidth="1" min="4" max="4" width="9.13"/>
    <col customWidth="1" min="5" max="5" width="7.75"/>
    <col customWidth="1" min="6" max="6" width="24.75"/>
    <col customWidth="1" min="7" max="7" width="6.63"/>
  </cols>
  <sheetData>
    <row r="1">
      <c r="A1" s="23" t="s">
        <v>188</v>
      </c>
      <c r="B1" s="2"/>
      <c r="C1" s="27">
        <v>2000.0</v>
      </c>
      <c r="D1" s="9"/>
      <c r="E1" s="9"/>
      <c r="F1" s="28" t="s">
        <v>189</v>
      </c>
      <c r="G1" s="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>
      <c r="A2" s="24" t="str">
        <f>IFERROR(__xludf.DUMMYFUNCTION("QUERY(IMDB, ""SELECT * WHERE F like '%"" &amp; F1 &amp; ""%' AND C &gt; "" &amp; C1)"),"NO")</f>
        <v>NO</v>
      </c>
      <c r="B2" s="25" t="str">
        <f>IFERROR(__xludf.DUMMYFUNCTION("""COMPUTED_VALUE"""),"MOVIE_NAME")</f>
        <v>MOVIE_NAME</v>
      </c>
      <c r="C2" s="26" t="str">
        <f>IFERROR(__xludf.DUMMYFUNCTION("""COMPUTED_VALUE"""),"YEAR")</f>
        <v>YEAR</v>
      </c>
      <c r="D2" s="25" t="str">
        <f>IFERROR(__xludf.DUMMYFUNCTION("""COMPUTED_VALUE"""),"RATING")</f>
        <v>RATING</v>
      </c>
      <c r="E2" s="25" t="str">
        <f>IFERROR(__xludf.DUMMYFUNCTION("""COMPUTED_VALUE"""),"LENGTH")</f>
        <v>LENGTH</v>
      </c>
      <c r="F2" s="25" t="str">
        <f>IFERROR(__xludf.DUMMYFUNCTION("""COMPUTED_VALUE"""),"GENRE")</f>
        <v>GENRE</v>
      </c>
      <c r="G2" s="26" t="str">
        <f>IFERROR(__xludf.DUMMYFUNCTION("""COMPUTED_VALUE"""),"SCORE")</f>
        <v>SCORE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25">
        <f>IFERROR(__xludf.DUMMYFUNCTION("""COMPUTED_VALUE"""),3.0)</f>
        <v>3</v>
      </c>
      <c r="B3" s="25" t="str">
        <f>IFERROR(__xludf.DUMMYFUNCTION("""COMPUTED_VALUE"""),"The Dark Knight")</f>
        <v>The Dark Knight</v>
      </c>
      <c r="C3" s="25">
        <f>IFERROR(__xludf.DUMMYFUNCTION("""COMPUTED_VALUE"""),2008.0)</f>
        <v>2008</v>
      </c>
      <c r="D3" s="25" t="str">
        <f>IFERROR(__xludf.DUMMYFUNCTION("""COMPUTED_VALUE"""),"PG-13")</f>
        <v>PG-13</v>
      </c>
      <c r="E3" s="25">
        <f>IFERROR(__xludf.DUMMYFUNCTION("""COMPUTED_VALUE"""),152.0)</f>
        <v>152</v>
      </c>
      <c r="F3" s="25" t="str">
        <f>IFERROR(__xludf.DUMMYFUNCTION("""COMPUTED_VALUE"""),"Action, Crime, Drama")</f>
        <v>Action, Crime, Drama</v>
      </c>
      <c r="G3" s="25">
        <f>IFERROR(__xludf.DUMMYFUNCTION("""COMPUTED_VALUE"""),9.0)</f>
        <v>9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A4" s="25">
        <f>IFERROR(__xludf.DUMMYFUNCTION("""COMPUTED_VALUE"""),5.0)</f>
        <v>5</v>
      </c>
      <c r="B4" s="25" t="str">
        <f>IFERROR(__xludf.DUMMYFUNCTION("""COMPUTED_VALUE"""),"The Lord of the Rings: The Return of the King")</f>
        <v>The Lord of the Rings: The Return of the King</v>
      </c>
      <c r="C4" s="25">
        <f>IFERROR(__xludf.DUMMYFUNCTION("""COMPUTED_VALUE"""),2003.0)</f>
        <v>2003</v>
      </c>
      <c r="D4" s="25" t="str">
        <f>IFERROR(__xludf.DUMMYFUNCTION("""COMPUTED_VALUE"""),"PG-13")</f>
        <v>PG-13</v>
      </c>
      <c r="E4" s="25">
        <f>IFERROR(__xludf.DUMMYFUNCTION("""COMPUTED_VALUE"""),201.0)</f>
        <v>201</v>
      </c>
      <c r="F4" s="25" t="str">
        <f>IFERROR(__xludf.DUMMYFUNCTION("""COMPUTED_VALUE"""),"Action, Adventure, Drama")</f>
        <v>Action, Adventure, Drama</v>
      </c>
      <c r="G4" s="25">
        <f>IFERROR(__xludf.DUMMYFUNCTION("""COMPUTED_VALUE"""),8.9)</f>
        <v>8.9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25">
        <f>IFERROR(__xludf.DUMMYFUNCTION("""COMPUTED_VALUE"""),9.0)</f>
        <v>9</v>
      </c>
      <c r="B5" s="25" t="str">
        <f>IFERROR(__xludf.DUMMYFUNCTION("""COMPUTED_VALUE"""),"Inception")</f>
        <v>Inception</v>
      </c>
      <c r="C5" s="25">
        <f>IFERROR(__xludf.DUMMYFUNCTION("""COMPUTED_VALUE"""),2010.0)</f>
        <v>2010</v>
      </c>
      <c r="D5" s="25" t="str">
        <f>IFERROR(__xludf.DUMMYFUNCTION("""COMPUTED_VALUE"""),"PG-13")</f>
        <v>PG-13</v>
      </c>
      <c r="E5" s="25">
        <f>IFERROR(__xludf.DUMMYFUNCTION("""COMPUTED_VALUE"""),148.0)</f>
        <v>148</v>
      </c>
      <c r="F5" s="25" t="str">
        <f>IFERROR(__xludf.DUMMYFUNCTION("""COMPUTED_VALUE"""),"Action, Adventure, Sci-Fi")</f>
        <v>Action, Adventure, Sci-Fi</v>
      </c>
      <c r="G5" s="25">
        <f>IFERROR(__xludf.DUMMYFUNCTION("""COMPUTED_VALUE"""),8.8)</f>
        <v>8.8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>
      <c r="A6" s="25">
        <f>IFERROR(__xludf.DUMMYFUNCTION("""COMPUTED_VALUE"""),11.0)</f>
        <v>11</v>
      </c>
      <c r="B6" s="25" t="str">
        <f>IFERROR(__xludf.DUMMYFUNCTION("""COMPUTED_VALUE"""),"The Lord of the Rings: The Fellowship of the Ring")</f>
        <v>The Lord of the Rings: The Fellowship of the Ring</v>
      </c>
      <c r="C6" s="25">
        <f>IFERROR(__xludf.DUMMYFUNCTION("""COMPUTED_VALUE"""),2001.0)</f>
        <v>2001</v>
      </c>
      <c r="D6" s="25" t="str">
        <f>IFERROR(__xludf.DUMMYFUNCTION("""COMPUTED_VALUE"""),"PG-13")</f>
        <v>PG-13</v>
      </c>
      <c r="E6" s="25">
        <f>IFERROR(__xludf.DUMMYFUNCTION("""COMPUTED_VALUE"""),178.0)</f>
        <v>178</v>
      </c>
      <c r="F6" s="25" t="str">
        <f>IFERROR(__xludf.DUMMYFUNCTION("""COMPUTED_VALUE"""),"Action, Adventure, Drama")</f>
        <v>Action, Adventure, Drama</v>
      </c>
      <c r="G6" s="25">
        <f>IFERROR(__xludf.DUMMYFUNCTION("""COMPUTED_VALUE"""),8.8)</f>
        <v>8.8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25">
        <f>IFERROR(__xludf.DUMMYFUNCTION("""COMPUTED_VALUE"""),15.0)</f>
        <v>15</v>
      </c>
      <c r="B7" s="25" t="str">
        <f>IFERROR(__xludf.DUMMYFUNCTION("""COMPUTED_VALUE"""),"The Lord of the Rings: The Two Towers")</f>
        <v>The Lord of the Rings: The Two Towers</v>
      </c>
      <c r="C7" s="25">
        <f>IFERROR(__xludf.DUMMYFUNCTION("""COMPUTED_VALUE"""),2002.0)</f>
        <v>2002</v>
      </c>
      <c r="D7" s="25" t="str">
        <f>IFERROR(__xludf.DUMMYFUNCTION("""COMPUTED_VALUE"""),"PG-13")</f>
        <v>PG-13</v>
      </c>
      <c r="E7" s="25">
        <f>IFERROR(__xludf.DUMMYFUNCTION("""COMPUTED_VALUE"""),179.0)</f>
        <v>179</v>
      </c>
      <c r="F7" s="25" t="str">
        <f>IFERROR(__xludf.DUMMYFUNCTION("""COMPUTED_VALUE"""),"Action, Adventure, Drama")</f>
        <v>Action, Adventure, Drama</v>
      </c>
      <c r="G7" s="25">
        <f>IFERROR(__xludf.DUMMYFUNCTION("""COMPUTED_VALUE"""),8.7)</f>
        <v>8.7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>
      <c r="A8" s="25">
        <f>IFERROR(__xludf.DUMMYFUNCTION("""COMPUTED_VALUE"""),57.0)</f>
        <v>57</v>
      </c>
      <c r="B8" s="25" t="str">
        <f>IFERROR(__xludf.DUMMYFUNCTION("""COMPUTED_VALUE"""),"Dangal")</f>
        <v>Dangal</v>
      </c>
      <c r="C8" s="25">
        <f>IFERROR(__xludf.DUMMYFUNCTION("""COMPUTED_VALUE"""),2016.0)</f>
        <v>2016</v>
      </c>
      <c r="D8" s="25" t="str">
        <f>IFERROR(__xludf.DUMMYFUNCTION("""COMPUTED_VALUE"""),"Not Rated")</f>
        <v>Not Rated</v>
      </c>
      <c r="E8" s="25">
        <f>IFERROR(__xludf.DUMMYFUNCTION("""COMPUTED_VALUE"""),161.0)</f>
        <v>161</v>
      </c>
      <c r="F8" s="25" t="str">
        <f>IFERROR(__xludf.DUMMYFUNCTION("""COMPUTED_VALUE"""),"Action, Biography, Drama")</f>
        <v>Action, Biography, Drama</v>
      </c>
      <c r="G8" s="25">
        <f>IFERROR(__xludf.DUMMYFUNCTION("""COMPUTED_VALUE"""),8.4)</f>
        <v>8.4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>
      <c r="A9" s="25">
        <f>IFERROR(__xludf.DUMMYFUNCTION("""COMPUTED_VALUE"""),58.0)</f>
        <v>58</v>
      </c>
      <c r="B9" s="25" t="str">
        <f>IFERROR(__xludf.DUMMYFUNCTION("""COMPUTED_VALUE"""),"Spider-Man: Into the Spider-Verse")</f>
        <v>Spider-Man: Into the Spider-Verse</v>
      </c>
      <c r="C9" s="25">
        <f>IFERROR(__xludf.DUMMYFUNCTION("""COMPUTED_VALUE"""),2018.0)</f>
        <v>2018</v>
      </c>
      <c r="D9" s="25" t="str">
        <f>IFERROR(__xludf.DUMMYFUNCTION("""COMPUTED_VALUE"""),"PG")</f>
        <v>PG</v>
      </c>
      <c r="E9" s="25">
        <f>IFERROR(__xludf.DUMMYFUNCTION("""COMPUTED_VALUE"""),117.0)</f>
        <v>117</v>
      </c>
      <c r="F9" s="25" t="str">
        <f>IFERROR(__xludf.DUMMYFUNCTION("""COMPUTED_VALUE"""),"Animation, Action, Adventure")</f>
        <v>Animation, Action, Adventure</v>
      </c>
      <c r="G9" s="25">
        <f>IFERROR(__xludf.DUMMYFUNCTION("""COMPUTED_VALUE"""),8.4)</f>
        <v>8.4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>
      <c r="A10" s="25">
        <f>IFERROR(__xludf.DUMMYFUNCTION("""COMPUTED_VALUE"""),59.0)</f>
        <v>59</v>
      </c>
      <c r="B10" s="25" t="str">
        <f>IFERROR(__xludf.DUMMYFUNCTION("""COMPUTED_VALUE"""),"Avengers: Endgame")</f>
        <v>Avengers: Endgame</v>
      </c>
      <c r="C10" s="25">
        <f>IFERROR(__xludf.DUMMYFUNCTION("""COMPUTED_VALUE"""),2019.0)</f>
        <v>2019</v>
      </c>
      <c r="D10" s="25" t="str">
        <f>IFERROR(__xludf.DUMMYFUNCTION("""COMPUTED_VALUE"""),"PG-13")</f>
        <v>PG-13</v>
      </c>
      <c r="E10" s="25">
        <f>IFERROR(__xludf.DUMMYFUNCTION("""COMPUTED_VALUE"""),181.0)</f>
        <v>181</v>
      </c>
      <c r="F10" s="25" t="str">
        <f>IFERROR(__xludf.DUMMYFUNCTION("""COMPUTED_VALUE"""),"Action, Adventure, Drama")</f>
        <v>Action, Adventure, Drama</v>
      </c>
      <c r="G10" s="25">
        <f>IFERROR(__xludf.DUMMYFUNCTION("""COMPUTED_VALUE"""),8.4)</f>
        <v>8.4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25">
        <f>IFERROR(__xludf.DUMMYFUNCTION("""COMPUTED_VALUE"""),60.0)</f>
        <v>60</v>
      </c>
      <c r="B11" s="25" t="str">
        <f>IFERROR(__xludf.DUMMYFUNCTION("""COMPUTED_VALUE"""),"Avengers: Infinity War")</f>
        <v>Avengers: Infinity War</v>
      </c>
      <c r="C11" s="25">
        <f>IFERROR(__xludf.DUMMYFUNCTION("""COMPUTED_VALUE"""),2018.0)</f>
        <v>2018</v>
      </c>
      <c r="D11" s="25" t="str">
        <f>IFERROR(__xludf.DUMMYFUNCTION("""COMPUTED_VALUE"""),"PG-13")</f>
        <v>PG-13</v>
      </c>
      <c r="E11" s="25">
        <f>IFERROR(__xludf.DUMMYFUNCTION("""COMPUTED_VALUE"""),149.0)</f>
        <v>149</v>
      </c>
      <c r="F11" s="25" t="str">
        <f>IFERROR(__xludf.DUMMYFUNCTION("""COMPUTED_VALUE"""),"Action, Adventure, Sci-Fi")</f>
        <v>Action, Adventure, Sci-Fi</v>
      </c>
      <c r="G11" s="25">
        <f>IFERROR(__xludf.DUMMYFUNCTION("""COMPUTED_VALUE"""),8.4)</f>
        <v>8.4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25">
        <f>IFERROR(__xludf.DUMMYFUNCTION("""COMPUTED_VALUE"""),63.0)</f>
        <v>63</v>
      </c>
      <c r="B12" s="25" t="str">
        <f>IFERROR(__xludf.DUMMYFUNCTION("""COMPUTED_VALUE"""),"The Dark Knight Rises")</f>
        <v>The Dark Knight Rises</v>
      </c>
      <c r="C12" s="25">
        <f>IFERROR(__xludf.DUMMYFUNCTION("""COMPUTED_VALUE"""),2012.0)</f>
        <v>2012</v>
      </c>
      <c r="D12" s="25" t="str">
        <f>IFERROR(__xludf.DUMMYFUNCTION("""COMPUTED_VALUE"""),"PG-13")</f>
        <v>PG-13</v>
      </c>
      <c r="E12" s="25">
        <f>IFERROR(__xludf.DUMMYFUNCTION("""COMPUTED_VALUE"""),164.0)</f>
        <v>164</v>
      </c>
      <c r="F12" s="25" t="str">
        <f>IFERROR(__xludf.DUMMYFUNCTION("""COMPUTED_VALUE"""),"Action, Adventure")</f>
        <v>Action, Adventure</v>
      </c>
      <c r="G12" s="25">
        <f>IFERROR(__xludf.DUMMYFUNCTION("""COMPUTED_VALUE"""),8.4)</f>
        <v>8.4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25">
        <f>IFERROR(__xludf.DUMMYFUNCTION("""COMPUTED_VALUE"""),68.0)</f>
        <v>68</v>
      </c>
      <c r="B13" s="25" t="str">
        <f>IFERROR(__xludf.DUMMYFUNCTION("""COMPUTED_VALUE"""),"Oldboy")</f>
        <v>Oldboy</v>
      </c>
      <c r="C13" s="25">
        <f>IFERROR(__xludf.DUMMYFUNCTION("""COMPUTED_VALUE"""),2003.0)</f>
        <v>2003</v>
      </c>
      <c r="D13" s="25" t="str">
        <f>IFERROR(__xludf.DUMMYFUNCTION("""COMPUTED_VALUE"""),"R")</f>
        <v>R</v>
      </c>
      <c r="E13" s="25">
        <f>IFERROR(__xludf.DUMMYFUNCTION("""COMPUTED_VALUE"""),120.0)</f>
        <v>120</v>
      </c>
      <c r="F13" s="25" t="str">
        <f>IFERROR(__xludf.DUMMYFUNCTION("""COMPUTED_VALUE"""),"Action, Drama, Mystery")</f>
        <v>Action, Drama, Mystery</v>
      </c>
      <c r="G13" s="25">
        <f>IFERROR(__xludf.DUMMYFUNCTION("""COMPUTED_VALUE"""),8.4)</f>
        <v>8.4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25">
        <f>IFERROR(__xludf.DUMMYFUNCTION("""COMPUTED_VALUE"""),84.0)</f>
        <v>84</v>
      </c>
      <c r="B14" s="25" t="str">
        <f>IFERROR(__xludf.DUMMYFUNCTION("""COMPUTED_VALUE"""),"Uri: The Surgical Strike")</f>
        <v>Uri: The Surgical Strike</v>
      </c>
      <c r="C14" s="25">
        <f>IFERROR(__xludf.DUMMYFUNCTION("""COMPUTED_VALUE"""),2019.0)</f>
        <v>2019</v>
      </c>
      <c r="D14" s="25" t="str">
        <f>IFERROR(__xludf.DUMMYFUNCTION("""COMPUTED_VALUE"""),"Not Rated")</f>
        <v>Not Rated</v>
      </c>
      <c r="E14" s="25">
        <f>IFERROR(__xludf.DUMMYFUNCTION("""COMPUTED_VALUE"""),138.0)</f>
        <v>138</v>
      </c>
      <c r="F14" s="25" t="str">
        <f>IFERROR(__xludf.DUMMYFUNCTION("""COMPUTED_VALUE"""),"Action, Drama, War")</f>
        <v>Action, Drama, War</v>
      </c>
      <c r="G14" s="25">
        <f>IFERROR(__xludf.DUMMYFUNCTION("""COMPUTED_VALUE"""),8.3)</f>
        <v>8.3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>
      <c r="A15" s="9"/>
      <c r="B15" s="9"/>
      <c r="C15" s="9"/>
      <c r="D15" s="9"/>
      <c r="E15" s="9"/>
      <c r="F15" s="9"/>
      <c r="G15" s="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9"/>
      <c r="B16" s="9"/>
      <c r="C16" s="9"/>
      <c r="D16" s="9"/>
      <c r="E16" s="9"/>
      <c r="F16" s="9"/>
      <c r="G16" s="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9"/>
      <c r="B17" s="9"/>
      <c r="C17" s="9"/>
      <c r="D17" s="9"/>
      <c r="E17" s="9"/>
      <c r="F17" s="9"/>
      <c r="G17" s="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9"/>
      <c r="B18" s="9"/>
      <c r="C18" s="9"/>
      <c r="D18" s="9"/>
      <c r="E18" s="9"/>
      <c r="F18" s="9"/>
      <c r="G18" s="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9"/>
      <c r="B19" s="9"/>
      <c r="C19" s="9"/>
      <c r="D19" s="9"/>
      <c r="E19" s="9"/>
      <c r="F19" s="9"/>
      <c r="G19" s="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9"/>
      <c r="B20" s="9"/>
      <c r="C20" s="9"/>
      <c r="D20" s="9"/>
      <c r="E20" s="9"/>
      <c r="F20" s="9"/>
      <c r="G20" s="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9"/>
      <c r="B21" s="9"/>
      <c r="C21" s="9"/>
      <c r="D21" s="9"/>
      <c r="E21" s="9"/>
      <c r="F21" s="9"/>
      <c r="G21" s="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9"/>
      <c r="B22" s="9"/>
      <c r="C22" s="9"/>
      <c r="D22" s="9"/>
      <c r="E22" s="9"/>
      <c r="F22" s="9"/>
      <c r="G22" s="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9"/>
      <c r="B23" s="9"/>
      <c r="C23" s="9"/>
      <c r="D23" s="9"/>
      <c r="E23" s="9"/>
      <c r="F23" s="9"/>
      <c r="G23" s="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</sheetData>
  <dataValidations>
    <dataValidation type="list" allowBlank="1" showErrorMessage="1" sqref="F1">
      <formula1>"Action,Adventure,Biography,Animation,Crime,Comady,Drama,Family,Fantasy,Film-Noir,History,Horror,Music,Mystery,Romance,Sci-Fi,Thriller,War,Western"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9.25"/>
    <col customWidth="1" min="2" max="3" width="7.75"/>
    <col customWidth="1" min="4" max="4" width="9.75"/>
    <col customWidth="1" min="5" max="5" width="13.13"/>
    <col customWidth="1" min="6" max="6" width="6.13"/>
    <col customWidth="1" min="7" max="7" width="12.25"/>
    <col customWidth="1" min="8" max="8" width="10.0"/>
    <col customWidth="1" min="15" max="15" width="4.13"/>
  </cols>
  <sheetData>
    <row r="1">
      <c r="A1" s="30" t="str">
        <f>IFERROR(__xludf.DUMMYFUNCTION("QUERY(IMDB,""select B"")"),"MOVIE_NAME")</f>
        <v>MOVIE_NAME</v>
      </c>
      <c r="B1" s="30" t="str">
        <f>IFERROR(__xludf.DUMMYFUNCTION("QUERY(IMDB,""select G"")"),"SCORE")</f>
        <v>SCORE</v>
      </c>
      <c r="C1" s="30" t="str">
        <f>IFERROR(__xludf.DUMMYFUNCTION("QUERY(IMDB,""select E"")"),"LENGTH")</f>
        <v>LENGTH</v>
      </c>
      <c r="D1" s="31" t="s">
        <v>190</v>
      </c>
      <c r="E1" s="32" t="s">
        <v>191</v>
      </c>
      <c r="I1" s="33"/>
      <c r="J1" s="33"/>
      <c r="K1" s="33"/>
      <c r="L1" s="33"/>
      <c r="M1" s="33"/>
      <c r="N1" s="33"/>
      <c r="O1" s="33"/>
      <c r="P1" s="34" t="s">
        <v>192</v>
      </c>
      <c r="Q1" s="35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>
      <c r="A2" s="36" t="str">
        <f>IFERROR(__xludf.DUMMYFUNCTION("""COMPUTED_VALUE"""),"The Shawshank Redemption")</f>
        <v>The Shawshank Redemption</v>
      </c>
      <c r="B2" s="36">
        <f>IFERROR(__xludf.DUMMYFUNCTION("""COMPUTED_VALUE"""),9.3)</f>
        <v>9.3</v>
      </c>
      <c r="C2" s="36">
        <f>IFERROR(__xludf.DUMMYFUNCTION("""COMPUTED_VALUE"""),142.0)</f>
        <v>142</v>
      </c>
      <c r="D2" s="37">
        <f t="shared" ref="D2:D101" si="1">(C2-$F$2)/$F$4</f>
        <v>0.2541409679</v>
      </c>
      <c r="E2" s="32" t="s">
        <v>193</v>
      </c>
      <c r="F2" s="38">
        <f>AVERAGE(C2:C101)</f>
        <v>134.54</v>
      </c>
      <c r="G2" s="33"/>
      <c r="H2" s="33"/>
      <c r="I2" s="39"/>
      <c r="J2" s="33"/>
      <c r="K2" s="33"/>
      <c r="L2" s="33"/>
      <c r="M2" s="33"/>
      <c r="N2" s="33"/>
      <c r="O2" s="33"/>
      <c r="P2" s="32" t="s">
        <v>194</v>
      </c>
      <c r="Q2" s="40">
        <f>CORREL(B2:B101,C2:C101)</f>
        <v>0.3796788098</v>
      </c>
      <c r="R2" s="39" t="s">
        <v>195</v>
      </c>
      <c r="S2" s="33"/>
      <c r="T2" s="33"/>
      <c r="U2" s="33"/>
      <c r="V2" s="33"/>
      <c r="W2" s="33"/>
      <c r="X2" s="33"/>
      <c r="Y2" s="33"/>
      <c r="Z2" s="33"/>
      <c r="AA2" s="33"/>
      <c r="AB2" s="33"/>
    </row>
    <row r="3">
      <c r="A3" s="36" t="str">
        <f>IFERROR(__xludf.DUMMYFUNCTION("""COMPUTED_VALUE"""),"The Godfather")</f>
        <v>The Godfather</v>
      </c>
      <c r="B3" s="36">
        <f>IFERROR(__xludf.DUMMYFUNCTION("""COMPUTED_VALUE"""),9.2)</f>
        <v>9.2</v>
      </c>
      <c r="C3" s="36">
        <f>IFERROR(__xludf.DUMMYFUNCTION("""COMPUTED_VALUE"""),175.0)</f>
        <v>175</v>
      </c>
      <c r="D3" s="37">
        <f t="shared" si="1"/>
        <v>1.378357046</v>
      </c>
      <c r="E3" s="32" t="s">
        <v>196</v>
      </c>
      <c r="F3" s="38">
        <f>MEDIAN(C2:C101)</f>
        <v>130</v>
      </c>
      <c r="G3" s="33"/>
      <c r="H3" s="33"/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>
      <c r="A4" s="36" t="str">
        <f>IFERROR(__xludf.DUMMYFUNCTION("""COMPUTED_VALUE"""),"The Dark Knight")</f>
        <v>The Dark Knight</v>
      </c>
      <c r="B4" s="36">
        <f>IFERROR(__xludf.DUMMYFUNCTION("""COMPUTED_VALUE"""),9.0)</f>
        <v>9</v>
      </c>
      <c r="C4" s="36">
        <f>IFERROR(__xludf.DUMMYFUNCTION("""COMPUTED_VALUE"""),152.0)</f>
        <v>152</v>
      </c>
      <c r="D4" s="37">
        <f t="shared" si="1"/>
        <v>0.5948125066</v>
      </c>
      <c r="E4" s="32" t="s">
        <v>197</v>
      </c>
      <c r="F4" s="38">
        <f>_xlfn.STDEV.S(C2:C101)</f>
        <v>29.35378763</v>
      </c>
      <c r="G4" s="33"/>
      <c r="H4" s="33"/>
      <c r="I4" s="39"/>
      <c r="J4" s="39"/>
      <c r="K4" s="39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>
      <c r="A5" s="36" t="str">
        <f>IFERROR(__xludf.DUMMYFUNCTION("""COMPUTED_VALUE"""),"The Godfather: Part II")</f>
        <v>The Godfather: Part II</v>
      </c>
      <c r="B5" s="36">
        <f>IFERROR(__xludf.DUMMYFUNCTION("""COMPUTED_VALUE"""),9.0)</f>
        <v>9</v>
      </c>
      <c r="C5" s="36">
        <f>IFERROR(__xludf.DUMMYFUNCTION("""COMPUTED_VALUE"""),202.0)</f>
        <v>202</v>
      </c>
      <c r="D5" s="37">
        <f t="shared" si="1"/>
        <v>2.2981702</v>
      </c>
      <c r="E5" s="33"/>
      <c r="F5" s="33"/>
      <c r="G5" s="33"/>
      <c r="H5" s="33"/>
      <c r="I5" s="39"/>
      <c r="J5" s="39"/>
      <c r="K5" s="39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>
      <c r="A6" s="36" t="str">
        <f>IFERROR(__xludf.DUMMYFUNCTION("""COMPUTED_VALUE"""),"The Lord of the Rings: The Return of the King")</f>
        <v>The Lord of the Rings: The Return of the King</v>
      </c>
      <c r="B6" s="36">
        <f>IFERROR(__xludf.DUMMYFUNCTION("""COMPUTED_VALUE"""),8.9)</f>
        <v>8.9</v>
      </c>
      <c r="C6" s="36">
        <f>IFERROR(__xludf.DUMMYFUNCTION("""COMPUTED_VALUE"""),201.0)</f>
        <v>201</v>
      </c>
      <c r="D6" s="37">
        <f t="shared" si="1"/>
        <v>2.264103046</v>
      </c>
      <c r="E6" s="33"/>
      <c r="F6" s="32" t="s">
        <v>198</v>
      </c>
      <c r="G6" s="32" t="s">
        <v>199</v>
      </c>
      <c r="H6" s="32" t="s">
        <v>200</v>
      </c>
      <c r="I6" s="39"/>
      <c r="J6" s="39"/>
      <c r="K6" s="39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>
      <c r="A7" s="36" t="str">
        <f>IFERROR(__xludf.DUMMYFUNCTION("""COMPUTED_VALUE"""),"Pulp Fiction")</f>
        <v>Pulp Fiction</v>
      </c>
      <c r="B7" s="36">
        <f>IFERROR(__xludf.DUMMYFUNCTION("""COMPUTED_VALUE"""),8.9)</f>
        <v>8.9</v>
      </c>
      <c r="C7" s="36">
        <f>IFERROR(__xludf.DUMMYFUNCTION("""COMPUTED_VALUE"""),154.0)</f>
        <v>154</v>
      </c>
      <c r="D7" s="37">
        <f t="shared" si="1"/>
        <v>0.6629468143</v>
      </c>
      <c r="E7" s="41" t="s">
        <v>201</v>
      </c>
      <c r="F7" s="42">
        <f>F2-F4*1</f>
        <v>105.1862124</v>
      </c>
      <c r="G7" s="42">
        <f>F2+F4*1</f>
        <v>163.8937876</v>
      </c>
      <c r="H7" s="43">
        <f t="shared" ref="H7:H9" si="2">COUNTIFS($C$2:$C$101,"&gt;="&amp;F7,$C$2:$C$101,"&lt;="&amp;G7)/100</f>
        <v>0.68</v>
      </c>
      <c r="I7" s="39"/>
      <c r="J7" s="39"/>
      <c r="K7" s="39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>
      <c r="A8" s="36" t="str">
        <f>IFERROR(__xludf.DUMMYFUNCTION("""COMPUTED_VALUE"""),"Schindler's List")</f>
        <v>Schindler's List</v>
      </c>
      <c r="B8" s="36">
        <f>IFERROR(__xludf.DUMMYFUNCTION("""COMPUTED_VALUE"""),8.9)</f>
        <v>8.9</v>
      </c>
      <c r="C8" s="36">
        <f>IFERROR(__xludf.DUMMYFUNCTION("""COMPUTED_VALUE"""),195.0)</f>
        <v>195</v>
      </c>
      <c r="D8" s="37">
        <f t="shared" si="1"/>
        <v>2.059700123</v>
      </c>
      <c r="E8" s="41" t="s">
        <v>202</v>
      </c>
      <c r="F8" s="42">
        <f>F2-F4*2</f>
        <v>75.83242473</v>
      </c>
      <c r="G8" s="42">
        <f>F2+F4*2</f>
        <v>193.2475753</v>
      </c>
      <c r="H8" s="43">
        <f t="shared" si="2"/>
        <v>0.95</v>
      </c>
      <c r="I8" s="39"/>
      <c r="J8" s="39"/>
      <c r="K8" s="39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>
      <c r="A9" s="36" t="str">
        <f>IFERROR(__xludf.DUMMYFUNCTION("""COMPUTED_VALUE"""),"12 Angry Men")</f>
        <v>12 Angry Men</v>
      </c>
      <c r="B9" s="36">
        <f>IFERROR(__xludf.DUMMYFUNCTION("""COMPUTED_VALUE"""),8.9)</f>
        <v>8.9</v>
      </c>
      <c r="C9" s="36">
        <f>IFERROR(__xludf.DUMMYFUNCTION("""COMPUTED_VALUE"""),96.0)</f>
        <v>96</v>
      </c>
      <c r="D9" s="37">
        <f t="shared" si="1"/>
        <v>-1.31294811</v>
      </c>
      <c r="E9" s="41" t="s">
        <v>203</v>
      </c>
      <c r="F9" s="42">
        <f>F2-F4*3</f>
        <v>46.4786371</v>
      </c>
      <c r="G9" s="42">
        <f>F2+F4*3</f>
        <v>222.6013629</v>
      </c>
      <c r="H9" s="43">
        <f t="shared" si="2"/>
        <v>0.99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>
      <c r="A10" s="36" t="str">
        <f>IFERROR(__xludf.DUMMYFUNCTION("""COMPUTED_VALUE"""),"Inception")</f>
        <v>Inception</v>
      </c>
      <c r="B10" s="36">
        <f>IFERROR(__xludf.DUMMYFUNCTION("""COMPUTED_VALUE"""),8.8)</f>
        <v>8.8</v>
      </c>
      <c r="C10" s="36">
        <f>IFERROR(__xludf.DUMMYFUNCTION("""COMPUTED_VALUE"""),148.0)</f>
        <v>148</v>
      </c>
      <c r="D10" s="37">
        <f t="shared" si="1"/>
        <v>0.4585438911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>
      <c r="A11" s="36" t="str">
        <f>IFERROR(__xludf.DUMMYFUNCTION("""COMPUTED_VALUE"""),"Fight Club")</f>
        <v>Fight Club</v>
      </c>
      <c r="B11" s="36">
        <f>IFERROR(__xludf.DUMMYFUNCTION("""COMPUTED_VALUE"""),8.8)</f>
        <v>8.8</v>
      </c>
      <c r="C11" s="36">
        <f>IFERROR(__xludf.DUMMYFUNCTION("""COMPUTED_VALUE"""),139.0)</f>
        <v>139</v>
      </c>
      <c r="D11" s="37">
        <f t="shared" si="1"/>
        <v>0.1519395063</v>
      </c>
      <c r="E11" s="32" t="s">
        <v>204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A12" s="36" t="str">
        <f>IFERROR(__xludf.DUMMYFUNCTION("""COMPUTED_VALUE"""),"The Lord of the Rings: The Fellowship of the Ring")</f>
        <v>The Lord of the Rings: The Fellowship of the Ring</v>
      </c>
      <c r="B12" s="36">
        <f>IFERROR(__xludf.DUMMYFUNCTION("""COMPUTED_VALUE"""),8.8)</f>
        <v>8.8</v>
      </c>
      <c r="C12" s="36">
        <f>IFERROR(__xludf.DUMMYFUNCTION("""COMPUTED_VALUE"""),178.0)</f>
        <v>178</v>
      </c>
      <c r="D12" s="37">
        <f t="shared" si="1"/>
        <v>1.480558507</v>
      </c>
      <c r="E12" s="39" t="s">
        <v>197</v>
      </c>
      <c r="F12" s="42">
        <f>_xlfn.STDEV.S($C$2:$C$101)</f>
        <v>29.35378763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>
      <c r="A13" s="36" t="str">
        <f>IFERROR(__xludf.DUMMYFUNCTION("""COMPUTED_VALUE"""),"Forrest Gump")</f>
        <v>Forrest Gump</v>
      </c>
      <c r="B13" s="36">
        <f>IFERROR(__xludf.DUMMYFUNCTION("""COMPUTED_VALUE"""),8.8)</f>
        <v>8.8</v>
      </c>
      <c r="C13" s="36">
        <f>IFERROR(__xludf.DUMMYFUNCTION("""COMPUTED_VALUE"""),142.0)</f>
        <v>142</v>
      </c>
      <c r="D13" s="37">
        <f t="shared" si="1"/>
        <v>0.2541409679</v>
      </c>
      <c r="E13" s="39" t="s">
        <v>205</v>
      </c>
      <c r="F13" s="42">
        <f>_xlfn.VAR.S($C$2:$C$101)</f>
        <v>861.6448485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>
      <c r="A14" s="36" t="str">
        <f>IFERROR(__xludf.DUMMYFUNCTION("""COMPUTED_VALUE"""),"The Good, the Bad and the Ugly")</f>
        <v>The Good, the Bad and the Ugly</v>
      </c>
      <c r="B14" s="36">
        <f>IFERROR(__xludf.DUMMYFUNCTION("""COMPUTED_VALUE"""),8.8)</f>
        <v>8.8</v>
      </c>
      <c r="C14" s="36">
        <f>IFERROR(__xludf.DUMMYFUNCTION("""COMPUTED_VALUE"""),178.0)</f>
        <v>178</v>
      </c>
      <c r="D14" s="37">
        <f t="shared" si="1"/>
        <v>1.480558507</v>
      </c>
      <c r="E14" s="39" t="s">
        <v>206</v>
      </c>
      <c r="F14" s="42">
        <f>F20-F18</f>
        <v>37.75</v>
      </c>
      <c r="G14" s="39" t="s">
        <v>207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>
      <c r="A15" s="36" t="str">
        <f>IFERROR(__xludf.DUMMYFUNCTION("""COMPUTED_VALUE"""),"Hamilton")</f>
        <v>Hamilton</v>
      </c>
      <c r="B15" s="36">
        <f>IFERROR(__xludf.DUMMYFUNCTION("""COMPUTED_VALUE"""),8.7)</f>
        <v>8.7</v>
      </c>
      <c r="C15" s="36">
        <f>IFERROR(__xludf.DUMMYFUNCTION("""COMPUTED_VALUE"""),160.0)</f>
        <v>160</v>
      </c>
      <c r="D15" s="37">
        <f t="shared" si="1"/>
        <v>0.8673497375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>
      <c r="A16" s="36" t="str">
        <f>IFERROR(__xludf.DUMMYFUNCTION("""COMPUTED_VALUE"""),"The Lord of the Rings: The Two Towers")</f>
        <v>The Lord of the Rings: The Two Towers</v>
      </c>
      <c r="B16" s="36">
        <f>IFERROR(__xludf.DUMMYFUNCTION("""COMPUTED_VALUE"""),8.7)</f>
        <v>8.7</v>
      </c>
      <c r="C16" s="36">
        <f>IFERROR(__xludf.DUMMYFUNCTION("""COMPUTED_VALUE"""),179.0)</f>
        <v>179</v>
      </c>
      <c r="D16" s="37">
        <f t="shared" si="1"/>
        <v>1.514625661</v>
      </c>
      <c r="E16" s="32" t="s">
        <v>208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>
      <c r="A17" s="36" t="str">
        <f>IFERROR(__xludf.DUMMYFUNCTION("""COMPUTED_VALUE"""),"The Matrix")</f>
        <v>The Matrix</v>
      </c>
      <c r="B17" s="36">
        <f>IFERROR(__xludf.DUMMYFUNCTION("""COMPUTED_VALUE"""),8.7)</f>
        <v>8.7</v>
      </c>
      <c r="C17" s="36">
        <f>IFERROR(__xludf.DUMMYFUNCTION("""COMPUTED_VALUE"""),136.0)</f>
        <v>136</v>
      </c>
      <c r="D17" s="37">
        <f t="shared" si="1"/>
        <v>0.04973804465</v>
      </c>
      <c r="E17" s="39" t="s">
        <v>209</v>
      </c>
      <c r="F17" s="42">
        <f>PERCENTILE($C$2:$C$101,0)</f>
        <v>87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>
      <c r="A18" s="36" t="str">
        <f>IFERROR(__xludf.DUMMYFUNCTION("""COMPUTED_VALUE"""),"Goodfellas")</f>
        <v>Goodfellas</v>
      </c>
      <c r="B18" s="36">
        <f>IFERROR(__xludf.DUMMYFUNCTION("""COMPUTED_VALUE"""),8.7)</f>
        <v>8.7</v>
      </c>
      <c r="C18" s="36">
        <f>IFERROR(__xludf.DUMMYFUNCTION("""COMPUTED_VALUE"""),146.0)</f>
        <v>146</v>
      </c>
      <c r="D18" s="37">
        <f t="shared" si="1"/>
        <v>0.3904095833</v>
      </c>
      <c r="E18" s="39" t="s">
        <v>210</v>
      </c>
      <c r="F18" s="42">
        <f>PERCENTILE($C$2:$C$101,0.25)</f>
        <v>114.5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>
      <c r="A19" s="36" t="str">
        <f>IFERROR(__xludf.DUMMYFUNCTION("""COMPUTED_VALUE"""),"Star Wars: Episode V - The Empire Strikes Back")</f>
        <v>Star Wars: Episode V - The Empire Strikes Back</v>
      </c>
      <c r="B19" s="36">
        <f>IFERROR(__xludf.DUMMYFUNCTION("""COMPUTED_VALUE"""),8.7)</f>
        <v>8.7</v>
      </c>
      <c r="C19" s="36">
        <f>IFERROR(__xludf.DUMMYFUNCTION("""COMPUTED_VALUE"""),124.0)</f>
        <v>124</v>
      </c>
      <c r="D19" s="37">
        <f t="shared" si="1"/>
        <v>-0.3590678018</v>
      </c>
      <c r="E19" s="39" t="s">
        <v>211</v>
      </c>
      <c r="F19" s="42">
        <f>PERCENTILE($C$2:$C$101,0.5)</f>
        <v>130</v>
      </c>
      <c r="G19" s="39" t="s">
        <v>212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>
      <c r="A20" s="36" t="str">
        <f>IFERROR(__xludf.DUMMYFUNCTION("""COMPUTED_VALUE"""),"One Flew Over the Cuckoo's Nest")</f>
        <v>One Flew Over the Cuckoo's Nest</v>
      </c>
      <c r="B20" s="36">
        <f>IFERROR(__xludf.DUMMYFUNCTION("""COMPUTED_VALUE"""),8.7)</f>
        <v>8.7</v>
      </c>
      <c r="C20" s="36">
        <f>IFERROR(__xludf.DUMMYFUNCTION("""COMPUTED_VALUE"""),133.0)</f>
        <v>133</v>
      </c>
      <c r="D20" s="37">
        <f t="shared" si="1"/>
        <v>-0.05246341696</v>
      </c>
      <c r="E20" s="39" t="s">
        <v>213</v>
      </c>
      <c r="F20" s="42">
        <f>PERCENTILE($C$2:$C$101,0.75)</f>
        <v>152.25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>
      <c r="A21" s="36" t="str">
        <f>IFERROR(__xludf.DUMMYFUNCTION("""COMPUTED_VALUE"""),"Parasite")</f>
        <v>Parasite</v>
      </c>
      <c r="B21" s="36">
        <f>IFERROR(__xludf.DUMMYFUNCTION("""COMPUTED_VALUE"""),8.6)</f>
        <v>8.6</v>
      </c>
      <c r="C21" s="36">
        <f>IFERROR(__xludf.DUMMYFUNCTION("""COMPUTED_VALUE"""),132.0)</f>
        <v>132</v>
      </c>
      <c r="D21" s="37">
        <f t="shared" si="1"/>
        <v>-0.08653057083</v>
      </c>
      <c r="E21" s="39" t="s">
        <v>214</v>
      </c>
      <c r="F21" s="42">
        <f>PERCENTILE($C$2:$C$101,1)</f>
        <v>229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>
      <c r="A22" s="36" t="str">
        <f>IFERROR(__xludf.DUMMYFUNCTION("""COMPUTED_VALUE"""),"Interstellar")</f>
        <v>Interstellar</v>
      </c>
      <c r="B22" s="36">
        <f>IFERROR(__xludf.DUMMYFUNCTION("""COMPUTED_VALUE"""),8.6)</f>
        <v>8.6</v>
      </c>
      <c r="C22" s="36">
        <f>IFERROR(__xludf.DUMMYFUNCTION("""COMPUTED_VALUE"""),169.0)</f>
        <v>169</v>
      </c>
      <c r="D22" s="37">
        <f t="shared" si="1"/>
        <v>1.173954122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>
      <c r="A23" s="36" t="str">
        <f>IFERROR(__xludf.DUMMYFUNCTION("""COMPUTED_VALUE"""),"City of God")</f>
        <v>City of God</v>
      </c>
      <c r="B23" s="36">
        <f>IFERROR(__xludf.DUMMYFUNCTION("""COMPUTED_VALUE"""),8.6)</f>
        <v>8.6</v>
      </c>
      <c r="C23" s="36">
        <f>IFERROR(__xludf.DUMMYFUNCTION("""COMPUTED_VALUE"""),130.0)</f>
        <v>130</v>
      </c>
      <c r="D23" s="37">
        <f t="shared" si="1"/>
        <v>-0.1546648786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>
      <c r="A24" s="36" t="str">
        <f>IFERROR(__xludf.DUMMYFUNCTION("""COMPUTED_VALUE"""),"Spirited Away")</f>
        <v>Spirited Away</v>
      </c>
      <c r="B24" s="36">
        <f>IFERROR(__xludf.DUMMYFUNCTION("""COMPUTED_VALUE"""),8.6)</f>
        <v>8.6</v>
      </c>
      <c r="C24" s="36">
        <f>IFERROR(__xludf.DUMMYFUNCTION("""COMPUTED_VALUE"""),125.0)</f>
        <v>125</v>
      </c>
      <c r="D24" s="37">
        <f t="shared" si="1"/>
        <v>-0.3250006479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>
      <c r="A25" s="36" t="str">
        <f>IFERROR(__xludf.DUMMYFUNCTION("""COMPUTED_VALUE"""),"Saving Private Ryan")</f>
        <v>Saving Private Ryan</v>
      </c>
      <c r="B25" s="36">
        <f>IFERROR(__xludf.DUMMYFUNCTION("""COMPUTED_VALUE"""),8.6)</f>
        <v>8.6</v>
      </c>
      <c r="C25" s="36">
        <f>IFERROR(__xludf.DUMMYFUNCTION("""COMPUTED_VALUE"""),169.0)</f>
        <v>169</v>
      </c>
      <c r="D25" s="37">
        <f t="shared" si="1"/>
        <v>1.173954122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>
      <c r="A26" s="36" t="str">
        <f>IFERROR(__xludf.DUMMYFUNCTION("""COMPUTED_VALUE"""),"The Green Mile")</f>
        <v>The Green Mile</v>
      </c>
      <c r="B26" s="36">
        <f>IFERROR(__xludf.DUMMYFUNCTION("""COMPUTED_VALUE"""),8.6)</f>
        <v>8.6</v>
      </c>
      <c r="C26" s="36">
        <f>IFERROR(__xludf.DUMMYFUNCTION("""COMPUTED_VALUE"""),189.0)</f>
        <v>189</v>
      </c>
      <c r="D26" s="37">
        <f t="shared" si="1"/>
        <v>1.8552972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>
      <c r="A27" s="36" t="str">
        <f>IFERROR(__xludf.DUMMYFUNCTION("""COMPUTED_VALUE"""),"Life Is Beautiful")</f>
        <v>Life Is Beautiful</v>
      </c>
      <c r="B27" s="36">
        <f>IFERROR(__xludf.DUMMYFUNCTION("""COMPUTED_VALUE"""),8.6)</f>
        <v>8.6</v>
      </c>
      <c r="C27" s="36">
        <f>IFERROR(__xludf.DUMMYFUNCTION("""COMPUTED_VALUE"""),116.0)</f>
        <v>116</v>
      </c>
      <c r="D27" s="37">
        <f t="shared" si="1"/>
        <v>-0.6316050327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>
      <c r="A28" s="36" t="str">
        <f>IFERROR(__xludf.DUMMYFUNCTION("""COMPUTED_VALUE"""),"Se7en")</f>
        <v>Se7en</v>
      </c>
      <c r="B28" s="36">
        <f>IFERROR(__xludf.DUMMYFUNCTION("""COMPUTED_VALUE"""),8.6)</f>
        <v>8.6</v>
      </c>
      <c r="C28" s="36">
        <f>IFERROR(__xludf.DUMMYFUNCTION("""COMPUTED_VALUE"""),127.0)</f>
        <v>127</v>
      </c>
      <c r="D28" s="37">
        <f t="shared" si="1"/>
        <v>-0.2568663402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>
      <c r="A29" s="36" t="str">
        <f>IFERROR(__xludf.DUMMYFUNCTION("""COMPUTED_VALUE"""),"The Silence of the Lambs")</f>
        <v>The Silence of the Lambs</v>
      </c>
      <c r="B29" s="36">
        <f>IFERROR(__xludf.DUMMYFUNCTION("""COMPUTED_VALUE"""),8.6)</f>
        <v>8.6</v>
      </c>
      <c r="C29" s="36">
        <f>IFERROR(__xludf.DUMMYFUNCTION("""COMPUTED_VALUE"""),118.0)</f>
        <v>118</v>
      </c>
      <c r="D29" s="37">
        <f t="shared" si="1"/>
        <v>-0.563470725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>
      <c r="A30" s="36" t="str">
        <f>IFERROR(__xludf.DUMMYFUNCTION("""COMPUTED_VALUE"""),"Star Wars: Episode IV - A New Hope")</f>
        <v>Star Wars: Episode IV - A New Hope</v>
      </c>
      <c r="B30" s="36">
        <f>IFERROR(__xludf.DUMMYFUNCTION("""COMPUTED_VALUE"""),8.6)</f>
        <v>8.6</v>
      </c>
      <c r="C30" s="36">
        <f>IFERROR(__xludf.DUMMYFUNCTION("""COMPUTED_VALUE"""),121.0)</f>
        <v>121</v>
      </c>
      <c r="D30" s="37">
        <f t="shared" si="1"/>
        <v>-0.4612692634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>
      <c r="A31" s="36" t="str">
        <f>IFERROR(__xludf.DUMMYFUNCTION("""COMPUTED_VALUE"""),"Harakiri")</f>
        <v>Harakiri</v>
      </c>
      <c r="B31" s="36">
        <f>IFERROR(__xludf.DUMMYFUNCTION("""COMPUTED_VALUE"""),8.6)</f>
        <v>8.6</v>
      </c>
      <c r="C31" s="36">
        <f>IFERROR(__xludf.DUMMYFUNCTION("""COMPUTED_VALUE"""),133.0)</f>
        <v>133</v>
      </c>
      <c r="D31" s="37">
        <f t="shared" si="1"/>
        <v>-0.05246341696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>
      <c r="A32" s="36" t="str">
        <f>IFERROR(__xludf.DUMMYFUNCTION("""COMPUTED_VALUE"""),"Seven Samurai")</f>
        <v>Seven Samurai</v>
      </c>
      <c r="B32" s="36">
        <f>IFERROR(__xludf.DUMMYFUNCTION("""COMPUTED_VALUE"""),8.6)</f>
        <v>8.6</v>
      </c>
      <c r="C32" s="36">
        <f>IFERROR(__xludf.DUMMYFUNCTION("""COMPUTED_VALUE"""),207.0)</f>
        <v>207</v>
      </c>
      <c r="D32" s="37">
        <f t="shared" si="1"/>
        <v>2.468505969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>
      <c r="A33" s="36" t="str">
        <f>IFERROR(__xludf.DUMMYFUNCTION("""COMPUTED_VALUE"""),"It's a Wonderful Life")</f>
        <v>It's a Wonderful Life</v>
      </c>
      <c r="B33" s="36">
        <f>IFERROR(__xludf.DUMMYFUNCTION("""COMPUTED_VALUE"""),8.6)</f>
        <v>8.6</v>
      </c>
      <c r="C33" s="36">
        <f>IFERROR(__xludf.DUMMYFUNCTION("""COMPUTED_VALUE"""),130.0)</f>
        <v>130</v>
      </c>
      <c r="D33" s="37">
        <f t="shared" si="1"/>
        <v>-0.1546648786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>
      <c r="A34" s="36" t="str">
        <f>IFERROR(__xludf.DUMMYFUNCTION("""COMPUTED_VALUE"""),"Joker")</f>
        <v>Joker</v>
      </c>
      <c r="B34" s="36">
        <f>IFERROR(__xludf.DUMMYFUNCTION("""COMPUTED_VALUE"""),8.5)</f>
        <v>8.5</v>
      </c>
      <c r="C34" s="36">
        <f>IFERROR(__xludf.DUMMYFUNCTION("""COMPUTED_VALUE"""),122.0)</f>
        <v>122</v>
      </c>
      <c r="D34" s="37">
        <f t="shared" si="1"/>
        <v>-0.4272021095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>
      <c r="A35" s="36" t="str">
        <f>IFERROR(__xludf.DUMMYFUNCTION("""COMPUTED_VALUE"""),"Whiplash")</f>
        <v>Whiplash</v>
      </c>
      <c r="B35" s="36">
        <f>IFERROR(__xludf.DUMMYFUNCTION("""COMPUTED_VALUE"""),8.5)</f>
        <v>8.5</v>
      </c>
      <c r="C35" s="36">
        <f>IFERROR(__xludf.DUMMYFUNCTION("""COMPUTED_VALUE"""),106.0)</f>
        <v>106</v>
      </c>
      <c r="D35" s="37">
        <f t="shared" si="1"/>
        <v>-0.9722765714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>
      <c r="A36" s="36" t="str">
        <f>IFERROR(__xludf.DUMMYFUNCTION("""COMPUTED_VALUE"""),"The Intouchables")</f>
        <v>The Intouchables</v>
      </c>
      <c r="B36" s="36">
        <f>IFERROR(__xludf.DUMMYFUNCTION("""COMPUTED_VALUE"""),8.5)</f>
        <v>8.5</v>
      </c>
      <c r="C36" s="36">
        <f>IFERROR(__xludf.DUMMYFUNCTION("""COMPUTED_VALUE"""),112.0)</f>
        <v>112</v>
      </c>
      <c r="D36" s="37">
        <f t="shared" si="1"/>
        <v>-0.7678736482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>
      <c r="A37" s="36" t="str">
        <f>IFERROR(__xludf.DUMMYFUNCTION("""COMPUTED_VALUE"""),"The Prestige")</f>
        <v>The Prestige</v>
      </c>
      <c r="B37" s="36">
        <f>IFERROR(__xludf.DUMMYFUNCTION("""COMPUTED_VALUE"""),8.5)</f>
        <v>8.5</v>
      </c>
      <c r="C37" s="36">
        <f>IFERROR(__xludf.DUMMYFUNCTION("""COMPUTED_VALUE"""),130.0)</f>
        <v>130</v>
      </c>
      <c r="D37" s="37">
        <f t="shared" si="1"/>
        <v>-0.1546648786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>
      <c r="A38" s="36" t="str">
        <f>IFERROR(__xludf.DUMMYFUNCTION("""COMPUTED_VALUE"""),"The Departed")</f>
        <v>The Departed</v>
      </c>
      <c r="B38" s="36">
        <f>IFERROR(__xludf.DUMMYFUNCTION("""COMPUTED_VALUE"""),8.5)</f>
        <v>8.5</v>
      </c>
      <c r="C38" s="36">
        <f>IFERROR(__xludf.DUMMYFUNCTION("""COMPUTED_VALUE"""),151.0)</f>
        <v>151</v>
      </c>
      <c r="D38" s="37">
        <f t="shared" si="1"/>
        <v>0.5607453527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>
      <c r="A39" s="36" t="str">
        <f>IFERROR(__xludf.DUMMYFUNCTION("""COMPUTED_VALUE"""),"The Pianist")</f>
        <v>The Pianist</v>
      </c>
      <c r="B39" s="36">
        <f>IFERROR(__xludf.DUMMYFUNCTION("""COMPUTED_VALUE"""),8.5)</f>
        <v>8.5</v>
      </c>
      <c r="C39" s="36">
        <f>IFERROR(__xludf.DUMMYFUNCTION("""COMPUTED_VALUE"""),150.0)</f>
        <v>150</v>
      </c>
      <c r="D39" s="37">
        <f t="shared" si="1"/>
        <v>0.5266781988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>
      <c r="A40" s="36" t="str">
        <f>IFERROR(__xludf.DUMMYFUNCTION("""COMPUTED_VALUE"""),"Gladiator")</f>
        <v>Gladiator</v>
      </c>
      <c r="B40" s="36">
        <f>IFERROR(__xludf.DUMMYFUNCTION("""COMPUTED_VALUE"""),8.5)</f>
        <v>8.5</v>
      </c>
      <c r="C40" s="36">
        <f>IFERROR(__xludf.DUMMYFUNCTION("""COMPUTED_VALUE"""),155.0)</f>
        <v>155</v>
      </c>
      <c r="D40" s="37">
        <f t="shared" si="1"/>
        <v>0.6970139682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>
      <c r="A41" s="36" t="str">
        <f>IFERROR(__xludf.DUMMYFUNCTION("""COMPUTED_VALUE"""),"American History X")</f>
        <v>American History X</v>
      </c>
      <c r="B41" s="36">
        <f>IFERROR(__xludf.DUMMYFUNCTION("""COMPUTED_VALUE"""),8.5)</f>
        <v>8.5</v>
      </c>
      <c r="C41" s="36">
        <f>IFERROR(__xludf.DUMMYFUNCTION("""COMPUTED_VALUE"""),119.0)</f>
        <v>119</v>
      </c>
      <c r="D41" s="37">
        <f t="shared" si="1"/>
        <v>-0.5294035711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>
      <c r="A42" s="36" t="str">
        <f>IFERROR(__xludf.DUMMYFUNCTION("""COMPUTED_VALUE"""),"The Usual Suspects")</f>
        <v>The Usual Suspects</v>
      </c>
      <c r="B42" s="36">
        <f>IFERROR(__xludf.DUMMYFUNCTION("""COMPUTED_VALUE"""),8.5)</f>
        <v>8.5</v>
      </c>
      <c r="C42" s="36">
        <f>IFERROR(__xludf.DUMMYFUNCTION("""COMPUTED_VALUE"""),106.0)</f>
        <v>106</v>
      </c>
      <c r="D42" s="37">
        <f t="shared" si="1"/>
        <v>-0.9722765714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>
      <c r="A43" s="36" t="str">
        <f>IFERROR(__xludf.DUMMYFUNCTION("""COMPUTED_VALUE"""),"Léon: The Professional")</f>
        <v>Léon: The Professional</v>
      </c>
      <c r="B43" s="36">
        <f>IFERROR(__xludf.DUMMYFUNCTION("""COMPUTED_VALUE"""),8.5)</f>
        <v>8.5</v>
      </c>
      <c r="C43" s="36">
        <f>IFERROR(__xludf.DUMMYFUNCTION("""COMPUTED_VALUE"""),110.0)</f>
        <v>110</v>
      </c>
      <c r="D43" s="37">
        <f t="shared" si="1"/>
        <v>-0.836007956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A44" s="36" t="str">
        <f>IFERROR(__xludf.DUMMYFUNCTION("""COMPUTED_VALUE"""),"The Lion King")</f>
        <v>The Lion King</v>
      </c>
      <c r="B44" s="36">
        <f>IFERROR(__xludf.DUMMYFUNCTION("""COMPUTED_VALUE"""),8.5)</f>
        <v>8.5</v>
      </c>
      <c r="C44" s="36">
        <f>IFERROR(__xludf.DUMMYFUNCTION("""COMPUTED_VALUE"""),88.0)</f>
        <v>88</v>
      </c>
      <c r="D44" s="37">
        <f t="shared" si="1"/>
        <v>-1.585485341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>
      <c r="A45" s="36" t="str">
        <f>IFERROR(__xludf.DUMMYFUNCTION("""COMPUTED_VALUE"""),"Terminator 2: Judgment Day")</f>
        <v>Terminator 2: Judgment Day</v>
      </c>
      <c r="B45" s="36">
        <f>IFERROR(__xludf.DUMMYFUNCTION("""COMPUTED_VALUE"""),8.5)</f>
        <v>8.5</v>
      </c>
      <c r="C45" s="36">
        <f>IFERROR(__xludf.DUMMYFUNCTION("""COMPUTED_VALUE"""),137.0)</f>
        <v>137</v>
      </c>
      <c r="D45" s="37">
        <f t="shared" si="1"/>
        <v>0.08380519852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>
      <c r="A46" s="36" t="str">
        <f>IFERROR(__xludf.DUMMYFUNCTION("""COMPUTED_VALUE"""),"Cinema Paradiso")</f>
        <v>Cinema Paradiso</v>
      </c>
      <c r="B46" s="36">
        <f>IFERROR(__xludf.DUMMYFUNCTION("""COMPUTED_VALUE"""),8.5)</f>
        <v>8.5</v>
      </c>
      <c r="C46" s="36">
        <f>IFERROR(__xludf.DUMMYFUNCTION("""COMPUTED_VALUE"""),155.0)</f>
        <v>155</v>
      </c>
      <c r="D46" s="37">
        <f t="shared" si="1"/>
        <v>0.6970139682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>
      <c r="A47" s="36" t="str">
        <f>IFERROR(__xludf.DUMMYFUNCTION("""COMPUTED_VALUE"""),"Grave of the Fireflies")</f>
        <v>Grave of the Fireflies</v>
      </c>
      <c r="B47" s="36">
        <f>IFERROR(__xludf.DUMMYFUNCTION("""COMPUTED_VALUE"""),8.5)</f>
        <v>8.5</v>
      </c>
      <c r="C47" s="36">
        <f>IFERROR(__xludf.DUMMYFUNCTION("""COMPUTED_VALUE"""),89.0)</f>
        <v>89</v>
      </c>
      <c r="D47" s="37">
        <f t="shared" si="1"/>
        <v>-1.551418187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>
      <c r="A48" s="36" t="str">
        <f>IFERROR(__xludf.DUMMYFUNCTION("""COMPUTED_VALUE"""),"Back to the Future")</f>
        <v>Back to the Future</v>
      </c>
      <c r="B48" s="36">
        <f>IFERROR(__xludf.DUMMYFUNCTION("""COMPUTED_VALUE"""),8.5)</f>
        <v>8.5</v>
      </c>
      <c r="C48" s="36">
        <f>IFERROR(__xludf.DUMMYFUNCTION("""COMPUTED_VALUE"""),116.0)</f>
        <v>116</v>
      </c>
      <c r="D48" s="37">
        <f t="shared" si="1"/>
        <v>-0.6316050327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>
      <c r="A49" s="36" t="str">
        <f>IFERROR(__xludf.DUMMYFUNCTION("""COMPUTED_VALUE"""),"Anand")</f>
        <v>Anand</v>
      </c>
      <c r="B49" s="36">
        <f>IFERROR(__xludf.DUMMYFUNCTION("""COMPUTED_VALUE"""),8.5)</f>
        <v>8.5</v>
      </c>
      <c r="C49" s="36">
        <f>IFERROR(__xludf.DUMMYFUNCTION("""COMPUTED_VALUE"""),122.0)</f>
        <v>122</v>
      </c>
      <c r="D49" s="37">
        <f t="shared" si="1"/>
        <v>-0.4272021095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>
      <c r="A50" s="36" t="str">
        <f>IFERROR(__xludf.DUMMYFUNCTION("""COMPUTED_VALUE"""),"Once Upon a Time in the West")</f>
        <v>Once Upon a Time in the West</v>
      </c>
      <c r="B50" s="36">
        <f>IFERROR(__xludf.DUMMYFUNCTION("""COMPUTED_VALUE"""),8.5)</f>
        <v>8.5</v>
      </c>
      <c r="C50" s="36">
        <f>IFERROR(__xludf.DUMMYFUNCTION("""COMPUTED_VALUE"""),165.0)</f>
        <v>165</v>
      </c>
      <c r="D50" s="37">
        <f t="shared" si="1"/>
        <v>1.037685507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>
      <c r="A51" s="36" t="str">
        <f>IFERROR(__xludf.DUMMYFUNCTION("""COMPUTED_VALUE"""),"Psycho")</f>
        <v>Psycho</v>
      </c>
      <c r="B51" s="36">
        <f>IFERROR(__xludf.DUMMYFUNCTION("""COMPUTED_VALUE"""),8.5)</f>
        <v>8.5</v>
      </c>
      <c r="C51" s="36">
        <f>IFERROR(__xludf.DUMMYFUNCTION("""COMPUTED_VALUE"""),109.0)</f>
        <v>109</v>
      </c>
      <c r="D51" s="37">
        <f t="shared" si="1"/>
        <v>-0.8700751098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>
      <c r="A52" s="36" t="str">
        <f>IFERROR(__xludf.DUMMYFUNCTION("""COMPUTED_VALUE"""),"Casablanca")</f>
        <v>Casablanca</v>
      </c>
      <c r="B52" s="36">
        <f>IFERROR(__xludf.DUMMYFUNCTION("""COMPUTED_VALUE"""),8.5)</f>
        <v>8.5</v>
      </c>
      <c r="C52" s="36">
        <f>IFERROR(__xludf.DUMMYFUNCTION("""COMPUTED_VALUE"""),102.0)</f>
        <v>102</v>
      </c>
      <c r="D52" s="37">
        <f t="shared" si="1"/>
        <v>-1.108545187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>
      <c r="A53" s="36" t="str">
        <f>IFERROR(__xludf.DUMMYFUNCTION("""COMPUTED_VALUE"""),"Modern Times")</f>
        <v>Modern Times</v>
      </c>
      <c r="B53" s="36">
        <f>IFERROR(__xludf.DUMMYFUNCTION("""COMPUTED_VALUE"""),8.5)</f>
        <v>8.5</v>
      </c>
      <c r="C53" s="36">
        <f>IFERROR(__xludf.DUMMYFUNCTION("""COMPUTED_VALUE"""),87.0)</f>
        <v>87</v>
      </c>
      <c r="D53" s="37">
        <f t="shared" si="1"/>
        <v>-1.619552495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>
      <c r="A54" s="36" t="str">
        <f>IFERROR(__xludf.DUMMYFUNCTION("""COMPUTED_VALUE"""),"City Lights")</f>
        <v>City Lights</v>
      </c>
      <c r="B54" s="36">
        <f>IFERROR(__xludf.DUMMYFUNCTION("""COMPUTED_VALUE"""),8.5)</f>
        <v>8.5</v>
      </c>
      <c r="C54" s="36">
        <f>IFERROR(__xludf.DUMMYFUNCTION("""COMPUTED_VALUE"""),87.0)</f>
        <v>87</v>
      </c>
      <c r="D54" s="37">
        <f t="shared" si="1"/>
        <v>-1.619552495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>
      <c r="A55" s="36" t="str">
        <f>IFERROR(__xludf.DUMMYFUNCTION("""COMPUTED_VALUE"""),"Capharnaüm")</f>
        <v>Capharnaüm</v>
      </c>
      <c r="B55" s="36">
        <f>IFERROR(__xludf.DUMMYFUNCTION("""COMPUTED_VALUE"""),8.4)</f>
        <v>8.4</v>
      </c>
      <c r="C55" s="36">
        <f>IFERROR(__xludf.DUMMYFUNCTION("""COMPUTED_VALUE"""),126.0)</f>
        <v>126</v>
      </c>
      <c r="D55" s="37">
        <f t="shared" si="1"/>
        <v>-0.290933494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>
      <c r="A56" s="36" t="str">
        <f>IFERROR(__xludf.DUMMYFUNCTION("""COMPUTED_VALUE"""),"Ayla: The Daughter of War")</f>
        <v>Ayla: The Daughter of War</v>
      </c>
      <c r="B56" s="36">
        <f>IFERROR(__xludf.DUMMYFUNCTION("""COMPUTED_VALUE"""),8.4)</f>
        <v>8.4</v>
      </c>
      <c r="C56" s="36">
        <f>IFERROR(__xludf.DUMMYFUNCTION("""COMPUTED_VALUE"""),125.0)</f>
        <v>125</v>
      </c>
      <c r="D56" s="37">
        <f t="shared" si="1"/>
        <v>-0.3250006479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>
      <c r="A57" s="36" t="str">
        <f>IFERROR(__xludf.DUMMYFUNCTION("""COMPUTED_VALUE"""),"Your Name.")</f>
        <v>Your Name.</v>
      </c>
      <c r="B57" s="36">
        <f>IFERROR(__xludf.DUMMYFUNCTION("""COMPUTED_VALUE"""),8.4)</f>
        <v>8.4</v>
      </c>
      <c r="C57" s="36">
        <f>IFERROR(__xludf.DUMMYFUNCTION("""COMPUTED_VALUE"""),106.0)</f>
        <v>106</v>
      </c>
      <c r="D57" s="37">
        <f t="shared" si="1"/>
        <v>-0.9722765714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>
      <c r="A58" s="36" t="str">
        <f>IFERROR(__xludf.DUMMYFUNCTION("""COMPUTED_VALUE"""),"Dangal")</f>
        <v>Dangal</v>
      </c>
      <c r="B58" s="36">
        <f>IFERROR(__xludf.DUMMYFUNCTION("""COMPUTED_VALUE"""),8.4)</f>
        <v>8.4</v>
      </c>
      <c r="C58" s="36">
        <f>IFERROR(__xludf.DUMMYFUNCTION("""COMPUTED_VALUE"""),161.0)</f>
        <v>161</v>
      </c>
      <c r="D58" s="37">
        <f t="shared" si="1"/>
        <v>0.9014168914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>
      <c r="A59" s="36" t="str">
        <f>IFERROR(__xludf.DUMMYFUNCTION("""COMPUTED_VALUE"""),"Spider-Man: Into the Spider-Verse")</f>
        <v>Spider-Man: Into the Spider-Verse</v>
      </c>
      <c r="B59" s="36">
        <f>IFERROR(__xludf.DUMMYFUNCTION("""COMPUTED_VALUE"""),8.4)</f>
        <v>8.4</v>
      </c>
      <c r="C59" s="36">
        <f>IFERROR(__xludf.DUMMYFUNCTION("""COMPUTED_VALUE"""),117.0)</f>
        <v>117</v>
      </c>
      <c r="D59" s="37">
        <f t="shared" si="1"/>
        <v>-0.5975378789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>
      <c r="A60" s="36" t="str">
        <f>IFERROR(__xludf.DUMMYFUNCTION("""COMPUTED_VALUE"""),"Avengers: Endgame")</f>
        <v>Avengers: Endgame</v>
      </c>
      <c r="B60" s="36">
        <f>IFERROR(__xludf.DUMMYFUNCTION("""COMPUTED_VALUE"""),8.4)</f>
        <v>8.4</v>
      </c>
      <c r="C60" s="36">
        <f>IFERROR(__xludf.DUMMYFUNCTION("""COMPUTED_VALUE"""),181.0)</f>
        <v>181</v>
      </c>
      <c r="D60" s="37">
        <f t="shared" si="1"/>
        <v>1.582759969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>
      <c r="A61" s="36" t="str">
        <f>IFERROR(__xludf.DUMMYFUNCTION("""COMPUTED_VALUE"""),"Avengers: Infinity War")</f>
        <v>Avengers: Infinity War</v>
      </c>
      <c r="B61" s="36">
        <f>IFERROR(__xludf.DUMMYFUNCTION("""COMPUTED_VALUE"""),8.4)</f>
        <v>8.4</v>
      </c>
      <c r="C61" s="36">
        <f>IFERROR(__xludf.DUMMYFUNCTION("""COMPUTED_VALUE"""),149.0)</f>
        <v>149</v>
      </c>
      <c r="D61" s="37">
        <f t="shared" si="1"/>
        <v>0.492611045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>
      <c r="A62" s="36" t="str">
        <f>IFERROR(__xludf.DUMMYFUNCTION("""COMPUTED_VALUE"""),"Coco")</f>
        <v>Coco</v>
      </c>
      <c r="B62" s="36">
        <f>IFERROR(__xludf.DUMMYFUNCTION("""COMPUTED_VALUE"""),8.4)</f>
        <v>8.4</v>
      </c>
      <c r="C62" s="36">
        <f>IFERROR(__xludf.DUMMYFUNCTION("""COMPUTED_VALUE"""),105.0)</f>
        <v>105</v>
      </c>
      <c r="D62" s="37">
        <f t="shared" si="1"/>
        <v>-1.006343725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>
      <c r="A63" s="36" t="str">
        <f>IFERROR(__xludf.DUMMYFUNCTION("""COMPUTED_VALUE"""),"Django Unchained")</f>
        <v>Django Unchained</v>
      </c>
      <c r="B63" s="36">
        <f>IFERROR(__xludf.DUMMYFUNCTION("""COMPUTED_VALUE"""),8.4)</f>
        <v>8.4</v>
      </c>
      <c r="C63" s="36">
        <f>IFERROR(__xludf.DUMMYFUNCTION("""COMPUTED_VALUE"""),165.0)</f>
        <v>165</v>
      </c>
      <c r="D63" s="37">
        <f t="shared" si="1"/>
        <v>1.037685507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>
      <c r="A64" s="36" t="str">
        <f>IFERROR(__xludf.DUMMYFUNCTION("""COMPUTED_VALUE"""),"The Dark Knight Rises")</f>
        <v>The Dark Knight Rises</v>
      </c>
      <c r="B64" s="36">
        <f>IFERROR(__xludf.DUMMYFUNCTION("""COMPUTED_VALUE"""),8.4)</f>
        <v>8.4</v>
      </c>
      <c r="C64" s="36">
        <f>IFERROR(__xludf.DUMMYFUNCTION("""COMPUTED_VALUE"""),164.0)</f>
        <v>164</v>
      </c>
      <c r="D64" s="37">
        <f t="shared" si="1"/>
        <v>1.003618353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>
      <c r="A65" s="36" t="str">
        <f>IFERROR(__xludf.DUMMYFUNCTION("""COMPUTED_VALUE"""),"3 Idiots")</f>
        <v>3 Idiots</v>
      </c>
      <c r="B65" s="36">
        <f>IFERROR(__xludf.DUMMYFUNCTION("""COMPUTED_VALUE"""),8.4)</f>
        <v>8.4</v>
      </c>
      <c r="C65" s="36">
        <f>IFERROR(__xludf.DUMMYFUNCTION("""COMPUTED_VALUE"""),170.0)</f>
        <v>170</v>
      </c>
      <c r="D65" s="37">
        <f t="shared" si="1"/>
        <v>1.208021276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>
      <c r="A66" s="36" t="str">
        <f>IFERROR(__xludf.DUMMYFUNCTION("""COMPUTED_VALUE"""),"Taare Zameen Par")</f>
        <v>Taare Zameen Par</v>
      </c>
      <c r="B66" s="36">
        <f>IFERROR(__xludf.DUMMYFUNCTION("""COMPUTED_VALUE"""),8.4)</f>
        <v>8.4</v>
      </c>
      <c r="C66" s="36">
        <f>IFERROR(__xludf.DUMMYFUNCTION("""COMPUTED_VALUE"""),165.0)</f>
        <v>165</v>
      </c>
      <c r="D66" s="37">
        <f t="shared" si="1"/>
        <v>1.037685507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>
      <c r="A67" s="36" t="str">
        <f>IFERROR(__xludf.DUMMYFUNCTION("""COMPUTED_VALUE"""),"WALL·E")</f>
        <v>WALL·E</v>
      </c>
      <c r="B67" s="36">
        <f>IFERROR(__xludf.DUMMYFUNCTION("""COMPUTED_VALUE"""),8.4)</f>
        <v>8.4</v>
      </c>
      <c r="C67" s="36">
        <f>IFERROR(__xludf.DUMMYFUNCTION("""COMPUTED_VALUE"""),98.0)</f>
        <v>98</v>
      </c>
      <c r="D67" s="37">
        <f t="shared" si="1"/>
        <v>-1.244813802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>
      <c r="A68" s="36" t="str">
        <f>IFERROR(__xludf.DUMMYFUNCTION("""COMPUTED_VALUE"""),"The Lives of Others")</f>
        <v>The Lives of Others</v>
      </c>
      <c r="B68" s="36">
        <f>IFERROR(__xludf.DUMMYFUNCTION("""COMPUTED_VALUE"""),8.4)</f>
        <v>8.4</v>
      </c>
      <c r="C68" s="36">
        <f>IFERROR(__xludf.DUMMYFUNCTION("""COMPUTED_VALUE"""),137.0)</f>
        <v>137</v>
      </c>
      <c r="D68" s="37">
        <f t="shared" si="1"/>
        <v>0.08380519852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>
      <c r="A69" s="36" t="str">
        <f>IFERROR(__xludf.DUMMYFUNCTION("""COMPUTED_VALUE"""),"Oldboy")</f>
        <v>Oldboy</v>
      </c>
      <c r="B69" s="36">
        <f>IFERROR(__xludf.DUMMYFUNCTION("""COMPUTED_VALUE"""),8.4)</f>
        <v>8.4</v>
      </c>
      <c r="C69" s="36">
        <f>IFERROR(__xludf.DUMMYFUNCTION("""COMPUTED_VALUE"""),120.0)</f>
        <v>120</v>
      </c>
      <c r="D69" s="37">
        <f t="shared" si="1"/>
        <v>-0.4953364173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>
      <c r="A70" s="36" t="str">
        <f>IFERROR(__xludf.DUMMYFUNCTION("""COMPUTED_VALUE"""),"Memento")</f>
        <v>Memento</v>
      </c>
      <c r="B70" s="36">
        <f>IFERROR(__xludf.DUMMYFUNCTION("""COMPUTED_VALUE"""),8.4)</f>
        <v>8.4</v>
      </c>
      <c r="C70" s="36">
        <f>IFERROR(__xludf.DUMMYFUNCTION("""COMPUTED_VALUE"""),113.0)</f>
        <v>113</v>
      </c>
      <c r="D70" s="37">
        <f t="shared" si="1"/>
        <v>-0.7338064944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>
      <c r="A71" s="36" t="str">
        <f>IFERROR(__xludf.DUMMYFUNCTION("""COMPUTED_VALUE"""),"Princess Mononoke")</f>
        <v>Princess Mononoke</v>
      </c>
      <c r="B71" s="36">
        <f>IFERROR(__xludf.DUMMYFUNCTION("""COMPUTED_VALUE"""),8.4)</f>
        <v>8.4</v>
      </c>
      <c r="C71" s="36">
        <f>IFERROR(__xludf.DUMMYFUNCTION("""COMPUTED_VALUE"""),134.0)</f>
        <v>134</v>
      </c>
      <c r="D71" s="37">
        <f t="shared" si="1"/>
        <v>-0.01839626309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>
      <c r="A72" s="36" t="str">
        <f>IFERROR(__xludf.DUMMYFUNCTION("""COMPUTED_VALUE"""),"Once Upon a Time in America")</f>
        <v>Once Upon a Time in America</v>
      </c>
      <c r="B72" s="36">
        <f>IFERROR(__xludf.DUMMYFUNCTION("""COMPUTED_VALUE"""),8.4)</f>
        <v>8.4</v>
      </c>
      <c r="C72" s="36">
        <f>IFERROR(__xludf.DUMMYFUNCTION("""COMPUTED_VALUE"""),229.0)</f>
        <v>229</v>
      </c>
      <c r="D72" s="37">
        <f t="shared" si="1"/>
        <v>3.217983355</v>
      </c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>
      <c r="A73" s="36" t="str">
        <f>IFERROR(__xludf.DUMMYFUNCTION("""COMPUTED_VALUE"""),"Raiders of the Lost Ark")</f>
        <v>Raiders of the Lost Ark</v>
      </c>
      <c r="B73" s="36">
        <f>IFERROR(__xludf.DUMMYFUNCTION("""COMPUTED_VALUE"""),8.4)</f>
        <v>8.4</v>
      </c>
      <c r="C73" s="36">
        <f>IFERROR(__xludf.DUMMYFUNCTION("""COMPUTED_VALUE"""),115.0)</f>
        <v>115</v>
      </c>
      <c r="D73" s="37">
        <f t="shared" si="1"/>
        <v>-0.6656721866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>
      <c r="A74" s="36" t="str">
        <f>IFERROR(__xludf.DUMMYFUNCTION("""COMPUTED_VALUE"""),"The Shining")</f>
        <v>The Shining</v>
      </c>
      <c r="B74" s="36">
        <f>IFERROR(__xludf.DUMMYFUNCTION("""COMPUTED_VALUE"""),8.4)</f>
        <v>8.4</v>
      </c>
      <c r="C74" s="36">
        <f>IFERROR(__xludf.DUMMYFUNCTION("""COMPUTED_VALUE"""),146.0)</f>
        <v>146</v>
      </c>
      <c r="D74" s="37">
        <f t="shared" si="1"/>
        <v>0.3904095833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>
      <c r="A75" s="36" t="str">
        <f>IFERROR(__xludf.DUMMYFUNCTION("""COMPUTED_VALUE"""),"Apocalypse Now")</f>
        <v>Apocalypse Now</v>
      </c>
      <c r="B75" s="36">
        <f>IFERROR(__xludf.DUMMYFUNCTION("""COMPUTED_VALUE"""),8.4)</f>
        <v>8.4</v>
      </c>
      <c r="C75" s="36">
        <f>IFERROR(__xludf.DUMMYFUNCTION("""COMPUTED_VALUE"""),147.0)</f>
        <v>147</v>
      </c>
      <c r="D75" s="37">
        <f t="shared" si="1"/>
        <v>0.4244767372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>
      <c r="A76" s="36" t="str">
        <f>IFERROR(__xludf.DUMMYFUNCTION("""COMPUTED_VALUE"""),"Alien")</f>
        <v>Alien</v>
      </c>
      <c r="B76" s="36">
        <f>IFERROR(__xludf.DUMMYFUNCTION("""COMPUTED_VALUE"""),8.4)</f>
        <v>8.4</v>
      </c>
      <c r="C76" s="36">
        <f>IFERROR(__xludf.DUMMYFUNCTION("""COMPUTED_VALUE"""),117.0)</f>
        <v>117</v>
      </c>
      <c r="D76" s="37">
        <f t="shared" si="1"/>
        <v>-0.5975378789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>
      <c r="A77" s="36" t="str">
        <f>IFERROR(__xludf.DUMMYFUNCTION("""COMPUTED_VALUE"""),"High and Low")</f>
        <v>High and Low</v>
      </c>
      <c r="B77" s="36">
        <f>IFERROR(__xludf.DUMMYFUNCTION("""COMPUTED_VALUE"""),8.4)</f>
        <v>8.4</v>
      </c>
      <c r="C77" s="36">
        <f>IFERROR(__xludf.DUMMYFUNCTION("""COMPUTED_VALUE"""),143.0)</f>
        <v>143</v>
      </c>
      <c r="D77" s="37">
        <f t="shared" si="1"/>
        <v>0.2882081217</v>
      </c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>
      <c r="A78" s="36" t="str">
        <f>IFERROR(__xludf.DUMMYFUNCTION("""COMPUTED_VALUE"""),"Dr. Strangelove or: How I Learned to Stop Worrying and Love the Bomb")</f>
        <v>Dr. Strangelove or: How I Learned to Stop Worrying and Love the Bomb</v>
      </c>
      <c r="B78" s="36">
        <f>IFERROR(__xludf.DUMMYFUNCTION("""COMPUTED_VALUE"""),8.4)</f>
        <v>8.4</v>
      </c>
      <c r="C78" s="36">
        <f>IFERROR(__xludf.DUMMYFUNCTION("""COMPUTED_VALUE"""),95.0)</f>
        <v>95</v>
      </c>
      <c r="D78" s="37">
        <f t="shared" si="1"/>
        <v>-1.347015264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>
      <c r="A79" s="36" t="str">
        <f>IFERROR(__xludf.DUMMYFUNCTION("""COMPUTED_VALUE"""),"Witness for the Prosecution")</f>
        <v>Witness for the Prosecution</v>
      </c>
      <c r="B79" s="36">
        <f>IFERROR(__xludf.DUMMYFUNCTION("""COMPUTED_VALUE"""),8.4)</f>
        <v>8.4</v>
      </c>
      <c r="C79" s="36">
        <f>IFERROR(__xludf.DUMMYFUNCTION("""COMPUTED_VALUE"""),116.0)</f>
        <v>116</v>
      </c>
      <c r="D79" s="37">
        <f t="shared" si="1"/>
        <v>-0.6316050327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>
      <c r="A80" s="36" t="str">
        <f>IFERROR(__xludf.DUMMYFUNCTION("""COMPUTED_VALUE"""),"Paths of Glory")</f>
        <v>Paths of Glory</v>
      </c>
      <c r="B80" s="36">
        <f>IFERROR(__xludf.DUMMYFUNCTION("""COMPUTED_VALUE"""),8.4)</f>
        <v>8.4</v>
      </c>
      <c r="C80" s="36">
        <f>IFERROR(__xludf.DUMMYFUNCTION("""COMPUTED_VALUE"""),88.0)</f>
        <v>88</v>
      </c>
      <c r="D80" s="37">
        <f t="shared" si="1"/>
        <v>-1.585485341</v>
      </c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>
      <c r="A81" s="36" t="str">
        <f>IFERROR(__xludf.DUMMYFUNCTION("""COMPUTED_VALUE"""),"Rear Window")</f>
        <v>Rear Window</v>
      </c>
      <c r="B81" s="36">
        <f>IFERROR(__xludf.DUMMYFUNCTION("""COMPUTED_VALUE"""),8.4)</f>
        <v>8.4</v>
      </c>
      <c r="C81" s="36">
        <f>IFERROR(__xludf.DUMMYFUNCTION("""COMPUTED_VALUE"""),112.0)</f>
        <v>112</v>
      </c>
      <c r="D81" s="37">
        <f t="shared" si="1"/>
        <v>-0.7678736482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>
      <c r="A82" s="36" t="str">
        <f>IFERROR(__xludf.DUMMYFUNCTION("""COMPUTED_VALUE"""),"Sunset Blvd.")</f>
        <v>Sunset Blvd.</v>
      </c>
      <c r="B82" s="36">
        <f>IFERROR(__xludf.DUMMYFUNCTION("""COMPUTED_VALUE"""),8.4)</f>
        <v>8.4</v>
      </c>
      <c r="C82" s="36">
        <f>IFERROR(__xludf.DUMMYFUNCTION("""COMPUTED_VALUE"""),110.0)</f>
        <v>110</v>
      </c>
      <c r="D82" s="37">
        <f t="shared" si="1"/>
        <v>-0.836007956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>
      <c r="A83" s="36" t="str">
        <f>IFERROR(__xludf.DUMMYFUNCTION("""COMPUTED_VALUE"""),"The Great Dictator")</f>
        <v>The Great Dictator</v>
      </c>
      <c r="B83" s="36">
        <f>IFERROR(__xludf.DUMMYFUNCTION("""COMPUTED_VALUE"""),8.4)</f>
        <v>8.4</v>
      </c>
      <c r="C83" s="36">
        <f>IFERROR(__xludf.DUMMYFUNCTION("""COMPUTED_VALUE"""),125.0)</f>
        <v>125</v>
      </c>
      <c r="D83" s="37">
        <f t="shared" si="1"/>
        <v>-0.3250006479</v>
      </c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>
      <c r="A84" s="36" t="str">
        <f>IFERROR(__xludf.DUMMYFUNCTION("""COMPUTED_VALUE"""),"1917")</f>
        <v>1917</v>
      </c>
      <c r="B84" s="36">
        <f>IFERROR(__xludf.DUMMYFUNCTION("""COMPUTED_VALUE"""),8.3)</f>
        <v>8.3</v>
      </c>
      <c r="C84" s="36">
        <f>IFERROR(__xludf.DUMMYFUNCTION("""COMPUTED_VALUE"""),119.0)</f>
        <v>119</v>
      </c>
      <c r="D84" s="37">
        <f t="shared" si="1"/>
        <v>-0.5294035711</v>
      </c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>
      <c r="A85" s="36" t="str">
        <f>IFERROR(__xludf.DUMMYFUNCTION("""COMPUTED_VALUE"""),"Uri: The Surgical Strike")</f>
        <v>Uri: The Surgical Strike</v>
      </c>
      <c r="B85" s="36">
        <f>IFERROR(__xludf.DUMMYFUNCTION("""COMPUTED_VALUE"""),8.3)</f>
        <v>8.3</v>
      </c>
      <c r="C85" s="36">
        <f>IFERROR(__xludf.DUMMYFUNCTION("""COMPUTED_VALUE"""),138.0)</f>
        <v>138</v>
      </c>
      <c r="D85" s="37">
        <f t="shared" si="1"/>
        <v>0.1178723524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>
      <c r="A86" s="36" t="str">
        <f>IFERROR(__xludf.DUMMYFUNCTION("""COMPUTED_VALUE"""),"Tumbbad")</f>
        <v>Tumbbad</v>
      </c>
      <c r="B86" s="36">
        <f>IFERROR(__xludf.DUMMYFUNCTION("""COMPUTED_VALUE"""),8.3)</f>
        <v>8.3</v>
      </c>
      <c r="C86" s="36">
        <f>IFERROR(__xludf.DUMMYFUNCTION("""COMPUTED_VALUE"""),104.0)</f>
        <v>104</v>
      </c>
      <c r="D86" s="37">
        <f t="shared" si="1"/>
        <v>-1.040410879</v>
      </c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>
      <c r="A87" s="36" t="str">
        <f>IFERROR(__xludf.DUMMYFUNCTION("""COMPUTED_VALUE"""),"Andhadhun")</f>
        <v>Andhadhun</v>
      </c>
      <c r="B87" s="36">
        <f>IFERROR(__xludf.DUMMYFUNCTION("""COMPUTED_VALUE"""),8.3)</f>
        <v>8.3</v>
      </c>
      <c r="C87" s="36">
        <f>IFERROR(__xludf.DUMMYFUNCTION("""COMPUTED_VALUE"""),139.0)</f>
        <v>139</v>
      </c>
      <c r="D87" s="37">
        <f t="shared" si="1"/>
        <v>0.1519395063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>
      <c r="A88" s="36" t="str">
        <f>IFERROR(__xludf.DUMMYFUNCTION("""COMPUTED_VALUE"""),"Drishyam")</f>
        <v>Drishyam</v>
      </c>
      <c r="B88" s="36">
        <f>IFERROR(__xludf.DUMMYFUNCTION("""COMPUTED_VALUE"""),8.3)</f>
        <v>8.3</v>
      </c>
      <c r="C88" s="36">
        <f>IFERROR(__xludf.DUMMYFUNCTION("""COMPUTED_VALUE"""),160.0)</f>
        <v>160</v>
      </c>
      <c r="D88" s="37">
        <f t="shared" si="1"/>
        <v>0.8673497375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>
      <c r="A89" s="36" t="str">
        <f>IFERROR(__xludf.DUMMYFUNCTION("""COMPUTED_VALUE"""),"The Hunt")</f>
        <v>The Hunt</v>
      </c>
      <c r="B89" s="36">
        <f>IFERROR(__xludf.DUMMYFUNCTION("""COMPUTED_VALUE"""),8.3)</f>
        <v>8.3</v>
      </c>
      <c r="C89" s="36">
        <f>IFERROR(__xludf.DUMMYFUNCTION("""COMPUTED_VALUE"""),115.0)</f>
        <v>115</v>
      </c>
      <c r="D89" s="37">
        <f t="shared" si="1"/>
        <v>-0.6656721866</v>
      </c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>
      <c r="A90" s="36" t="str">
        <f>IFERROR(__xludf.DUMMYFUNCTION("""COMPUTED_VALUE"""),"A Separation")</f>
        <v>A Separation</v>
      </c>
      <c r="B90" s="36">
        <f>IFERROR(__xludf.DUMMYFUNCTION("""COMPUTED_VALUE"""),8.3)</f>
        <v>8.3</v>
      </c>
      <c r="C90" s="36">
        <f>IFERROR(__xludf.DUMMYFUNCTION("""COMPUTED_VALUE"""),123.0)</f>
        <v>123</v>
      </c>
      <c r="D90" s="37">
        <f t="shared" si="1"/>
        <v>-0.3931349557</v>
      </c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>
      <c r="A91" s="36" t="str">
        <f>IFERROR(__xludf.DUMMYFUNCTION("""COMPUTED_VALUE"""),"Incendies")</f>
        <v>Incendies</v>
      </c>
      <c r="B91" s="36">
        <f>IFERROR(__xludf.DUMMYFUNCTION("""COMPUTED_VALUE"""),8.3)</f>
        <v>8.3</v>
      </c>
      <c r="C91" s="36">
        <f>IFERROR(__xludf.DUMMYFUNCTION("""COMPUTED_VALUE"""),131.0)</f>
        <v>131</v>
      </c>
      <c r="D91" s="37">
        <f t="shared" si="1"/>
        <v>-0.1205977247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>
      <c r="A92" s="36" t="str">
        <f>IFERROR(__xludf.DUMMYFUNCTION("""COMPUTED_VALUE"""),"Yedinci Kogustaki Mucize")</f>
        <v>Yedinci Kogustaki Mucize</v>
      </c>
      <c r="B92" s="36">
        <f>IFERROR(__xludf.DUMMYFUNCTION("""COMPUTED_VALUE"""),8.3)</f>
        <v>8.3</v>
      </c>
      <c r="C92" s="36">
        <f>IFERROR(__xludf.DUMMYFUNCTION("""COMPUTED_VALUE"""),132.0)</f>
        <v>132</v>
      </c>
      <c r="D92" s="37">
        <f t="shared" si="1"/>
        <v>-0.08653057083</v>
      </c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>
      <c r="A93" s="36" t="str">
        <f>IFERROR(__xludf.DUMMYFUNCTION("""COMPUTED_VALUE"""),"Babam ve Oglum")</f>
        <v>Babam ve Oglum</v>
      </c>
      <c r="B93" s="36">
        <f>IFERROR(__xludf.DUMMYFUNCTION("""COMPUTED_VALUE"""),8.3)</f>
        <v>8.3</v>
      </c>
      <c r="C93" s="36">
        <f>IFERROR(__xludf.DUMMYFUNCTION("""COMPUTED_VALUE"""),112.0)</f>
        <v>112</v>
      </c>
      <c r="D93" s="37">
        <f t="shared" si="1"/>
        <v>-0.7678736482</v>
      </c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>
      <c r="A94" s="36" t="str">
        <f>IFERROR(__xludf.DUMMYFUNCTION("""COMPUTED_VALUE"""),"Toy Story 3")</f>
        <v>Toy Story 3</v>
      </c>
      <c r="B94" s="36">
        <f>IFERROR(__xludf.DUMMYFUNCTION("""COMPUTED_VALUE"""),8.3)</f>
        <v>8.3</v>
      </c>
      <c r="C94" s="36">
        <f>IFERROR(__xludf.DUMMYFUNCTION("""COMPUTED_VALUE"""),103.0)</f>
        <v>103</v>
      </c>
      <c r="D94" s="37">
        <f t="shared" si="1"/>
        <v>-1.074478033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>
      <c r="A95" s="36" t="str">
        <f>IFERROR(__xludf.DUMMYFUNCTION("""COMPUTED_VALUE"""),"Inglourious Basterds")</f>
        <v>Inglourious Basterds</v>
      </c>
      <c r="B95" s="36">
        <f>IFERROR(__xludf.DUMMYFUNCTION("""COMPUTED_VALUE"""),8.3)</f>
        <v>8.3</v>
      </c>
      <c r="C95" s="36">
        <f>IFERROR(__xludf.DUMMYFUNCTION("""COMPUTED_VALUE"""),153.0)</f>
        <v>153</v>
      </c>
      <c r="D95" s="37">
        <f t="shared" si="1"/>
        <v>0.6288796604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>
      <c r="A96" s="36" t="str">
        <f>IFERROR(__xludf.DUMMYFUNCTION("""COMPUTED_VALUE"""),"Eternal Sunshine of the Spotless Mind")</f>
        <v>Eternal Sunshine of the Spotless Mind</v>
      </c>
      <c r="B96" s="36">
        <f>IFERROR(__xludf.DUMMYFUNCTION("""COMPUTED_VALUE"""),8.3)</f>
        <v>8.3</v>
      </c>
      <c r="C96" s="36">
        <f>IFERROR(__xludf.DUMMYFUNCTION("""COMPUTED_VALUE"""),108.0)</f>
        <v>108</v>
      </c>
      <c r="D96" s="37">
        <f t="shared" si="1"/>
        <v>-0.9041422637</v>
      </c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>
      <c r="A97" s="36" t="str">
        <f>IFERROR(__xludf.DUMMYFUNCTION("""COMPUTED_VALUE"""),"Amélie")</f>
        <v>Amélie</v>
      </c>
      <c r="B97" s="36">
        <f>IFERROR(__xludf.DUMMYFUNCTION("""COMPUTED_VALUE"""),8.3)</f>
        <v>8.3</v>
      </c>
      <c r="C97" s="36">
        <f>IFERROR(__xludf.DUMMYFUNCTION("""COMPUTED_VALUE"""),122.0)</f>
        <v>122</v>
      </c>
      <c r="D97" s="37">
        <f t="shared" si="1"/>
        <v>-0.4272021095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>
      <c r="A98" s="36" t="str">
        <f>IFERROR(__xludf.DUMMYFUNCTION("""COMPUTED_VALUE"""),"Snatch")</f>
        <v>Snatch</v>
      </c>
      <c r="B98" s="36">
        <f>IFERROR(__xludf.DUMMYFUNCTION("""COMPUTED_VALUE"""),8.3)</f>
        <v>8.3</v>
      </c>
      <c r="C98" s="36">
        <f>IFERROR(__xludf.DUMMYFUNCTION("""COMPUTED_VALUE"""),102.0)</f>
        <v>102</v>
      </c>
      <c r="D98" s="37">
        <f t="shared" si="1"/>
        <v>-1.108545187</v>
      </c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>
      <c r="A99" s="36" t="str">
        <f>IFERROR(__xludf.DUMMYFUNCTION("""COMPUTED_VALUE"""),"Requiem for a Dream")</f>
        <v>Requiem for a Dream</v>
      </c>
      <c r="B99" s="36">
        <f>IFERROR(__xludf.DUMMYFUNCTION("""COMPUTED_VALUE"""),8.3)</f>
        <v>8.3</v>
      </c>
      <c r="C99" s="36">
        <f>IFERROR(__xludf.DUMMYFUNCTION("""COMPUTED_VALUE"""),102.0)</f>
        <v>102</v>
      </c>
      <c r="D99" s="37">
        <f t="shared" si="1"/>
        <v>-1.108545187</v>
      </c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>
      <c r="A100" s="36" t="str">
        <f>IFERROR(__xludf.DUMMYFUNCTION("""COMPUTED_VALUE"""),"American Beauty")</f>
        <v>American Beauty</v>
      </c>
      <c r="B100" s="36">
        <f>IFERROR(__xludf.DUMMYFUNCTION("""COMPUTED_VALUE"""),8.3)</f>
        <v>8.3</v>
      </c>
      <c r="C100" s="36">
        <f>IFERROR(__xludf.DUMMYFUNCTION("""COMPUTED_VALUE"""),122.0)</f>
        <v>122</v>
      </c>
      <c r="D100" s="37">
        <f t="shared" si="1"/>
        <v>-0.4272021095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>
      <c r="A101" s="36" t="str">
        <f>IFERROR(__xludf.DUMMYFUNCTION("""COMPUTED_VALUE"""),"Good Will Hunting")</f>
        <v>Good Will Hunting</v>
      </c>
      <c r="B101" s="36">
        <f>IFERROR(__xludf.DUMMYFUNCTION("""COMPUTED_VALUE"""),8.3)</f>
        <v>8.3</v>
      </c>
      <c r="C101" s="36">
        <f>IFERROR(__xludf.DUMMYFUNCTION("""COMPUTED_VALUE"""),126.0)</f>
        <v>126</v>
      </c>
      <c r="D101" s="37">
        <f t="shared" si="1"/>
        <v>-0.290933494</v>
      </c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</sheetData>
  <mergeCells count="1">
    <mergeCell ref="E1:H1"/>
  </mergeCells>
  <conditionalFormatting sqref="D2:D101">
    <cfRule type="cellIs" dxfId="0" priority="1" operator="lessThan">
      <formula>0</formula>
    </cfRule>
  </conditionalFormatting>
  <conditionalFormatting sqref="D2:D101">
    <cfRule type="cellIs" dxfId="1" priority="2" operator="greaterThan">
      <formula>0</formula>
    </cfRule>
  </conditionalFormatting>
  <drawing r:id="rId1"/>
</worksheet>
</file>