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nicol\Dropbox\CascaGrossaSuprema\Dicas de Excel\"/>
    </mc:Choice>
  </mc:AlternateContent>
  <xr:revisionPtr revIDLastSave="0" documentId="13_ncr:1_{1F2E06C1-803D-4F11-B380-406BA10D9D92}" xr6:coauthVersionLast="47" xr6:coauthVersionMax="47" xr10:uidLastSave="{00000000-0000-0000-0000-000000000000}"/>
  <bookViews>
    <workbookView xWindow="48" yWindow="144" windowWidth="23016" windowHeight="12048" tabRatio="693" activeTab="1" xr2:uid="{7F3F08A6-C5E5-433E-8769-1E80F93ADEAE}"/>
  </bookViews>
  <sheets>
    <sheet name="Acknowledgment" sheetId="5" r:id="rId1"/>
    <sheet name="Distribuição Granulométrica" sheetId="1" r:id="rId2"/>
    <sheet name="Dados de Operação" sheetId="3" r:id="rId3"/>
    <sheet name="Distribuição por Média e Desvio" sheetId="6" state="hidden" r:id="rId4"/>
    <sheet name="Auxiliar" sheetId="2" state="hidden" r:id="rId5"/>
  </sheets>
  <definedNames>
    <definedName name="solver_adj" localSheetId="2" hidden="1">'Dados de Operação'!$C$4</definedName>
    <definedName name="solver_adj" localSheetId="1" hidden="1">'Distribuição Granulométrica'!$H$3</definedName>
    <definedName name="solver_cvg" localSheetId="2" hidden="1">0.0001</definedName>
    <definedName name="solver_cvg" localSheetId="1" hidden="1">0.0001</definedName>
    <definedName name="solver_drv" localSheetId="2" hidden="1">2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2" hidden="1">1</definedName>
    <definedName name="solver_est" localSheetId="1" hidden="1">1</definedName>
    <definedName name="solver_itr" localSheetId="2" hidden="1">2147483647</definedName>
    <definedName name="solver_itr" localSheetId="1" hidden="1">2147483647</definedName>
    <definedName name="solver_lhs1" localSheetId="2" hidden="1">'Dados de Operação'!$C$16</definedName>
    <definedName name="solver_lhs1" localSheetId="1" hidden="1">'Distribuição Granulométrica'!$C$14</definedName>
    <definedName name="solver_lhs10" localSheetId="2" hidden="1">'Dados de Operação'!$C$16</definedName>
    <definedName name="solver_lhs11" localSheetId="2" hidden="1">'Dados de Operação'!$C$18</definedName>
    <definedName name="solver_lhs12" localSheetId="2" hidden="1">'Dados de Operação'!$C$18</definedName>
    <definedName name="solver_lhs13" localSheetId="2" hidden="1">'Dados de Operação'!$C$16</definedName>
    <definedName name="solver_lhs14" localSheetId="2" hidden="1">'Dados de Operação'!$C$18</definedName>
    <definedName name="solver_lhs15" localSheetId="2" hidden="1">'Dados de Operação'!$C$18</definedName>
    <definedName name="solver_lhs2" localSheetId="2" hidden="1">'Dados de Operação'!$C$18</definedName>
    <definedName name="solver_lhs2" localSheetId="1" hidden="1">'Distribuição Granulométrica'!$C$16</definedName>
    <definedName name="solver_lhs3" localSheetId="2" hidden="1">'Dados de Operação'!$C$18</definedName>
    <definedName name="solver_lhs3" localSheetId="1" hidden="1">'Distribuição Granulométrica'!$C$16</definedName>
    <definedName name="solver_lhs4" localSheetId="2" hidden="1">'Dados de Operação'!$C$4</definedName>
    <definedName name="solver_lhs5" localSheetId="2" hidden="1">'Dados de Operação'!$C$18</definedName>
    <definedName name="solver_lhs6" localSheetId="2" hidden="1">'Dados de Operação'!$C$18</definedName>
    <definedName name="solver_lhs7" localSheetId="2" hidden="1">'Dados de Operação'!$C$16</definedName>
    <definedName name="solver_lhs8" localSheetId="2" hidden="1">'Dados de Operação'!$C$18</definedName>
    <definedName name="solver_lhs9" localSheetId="2" hidden="1">'Dados de Operação'!$C$18</definedName>
    <definedName name="solver_mip" localSheetId="2" hidden="1">2147483647</definedName>
    <definedName name="solver_mip" localSheetId="1" hidden="1">2147483647</definedName>
    <definedName name="solver_mni" localSheetId="2" hidden="1">30</definedName>
    <definedName name="solver_mni" localSheetId="1" hidden="1">30</definedName>
    <definedName name="solver_mrt" localSheetId="2" hidden="1">0.075</definedName>
    <definedName name="solver_mrt" localSheetId="1" hidden="1">0.075</definedName>
    <definedName name="solver_msl" localSheetId="2" hidden="1">2</definedName>
    <definedName name="solver_msl" localSheetId="1" hidden="1">2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od" localSheetId="1" hidden="1">2147483647</definedName>
    <definedName name="solver_num" localSheetId="2" hidden="1">3</definedName>
    <definedName name="solver_num" localSheetId="1" hidden="1">0</definedName>
    <definedName name="solver_nwt" localSheetId="2" hidden="1">1</definedName>
    <definedName name="solver_nwt" localSheetId="1" hidden="1">1</definedName>
    <definedName name="solver_opt" localSheetId="2" hidden="1">'Dados de Operação'!$C$16</definedName>
    <definedName name="solver_opt" localSheetId="1" hidden="1">'Distribuição Granulométrica'!$H$5</definedName>
    <definedName name="solver_pre" localSheetId="2" hidden="1">0.00001</definedName>
    <definedName name="solver_pre" localSheetId="1" hidden="1">0.001</definedName>
    <definedName name="solver_rbv" localSheetId="2" hidden="1">2</definedName>
    <definedName name="solver_rbv" localSheetId="1" hidden="1">1</definedName>
    <definedName name="solver_rel1" localSheetId="2" hidden="1">1</definedName>
    <definedName name="solver_rel1" localSheetId="1" hidden="1">1</definedName>
    <definedName name="solver_rel10" localSheetId="2" hidden="1">1</definedName>
    <definedName name="solver_rel11" localSheetId="2" hidden="1">1</definedName>
    <definedName name="solver_rel12" localSheetId="2" hidden="1">3</definedName>
    <definedName name="solver_rel13" localSheetId="2" hidden="1">1</definedName>
    <definedName name="solver_rel14" localSheetId="2" hidden="1">1</definedName>
    <definedName name="solver_rel15" localSheetId="2" hidden="1">3</definedName>
    <definedName name="solver_rel2" localSheetId="2" hidden="1">1</definedName>
    <definedName name="solver_rel2" localSheetId="1" hidden="1">1</definedName>
    <definedName name="solver_rel3" localSheetId="2" hidden="1">3</definedName>
    <definedName name="solver_rel3" localSheetId="1" hidden="1">3</definedName>
    <definedName name="solver_rel4" localSheetId="2" hidden="1">3</definedName>
    <definedName name="solver_rel5" localSheetId="2" hidden="1">1</definedName>
    <definedName name="solver_rel6" localSheetId="2" hidden="1">3</definedName>
    <definedName name="solver_rel7" localSheetId="2" hidden="1">1</definedName>
    <definedName name="solver_rel8" localSheetId="2" hidden="1">1</definedName>
    <definedName name="solver_rel9" localSheetId="2" hidden="1">3</definedName>
    <definedName name="solver_rhs1" localSheetId="2" hidden="1">1</definedName>
    <definedName name="solver_rhs1" localSheetId="1" hidden="1">1</definedName>
    <definedName name="solver_rhs10" localSheetId="2" hidden="1">1</definedName>
    <definedName name="solver_rhs11" localSheetId="2" hidden="1">Auxiliar!$F$6</definedName>
    <definedName name="solver_rhs12" localSheetId="2" hidden="1">Auxiliar!$D$6</definedName>
    <definedName name="solver_rhs13" localSheetId="2" hidden="1">1</definedName>
    <definedName name="solver_rhs14" localSheetId="2" hidden="1">Auxiliar!$F$6</definedName>
    <definedName name="solver_rhs15" localSheetId="2" hidden="1">Auxiliar!$D$6</definedName>
    <definedName name="solver_rhs2" localSheetId="2" hidden="1">Auxiliar!$F$6</definedName>
    <definedName name="solver_rhs2" localSheetId="1" hidden="1">Auxiliar!$F$6</definedName>
    <definedName name="solver_rhs3" localSheetId="2" hidden="1">Auxiliar!$D$6</definedName>
    <definedName name="solver_rhs3" localSheetId="1" hidden="1">Auxiliar!$D$6</definedName>
    <definedName name="solver_rhs4" localSheetId="2" hidden="1">0</definedName>
    <definedName name="solver_rhs5" localSheetId="2" hidden="1">Auxiliar!$F$6</definedName>
    <definedName name="solver_rhs6" localSheetId="2" hidden="1">Auxiliar!$D$6</definedName>
    <definedName name="solver_rhs7" localSheetId="2" hidden="1">1</definedName>
    <definedName name="solver_rhs8" localSheetId="2" hidden="1">Auxiliar!$F$6</definedName>
    <definedName name="solver_rhs9" localSheetId="2" hidden="1">Auxiliar!$D$6</definedName>
    <definedName name="solver_rlx" localSheetId="2" hidden="1">2</definedName>
    <definedName name="solver_rlx" localSheetId="1" hidden="1">2</definedName>
    <definedName name="solver_rsd" localSheetId="2" hidden="1">0</definedName>
    <definedName name="solver_rsd" localSheetId="1" hidden="1">0</definedName>
    <definedName name="solver_scl" localSheetId="2" hidden="1">2</definedName>
    <definedName name="solver_scl" localSheetId="1" hidden="1">1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2" hidden="1">0.01</definedName>
    <definedName name="solver_tol" localSheetId="1" hidden="1">0.01</definedName>
    <definedName name="solver_typ" localSheetId="2" hidden="1">1</definedName>
    <definedName name="solver_typ" localSheetId="1" hidden="1">2</definedName>
    <definedName name="solver_val" localSheetId="2" hidden="1">1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6" l="1"/>
  <c r="C5" i="6" s="1"/>
  <c r="E3" i="6"/>
  <c r="F3" i="6" s="1"/>
  <c r="B40" i="2"/>
  <c r="B38" i="2"/>
  <c r="B39" i="2" s="1"/>
  <c r="B48" i="2"/>
  <c r="B37" i="2"/>
  <c r="E4" i="6" l="1"/>
  <c r="B41" i="2"/>
  <c r="B42" i="2" s="1"/>
  <c r="C12" i="3" s="1"/>
  <c r="B43" i="2"/>
  <c r="B44" i="2" s="1"/>
  <c r="B45" i="2" s="1"/>
  <c r="C13" i="3" s="1"/>
  <c r="A31" i="2"/>
  <c r="B31" i="2" s="1"/>
  <c r="A32" i="2"/>
  <c r="B32" i="2" s="1"/>
  <c r="B33" i="2"/>
  <c r="E5" i="6" l="1"/>
  <c r="F4" i="6"/>
  <c r="A33" i="2"/>
  <c r="F5" i="6" l="1"/>
  <c r="E6" i="6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A6" i="2"/>
  <c r="B6" i="2"/>
  <c r="C6" i="2"/>
  <c r="D6" i="2"/>
  <c r="F6" i="2"/>
  <c r="B14" i="2"/>
  <c r="B15" i="2" s="1"/>
  <c r="B28" i="2"/>
  <c r="I1" i="2"/>
  <c r="I3" i="2" s="1"/>
  <c r="B20" i="2"/>
  <c r="B13" i="2"/>
  <c r="J9" i="2" s="1"/>
  <c r="B18" i="2" a="1"/>
  <c r="B18" i="2" s="1"/>
  <c r="C18" i="2" s="1"/>
  <c r="B17" i="2" a="1"/>
  <c r="B17" i="2" s="1"/>
  <c r="C17" i="2" s="1"/>
  <c r="B9" i="2"/>
  <c r="B10" i="2" s="1"/>
  <c r="B11" i="2" s="1"/>
  <c r="A11" i="2"/>
  <c r="A9" i="2"/>
  <c r="E7" i="6" l="1"/>
  <c r="F6" i="6"/>
  <c r="A10" i="2"/>
  <c r="I5" i="2"/>
  <c r="J5" i="2" s="1"/>
  <c r="I4" i="2"/>
  <c r="J4" i="2" s="1"/>
  <c r="B26" i="2"/>
  <c r="B27" i="2" s="1"/>
  <c r="B29" i="2" s="1"/>
  <c r="B16" i="2"/>
  <c r="B22" i="2" s="1"/>
  <c r="J3" i="2"/>
  <c r="I7" i="2"/>
  <c r="J7" i="2" s="1"/>
  <c r="I6" i="2"/>
  <c r="J6" i="2" s="1"/>
  <c r="I8" i="2"/>
  <c r="J8" i="2" s="1"/>
  <c r="I2" i="2"/>
  <c r="J2" i="2" s="1"/>
  <c r="B21" i="2"/>
  <c r="B23" i="2" s="1"/>
  <c r="B24" i="2" s="1"/>
  <c r="C15" i="3" s="1"/>
  <c r="I14" i="2" s="1"/>
  <c r="J14" i="2" s="1"/>
  <c r="B19" i="2"/>
  <c r="C18" i="3" s="1"/>
  <c r="B19" i="3" s="1"/>
  <c r="E8" i="6" l="1"/>
  <c r="F7" i="6"/>
  <c r="I40" i="2"/>
  <c r="J40" i="2" s="1"/>
  <c r="I13" i="2"/>
  <c r="J13" i="2" s="1"/>
  <c r="I17" i="2"/>
  <c r="J17" i="2" s="1"/>
  <c r="I21" i="2"/>
  <c r="J21" i="2" s="1"/>
  <c r="I25" i="2"/>
  <c r="J25" i="2" s="1"/>
  <c r="I29" i="2"/>
  <c r="J29" i="2" s="1"/>
  <c r="I33" i="2"/>
  <c r="J33" i="2" s="1"/>
  <c r="I37" i="2"/>
  <c r="J37" i="2" s="1"/>
  <c r="I41" i="2"/>
  <c r="J41" i="2" s="1"/>
  <c r="I15" i="2"/>
  <c r="J15" i="2" s="1"/>
  <c r="I19" i="2"/>
  <c r="J19" i="2" s="1"/>
  <c r="I23" i="2"/>
  <c r="J23" i="2" s="1"/>
  <c r="I27" i="2"/>
  <c r="J27" i="2" s="1"/>
  <c r="I31" i="2"/>
  <c r="J31" i="2" s="1"/>
  <c r="I35" i="2"/>
  <c r="J35" i="2" s="1"/>
  <c r="I39" i="2"/>
  <c r="J39" i="2" s="1"/>
  <c r="I28" i="2"/>
  <c r="J28" i="2" s="1"/>
  <c r="I18" i="2"/>
  <c r="J18" i="2" s="1"/>
  <c r="I16" i="2"/>
  <c r="J16" i="2" s="1"/>
  <c r="I26" i="2"/>
  <c r="J26" i="2" s="1"/>
  <c r="I38" i="2"/>
  <c r="J38" i="2" s="1"/>
  <c r="I30" i="2"/>
  <c r="J30" i="2" s="1"/>
  <c r="I22" i="2"/>
  <c r="J22" i="2" s="1"/>
  <c r="I24" i="2"/>
  <c r="J24" i="2" s="1"/>
  <c r="I34" i="2"/>
  <c r="J34" i="2" s="1"/>
  <c r="I32" i="2"/>
  <c r="J32" i="2" s="1"/>
  <c r="I36" i="2"/>
  <c r="J36" i="2" s="1"/>
  <c r="I20" i="2"/>
  <c r="J20" i="2" s="1"/>
  <c r="C22" i="3"/>
  <c r="C23" i="3" s="1"/>
  <c r="F8" i="6" l="1"/>
  <c r="E9" i="6"/>
  <c r="H2" i="1"/>
  <c r="E9" i="2" s="1"/>
  <c r="E10" i="2" s="1"/>
  <c r="E11" i="2" s="1"/>
  <c r="E10" i="6" l="1"/>
  <c r="F9" i="6"/>
  <c r="D12" i="1"/>
  <c r="E12" i="1" s="1"/>
  <c r="D20" i="1"/>
  <c r="E20" i="1" s="1"/>
  <c r="D31" i="1"/>
  <c r="E31" i="1" s="1"/>
  <c r="D30" i="1"/>
  <c r="E30" i="1" s="1"/>
  <c r="D24" i="1"/>
  <c r="E24" i="1" s="1"/>
  <c r="D19" i="1"/>
  <c r="E19" i="1" s="1"/>
  <c r="D26" i="1"/>
  <c r="E26" i="1" s="1"/>
  <c r="D13" i="1"/>
  <c r="E13" i="1" s="1"/>
  <c r="D10" i="1"/>
  <c r="E10" i="1" s="1"/>
  <c r="D21" i="1"/>
  <c r="E21" i="1" s="1"/>
  <c r="C16" i="3"/>
  <c r="D27" i="1"/>
  <c r="E27" i="1" s="1"/>
  <c r="D4" i="1"/>
  <c r="E4" i="1" s="1"/>
  <c r="D3" i="1"/>
  <c r="E3" i="1" s="1"/>
  <c r="D8" i="1"/>
  <c r="E8" i="1" s="1"/>
  <c r="D6" i="1"/>
  <c r="E6" i="1" s="1"/>
  <c r="D11" i="1"/>
  <c r="E11" i="1" s="1"/>
  <c r="D9" i="1"/>
  <c r="E9" i="1" s="1"/>
  <c r="D23" i="1"/>
  <c r="E23" i="1" s="1"/>
  <c r="D18" i="1"/>
  <c r="E18" i="1" s="1"/>
  <c r="D29" i="1"/>
  <c r="E29" i="1" s="1"/>
  <c r="D7" i="1"/>
  <c r="E7" i="1" s="1"/>
  <c r="D17" i="1"/>
  <c r="E17" i="1" s="1"/>
  <c r="D16" i="1"/>
  <c r="E16" i="1" s="1"/>
  <c r="D5" i="1"/>
  <c r="E5" i="1" s="1"/>
  <c r="D28" i="1"/>
  <c r="E28" i="1" s="1"/>
  <c r="D15" i="1"/>
  <c r="E15" i="1" s="1"/>
  <c r="D14" i="1"/>
  <c r="E14" i="1" s="1"/>
  <c r="D25" i="1"/>
  <c r="E25" i="1" s="1"/>
  <c r="D22" i="1"/>
  <c r="E22" i="1" s="1"/>
  <c r="E11" i="6" l="1"/>
  <c r="F10" i="6"/>
  <c r="H5" i="1"/>
  <c r="E12" i="6" l="1"/>
  <c r="F11" i="6"/>
  <c r="F12" i="6" l="1"/>
  <c r="E13" i="6"/>
  <c r="F13" i="6" l="1"/>
  <c r="E14" i="6"/>
  <c r="E15" i="6" l="1"/>
  <c r="F14" i="6"/>
  <c r="E16" i="6" l="1"/>
  <c r="F15" i="6"/>
  <c r="F16" i="6" l="1"/>
  <c r="E17" i="6"/>
  <c r="E18" i="6" l="1"/>
  <c r="F17" i="6"/>
  <c r="F18" i="6" l="1"/>
  <c r="E19" i="6"/>
  <c r="F19" i="6" l="1"/>
  <c r="E20" i="6"/>
  <c r="E21" i="6" l="1"/>
  <c r="F20" i="6"/>
  <c r="E22" i="6" l="1"/>
  <c r="F21" i="6"/>
  <c r="F22" i="6" l="1"/>
  <c r="E23" i="6"/>
  <c r="E24" i="6" l="1"/>
  <c r="F23" i="6"/>
  <c r="F24" i="6" l="1"/>
  <c r="E25" i="6"/>
  <c r="E26" i="6" l="1"/>
  <c r="F25" i="6"/>
  <c r="E27" i="6" l="1"/>
  <c r="F26" i="6"/>
  <c r="E28" i="6" l="1"/>
  <c r="F27" i="6"/>
  <c r="E29" i="6" l="1"/>
  <c r="F28" i="6"/>
  <c r="E30" i="6" l="1"/>
  <c r="F29" i="6"/>
  <c r="F30" i="6" l="1"/>
  <c r="E31" i="6"/>
  <c r="F3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tc={37168C62-0441-4EE1-B943-992567FF65BC}</author>
  </authors>
  <commentList>
    <comment ref="B6" authorId="0" shapeId="0" xr:uid="{37168C62-0441-4EE1-B943-992567FF65BC}">
      <text>
        <t>[Threaded comment]
Your version of Excel allows you to read this threaded comment; however, any edits to it will get removed if the file is opened in a newer version of Excel. Learn more: https://go.microsoft.com/fwlink/?linkid=870924
Comment:
    Cálculo da densidade e viscosidade do Ar através da Temperatura implementado por Robson Saad Rodrigues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<sst xmlns="http://schemas.openxmlformats.org/spreadsheetml/2006/main" count="155" uniqueCount="109">
  <si>
    <t>Xi</t>
  </si>
  <si>
    <t>n</t>
  </si>
  <si>
    <t>Xi exp</t>
  </si>
  <si>
    <t>Xi num</t>
  </si>
  <si>
    <t>Erro^2</t>
  </si>
  <si>
    <t>Soma Erro^2</t>
  </si>
  <si>
    <r>
      <t>Di (</t>
    </r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m)</t>
    </r>
  </si>
  <si>
    <t>D</t>
  </si>
  <si>
    <t>Configuração</t>
  </si>
  <si>
    <t>Lappe</t>
  </si>
  <si>
    <t>Stairmand</t>
  </si>
  <si>
    <t>K</t>
  </si>
  <si>
    <t>m</t>
  </si>
  <si>
    <t>b</t>
  </si>
  <si>
    <t>v</t>
  </si>
  <si>
    <t>kf</t>
  </si>
  <si>
    <t>Faixa de Operação</t>
  </si>
  <si>
    <t>Diâmetro</t>
  </si>
  <si>
    <t>m3/h</t>
  </si>
  <si>
    <t>cm3/s</t>
  </si>
  <si>
    <t>b/D</t>
  </si>
  <si>
    <t>De/D</t>
  </si>
  <si>
    <t>a/D</t>
  </si>
  <si>
    <t>h/D</t>
  </si>
  <si>
    <t>H/D</t>
  </si>
  <si>
    <t>S/D</t>
  </si>
  <si>
    <t>B/D</t>
  </si>
  <si>
    <t>a</t>
  </si>
  <si>
    <t>cm/s</t>
  </si>
  <si>
    <t>m/s</t>
  </si>
  <si>
    <t>Dimensão</t>
  </si>
  <si>
    <t>Vazão Mássica Partículas</t>
  </si>
  <si>
    <t>g/s</t>
  </si>
  <si>
    <t>Massa Específica Partículas</t>
  </si>
  <si>
    <t>g/cm3</t>
  </si>
  <si>
    <t>Vazão Volumétrica Partículas</t>
  </si>
  <si>
    <t>Cv</t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</si>
  <si>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(Cv)</t>
    </r>
  </si>
  <si>
    <t>cm</t>
  </si>
  <si>
    <t>cm2/s</t>
  </si>
  <si>
    <t>D*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</si>
  <si>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m</t>
    </r>
  </si>
  <si>
    <t>Diâmetro de Corte</t>
  </si>
  <si>
    <t>Eficiência de Separação</t>
  </si>
  <si>
    <t>Vazão de Ar</t>
  </si>
  <si>
    <t>Massa Específica do Ar</t>
  </si>
  <si>
    <t>Viscosidade Cinemática Ar</t>
  </si>
  <si>
    <t>Velocidade na Entrada</t>
  </si>
  <si>
    <t>Diâmetro do Ciclone</t>
  </si>
  <si>
    <t>Eficiência do Soprador</t>
  </si>
  <si>
    <t>uc</t>
  </si>
  <si>
    <t>DP</t>
  </si>
  <si>
    <t>Pa</t>
  </si>
  <si>
    <t>kg/m3</t>
  </si>
  <si>
    <t>mf</t>
  </si>
  <si>
    <t>Cm</t>
  </si>
  <si>
    <t>W</t>
  </si>
  <si>
    <t>m3/s</t>
  </si>
  <si>
    <t>Potência do Soprador</t>
  </si>
  <si>
    <t>Diâmetro de Partícula que corresponde a Xi = 0.632</t>
  </si>
  <si>
    <t>Parâmetro do Modelo Rosin-Rammlet-Bennet (RRB)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</si>
  <si>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1"/>
        <charset val="2"/>
        <scheme val="minor"/>
      </rPr>
      <t xml:space="preserve"> no Ciclone</t>
    </r>
  </si>
  <si>
    <t>Número de Ciclones em Paralelo</t>
  </si>
  <si>
    <t>Q (por ciclone)</t>
  </si>
  <si>
    <t>Obrigado por Curtir nosso conteúdo #CascaGrossaSuprema!</t>
  </si>
  <si>
    <t>Clique AQUI e conheça todas as redes sociais #CascaGrossaSuprema e contatos - https://linktr.ee/spogis</t>
  </si>
  <si>
    <t>Operações Unitárias em Sistemas Particulados e Fluidomecânicos</t>
  </si>
  <si>
    <t>Editora ‏ : ‎ Blucher; 2ª edição (1 janeiro 2014)</t>
  </si>
  <si>
    <t>ISBN-10 ‏ : ‎ 8521208553</t>
  </si>
  <si>
    <t>ISBN-13 ‏ : ‎ 978-8521208556</t>
  </si>
  <si>
    <t xml:space="preserve">Marco Aurélio Cremasco </t>
  </si>
  <si>
    <t>Equacionamento matemático retirado do livro:</t>
  </si>
  <si>
    <t>Di/D*</t>
  </si>
  <si>
    <r>
      <rPr>
        <sz val="11"/>
        <color theme="1"/>
        <rFont val="Symbol"/>
        <family val="1"/>
        <charset val="2"/>
      </rPr>
      <t>h</t>
    </r>
    <r>
      <rPr>
        <sz val="11"/>
        <color theme="1"/>
        <rFont val="Calibri"/>
        <family val="2"/>
        <scheme val="minor"/>
      </rPr>
      <t>(Di.D*)</t>
    </r>
  </si>
  <si>
    <r>
      <t>D' ou D</t>
    </r>
    <r>
      <rPr>
        <vertAlign val="subscript"/>
        <sz val="11"/>
        <color theme="1"/>
        <rFont val="Calibri"/>
        <family val="2"/>
        <scheme val="minor"/>
      </rPr>
      <t>63.2</t>
    </r>
  </si>
  <si>
    <t>g/mol</t>
  </si>
  <si>
    <t>m³.atm/K.mol</t>
  </si>
  <si>
    <t>Temperature</t>
  </si>
  <si>
    <t>°C</t>
  </si>
  <si>
    <t>Pressure</t>
  </si>
  <si>
    <t>atm</t>
  </si>
  <si>
    <t>Air density</t>
  </si>
  <si>
    <t>kg/m³</t>
  </si>
  <si>
    <t>g/cm³</t>
  </si>
  <si>
    <t>Air viscosity (dinamic)</t>
  </si>
  <si>
    <t>Air viscosity (cinematic)</t>
  </si>
  <si>
    <t>m²/s</t>
  </si>
  <si>
    <t>cm²/s</t>
  </si>
  <si>
    <t>GAS</t>
  </si>
  <si>
    <t>Air</t>
  </si>
  <si>
    <t>kg/m.s</t>
  </si>
  <si>
    <t>SUTHERLAND’S LAW PARAMETERS FOR DYNAMIC VISCOSITY</t>
  </si>
  <si>
    <t>Pressão do Ar</t>
  </si>
  <si>
    <t>Temperatura do Ar</t>
  </si>
  <si>
    <t>Pa.s</t>
  </si>
  <si>
    <r>
      <t>μ</t>
    </r>
    <r>
      <rPr>
        <b/>
        <vertAlign val="subscript"/>
        <sz val="7"/>
        <color rgb="FF000000"/>
        <rFont val="Calibri"/>
        <family val="2"/>
        <scheme val="minor"/>
      </rPr>
      <t>0</t>
    </r>
  </si>
  <si>
    <r>
      <t>T</t>
    </r>
    <r>
      <rPr>
        <b/>
        <vertAlign val="subscript"/>
        <sz val="7"/>
        <color rgb="FF000000"/>
        <rFont val="Calibri"/>
        <family val="2"/>
        <scheme val="minor"/>
      </rPr>
      <t>0</t>
    </r>
  </si>
  <si>
    <r>
      <t>S</t>
    </r>
    <r>
      <rPr>
        <vertAlign val="subscript"/>
        <sz val="7"/>
        <color rgb="FF000000"/>
        <rFont val="Calibri"/>
        <family val="2"/>
        <scheme val="minor"/>
      </rPr>
      <t>μ</t>
    </r>
  </si>
  <si>
    <t>Fonte:</t>
  </si>
  <si>
    <t>Sutherland’s Law (comsol.com)</t>
  </si>
  <si>
    <t>Air Molar Mass</t>
  </si>
  <si>
    <t>Universal gas constant</t>
  </si>
  <si>
    <t>Média</t>
  </si>
  <si>
    <t>Desvio Padrão</t>
  </si>
  <si>
    <t>Qtd Pontos</t>
  </si>
  <si>
    <t>Incremento</t>
  </si>
  <si>
    <t>Di (mm)</t>
  </si>
  <si>
    <t>Máximo</t>
  </si>
  <si>
    <t>Mínimo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</si>
</sst>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"/>
    <numFmt numFmtId="167" formatCode="0.000E+00"/>
    <numFmt numFmtId="168" formatCode="0\ &quot;m/s&quot;"/>
    <numFmt numFmtId="169" formatCode="0.00\ &quot;cm&quot;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7"/>
      <color rgb="FF000000"/>
      <name val="Calibri"/>
      <family val="2"/>
      <scheme val="minor"/>
    </font>
    <font>
      <vertAlign val="subscript"/>
      <sz val="7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1" fontId="0" fillId="0" borderId="9" xfId="0" applyNumberFormat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1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1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8" fontId="0" fillId="3" borderId="11" xfId="0" applyNumberFormat="1" applyFill="1" applyBorder="1" applyAlignment="1">
      <alignment horizontal="center"/>
    </xf>
    <xf numFmtId="168" fontId="0" fillId="3" borderId="12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68" fontId="0" fillId="3" borderId="8" xfId="0" applyNumberFormat="1" applyFill="1" applyBorder="1" applyAlignment="1">
      <alignment horizontal="center"/>
    </xf>
    <xf numFmtId="168" fontId="0" fillId="3" borderId="9" xfId="0" applyNumberForma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3" borderId="0" xfId="0" applyFill="1" applyAlignment="1" applyProtection="1">
      <alignment horizontal="center"/>
      <protection hidden="1"/>
    </xf>
    <xf numFmtId="0" fontId="2" fillId="2" borderId="13" xfId="0" applyFont="1" applyFill="1" applyBorder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4" xfId="0" applyFill="1" applyBorder="1" applyAlignment="1" applyProtection="1">
      <alignment horizontal="center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12" xfId="0" applyFill="1" applyBorder="1" applyAlignment="1" applyProtection="1">
      <alignment horizontal="center"/>
      <protection hidden="1"/>
    </xf>
    <xf numFmtId="0" fontId="0" fillId="3" borderId="5" xfId="0" applyFill="1" applyBorder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0" fillId="3" borderId="9" xfId="0" applyFill="1" applyBorder="1" applyAlignment="1" applyProtection="1">
      <alignment horizontal="center"/>
      <protection hidden="1"/>
    </xf>
    <xf numFmtId="165" fontId="0" fillId="3" borderId="3" xfId="0" applyNumberFormat="1" applyFill="1" applyBorder="1" applyAlignment="1" applyProtection="1">
      <alignment horizontal="center"/>
      <protection hidden="1"/>
    </xf>
    <xf numFmtId="0" fontId="5" fillId="3" borderId="4" xfId="0" applyFont="1" applyFill="1" applyBorder="1" applyAlignment="1" applyProtection="1">
      <alignment horizontal="center"/>
      <protection hidden="1"/>
    </xf>
    <xf numFmtId="10" fontId="0" fillId="3" borderId="8" xfId="1" applyNumberFormat="1" applyFont="1" applyFill="1" applyBorder="1" applyAlignment="1" applyProtection="1">
      <alignment horizontal="center"/>
      <protection hidden="1"/>
    </xf>
    <xf numFmtId="0" fontId="5" fillId="3" borderId="5" xfId="0" applyFont="1" applyFill="1" applyBorder="1" applyAlignment="1" applyProtection="1">
      <alignment horizontal="center" vertical="center"/>
      <protection hidden="1"/>
    </xf>
    <xf numFmtId="2" fontId="0" fillId="3" borderId="1" xfId="0" applyNumberForma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center"/>
      <protection hidden="1"/>
    </xf>
    <xf numFmtId="0" fontId="0" fillId="3" borderId="7" xfId="0" applyFill="1" applyBorder="1" applyAlignment="1" applyProtection="1">
      <alignment horizontal="center" vertical="center"/>
      <protection hidden="1"/>
    </xf>
    <xf numFmtId="2" fontId="0" fillId="3" borderId="8" xfId="0" applyNumberFormat="1" applyFill="1" applyBorder="1" applyAlignment="1" applyProtection="1">
      <alignment horizontal="center" vertical="center"/>
      <protection hidden="1"/>
    </xf>
    <xf numFmtId="11" fontId="0" fillId="3" borderId="9" xfId="0" applyNumberFormat="1" applyFill="1" applyBorder="1" applyAlignment="1" applyProtection="1">
      <alignment horizontal="center" vertical="center"/>
      <protection hidden="1"/>
    </xf>
    <xf numFmtId="0" fontId="0" fillId="0" borderId="4" xfId="0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169" fontId="0" fillId="0" borderId="9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0" fontId="0" fillId="0" borderId="16" xfId="0" applyBorder="1" applyAlignment="1">
      <alignment horizontal="center" vertical="center"/>
    </xf>
    <xf numFmtId="1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5" fillId="0" borderId="5" xfId="0" applyFont="1" applyBorder="1" applyAlignment="1">
      <alignment horizontal="center"/>
    </xf>
    <xf numFmtId="11" fontId="0" fillId="0" borderId="8" xfId="0" applyNumberForma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11" fontId="0" fillId="0" borderId="3" xfId="0" applyNumberFormat="1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164" fontId="0" fillId="2" borderId="22" xfId="0" applyNumberFormat="1" applyFill="1" applyBorder="1" applyAlignment="1">
      <alignment horizontal="center" vertical="center"/>
    </xf>
    <xf numFmtId="11" fontId="0" fillId="2" borderId="23" xfId="0" applyNumberFormat="1" applyFill="1" applyBorder="1" applyAlignment="1">
      <alignment horizontal="center" vertical="center"/>
    </xf>
    <xf numFmtId="0" fontId="1" fillId="3" borderId="0" xfId="2" applyFill="1" applyProtection="1">
      <protection hidden="1"/>
    </xf>
    <xf numFmtId="0" fontId="0" fillId="3" borderId="21" xfId="0" applyFill="1" applyBorder="1" applyAlignment="1" applyProtection="1">
      <alignment horizontal="center"/>
      <protection hidden="1"/>
    </xf>
    <xf numFmtId="2" fontId="0" fillId="3" borderId="22" xfId="0" applyNumberFormat="1" applyFill="1" applyBorder="1" applyAlignment="1" applyProtection="1">
      <alignment horizontal="center"/>
      <protection hidden="1"/>
    </xf>
    <xf numFmtId="0" fontId="0" fillId="3" borderId="23" xfId="0" applyFill="1" applyBorder="1" applyAlignment="1" applyProtection="1">
      <alignment horizontal="center"/>
      <protection hidden="1"/>
    </xf>
    <xf numFmtId="0" fontId="0" fillId="3" borderId="30" xfId="0" applyFill="1" applyBorder="1" applyProtection="1">
      <protection hidden="1"/>
    </xf>
    <xf numFmtId="0" fontId="0" fillId="3" borderId="31" xfId="0" applyFill="1" applyBorder="1" applyAlignment="1" applyProtection="1">
      <alignment horizontal="center"/>
      <protection hidden="1"/>
    </xf>
    <xf numFmtId="0" fontId="0" fillId="3" borderId="30" xfId="0" applyFill="1" applyBorder="1" applyAlignment="1" applyProtection="1">
      <alignment horizontal="left"/>
      <protection hidden="1"/>
    </xf>
    <xf numFmtId="0" fontId="0" fillId="3" borderId="27" xfId="0" applyFill="1" applyBorder="1" applyProtection="1">
      <protection hidden="1"/>
    </xf>
    <xf numFmtId="0" fontId="0" fillId="3" borderId="28" xfId="0" applyFill="1" applyBorder="1" applyAlignment="1" applyProtection="1">
      <alignment horizontal="center"/>
      <protection hidden="1"/>
    </xf>
    <xf numFmtId="0" fontId="0" fillId="3" borderId="29" xfId="0" applyFill="1" applyBorder="1" applyAlignment="1" applyProtection="1">
      <alignment horizontal="center"/>
      <protection hidden="1"/>
    </xf>
    <xf numFmtId="0" fontId="0" fillId="2" borderId="1" xfId="0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5" borderId="33" xfId="0" applyNumberFormat="1" applyFill="1" applyBorder="1" applyAlignment="1">
      <alignment horizontal="center" vertical="center"/>
    </xf>
    <xf numFmtId="164" fontId="0" fillId="5" borderId="34" xfId="0" applyNumberFormat="1" applyFill="1" applyBorder="1" applyAlignment="1">
      <alignment horizontal="center" vertical="center"/>
    </xf>
    <xf numFmtId="164" fontId="0" fillId="5" borderId="35" xfId="0" applyNumberFormat="1" applyFill="1" applyBorder="1" applyAlignment="1">
      <alignment horizontal="center" vertical="center"/>
    </xf>
    <xf numFmtId="165" fontId="0" fillId="5" borderId="3" xfId="0" applyNumberFormat="1" applyFill="1" applyBorder="1" applyAlignment="1" applyProtection="1">
      <alignment horizontal="center"/>
      <protection locked="0"/>
    </xf>
    <xf numFmtId="1" fontId="0" fillId="5" borderId="11" xfId="0" applyNumberFormat="1" applyFill="1" applyBorder="1" applyAlignment="1" applyProtection="1">
      <alignment horizontal="center"/>
      <protection locked="0"/>
    </xf>
    <xf numFmtId="2" fontId="0" fillId="5" borderId="1" xfId="0" applyNumberFormat="1" applyFill="1" applyBorder="1" applyAlignment="1" applyProtection="1">
      <alignment horizontal="center"/>
      <protection locked="0"/>
    </xf>
    <xf numFmtId="2" fontId="0" fillId="5" borderId="8" xfId="0" applyNumberFormat="1" applyFill="1" applyBorder="1" applyAlignment="1" applyProtection="1">
      <alignment horizontal="center"/>
      <protection locked="0"/>
    </xf>
    <xf numFmtId="9" fontId="0" fillId="5" borderId="3" xfId="0" applyNumberFormat="1" applyFill="1" applyBorder="1" applyAlignment="1" applyProtection="1">
      <alignment horizontal="center"/>
      <protection hidden="1"/>
    </xf>
    <xf numFmtId="165" fontId="0" fillId="0" borderId="2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1" fontId="0" fillId="0" borderId="1" xfId="0" applyNumberFormat="1" applyBorder="1" applyAlignment="1" applyProtection="1">
      <alignment horizontal="center"/>
      <protection locked="0"/>
    </xf>
    <xf numFmtId="165" fontId="0" fillId="0" borderId="8" xfId="0" applyNumberFormat="1" applyBorder="1" applyAlignment="1" applyProtection="1">
      <alignment horizontal="center"/>
      <protection locked="0"/>
    </xf>
    <xf numFmtId="0" fontId="0" fillId="0" borderId="3" xfId="0" applyBorder="1"/>
    <xf numFmtId="167" fontId="0" fillId="0" borderId="1" xfId="0" applyNumberFormat="1" applyBorder="1"/>
    <xf numFmtId="1" fontId="0" fillId="0" borderId="1" xfId="0" applyNumberFormat="1" applyBorder="1"/>
    <xf numFmtId="0" fontId="0" fillId="0" borderId="1" xfId="0" applyBorder="1"/>
    <xf numFmtId="165" fontId="0" fillId="0" borderId="1" xfId="0" applyNumberFormat="1" applyBorder="1"/>
    <xf numFmtId="11" fontId="0" fillId="0" borderId="1" xfId="0" applyNumberFormat="1" applyBorder="1"/>
    <xf numFmtId="2" fontId="0" fillId="0" borderId="1" xfId="0" applyNumberFormat="1" applyBorder="1"/>
    <xf numFmtId="2" fontId="0" fillId="5" borderId="11" xfId="0" applyNumberForma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7" xfId="0" applyBorder="1" applyAlignment="1">
      <alignment horizontal="right"/>
    </xf>
    <xf numFmtId="165" fontId="0" fillId="0" borderId="8" xfId="0" applyNumberFormat="1" applyBorder="1"/>
    <xf numFmtId="0" fontId="0" fillId="0" borderId="37" xfId="0" applyBorder="1"/>
    <xf numFmtId="0" fontId="0" fillId="0" borderId="13" xfId="0" applyBorder="1" applyAlignment="1">
      <alignment horizontal="center" vertical="center"/>
    </xf>
    <xf numFmtId="0" fontId="2" fillId="6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/>
    <xf numFmtId="164" fontId="0" fillId="0" borderId="0" xfId="0" applyNumberFormat="1"/>
    <xf numFmtId="2" fontId="1" fillId="0" borderId="1" xfId="0" applyNumberFormat="1" applyFont="1" applyBorder="1" applyAlignment="1">
      <alignment horizontal="center"/>
    </xf>
    <xf numFmtId="1" fontId="0" fillId="5" borderId="2" xfId="0" applyNumberFormat="1" applyFill="1" applyBorder="1" applyAlignment="1">
      <alignment horizontal="center" vertical="center"/>
    </xf>
    <xf numFmtId="1" fontId="0" fillId="5" borderId="5" xfId="0" applyNumberFormat="1" applyFill="1" applyBorder="1" applyAlignment="1">
      <alignment horizontal="center" vertical="center"/>
    </xf>
    <xf numFmtId="1" fontId="0" fillId="5" borderId="7" xfId="0" applyNumberFormat="1" applyFill="1" applyBorder="1" applyAlignment="1">
      <alignment horizontal="center" vertical="center"/>
    </xf>
    <xf numFmtId="164" fontId="0" fillId="2" borderId="23" xfId="0" applyNumberFormat="1" applyFill="1" applyBorder="1" applyAlignment="1">
      <alignment horizontal="center" vertical="center"/>
    </xf>
    <xf numFmtId="164" fontId="0" fillId="5" borderId="4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9" xfId="0" applyNumberForma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6" fontId="0" fillId="0" borderId="0" xfId="0" applyNumberFormat="1"/>
    <xf numFmtId="166" fontId="0" fillId="2" borderId="21" xfId="0" applyNumberFormat="1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 vertical="center"/>
    </xf>
    <xf numFmtId="166" fontId="0" fillId="5" borderId="5" xfId="0" applyNumberFormat="1" applyFill="1" applyBorder="1" applyAlignment="1">
      <alignment horizontal="center" vertical="center"/>
    </xf>
    <xf numFmtId="166" fontId="0" fillId="5" borderId="7" xfId="0" applyNumberFormat="1" applyFill="1" applyBorder="1" applyAlignment="1">
      <alignment horizontal="center" vertical="center"/>
    </xf>
    <xf numFmtId="0" fontId="7" fillId="4" borderId="24" xfId="2" applyFont="1" applyFill="1" applyBorder="1" applyAlignment="1" applyProtection="1">
      <alignment horizontal="center" vertical="center"/>
      <protection hidden="1"/>
    </xf>
    <xf numFmtId="0" fontId="7" fillId="4" borderId="25" xfId="2" applyFont="1" applyFill="1" applyBorder="1" applyAlignment="1" applyProtection="1">
      <alignment horizontal="center" vertical="center"/>
      <protection hidden="1"/>
    </xf>
    <xf numFmtId="0" fontId="7" fillId="4" borderId="26" xfId="2" applyFont="1" applyFill="1" applyBorder="1" applyAlignment="1" applyProtection="1">
      <alignment horizontal="center" vertical="center"/>
      <protection hidden="1"/>
    </xf>
    <xf numFmtId="0" fontId="7" fillId="4" borderId="27" xfId="2" applyFont="1" applyFill="1" applyBorder="1" applyAlignment="1" applyProtection="1">
      <alignment horizontal="center" vertical="center"/>
      <protection hidden="1"/>
    </xf>
    <xf numFmtId="0" fontId="7" fillId="4" borderId="28" xfId="2" applyFont="1" applyFill="1" applyBorder="1" applyAlignment="1" applyProtection="1">
      <alignment horizontal="center" vertical="center"/>
      <protection hidden="1"/>
    </xf>
    <xf numFmtId="0" fontId="7" fillId="4" borderId="29" xfId="2" applyFont="1" applyFill="1" applyBorder="1" applyAlignment="1" applyProtection="1">
      <alignment horizontal="center" vertical="center"/>
      <protection hidden="1"/>
    </xf>
    <xf numFmtId="0" fontId="8" fillId="4" borderId="24" xfId="3" applyFont="1" applyFill="1" applyBorder="1" applyAlignment="1" applyProtection="1">
      <alignment horizontal="center" vertical="center"/>
      <protection hidden="1"/>
    </xf>
    <xf numFmtId="0" fontId="8" fillId="4" borderId="25" xfId="3" applyFont="1" applyFill="1" applyBorder="1" applyAlignment="1" applyProtection="1">
      <alignment horizontal="center" vertical="center"/>
      <protection hidden="1"/>
    </xf>
    <xf numFmtId="0" fontId="8" fillId="4" borderId="26" xfId="3" applyFont="1" applyFill="1" applyBorder="1" applyAlignment="1" applyProtection="1">
      <alignment horizontal="center" vertical="center"/>
      <protection hidden="1"/>
    </xf>
    <xf numFmtId="0" fontId="8" fillId="4" borderId="27" xfId="3" applyFont="1" applyFill="1" applyBorder="1" applyAlignment="1" applyProtection="1">
      <alignment horizontal="center" vertical="center"/>
      <protection hidden="1"/>
    </xf>
    <xf numFmtId="0" fontId="8" fillId="4" borderId="28" xfId="3" applyFont="1" applyFill="1" applyBorder="1" applyAlignment="1" applyProtection="1">
      <alignment horizontal="center" vertical="center"/>
      <protection hidden="1"/>
    </xf>
    <xf numFmtId="0" fontId="8" fillId="4" borderId="29" xfId="3" applyFont="1" applyFill="1" applyBorder="1" applyAlignment="1" applyProtection="1">
      <alignment horizontal="center" vertical="center"/>
      <protection hidden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6" fillId="3" borderId="13" xfId="0" applyFont="1" applyFill="1" applyBorder="1" applyAlignment="1" applyProtection="1">
      <alignment horizontal="center"/>
      <protection hidden="1"/>
    </xf>
    <xf numFmtId="0" fontId="6" fillId="3" borderId="14" xfId="0" applyFont="1" applyFill="1" applyBorder="1" applyAlignment="1" applyProtection="1">
      <alignment horizontal="center"/>
      <protection hidden="1"/>
    </xf>
    <xf numFmtId="0" fontId="6" fillId="3" borderId="15" xfId="0" applyFont="1" applyFill="1" applyBorder="1" applyAlignment="1" applyProtection="1">
      <alignment horizontal="center"/>
      <protection hidden="1"/>
    </xf>
    <xf numFmtId="0" fontId="0" fillId="5" borderId="19" xfId="0" applyFill="1" applyBorder="1" applyAlignment="1" applyProtection="1">
      <alignment horizontal="center"/>
      <protection locked="0"/>
    </xf>
    <xf numFmtId="0" fontId="0" fillId="5" borderId="20" xfId="0" applyFill="1" applyBorder="1" applyAlignment="1" applyProtection="1">
      <alignment horizontal="center"/>
      <protection locked="0"/>
    </xf>
    <xf numFmtId="0" fontId="0" fillId="2" borderId="19" xfId="0" applyFill="1" applyBorder="1" applyAlignment="1" applyProtection="1">
      <alignment horizontal="center"/>
      <protection hidden="1"/>
    </xf>
    <xf numFmtId="0" fontId="0" fillId="2" borderId="32" xfId="0" applyFill="1" applyBorder="1" applyAlignment="1" applyProtection="1">
      <alignment horizontal="center"/>
      <protection hidden="1"/>
    </xf>
    <xf numFmtId="0" fontId="0" fillId="2" borderId="20" xfId="0" applyFill="1" applyBorder="1" applyAlignment="1" applyProtection="1">
      <alignment horizontal="center"/>
      <protection hidden="1"/>
    </xf>
    <xf numFmtId="0" fontId="3" fillId="0" borderId="14" xfId="4" applyBorder="1" applyAlignment="1">
      <alignment horizontal="center"/>
    </xf>
    <xf numFmtId="0" fontId="3" fillId="0" borderId="15" xfId="4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11" fontId="0" fillId="0" borderId="3" xfId="0" applyNumberFormat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31" xfId="0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</cellXfs>
  <cellStyles count="5">
    <cellStyle name="Hiperlink 2" xfId="3" xr:uid="{DDA2869C-582C-4A0C-AE7B-318E858C45E8}"/>
    <cellStyle name="Hyperlink" xfId="4" builtinId="8"/>
    <cellStyle name="Normal" xfId="0" builtinId="0"/>
    <cellStyle name="Normal 2" xfId="2" xr:uid="{B0A6D512-1FF7-4727-9BAD-4EAC04D609A5}"/>
    <cellStyle name="Percent" xfId="1" builtinId="5"/>
  </cellStyles>
  <dxfs count="2"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'Distribuição Granulométrica'!$C$2</c:f>
              <c:strCache>
                <c:ptCount val="1"/>
                <c:pt idx="0">
                  <c:v>Xi exp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'Distribuição Granulométrica'!$B$3:$B$31</c:f>
              <c:numCache>
                <c:formatCode>0</c:formatCode>
                <c:ptCount val="29"/>
                <c:pt idx="0">
                  <c:v>0</c:v>
                </c:pt>
                <c:pt idx="1">
                  <c:v>5.2010714285714288</c:v>
                </c:pt>
                <c:pt idx="2">
                  <c:v>10.402142857142858</c:v>
                </c:pt>
                <c:pt idx="3">
                  <c:v>15.603214285714287</c:v>
                </c:pt>
                <c:pt idx="4">
                  <c:v>20.804285714285715</c:v>
                </c:pt>
                <c:pt idx="5">
                  <c:v>26.005357142857143</c:v>
                </c:pt>
                <c:pt idx="6">
                  <c:v>31.206428571428571</c:v>
                </c:pt>
                <c:pt idx="7">
                  <c:v>36.407499999999999</c:v>
                </c:pt>
                <c:pt idx="8">
                  <c:v>41.60857142857143</c:v>
                </c:pt>
                <c:pt idx="9">
                  <c:v>46.809642857142862</c:v>
                </c:pt>
                <c:pt idx="10">
                  <c:v>52.010714285714293</c:v>
                </c:pt>
                <c:pt idx="11">
                  <c:v>57.211785714285725</c:v>
                </c:pt>
                <c:pt idx="12">
                  <c:v>62.412857142857156</c:v>
                </c:pt>
                <c:pt idx="13">
                  <c:v>67.613928571428588</c:v>
                </c:pt>
                <c:pt idx="14">
                  <c:v>72.815000000000012</c:v>
                </c:pt>
                <c:pt idx="15">
                  <c:v>78.016071428571436</c:v>
                </c:pt>
                <c:pt idx="16">
                  <c:v>83.217142857142861</c:v>
                </c:pt>
                <c:pt idx="17">
                  <c:v>88.418214285714285</c:v>
                </c:pt>
                <c:pt idx="18">
                  <c:v>93.619285714285709</c:v>
                </c:pt>
                <c:pt idx="19">
                  <c:v>98.820357142857134</c:v>
                </c:pt>
                <c:pt idx="20">
                  <c:v>104.02142857142856</c:v>
                </c:pt>
                <c:pt idx="21">
                  <c:v>109.22249999999998</c:v>
                </c:pt>
                <c:pt idx="22">
                  <c:v>114.42357142857141</c:v>
                </c:pt>
                <c:pt idx="23">
                  <c:v>119.62464285714283</c:v>
                </c:pt>
                <c:pt idx="24">
                  <c:v>124.82571428571426</c:v>
                </c:pt>
                <c:pt idx="25">
                  <c:v>130.02678571428569</c:v>
                </c:pt>
                <c:pt idx="26">
                  <c:v>135.22785714285712</c:v>
                </c:pt>
                <c:pt idx="27">
                  <c:v>140.42892857142854</c:v>
                </c:pt>
                <c:pt idx="28">
                  <c:v>145.62999999999997</c:v>
                </c:pt>
              </c:numCache>
            </c:numRef>
          </c:xVal>
          <c:yVal>
            <c:numRef>
              <c:f>'Distribuição Granulométrica'!$C$3:$C$31</c:f>
              <c:numCache>
                <c:formatCode>0.0000</c:formatCode>
                <c:ptCount val="29"/>
                <c:pt idx="0">
                  <c:v>1.3090907771988378E-2</c:v>
                </c:pt>
                <c:pt idx="1">
                  <c:v>2.268346734018431E-2</c:v>
                </c:pt>
                <c:pt idx="2">
                  <c:v>3.7622483388198714E-2</c:v>
                </c:pt>
                <c:pt idx="3">
                  <c:v>5.9770835331429996E-2</c:v>
                </c:pt>
                <c:pt idx="4">
                  <c:v>9.1031120883599895E-2</c:v>
                </c:pt>
                <c:pt idx="5">
                  <c:v>0.13303377338367109</c:v>
                </c:pt>
                <c:pt idx="6">
                  <c:v>0.18676080827905089</c:v>
                </c:pt>
                <c:pt idx="7">
                  <c:v>0.25218547447863993</c:v>
                </c:pt>
                <c:pt idx="8">
                  <c:v>0.32802973646912192</c:v>
                </c:pt>
                <c:pt idx="9">
                  <c:v>0.4117318800502382</c:v>
                </c:pt>
                <c:pt idx="10">
                  <c:v>0.4996712014544753</c:v>
                </c:pt>
                <c:pt idx="11">
                  <c:v>0.58762656753219522</c:v>
                </c:pt>
                <c:pt idx="12">
                  <c:v>0.67137453426845184</c:v>
                </c:pt>
                <c:pt idx="13">
                  <c:v>0.74728801113078114</c:v>
                </c:pt>
                <c:pt idx="14">
                  <c:v>0.81279628111187263</c:v>
                </c:pt>
                <c:pt idx="15">
                  <c:v>0.86661160398707315</c:v>
                </c:pt>
                <c:pt idx="16">
                  <c:v>0.90869863183564692</c:v>
                </c:pt>
                <c:pt idx="17">
                  <c:v>0.94003314450601294</c:v>
                </c:pt>
                <c:pt idx="18">
                  <c:v>0.96224218954075902</c:v>
                </c:pt>
                <c:pt idx="19">
                  <c:v>0.97722760985671542</c:v>
                </c:pt>
                <c:pt idx="20">
                  <c:v>0.98685347797201928</c:v>
                </c:pt>
                <c:pt idx="21">
                  <c:v>0.99273978119001827</c:v>
                </c:pt>
                <c:pt idx="22">
                  <c:v>0.99616648751997794</c:v>
                </c:pt>
                <c:pt idx="23">
                  <c:v>0.99806556396592183</c:v>
                </c:pt>
                <c:pt idx="24">
                  <c:v>0.99906749784281113</c:v>
                </c:pt>
                <c:pt idx="25">
                  <c:v>0.99957072776678513</c:v>
                </c:pt>
                <c:pt idx="26">
                  <c:v>0.99981134368164615</c:v>
                </c:pt>
                <c:pt idx="27">
                  <c:v>0.99992086847090866</c:v>
                </c:pt>
                <c:pt idx="28">
                  <c:v>0.99996832875816688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F-4AE8-9CEA-2A1D9EF7AE0B}"/>
            </c:ext>
          </c:extLst>
        </c:ser>
        <c:ser>
          <c:idx val="1"/>
          <c:order val="1"/>
          <c:tx>
            <c:strRef>
              <c:f>'Distribuição Granulométrica'!$D$2</c:f>
              <c:strCache>
                <c:ptCount val="1"/>
                <c:pt idx="0">
                  <c:v>Xi num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'Distribuição Granulométrica'!$B$3:$B$31</c:f>
              <c:numCache>
                <c:formatCode>0</c:formatCode>
                <c:ptCount val="29"/>
                <c:pt idx="0">
                  <c:v>0</c:v>
                </c:pt>
                <c:pt idx="1">
                  <c:v>5.2010714285714288</c:v>
                </c:pt>
                <c:pt idx="2">
                  <c:v>10.402142857142858</c:v>
                </c:pt>
                <c:pt idx="3">
                  <c:v>15.603214285714287</c:v>
                </c:pt>
                <c:pt idx="4">
                  <c:v>20.804285714285715</c:v>
                </c:pt>
                <c:pt idx="5">
                  <c:v>26.005357142857143</c:v>
                </c:pt>
                <c:pt idx="6">
                  <c:v>31.206428571428571</c:v>
                </c:pt>
                <c:pt idx="7">
                  <c:v>36.407499999999999</c:v>
                </c:pt>
                <c:pt idx="8">
                  <c:v>41.60857142857143</c:v>
                </c:pt>
                <c:pt idx="9">
                  <c:v>46.809642857142862</c:v>
                </c:pt>
                <c:pt idx="10">
                  <c:v>52.010714285714293</c:v>
                </c:pt>
                <c:pt idx="11">
                  <c:v>57.211785714285725</c:v>
                </c:pt>
                <c:pt idx="12">
                  <c:v>62.412857142857156</c:v>
                </c:pt>
                <c:pt idx="13">
                  <c:v>67.613928571428588</c:v>
                </c:pt>
                <c:pt idx="14">
                  <c:v>72.815000000000012</c:v>
                </c:pt>
                <c:pt idx="15">
                  <c:v>78.016071428571436</c:v>
                </c:pt>
                <c:pt idx="16">
                  <c:v>83.217142857142861</c:v>
                </c:pt>
                <c:pt idx="17">
                  <c:v>88.418214285714285</c:v>
                </c:pt>
                <c:pt idx="18">
                  <c:v>93.619285714285709</c:v>
                </c:pt>
                <c:pt idx="19">
                  <c:v>98.820357142857134</c:v>
                </c:pt>
                <c:pt idx="20">
                  <c:v>104.02142857142856</c:v>
                </c:pt>
                <c:pt idx="21">
                  <c:v>109.22249999999998</c:v>
                </c:pt>
                <c:pt idx="22">
                  <c:v>114.42357142857141</c:v>
                </c:pt>
                <c:pt idx="23">
                  <c:v>119.62464285714283</c:v>
                </c:pt>
                <c:pt idx="24">
                  <c:v>124.82571428571426</c:v>
                </c:pt>
                <c:pt idx="25">
                  <c:v>130.02678571428569</c:v>
                </c:pt>
                <c:pt idx="26">
                  <c:v>135.22785714285712</c:v>
                </c:pt>
                <c:pt idx="27">
                  <c:v>140.42892857142854</c:v>
                </c:pt>
                <c:pt idx="28">
                  <c:v>145.62999999999997</c:v>
                </c:pt>
              </c:numCache>
            </c:numRef>
          </c:xVal>
          <c:yVal>
            <c:numRef>
              <c:f>'Distribuição Granulométrica'!$D$3:$D$31</c:f>
              <c:numCache>
                <c:formatCode>0.0000</c:formatCode>
                <c:ptCount val="29"/>
                <c:pt idx="0">
                  <c:v>0</c:v>
                </c:pt>
                <c:pt idx="1">
                  <c:v>2.224155148649376E-3</c:v>
                </c:pt>
                <c:pt idx="2">
                  <c:v>1.249773372217744E-2</c:v>
                </c:pt>
                <c:pt idx="3">
                  <c:v>3.4033124559431194E-2</c:v>
                </c:pt>
                <c:pt idx="4">
                  <c:v>6.8570377646614333E-2</c:v>
                </c:pt>
                <c:pt idx="5">
                  <c:v>0.11664784578464471</c:v>
                </c:pt>
                <c:pt idx="6">
                  <c:v>0.17763705103896421</c:v>
                </c:pt>
                <c:pt idx="7">
                  <c:v>0.24980945770599927</c:v>
                </c:pt>
                <c:pt idx="8">
                  <c:v>0.33049631698703918</c:v>
                </c:pt>
                <c:pt idx="9">
                  <c:v>0.41635078644777368</c:v>
                </c:pt>
                <c:pt idx="10">
                  <c:v>0.50369027672736899</c:v>
                </c:pt>
                <c:pt idx="11">
                  <c:v>0.5888752707047713</c:v>
                </c:pt>
                <c:pt idx="12">
                  <c:v>0.66866982900111815</c:v>
                </c:pt>
                <c:pt idx="13">
                  <c:v>0.74053047685773343</c:v>
                </c:pt>
                <c:pt idx="14">
                  <c:v>0.80278367648163529</c:v>
                </c:pt>
                <c:pt idx="15">
                  <c:v>0.85467413781468671</c:v>
                </c:pt>
                <c:pt idx="16">
                  <c:v>0.89629107500700067</c:v>
                </c:pt>
                <c:pt idx="17">
                  <c:v>0.92840088076796645</c:v>
                </c:pt>
                <c:pt idx="18">
                  <c:v>0.95222763094385465</c:v>
                </c:pt>
                <c:pt idx="19">
                  <c:v>0.96922518094736299</c:v>
                </c:pt>
                <c:pt idx="20">
                  <c:v>0.98087736490036626</c:v>
                </c:pt>
                <c:pt idx="21">
                  <c:v>0.98854940098499222</c:v>
                </c:pt>
                <c:pt idx="22">
                  <c:v>0.99339851389524025</c:v>
                </c:pt>
                <c:pt idx="23">
                  <c:v>0.99633897742572775</c:v>
                </c:pt>
                <c:pt idx="24">
                  <c:v>0.99804865908435514</c:v>
                </c:pt>
                <c:pt idx="25">
                  <c:v>0.9990012312100145</c:v>
                </c:pt>
                <c:pt idx="26">
                  <c:v>0.99950950282946749</c:v>
                </c:pt>
                <c:pt idx="27">
                  <c:v>0.9997690629376319</c:v>
                </c:pt>
                <c:pt idx="28">
                  <c:v>0.99989584287364175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5F-4AE8-9CEA-2A1D9EF7AE0B}"/>
            </c:ext>
          </c:extLst>
        </c:ser>
        <c:ser>
          <c:idx val="2"/>
          <c:order val="2"/>
          <c:tx>
            <c:v>Temp1</c:v>
          </c:tx>
          <c:spPr>
            <a:ln w="2540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Auxiliar!$A$9:$A$11</c:f>
              <c:numCache>
                <c:formatCode>General</c:formatCode>
                <c:ptCount val="3"/>
                <c:pt idx="0">
                  <c:v>145.62999999999997</c:v>
                </c:pt>
                <c:pt idx="1">
                  <c:v>72.814999999999984</c:v>
                </c:pt>
                <c:pt idx="2">
                  <c:v>0</c:v>
                </c:pt>
              </c:numCache>
            </c:numRef>
          </c:xVal>
          <c:yVal>
            <c:numRef>
              <c:f>Auxiliar!$B$9:$B$11</c:f>
              <c:numCache>
                <c:formatCode>General</c:formatCode>
                <c:ptCount val="3"/>
                <c:pt idx="0">
                  <c:v>0.63212055882855767</c:v>
                </c:pt>
                <c:pt idx="1">
                  <c:v>0.63212055882855767</c:v>
                </c:pt>
                <c:pt idx="2">
                  <c:v>0.63212055882855767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5F-4AE8-9CEA-2A1D9EF7AE0B}"/>
            </c:ext>
          </c:extLst>
        </c:ser>
        <c:ser>
          <c:idx val="3"/>
          <c:order val="3"/>
          <c:tx>
            <c:v>Temp2</c:v>
          </c:tx>
          <c:spPr>
            <a:ln w="2540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Auxiliar!$E$9:$E$11</c:f>
              <c:numCache>
                <c:formatCode>General</c:formatCode>
                <c:ptCount val="3"/>
                <c:pt idx="0">
                  <c:v>59.975034016222473</c:v>
                </c:pt>
                <c:pt idx="1">
                  <c:v>59.975034016222473</c:v>
                </c:pt>
                <c:pt idx="2">
                  <c:v>59.975034016222473</c:v>
                </c:pt>
              </c:numCache>
            </c:numRef>
          </c:xVal>
          <c:yVal>
            <c:numRef>
              <c:f>Auxiliar!$F$9:$F$11</c:f>
              <c:numCache>
                <c:formatCode>General</c:formatCode>
                <c:ptCount val="3"/>
                <c:pt idx="0">
                  <c:v>1</c:v>
                </c:pt>
                <c:pt idx="1">
                  <c:v>0.5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5F-4AE8-9CEA-2A1D9EF7A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204576"/>
        <c:axId val="814211232"/>
      </c:scatterChart>
      <c:valAx>
        <c:axId val="81420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Di (microns)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211232"/>
        <c:crosses val="autoZero"/>
        <c:crossBetween val="midCat"/>
      </c:valAx>
      <c:valAx>
        <c:axId val="81421123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Xi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204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285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t-BR"/>
              <a:t>Eficiência Individual de Coleta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Auxiliar!$J$12</c:f>
              <c:strCache>
                <c:ptCount val="1"/>
                <c:pt idx="0">
                  <c:v>h(Di.D*)</c:v>
                </c:pt>
              </c:strCache>
            </c:strRef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Auxiliar!$I$13:$I$41</c:f>
              <c:numCache>
                <c:formatCode>General</c:formatCode>
                <c:ptCount val="29"/>
                <c:pt idx="0">
                  <c:v>0</c:v>
                </c:pt>
                <c:pt idx="1">
                  <c:v>1.4548946688330586</c:v>
                </c:pt>
                <c:pt idx="2">
                  <c:v>2.9097893376661172</c:v>
                </c:pt>
                <c:pt idx="3">
                  <c:v>4.3646840064991768</c:v>
                </c:pt>
                <c:pt idx="4">
                  <c:v>5.8195786753322345</c:v>
                </c:pt>
                <c:pt idx="5">
                  <c:v>7.2744733441652931</c:v>
                </c:pt>
                <c:pt idx="6">
                  <c:v>8.7293680129983517</c:v>
                </c:pt>
                <c:pt idx="7">
                  <c:v>10.184262681831409</c:v>
                </c:pt>
                <c:pt idx="8">
                  <c:v>11.639157350664469</c:v>
                </c:pt>
                <c:pt idx="9">
                  <c:v>13.094052019497529</c:v>
                </c:pt>
                <c:pt idx="10">
                  <c:v>14.548946688330588</c:v>
                </c:pt>
                <c:pt idx="11">
                  <c:v>16.003841357163648</c:v>
                </c:pt>
                <c:pt idx="12">
                  <c:v>17.458736025996707</c:v>
                </c:pt>
                <c:pt idx="13">
                  <c:v>18.913630694829767</c:v>
                </c:pt>
                <c:pt idx="14">
                  <c:v>20.368525363662826</c:v>
                </c:pt>
                <c:pt idx="15">
                  <c:v>21.823420032495882</c:v>
                </c:pt>
                <c:pt idx="16">
                  <c:v>23.278314701328938</c:v>
                </c:pt>
                <c:pt idx="17">
                  <c:v>24.733209370161997</c:v>
                </c:pt>
                <c:pt idx="18">
                  <c:v>26.188104038995053</c:v>
                </c:pt>
                <c:pt idx="19">
                  <c:v>27.642998707828113</c:v>
                </c:pt>
                <c:pt idx="20">
                  <c:v>29.097893376661169</c:v>
                </c:pt>
                <c:pt idx="21">
                  <c:v>30.552788045494225</c:v>
                </c:pt>
                <c:pt idx="22">
                  <c:v>32.007682714327281</c:v>
                </c:pt>
                <c:pt idx="23">
                  <c:v>33.462577383160344</c:v>
                </c:pt>
                <c:pt idx="24">
                  <c:v>34.9174720519934</c:v>
                </c:pt>
                <c:pt idx="25">
                  <c:v>36.372366720826463</c:v>
                </c:pt>
                <c:pt idx="26">
                  <c:v>37.827261389659519</c:v>
                </c:pt>
                <c:pt idx="27">
                  <c:v>39.282156058492575</c:v>
                </c:pt>
                <c:pt idx="28">
                  <c:v>40.737050727325631</c:v>
                </c:pt>
              </c:numCache>
            </c:numRef>
          </c:xVal>
          <c:yVal>
            <c:numRef>
              <c:f>Auxiliar!$J$13:$J$41</c:f>
              <c:numCache>
                <c:formatCode>0.00%</c:formatCode>
                <c:ptCount val="29"/>
                <c:pt idx="0">
                  <c:v>0</c:v>
                </c:pt>
                <c:pt idx="1">
                  <c:v>0.67914972082509928</c:v>
                </c:pt>
                <c:pt idx="2">
                  <c:v>0.89436851054539745</c:v>
                </c:pt>
                <c:pt idx="3">
                  <c:v>0.95012584863461558</c:v>
                </c:pt>
                <c:pt idx="4">
                  <c:v>0.97131999380759626</c:v>
                </c:pt>
                <c:pt idx="5">
                  <c:v>0.98145330507980399</c:v>
                </c:pt>
                <c:pt idx="6">
                  <c:v>0.98704694519672698</c:v>
                </c:pt>
                <c:pt idx="7">
                  <c:v>0.99045065337448746</c:v>
                </c:pt>
                <c:pt idx="8">
                  <c:v>0.99267238134050162</c:v>
                </c:pt>
                <c:pt idx="9">
                  <c:v>0.99420135891199113</c:v>
                </c:pt>
                <c:pt idx="10">
                  <c:v>0.99529792024086361</c:v>
                </c:pt>
                <c:pt idx="11">
                  <c:v>0.99611080984427969</c:v>
                </c:pt>
                <c:pt idx="12">
                  <c:v>0.99672996862749941</c:v>
                </c:pt>
                <c:pt idx="13">
                  <c:v>0.99721235260354357</c:v>
                </c:pt>
                <c:pt idx="14">
                  <c:v>0.99759544187435467</c:v>
                </c:pt>
                <c:pt idx="15">
                  <c:v>0.99790471332646313</c:v>
                </c:pt>
                <c:pt idx="16">
                  <c:v>0.99815797207648771</c:v>
                </c:pt>
                <c:pt idx="17">
                  <c:v>0.9983679641700588</c:v>
                </c:pt>
                <c:pt idx="18">
                  <c:v>0.99854400764517837</c:v>
                </c:pt>
                <c:pt idx="19">
                  <c:v>0.99869304174225004</c:v>
                </c:pt>
                <c:pt idx="20">
                  <c:v>0.99882031984759079</c:v>
                </c:pt>
                <c:pt idx="21">
                  <c:v>0.99892987796046562</c:v>
                </c:pt>
                <c:pt idx="22">
                  <c:v>0.99902485807679375</c:v>
                </c:pt>
                <c:pt idx="23">
                  <c:v>0.99910773564342359</c:v>
                </c:pt>
                <c:pt idx="24">
                  <c:v>0.99918048227036016</c:v>
                </c:pt>
                <c:pt idx="25">
                  <c:v>0.99924468393116295</c:v>
                </c:pt>
                <c:pt idx="26">
                  <c:v>0.99930162803980349</c:v>
                </c:pt>
                <c:pt idx="27">
                  <c:v>0.99935236842751363</c:v>
                </c:pt>
                <c:pt idx="28">
                  <c:v>0.99939777440375044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5F-4A56-85F6-9360E50F4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206415"/>
        <c:axId val="1266188943"/>
      </c:scatterChart>
      <c:valAx>
        <c:axId val="1266206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cap="none" baseline="0"/>
                  <a:t>Di/D*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88943"/>
        <c:crosses val="autoZero"/>
        <c:crossBetween val="midCat"/>
      </c:valAx>
      <c:valAx>
        <c:axId val="126618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206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'Distribuição por Média e Desvio'!$F$2</c:f>
              <c:strCache>
                <c:ptCount val="1"/>
                <c:pt idx="0">
                  <c:v>Xi exp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'Distribuição por Média e Desvio'!$E$3:$E$31</c:f>
              <c:numCache>
                <c:formatCode>0.0</c:formatCode>
                <c:ptCount val="29"/>
                <c:pt idx="0">
                  <c:v>0</c:v>
                </c:pt>
                <c:pt idx="1">
                  <c:v>5.2010714285714288</c:v>
                </c:pt>
                <c:pt idx="2">
                  <c:v>10.402142857142858</c:v>
                </c:pt>
                <c:pt idx="3">
                  <c:v>15.603214285714287</c:v>
                </c:pt>
                <c:pt idx="4">
                  <c:v>20.804285714285715</c:v>
                </c:pt>
                <c:pt idx="5">
                  <c:v>26.005357142857143</c:v>
                </c:pt>
                <c:pt idx="6">
                  <c:v>31.206428571428571</c:v>
                </c:pt>
                <c:pt idx="7">
                  <c:v>36.407499999999999</c:v>
                </c:pt>
                <c:pt idx="8">
                  <c:v>41.60857142857143</c:v>
                </c:pt>
                <c:pt idx="9">
                  <c:v>46.809642857142862</c:v>
                </c:pt>
                <c:pt idx="10">
                  <c:v>52.010714285714293</c:v>
                </c:pt>
                <c:pt idx="11">
                  <c:v>57.211785714285725</c:v>
                </c:pt>
                <c:pt idx="12">
                  <c:v>62.412857142857156</c:v>
                </c:pt>
                <c:pt idx="13">
                  <c:v>67.613928571428588</c:v>
                </c:pt>
                <c:pt idx="14">
                  <c:v>72.815000000000012</c:v>
                </c:pt>
                <c:pt idx="15">
                  <c:v>78.016071428571436</c:v>
                </c:pt>
                <c:pt idx="16">
                  <c:v>83.217142857142861</c:v>
                </c:pt>
                <c:pt idx="17">
                  <c:v>88.418214285714285</c:v>
                </c:pt>
                <c:pt idx="18">
                  <c:v>93.619285714285709</c:v>
                </c:pt>
                <c:pt idx="19">
                  <c:v>98.820357142857134</c:v>
                </c:pt>
                <c:pt idx="20">
                  <c:v>104.02142857142856</c:v>
                </c:pt>
                <c:pt idx="21">
                  <c:v>109.22249999999998</c:v>
                </c:pt>
                <c:pt idx="22">
                  <c:v>114.42357142857141</c:v>
                </c:pt>
                <c:pt idx="23">
                  <c:v>119.62464285714283</c:v>
                </c:pt>
                <c:pt idx="24">
                  <c:v>124.82571428571426</c:v>
                </c:pt>
                <c:pt idx="25">
                  <c:v>130.02678571428569</c:v>
                </c:pt>
                <c:pt idx="26">
                  <c:v>135.22785714285712</c:v>
                </c:pt>
                <c:pt idx="27">
                  <c:v>140.42892857142854</c:v>
                </c:pt>
                <c:pt idx="28">
                  <c:v>145.62999999999997</c:v>
                </c:pt>
              </c:numCache>
            </c:numRef>
          </c:xVal>
          <c:yVal>
            <c:numRef>
              <c:f>'Distribuição por Média e Desvio'!$F$3:$F$31</c:f>
              <c:numCache>
                <c:formatCode>0.0000</c:formatCode>
                <c:ptCount val="29"/>
                <c:pt idx="0">
                  <c:v>1.3090907771988378E-2</c:v>
                </c:pt>
                <c:pt idx="1">
                  <c:v>2.268346734018431E-2</c:v>
                </c:pt>
                <c:pt idx="2">
                  <c:v>3.7622483388198714E-2</c:v>
                </c:pt>
                <c:pt idx="3">
                  <c:v>5.9770835331429996E-2</c:v>
                </c:pt>
                <c:pt idx="4">
                  <c:v>9.1031120883599895E-2</c:v>
                </c:pt>
                <c:pt idx="5">
                  <c:v>0.13303377338367109</c:v>
                </c:pt>
                <c:pt idx="6">
                  <c:v>0.18676080827905089</c:v>
                </c:pt>
                <c:pt idx="7">
                  <c:v>0.25218547447863993</c:v>
                </c:pt>
                <c:pt idx="8">
                  <c:v>0.32802973646912192</c:v>
                </c:pt>
                <c:pt idx="9">
                  <c:v>0.4117318800502382</c:v>
                </c:pt>
                <c:pt idx="10">
                  <c:v>0.4996712014544753</c:v>
                </c:pt>
                <c:pt idx="11">
                  <c:v>0.58762656753219522</c:v>
                </c:pt>
                <c:pt idx="12">
                  <c:v>0.67137453426845184</c:v>
                </c:pt>
                <c:pt idx="13">
                  <c:v>0.74728801113078114</c:v>
                </c:pt>
                <c:pt idx="14">
                  <c:v>0.81279628111187263</c:v>
                </c:pt>
                <c:pt idx="15">
                  <c:v>0.86661160398707315</c:v>
                </c:pt>
                <c:pt idx="16">
                  <c:v>0.90869863183564692</c:v>
                </c:pt>
                <c:pt idx="17">
                  <c:v>0.94003314450601294</c:v>
                </c:pt>
                <c:pt idx="18">
                  <c:v>0.96224218954075902</c:v>
                </c:pt>
                <c:pt idx="19">
                  <c:v>0.97722760985671542</c:v>
                </c:pt>
                <c:pt idx="20">
                  <c:v>0.98685347797201928</c:v>
                </c:pt>
                <c:pt idx="21">
                  <c:v>0.99273978119001827</c:v>
                </c:pt>
                <c:pt idx="22">
                  <c:v>0.99616648751997794</c:v>
                </c:pt>
                <c:pt idx="23">
                  <c:v>0.99806556396592183</c:v>
                </c:pt>
                <c:pt idx="24">
                  <c:v>0.99906749784281113</c:v>
                </c:pt>
                <c:pt idx="25">
                  <c:v>0.99957072776678513</c:v>
                </c:pt>
                <c:pt idx="26">
                  <c:v>0.99981134368164615</c:v>
                </c:pt>
                <c:pt idx="27">
                  <c:v>0.99992086847090866</c:v>
                </c:pt>
                <c:pt idx="28">
                  <c:v>0.99996832875816688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22-48C5-AECB-E97DC39C4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759200"/>
        <c:axId val="1364762112"/>
      </c:scatterChart>
      <c:valAx>
        <c:axId val="136475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762112"/>
        <c:crosses val="autoZero"/>
        <c:crossBetween val="midCat"/>
      </c:valAx>
      <c:valAx>
        <c:axId val="13647621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75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linktr.ee/spogis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10" Type="http://schemas.openxmlformats.org/officeDocument/2006/relationships/chart" Target="../charts/chart2.xml"/><Relationship Id="rId4" Type="http://schemas.openxmlformats.org/officeDocument/2006/relationships/image" Target="../media/image5.emf"/><Relationship Id="rId9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14</xdr:col>
      <xdr:colOff>0</xdr:colOff>
      <xdr:row>25</xdr:row>
      <xdr:rowOff>89297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BD239E-360F-4B7F-9142-0C3154C2A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90500"/>
          <a:ext cx="8286750" cy="4661297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11</xdr:row>
      <xdr:rowOff>0</xdr:rowOff>
    </xdr:from>
    <xdr:to>
      <xdr:col>15</xdr:col>
      <xdr:colOff>0</xdr:colOff>
      <xdr:row>30</xdr:row>
      <xdr:rowOff>200024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F0AC7F5-4D18-4ECE-9A06-494DDCC75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7</xdr:row>
      <xdr:rowOff>0</xdr:rowOff>
    </xdr:from>
    <xdr:to>
      <xdr:col>10</xdr:col>
      <xdr:colOff>0</xdr:colOff>
      <xdr:row>11</xdr:row>
      <xdr:rowOff>0</xdr:rowOff>
    </xdr:to>
    <xdr:sp macro="[0]!AjusteCurva" textlink="">
      <xdr:nvSpPr>
        <xdr:cNvPr id="3" name="Retângulo 2">
          <a:extLst>
            <a:ext uri="{FF2B5EF4-FFF2-40B4-BE49-F238E27FC236}">
              <a16:creationId xmlns:a16="http://schemas.microsoft.com/office/drawing/2014/main" id="{FBE77E4A-80CB-48FA-AE5E-5A9C1CF17BF3}"/>
            </a:ext>
          </a:extLst>
        </xdr:cNvPr>
        <xdr:cNvSpPr/>
      </xdr:nvSpPr>
      <xdr:spPr>
        <a:xfrm>
          <a:off x="3352800" y="1419225"/>
          <a:ext cx="3124200" cy="762000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CLIQUE PARA AJUSTAR OS</a:t>
          </a:r>
          <a:r>
            <a:rPr lang="pt-BR" sz="1400" baseline="0"/>
            <a:t> PARÂMETROS RRB </a:t>
          </a:r>
          <a:br>
            <a:rPr lang="pt-BR" sz="1400" baseline="0"/>
          </a:br>
          <a:r>
            <a:rPr lang="pt-BR" sz="1400" baseline="0"/>
            <a:t>(Com dados Experimentais)</a:t>
          </a:r>
          <a:endParaRPr lang="pt-BR" sz="1400"/>
        </a:p>
      </xdr:txBody>
    </xdr:sp>
    <xdr:clientData/>
  </xdr:twoCellAnchor>
  <xdr:oneCellAnchor>
    <xdr:from>
      <xdr:col>10</xdr:col>
      <xdr:colOff>685800</xdr:colOff>
      <xdr:row>23</xdr:row>
      <xdr:rowOff>180975</xdr:rowOff>
    </xdr:from>
    <xdr:ext cx="2721579" cy="6544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C597B935-2BD4-4C66-BDBB-CFD2FD358E44}"/>
                </a:ext>
              </a:extLst>
            </xdr:cNvPr>
            <xdr:cNvSpPr txBox="1"/>
          </xdr:nvSpPr>
          <xdr:spPr>
            <a:xfrm>
              <a:off x="7162800" y="4648200"/>
              <a:ext cx="2721579" cy="654475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8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8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pt-BR" sz="18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pt-BR" sz="1800" b="0" i="1">
                        <a:latin typeface="Cambria Math" panose="02040503050406030204" pitchFamily="18" charset="0"/>
                      </a:rPr>
                      <m:t>=1−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𝑒𝑥𝑝</m:t>
                    </m:r>
                    <m:d>
                      <m:dPr>
                        <m:ctrlPr>
                          <a:rPr lang="pt-BR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pt-BR" sz="18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pt-BR" sz="18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pt-BR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pt-BR" sz="1800" b="0" i="1">
                                            <a:latin typeface="Cambria Math" panose="02040503050406030204" pitchFamily="18" charset="0"/>
                                          </a:rPr>
                                          <m:t>𝐷</m:t>
                                        </m:r>
                                      </m:e>
                                      <m:sub>
                                        <m:r>
                                          <a:rPr lang="pt-BR" sz="1800" b="0" i="1"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pt-BR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pt-BR" sz="1800" b="0" i="1">
                                            <a:latin typeface="Cambria Math" panose="02040503050406030204" pitchFamily="18" charset="0"/>
                                          </a:rPr>
                                          <m:t>𝐷</m:t>
                                        </m:r>
                                      </m:e>
                                      <m:sub>
                                        <m:r>
                                          <a:rPr lang="pt-BR" sz="1800" b="0" i="1">
                                            <a:latin typeface="Cambria Math" panose="02040503050406030204" pitchFamily="18" charset="0"/>
                                          </a:rPr>
                                          <m:t>63.2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pt-BR" sz="18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pt-BR" sz="18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C597B935-2BD4-4C66-BDBB-CFD2FD358E44}"/>
                </a:ext>
              </a:extLst>
            </xdr:cNvPr>
            <xdr:cNvSpPr txBox="1"/>
          </xdr:nvSpPr>
          <xdr:spPr>
            <a:xfrm>
              <a:off x="7162800" y="4648200"/>
              <a:ext cx="2721579" cy="654475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800" b="0" i="0">
                  <a:latin typeface="Cambria Math" panose="02040503050406030204" pitchFamily="18" charset="0"/>
                </a:rPr>
                <a:t>𝑋_𝑖=1−𝑒𝑥𝑝(−(𝐷_𝑖/𝐷_63.2 )^𝑛 )</a:t>
              </a:r>
              <a:endParaRPr lang="pt-BR" sz="1800"/>
            </a:p>
          </xdr:txBody>
        </xdr:sp>
      </mc:Fallback>
    </mc:AlternateContent>
    <xdr:clientData/>
  </xdr:oneCellAnchor>
  <xdr:twoCellAnchor>
    <xdr:from>
      <xdr:col>11</xdr:col>
      <xdr:colOff>0</xdr:colOff>
      <xdr:row>7</xdr:row>
      <xdr:rowOff>19050</xdr:rowOff>
    </xdr:from>
    <xdr:to>
      <xdr:col>15</xdr:col>
      <xdr:colOff>0</xdr:colOff>
      <xdr:row>11</xdr:row>
      <xdr:rowOff>0</xdr:rowOff>
    </xdr:to>
    <xdr:sp macro="[0]!CopiaDados" textlink="">
      <xdr:nvSpPr>
        <xdr:cNvPr id="5" name="Retângulo 4">
          <a:extLst>
            <a:ext uri="{FF2B5EF4-FFF2-40B4-BE49-F238E27FC236}">
              <a16:creationId xmlns:a16="http://schemas.microsoft.com/office/drawing/2014/main" id="{F095FC69-931A-4113-B313-CF52D11F79B5}"/>
            </a:ext>
          </a:extLst>
        </xdr:cNvPr>
        <xdr:cNvSpPr/>
      </xdr:nvSpPr>
      <xdr:spPr>
        <a:xfrm>
          <a:off x="7258050" y="1438275"/>
          <a:ext cx="3124200" cy="742950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CLIQUE PARA AJUSTAR OS</a:t>
          </a:r>
          <a:r>
            <a:rPr lang="pt-BR" sz="1400" baseline="0"/>
            <a:t> PARÂMETROS RRB </a:t>
          </a:r>
          <a:br>
            <a:rPr lang="pt-BR" sz="1400" baseline="0"/>
          </a:br>
          <a:r>
            <a:rPr lang="pt-BR" sz="1400" baseline="0"/>
            <a:t>(Usando Média e Desvio Padrão)</a:t>
          </a:r>
          <a:endParaRPr lang="pt-BR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12</xdr:col>
      <xdr:colOff>0</xdr:colOff>
      <xdr:row>29</xdr:row>
      <xdr:rowOff>19050</xdr:rowOff>
    </xdr:to>
    <xdr:pic>
      <xdr:nvPicPr>
        <xdr:cNvPr id="4" name="Imagem 3" descr="AVALIAÇÃO DO DESEMPENHO DE UM CICLONE STAIRMAND ADAPTADO COM BICOS  INJETORES DE ÁGUA">
          <a:extLst>
            <a:ext uri="{FF2B5EF4-FFF2-40B4-BE49-F238E27FC236}">
              <a16:creationId xmlns:a16="http://schemas.microsoft.com/office/drawing/2014/main" id="{3135F18A-7D6E-4393-B589-07457D684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9775" y="200024"/>
          <a:ext cx="3657600" cy="5667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190501</xdr:colOff>
          <xdr:row>4</xdr:row>
          <xdr:rowOff>95249</xdr:rowOff>
        </xdr:from>
        <xdr:to>
          <xdr:col>12</xdr:col>
          <xdr:colOff>360901</xdr:colOff>
          <xdr:row>5</xdr:row>
          <xdr:rowOff>156749</xdr:rowOff>
        </xdr:to>
        <xdr:pic>
          <xdr:nvPicPr>
            <xdr:cNvPr id="11" name="Imagem 10">
              <a:extLst>
                <a:ext uri="{FF2B5EF4-FFF2-40B4-BE49-F238E27FC236}">
                  <a16:creationId xmlns:a16="http://schemas.microsoft.com/office/drawing/2014/main" id="{F55A03CF-C67A-4448-BBF8-0BFB3F1BF1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uxiliar!$J$2" spid="_x0000_s388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9801226" y="1085849"/>
              <a:ext cx="780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428624</xdr:colOff>
          <xdr:row>8</xdr:row>
          <xdr:rowOff>114299</xdr:rowOff>
        </xdr:from>
        <xdr:to>
          <xdr:col>12</xdr:col>
          <xdr:colOff>599024</xdr:colOff>
          <xdr:row>9</xdr:row>
          <xdr:rowOff>166274</xdr:rowOff>
        </xdr:to>
        <xdr:pic>
          <xdr:nvPicPr>
            <xdr:cNvPr id="13" name="Imagem 12">
              <a:extLst>
                <a:ext uri="{FF2B5EF4-FFF2-40B4-BE49-F238E27FC236}">
                  <a16:creationId xmlns:a16="http://schemas.microsoft.com/office/drawing/2014/main" id="{17EE02E7-8835-43AE-9C4E-49943F45ACA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uxiliar!$J$4" spid="_x0000_s388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039349" y="1895474"/>
              <a:ext cx="780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26</xdr:row>
          <xdr:rowOff>57150</xdr:rowOff>
        </xdr:from>
        <xdr:to>
          <xdr:col>11</xdr:col>
          <xdr:colOff>315920</xdr:colOff>
          <xdr:row>27</xdr:row>
          <xdr:rowOff>118650</xdr:rowOff>
        </xdr:to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id="{47979158-CE12-4BDF-A5C9-B05C3B3634F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uxiliar!$J$8" spid="_x0000_s388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9182100" y="5353050"/>
              <a:ext cx="744545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276224</xdr:colOff>
          <xdr:row>1</xdr:row>
          <xdr:rowOff>9524</xdr:rowOff>
        </xdr:from>
        <xdr:to>
          <xdr:col>11</xdr:col>
          <xdr:colOff>446624</xdr:colOff>
          <xdr:row>2</xdr:row>
          <xdr:rowOff>61499</xdr:rowOff>
        </xdr:to>
        <xdr:pic>
          <xdr:nvPicPr>
            <xdr:cNvPr id="15" name="Imagem 14">
              <a:extLst>
                <a:ext uri="{FF2B5EF4-FFF2-40B4-BE49-F238E27FC236}">
                  <a16:creationId xmlns:a16="http://schemas.microsoft.com/office/drawing/2014/main" id="{16E82A3A-AC5C-41EF-906B-61EA4DA748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uxiliar!$J$3" spid="_x0000_s388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277349" y="409574"/>
              <a:ext cx="780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352424</xdr:colOff>
          <xdr:row>3</xdr:row>
          <xdr:rowOff>172500</xdr:rowOff>
        </xdr:from>
        <xdr:to>
          <xdr:col>7</xdr:col>
          <xdr:colOff>604424</xdr:colOff>
          <xdr:row>8</xdr:row>
          <xdr:rowOff>0</xdr:rowOff>
        </xdr:to>
        <xdr:pic>
          <xdr:nvPicPr>
            <xdr:cNvPr id="16" name="Imagem 15">
              <a:extLst>
                <a:ext uri="{FF2B5EF4-FFF2-40B4-BE49-F238E27FC236}">
                  <a16:creationId xmlns:a16="http://schemas.microsoft.com/office/drawing/2014/main" id="{EF8B4033-41D9-4E93-B967-FB4ABDD8123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uxiliar!$J$7" spid="_x0000_s388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 rot="16200000">
              <a:off x="7260749" y="1227075"/>
              <a:ext cx="780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52386</xdr:colOff>
          <xdr:row>3</xdr:row>
          <xdr:rowOff>172500</xdr:rowOff>
        </xdr:from>
        <xdr:to>
          <xdr:col>7</xdr:col>
          <xdr:colOff>304386</xdr:colOff>
          <xdr:row>8</xdr:row>
          <xdr:rowOff>0</xdr:rowOff>
        </xdr:to>
        <xdr:pic>
          <xdr:nvPicPr>
            <xdr:cNvPr id="18" name="Imagem 17">
              <a:extLst>
                <a:ext uri="{FF2B5EF4-FFF2-40B4-BE49-F238E27FC236}">
                  <a16:creationId xmlns:a16="http://schemas.microsoft.com/office/drawing/2014/main" id="{54C2CF0C-E28D-4643-B141-4AF57897A7E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uxiliar!$J$5" spid="_x0000_s388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 rot="16200000">
              <a:off x="6960711" y="1227075"/>
              <a:ext cx="780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361949</xdr:colOff>
          <xdr:row>3</xdr:row>
          <xdr:rowOff>172500</xdr:rowOff>
        </xdr:from>
        <xdr:to>
          <xdr:col>7</xdr:col>
          <xdr:colOff>4349</xdr:colOff>
          <xdr:row>8</xdr:row>
          <xdr:rowOff>0</xdr:rowOff>
        </xdr:to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7414A2C7-FED3-4BAD-9CBE-051F8F72BC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uxiliar!$J$6" spid="_x0000_s389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6660674" y="1227075"/>
              <a:ext cx="780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12224</xdr:colOff>
          <xdr:row>13</xdr:row>
          <xdr:rowOff>7875</xdr:rowOff>
        </xdr:from>
        <xdr:to>
          <xdr:col>11</xdr:col>
          <xdr:colOff>182624</xdr:colOff>
          <xdr:row>14</xdr:row>
          <xdr:rowOff>59850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3F98E365-9584-42DC-B844-664F0AE2E1A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uxiliar!$J$9" spid="_x0000_s389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9013349" y="2760600"/>
              <a:ext cx="780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0</xdr:colOff>
      <xdr:row>24</xdr:row>
      <xdr:rowOff>1</xdr:rowOff>
    </xdr:from>
    <xdr:to>
      <xdr:col>3</xdr:col>
      <xdr:colOff>609599</xdr:colOff>
      <xdr:row>27</xdr:row>
      <xdr:rowOff>1</xdr:rowOff>
    </xdr:to>
    <xdr:sp macro="[0]!Maximizar" textlink="">
      <xdr:nvSpPr>
        <xdr:cNvPr id="2" name="Retângulo 1">
          <a:extLst>
            <a:ext uri="{FF2B5EF4-FFF2-40B4-BE49-F238E27FC236}">
              <a16:creationId xmlns:a16="http://schemas.microsoft.com/office/drawing/2014/main" id="{41D65F17-A1A1-430E-BE84-06100C6E6EE2}"/>
            </a:ext>
          </a:extLst>
        </xdr:cNvPr>
        <xdr:cNvSpPr/>
      </xdr:nvSpPr>
      <xdr:spPr>
        <a:xfrm>
          <a:off x="371475" y="4305301"/>
          <a:ext cx="3476624" cy="571500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CLIQUE PARA MAXIMIZAR</a:t>
          </a:r>
          <a:r>
            <a:rPr lang="pt-BR" sz="1400" baseline="0"/>
            <a:t> A EFICIÊNCIA</a:t>
          </a:r>
          <a:endParaRPr lang="pt-BR" sz="1400"/>
        </a:p>
      </xdr:txBody>
    </xdr:sp>
    <xdr:clientData/>
  </xdr:twoCellAnchor>
  <xdr:twoCellAnchor editAs="oneCell">
    <xdr:from>
      <xdr:col>0</xdr:col>
      <xdr:colOff>371474</xdr:colOff>
      <xdr:row>29</xdr:row>
      <xdr:rowOff>0</xdr:rowOff>
    </xdr:from>
    <xdr:to>
      <xdr:col>3</xdr:col>
      <xdr:colOff>609599</xdr:colOff>
      <xdr:row>54</xdr:row>
      <xdr:rowOff>85725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5485EF85-529E-4D3D-A865-B53CDF12F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4" y="5648325"/>
          <a:ext cx="3476625" cy="4876800"/>
        </a:xfrm>
        <a:prstGeom prst="rect">
          <a:avLst/>
        </a:prstGeom>
        <a:noFill/>
        <a:ln w="28575"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38</xdr:row>
      <xdr:rowOff>0</xdr:rowOff>
    </xdr:from>
    <xdr:to>
      <xdr:col>13</xdr:col>
      <xdr:colOff>0</xdr:colOff>
      <xdr:row>53</xdr:row>
      <xdr:rowOff>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85D87223-211D-42B6-8228-81E5FE376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0</xdr:colOff>
      <xdr:row>17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3500AC-CD6D-4DD4-BA4E-5F7CDC5BE4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146685</xdr:colOff>
      <xdr:row>41</xdr:row>
      <xdr:rowOff>179070</xdr:rowOff>
    </xdr:from>
    <xdr:to>
      <xdr:col>6</xdr:col>
      <xdr:colOff>222885</xdr:colOff>
      <xdr:row>44</xdr:row>
      <xdr:rowOff>49530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8DEFF66-6A86-42C0-BD28-00D101B01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6210" y="8141970"/>
          <a:ext cx="1295400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icolas Spogis" id="{151C6E24-3F00-416D-BEEA-BB164ACE4A27}" userId="Nicolas Spogis" providerId="None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22-01-27T14:05:43.15" personId="{151C6E24-3F00-416D-BEEA-BB164ACE4A27}" id="{37168C62-0441-4EE1-B943-992567FF65BC}">
    <text>Cálculo da densidade e viscosidade do Ar através da Temperatura implementado por Robson Saad Rodrigues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linktr.ee/spogi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oc.comsol.com/5.5/doc/com.comsol.help.cfd/cfd_ug_fluidflow_high_mach.08.27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9306-7DE1-43A4-AFB9-B81D709B0C62}">
  <sheetPr codeName="Planilha3"/>
  <dimension ref="B27:N32"/>
  <sheetViews>
    <sheetView showGridLines="0" showRowColHeaders="0" zoomScaleNormal="100" workbookViewId="0">
      <selection activeCell="B2" sqref="B2"/>
    </sheetView>
  </sheetViews>
  <sheetFormatPr defaultColWidth="9.109375" defaultRowHeight="14.4"/>
  <cols>
    <col min="1" max="1" width="9.109375" style="82"/>
    <col min="2" max="2" width="11.88671875" style="82" customWidth="1"/>
    <col min="3" max="13" width="9.109375" style="82"/>
    <col min="14" max="14" width="11.88671875" style="82" customWidth="1"/>
    <col min="15" max="16384" width="9.109375" style="82"/>
  </cols>
  <sheetData>
    <row r="27" spans="2:14" ht="15" thickBot="1"/>
    <row r="28" spans="2:14">
      <c r="B28" s="150" t="s">
        <v>64</v>
      </c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2"/>
    </row>
    <row r="29" spans="2:14" ht="15" thickBot="1">
      <c r="B29" s="153"/>
      <c r="C29" s="154"/>
      <c r="D29" s="154"/>
      <c r="E29" s="154"/>
      <c r="F29" s="154"/>
      <c r="G29" s="154"/>
      <c r="H29" s="154"/>
      <c r="I29" s="154"/>
      <c r="J29" s="154"/>
      <c r="K29" s="154"/>
      <c r="L29" s="154"/>
      <c r="M29" s="154"/>
      <c r="N29" s="155"/>
    </row>
    <row r="30" spans="2:14" ht="15" thickBot="1"/>
    <row r="31" spans="2:14">
      <c r="B31" s="156" t="s">
        <v>65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8"/>
    </row>
    <row r="32" spans="2:14" ht="15" thickBot="1">
      <c r="B32" s="159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1"/>
    </row>
  </sheetData>
  <mergeCells count="2">
    <mergeCell ref="B28:N29"/>
    <mergeCell ref="B31:N32"/>
  </mergeCells>
  <hyperlinks>
    <hyperlink ref="B31:N32" r:id="rId1" display="Conheça todas as nossas redes sociais e contatos: https://linktr.ee/spogis" xr:uid="{89D96962-511D-4497-A892-5F7AF0E1A6FE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6FF00-7EF3-4573-A07B-10988A8C90A5}">
  <sheetPr codeName="Planilha1"/>
  <dimension ref="B1:O31"/>
  <sheetViews>
    <sheetView tabSelected="1" zoomScaleNormal="100" workbookViewId="0">
      <selection activeCell="J5" sqref="J5"/>
    </sheetView>
  </sheetViews>
  <sheetFormatPr defaultColWidth="9.109375" defaultRowHeight="14.4"/>
  <cols>
    <col min="1" max="1" width="4.5546875" style="1" customWidth="1"/>
    <col min="2" max="2" width="9.109375" style="1"/>
    <col min="3" max="4" width="9.109375" style="2"/>
    <col min="5" max="5" width="9.109375" style="3"/>
    <col min="6" max="6" width="9.109375" style="1"/>
    <col min="7" max="15" width="11.6640625" style="1" customWidth="1"/>
    <col min="16" max="16384" width="9.109375" style="1"/>
  </cols>
  <sheetData>
    <row r="1" spans="2:15" ht="15" thickBot="1"/>
    <row r="2" spans="2:15" ht="16.2" thickBot="1">
      <c r="B2" s="79" t="s">
        <v>6</v>
      </c>
      <c r="C2" s="80" t="s">
        <v>2</v>
      </c>
      <c r="D2" s="80" t="s">
        <v>3</v>
      </c>
      <c r="E2" s="81" t="s">
        <v>4</v>
      </c>
      <c r="G2" s="26" t="s">
        <v>74</v>
      </c>
      <c r="H2" s="143">
        <f>_xlfn.FORECAST.LINEAR(Auxiliar!B33,Auxiliar!A31:A32,Auxiliar!B31:B32)</f>
        <v>59.975034016222473</v>
      </c>
      <c r="I2" s="162" t="s">
        <v>59</v>
      </c>
      <c r="J2" s="162"/>
      <c r="K2" s="162"/>
      <c r="L2" s="162"/>
      <c r="M2" s="162"/>
      <c r="N2" s="162"/>
      <c r="O2" s="163"/>
    </row>
    <row r="3" spans="2:15" ht="15" thickBot="1">
      <c r="B3" s="133">
        <v>0</v>
      </c>
      <c r="C3" s="97">
        <v>1.3090907771988378E-2</v>
      </c>
      <c r="D3" s="94">
        <f>IF(C3&lt;&gt;"",1-EXP(-POWER(B3/$H$2,$H$3)),"")</f>
        <v>0</v>
      </c>
      <c r="E3" s="27">
        <f>IF(C3&lt;&gt;"",(C3-D3)^2,"")</f>
        <v>1.7137186629470573E-4</v>
      </c>
      <c r="G3" s="23" t="s">
        <v>1</v>
      </c>
      <c r="H3" s="144">
        <v>2.4977938061517078</v>
      </c>
      <c r="I3" s="164" t="s">
        <v>60</v>
      </c>
      <c r="J3" s="164"/>
      <c r="K3" s="164"/>
      <c r="L3" s="164"/>
      <c r="M3" s="164"/>
      <c r="N3" s="164"/>
      <c r="O3" s="165"/>
    </row>
    <row r="4" spans="2:15" ht="15" thickBot="1">
      <c r="B4" s="134">
        <v>5.2010714285714288</v>
      </c>
      <c r="C4" s="98">
        <v>2.268346734018431E-2</v>
      </c>
      <c r="D4" s="95">
        <f t="shared" ref="D4:D31" si="0">IF(C4&lt;&gt;"",1-EXP(-POWER(B4/$H$2,$H$3)),"")</f>
        <v>2.224155148649376E-3</v>
      </c>
      <c r="E4" s="29">
        <f t="shared" ref="E4:E31" si="1">IF(C4&lt;&gt;"",(C4-D4)^2,"")</f>
        <v>4.1858345535068998E-4</v>
      </c>
    </row>
    <row r="5" spans="2:15">
      <c r="B5" s="134">
        <v>10.402142857142858</v>
      </c>
      <c r="C5" s="98">
        <v>3.7622483388198714E-2</v>
      </c>
      <c r="D5" s="95">
        <f t="shared" si="0"/>
        <v>1.249773372217744E-2</v>
      </c>
      <c r="E5" s="29">
        <f t="shared" si="1"/>
        <v>6.3125304578023618E-4</v>
      </c>
      <c r="G5" s="1" t="s">
        <v>5</v>
      </c>
      <c r="H5" s="3">
        <f>SUM(E:E)</f>
        <v>3.605360763693599E-3</v>
      </c>
      <c r="L5" s="166" t="s">
        <v>102</v>
      </c>
      <c r="M5" s="167"/>
      <c r="N5" s="6">
        <v>52.03</v>
      </c>
      <c r="O5" s="140" t="s">
        <v>41</v>
      </c>
    </row>
    <row r="6" spans="2:15" ht="15" thickBot="1">
      <c r="B6" s="134">
        <v>15.603214285714287</v>
      </c>
      <c r="C6" s="98">
        <v>5.9770835331429996E-2</v>
      </c>
      <c r="D6" s="95">
        <f t="shared" si="0"/>
        <v>3.4033124559431194E-2</v>
      </c>
      <c r="E6" s="29">
        <f t="shared" si="1"/>
        <v>6.6242975578306316E-4</v>
      </c>
      <c r="L6" s="168" t="s">
        <v>103</v>
      </c>
      <c r="M6" s="169"/>
      <c r="N6" s="141">
        <v>23.4</v>
      </c>
      <c r="O6" s="142" t="s">
        <v>41</v>
      </c>
    </row>
    <row r="7" spans="2:15">
      <c r="B7" s="134">
        <v>20.804285714285715</v>
      </c>
      <c r="C7" s="98">
        <v>9.1031120883599895E-2</v>
      </c>
      <c r="D7" s="95">
        <f t="shared" si="0"/>
        <v>6.8570377646614333E-2</v>
      </c>
      <c r="E7" s="29">
        <f t="shared" si="1"/>
        <v>5.0448498675779259E-4</v>
      </c>
    </row>
    <row r="8" spans="2:15">
      <c r="B8" s="134">
        <v>26.005357142857143</v>
      </c>
      <c r="C8" s="98">
        <v>0.13303377338367109</v>
      </c>
      <c r="D8" s="95">
        <f t="shared" si="0"/>
        <v>0.11664784578464471</v>
      </c>
      <c r="E8" s="29">
        <f t="shared" si="1"/>
        <v>2.6849862328053438E-4</v>
      </c>
    </row>
    <row r="9" spans="2:15">
      <c r="B9" s="134">
        <v>31.206428571428571</v>
      </c>
      <c r="C9" s="98">
        <v>0.18676080827905089</v>
      </c>
      <c r="D9" s="95">
        <f t="shared" si="0"/>
        <v>0.17763705103896421</v>
      </c>
      <c r="E9" s="29">
        <f t="shared" si="1"/>
        <v>8.324294617603417E-5</v>
      </c>
    </row>
    <row r="10" spans="2:15">
      <c r="B10" s="134">
        <v>36.407499999999999</v>
      </c>
      <c r="C10" s="98">
        <v>0.25218547447863993</v>
      </c>
      <c r="D10" s="95">
        <f t="shared" si="0"/>
        <v>0.24980945770599927</v>
      </c>
      <c r="E10" s="29">
        <f t="shared" si="1"/>
        <v>5.6454557038697118E-6</v>
      </c>
    </row>
    <row r="11" spans="2:15">
      <c r="B11" s="134">
        <v>41.60857142857143</v>
      </c>
      <c r="C11" s="98">
        <v>0.32802973646912192</v>
      </c>
      <c r="D11" s="95">
        <f t="shared" si="0"/>
        <v>0.33049631698703918</v>
      </c>
      <c r="E11" s="29">
        <f t="shared" si="1"/>
        <v>6.084019451368982E-6</v>
      </c>
    </row>
    <row r="12" spans="2:15">
      <c r="B12" s="134">
        <v>46.809642857142862</v>
      </c>
      <c r="C12" s="98">
        <v>0.4117318800502382</v>
      </c>
      <c r="D12" s="95">
        <f t="shared" si="0"/>
        <v>0.41635078644777368</v>
      </c>
      <c r="E12" s="29">
        <f t="shared" si="1"/>
        <v>2.1334296309194211E-5</v>
      </c>
    </row>
    <row r="13" spans="2:15">
      <c r="B13" s="134">
        <v>52.010714285714293</v>
      </c>
      <c r="C13" s="98">
        <v>0.4996712014544753</v>
      </c>
      <c r="D13" s="95">
        <f t="shared" si="0"/>
        <v>0.50369027672736899</v>
      </c>
      <c r="E13" s="29">
        <f t="shared" si="1"/>
        <v>1.6152966049185495E-5</v>
      </c>
    </row>
    <row r="14" spans="2:15">
      <c r="B14" s="134">
        <v>57.211785714285725</v>
      </c>
      <c r="C14" s="98">
        <v>0.58762656753219522</v>
      </c>
      <c r="D14" s="95">
        <f t="shared" si="0"/>
        <v>0.5888752707047713</v>
      </c>
      <c r="E14" s="29">
        <f t="shared" si="1"/>
        <v>1.5592596132015729E-6</v>
      </c>
    </row>
    <row r="15" spans="2:15">
      <c r="B15" s="134">
        <v>62.412857142857156</v>
      </c>
      <c r="C15" s="98">
        <v>0.67137453426845184</v>
      </c>
      <c r="D15" s="95">
        <f t="shared" si="0"/>
        <v>0.66866982900111815</v>
      </c>
      <c r="E15" s="29">
        <f t="shared" si="1"/>
        <v>7.3154305831425785E-6</v>
      </c>
    </row>
    <row r="16" spans="2:15">
      <c r="B16" s="134">
        <v>67.613928571428588</v>
      </c>
      <c r="C16" s="98">
        <v>0.74728801113078114</v>
      </c>
      <c r="D16" s="95">
        <f t="shared" si="0"/>
        <v>0.74053047685773343</v>
      </c>
      <c r="E16" s="29">
        <f t="shared" si="1"/>
        <v>4.5664269451414376E-5</v>
      </c>
    </row>
    <row r="17" spans="2:5">
      <c r="B17" s="134">
        <v>72.815000000000012</v>
      </c>
      <c r="C17" s="98">
        <v>0.81279628111187263</v>
      </c>
      <c r="D17" s="95">
        <f t="shared" si="0"/>
        <v>0.80278367648163529</v>
      </c>
      <c r="E17" s="29">
        <f t="shared" si="1"/>
        <v>1.0025225148145028E-4</v>
      </c>
    </row>
    <row r="18" spans="2:5">
      <c r="B18" s="134">
        <v>78.016071428571436</v>
      </c>
      <c r="C18" s="98">
        <v>0.86661160398707315</v>
      </c>
      <c r="D18" s="95">
        <f t="shared" si="0"/>
        <v>0.85467413781468671</v>
      </c>
      <c r="E18" s="29">
        <f t="shared" si="1"/>
        <v>1.4250309861687071E-4</v>
      </c>
    </row>
    <row r="19" spans="2:5">
      <c r="B19" s="134">
        <v>83.217142857142861</v>
      </c>
      <c r="C19" s="98">
        <v>0.90869863183564692</v>
      </c>
      <c r="D19" s="95">
        <f t="shared" si="0"/>
        <v>0.89629107500700067</v>
      </c>
      <c r="E19" s="29">
        <f t="shared" si="1"/>
        <v>1.5394746645608617E-4</v>
      </c>
    </row>
    <row r="20" spans="2:5">
      <c r="B20" s="134">
        <v>88.418214285714285</v>
      </c>
      <c r="C20" s="98">
        <v>0.94003314450601294</v>
      </c>
      <c r="D20" s="95">
        <f t="shared" si="0"/>
        <v>0.92840088076796645</v>
      </c>
      <c r="E20" s="29">
        <f t="shared" si="1"/>
        <v>1.3530955967147126E-4</v>
      </c>
    </row>
    <row r="21" spans="2:5">
      <c r="B21" s="134">
        <v>93.619285714285709</v>
      </c>
      <c r="C21" s="98">
        <v>0.96224218954075902</v>
      </c>
      <c r="D21" s="95">
        <f t="shared" si="0"/>
        <v>0.95222763094385465</v>
      </c>
      <c r="E21" s="29">
        <f t="shared" si="1"/>
        <v>1.0029138389083114E-4</v>
      </c>
    </row>
    <row r="22" spans="2:5">
      <c r="B22" s="134">
        <v>98.820357142857134</v>
      </c>
      <c r="C22" s="98">
        <v>0.97722760985671542</v>
      </c>
      <c r="D22" s="95">
        <f t="shared" si="0"/>
        <v>0.96922518094736299</v>
      </c>
      <c r="E22" s="29">
        <f t="shared" si="1"/>
        <v>6.4038868449239563E-5</v>
      </c>
    </row>
    <row r="23" spans="2:5">
      <c r="B23" s="134">
        <v>104.02142857142856</v>
      </c>
      <c r="C23" s="98">
        <v>0.98685347797201928</v>
      </c>
      <c r="D23" s="95">
        <f t="shared" si="0"/>
        <v>0.98087736490036626</v>
      </c>
      <c r="E23" s="29">
        <f t="shared" si="1"/>
        <v>3.5713927445182117E-5</v>
      </c>
    </row>
    <row r="24" spans="2:5">
      <c r="B24" s="134">
        <v>109.22249999999998</v>
      </c>
      <c r="C24" s="98">
        <v>0.99273978119001827</v>
      </c>
      <c r="D24" s="95">
        <f t="shared" si="0"/>
        <v>0.98854940098499222</v>
      </c>
      <c r="E24" s="29">
        <f t="shared" si="1"/>
        <v>1.7559286262674121E-5</v>
      </c>
    </row>
    <row r="25" spans="2:5">
      <c r="B25" s="134">
        <v>114.42357142857141</v>
      </c>
      <c r="C25" s="98">
        <v>0.99616648751997794</v>
      </c>
      <c r="D25" s="95">
        <f t="shared" si="0"/>
        <v>0.99339851389524025</v>
      </c>
      <c r="E25" s="29">
        <f t="shared" si="1"/>
        <v>7.6616779872434802E-6</v>
      </c>
    </row>
    <row r="26" spans="2:5">
      <c r="B26" s="134">
        <v>119.62464285714283</v>
      </c>
      <c r="C26" s="98">
        <v>0.99806556396592183</v>
      </c>
      <c r="D26" s="95">
        <f t="shared" si="0"/>
        <v>0.99633897742572775</v>
      </c>
      <c r="E26" s="29">
        <f t="shared" si="1"/>
        <v>2.9811010807793845E-6</v>
      </c>
    </row>
    <row r="27" spans="2:5">
      <c r="B27" s="134">
        <v>124.82571428571426</v>
      </c>
      <c r="C27" s="98">
        <v>0.99906749784281113</v>
      </c>
      <c r="D27" s="95">
        <f t="shared" si="0"/>
        <v>0.99804865908435514</v>
      </c>
      <c r="E27" s="29">
        <f t="shared" si="1"/>
        <v>1.0380324157321361E-6</v>
      </c>
    </row>
    <row r="28" spans="2:5">
      <c r="B28" s="134">
        <v>130.02678571428569</v>
      </c>
      <c r="C28" s="98">
        <v>0.99957072776678513</v>
      </c>
      <c r="D28" s="95">
        <f t="shared" si="0"/>
        <v>0.9990012312100145</v>
      </c>
      <c r="E28" s="29">
        <f t="shared" si="1"/>
        <v>3.2432632817360598E-7</v>
      </c>
    </row>
    <row r="29" spans="2:5">
      <c r="B29" s="134">
        <v>135.22785714285712</v>
      </c>
      <c r="C29" s="98">
        <v>0.99981134368164615</v>
      </c>
      <c r="D29" s="95">
        <f t="shared" si="0"/>
        <v>0.99950950282946749</v>
      </c>
      <c r="E29" s="29">
        <f t="shared" si="1"/>
        <v>9.110790004393886E-8</v>
      </c>
    </row>
    <row r="30" spans="2:5">
      <c r="B30" s="134">
        <v>140.42892857142854</v>
      </c>
      <c r="C30" s="98">
        <v>0.99992086847090866</v>
      </c>
      <c r="D30" s="95">
        <f t="shared" si="0"/>
        <v>0.9997690629376319</v>
      </c>
      <c r="E30" s="29">
        <f t="shared" si="1"/>
        <v>2.3044919933441772E-8</v>
      </c>
    </row>
    <row r="31" spans="2:5" ht="15" thickBot="1">
      <c r="B31" s="135">
        <v>145.62999999999997</v>
      </c>
      <c r="C31" s="99">
        <v>0.99996832875816688</v>
      </c>
      <c r="D31" s="96">
        <f t="shared" si="0"/>
        <v>0.99989584287364175</v>
      </c>
      <c r="E31" s="24">
        <f t="shared" si="1"/>
        <v>5.254203455390601E-9</v>
      </c>
    </row>
  </sheetData>
  <mergeCells count="4">
    <mergeCell ref="I2:O2"/>
    <mergeCell ref="I3:O3"/>
    <mergeCell ref="L5:M5"/>
    <mergeCell ref="L6:M6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D3FA-5409-449A-AE1A-1E492D971CED}">
  <sheetPr codeName="Planilha2"/>
  <dimension ref="B1:M41"/>
  <sheetViews>
    <sheetView showGridLines="0" showRowColHeaders="0" workbookViewId="0">
      <selection activeCell="E14" sqref="E14"/>
    </sheetView>
  </sheetViews>
  <sheetFormatPr defaultColWidth="9.109375" defaultRowHeight="14.4"/>
  <cols>
    <col min="1" max="1" width="5.5546875" style="43" customWidth="1"/>
    <col min="2" max="2" width="30.5546875" style="43" bestFit="1" customWidth="1"/>
    <col min="3" max="3" width="12.44140625" style="43" bestFit="1" customWidth="1"/>
    <col min="4" max="4" width="9.109375" style="43"/>
    <col min="5" max="5" width="11.109375" style="43" customWidth="1"/>
    <col min="6" max="16384" width="9.109375" style="43"/>
  </cols>
  <sheetData>
    <row r="1" spans="2:7" ht="15" thickBot="1">
      <c r="G1" s="45"/>
    </row>
    <row r="2" spans="2:7" ht="15" thickBot="1">
      <c r="B2" s="44" t="s">
        <v>8</v>
      </c>
      <c r="C2" s="173" t="s">
        <v>9</v>
      </c>
      <c r="D2" s="174"/>
    </row>
    <row r="3" spans="2:7" ht="15" thickBot="1"/>
    <row r="4" spans="2:7">
      <c r="B4" s="46" t="s">
        <v>48</v>
      </c>
      <c r="C4" s="100">
        <v>0.12879220847149103</v>
      </c>
      <c r="D4" s="47" t="s">
        <v>12</v>
      </c>
    </row>
    <row r="5" spans="2:7">
      <c r="B5" s="48" t="s">
        <v>62</v>
      </c>
      <c r="C5" s="101">
        <v>2</v>
      </c>
      <c r="D5" s="49"/>
    </row>
    <row r="6" spans="2:7">
      <c r="B6" s="48" t="s">
        <v>93</v>
      </c>
      <c r="C6" s="101">
        <v>35</v>
      </c>
      <c r="D6" s="49" t="s">
        <v>78</v>
      </c>
    </row>
    <row r="7" spans="2:7">
      <c r="B7" s="48" t="s">
        <v>92</v>
      </c>
      <c r="C7" s="120">
        <v>1</v>
      </c>
      <c r="D7" s="49" t="s">
        <v>80</v>
      </c>
    </row>
    <row r="8" spans="2:7">
      <c r="B8" s="50" t="s">
        <v>44</v>
      </c>
      <c r="C8" s="102">
        <v>85</v>
      </c>
      <c r="D8" s="51" t="s">
        <v>18</v>
      </c>
    </row>
    <row r="9" spans="2:7" ht="15" thickBot="1">
      <c r="B9" s="52" t="s">
        <v>31</v>
      </c>
      <c r="C9" s="103">
        <v>40</v>
      </c>
      <c r="D9" s="53" t="s">
        <v>32</v>
      </c>
    </row>
    <row r="10" spans="2:7" ht="15" thickBot="1"/>
    <row r="11" spans="2:7">
      <c r="B11" s="46" t="s">
        <v>33</v>
      </c>
      <c r="C11" s="100">
        <v>2.4300000000000002</v>
      </c>
      <c r="D11" s="47" t="s">
        <v>34</v>
      </c>
    </row>
    <row r="12" spans="2:7">
      <c r="B12" s="50" t="s">
        <v>45</v>
      </c>
      <c r="C12" s="111">
        <f>Auxiliar!B42</f>
        <v>1.1380967583467182E-3</v>
      </c>
      <c r="D12" s="51" t="s">
        <v>34</v>
      </c>
    </row>
    <row r="13" spans="2:7" ht="15" thickBot="1">
      <c r="B13" s="52" t="s">
        <v>46</v>
      </c>
      <c r="C13" s="112">
        <f>Auxiliar!B45</f>
        <v>0.16565293636240608</v>
      </c>
      <c r="D13" s="53" t="s">
        <v>39</v>
      </c>
    </row>
    <row r="14" spans="2:7" ht="15" thickBot="1"/>
    <row r="15" spans="2:7">
      <c r="B15" s="46" t="s">
        <v>42</v>
      </c>
      <c r="C15" s="54">
        <f>CONVERT(Auxiliar!B24,Auxiliar!C24,"um")</f>
        <v>3.5748783331119784</v>
      </c>
      <c r="D15" s="55" t="s">
        <v>41</v>
      </c>
    </row>
    <row r="16" spans="2:7" ht="15" thickBot="1">
      <c r="B16" s="52" t="s">
        <v>43</v>
      </c>
      <c r="C16" s="56">
        <f>(((1.11*'Distribuição Granulométrica'!H3)/(0.118+'Distribuição Granulométrica'!H3))/(1.81-0.322*'Distribuição Granulométrica'!H3+('Distribuição Granulométrica'!H2/'Dados de Operação'!C15)))*('Distribuição Granulométrica'!H2/'Dados de Operação'!C15)</f>
        <v>0.99998185181070021</v>
      </c>
      <c r="D16" s="53"/>
    </row>
    <row r="17" spans="2:13" ht="15" thickBot="1"/>
    <row r="18" spans="2:13" ht="15" thickBot="1">
      <c r="B18" s="83" t="s">
        <v>47</v>
      </c>
      <c r="C18" s="84">
        <f>CONVERT(Auxiliar!B19,"cm","m")</f>
        <v>5.6937348084732324</v>
      </c>
      <c r="D18" s="85" t="s">
        <v>29</v>
      </c>
    </row>
    <row r="19" spans="2:13" ht="15" thickBot="1">
      <c r="B19" s="170" t="str">
        <f>IF(AND(C18&gt;=Auxiliar!D6,C18&lt;=Auxiliar!F6)=TRUE,"Ciclone dentro da Faixa de Operação","Ciclone FORA da Faixa de Operação")</f>
        <v>Ciclone dentro da Faixa de Operação</v>
      </c>
      <c r="C19" s="171"/>
      <c r="D19" s="172"/>
    </row>
    <row r="20" spans="2:13" ht="15" thickBot="1"/>
    <row r="21" spans="2:13">
      <c r="B21" s="46" t="s">
        <v>49</v>
      </c>
      <c r="C21" s="104">
        <v>0.5</v>
      </c>
      <c r="D21" s="47"/>
    </row>
    <row r="22" spans="2:13">
      <c r="B22" s="57" t="s">
        <v>61</v>
      </c>
      <c r="C22" s="58">
        <f>Auxiliar!B29/(1+0.023*POWER(Auxiliar!B22,0.69))</f>
        <v>144.47443750186142</v>
      </c>
      <c r="D22" s="59" t="s">
        <v>52</v>
      </c>
    </row>
    <row r="23" spans="2:13" ht="15" thickBot="1">
      <c r="B23" s="60" t="s">
        <v>58</v>
      </c>
      <c r="C23" s="61">
        <f>C5*Auxiliar!B15*'Dados de Operação'!C22/'Dados de Operação'!C21</f>
        <v>6.822403993143455</v>
      </c>
      <c r="D23" s="62" t="s">
        <v>56</v>
      </c>
    </row>
    <row r="30" spans="2:13" ht="15" thickBot="1">
      <c r="B30"/>
    </row>
    <row r="31" spans="2:13" ht="15" thickBot="1">
      <c r="G31" s="175" t="s">
        <v>71</v>
      </c>
      <c r="H31" s="176"/>
      <c r="I31" s="176"/>
      <c r="J31" s="176"/>
      <c r="K31" s="176"/>
      <c r="L31" s="176"/>
      <c r="M31" s="177"/>
    </row>
    <row r="32" spans="2:13">
      <c r="G32" s="86" t="s">
        <v>66</v>
      </c>
      <c r="M32" s="87"/>
    </row>
    <row r="33" spans="6:13">
      <c r="G33" s="88" t="s">
        <v>70</v>
      </c>
      <c r="M33" s="87"/>
    </row>
    <row r="34" spans="6:13">
      <c r="G34" s="86" t="s">
        <v>67</v>
      </c>
      <c r="M34" s="87"/>
    </row>
    <row r="35" spans="6:13">
      <c r="G35" s="86" t="s">
        <v>68</v>
      </c>
      <c r="M35" s="87"/>
    </row>
    <row r="36" spans="6:13" ht="15" thickBot="1">
      <c r="G36" s="89" t="s">
        <v>69</v>
      </c>
      <c r="H36" s="90"/>
      <c r="I36" s="90"/>
      <c r="J36" s="90"/>
      <c r="K36" s="90"/>
      <c r="L36" s="90"/>
      <c r="M36" s="91"/>
    </row>
    <row r="37" spans="6:13">
      <c r="F37" s="45"/>
    </row>
    <row r="38" spans="6:13">
      <c r="F38" s="45"/>
    </row>
    <row r="39" spans="6:13">
      <c r="F39" s="45"/>
    </row>
    <row r="40" spans="6:13">
      <c r="F40" s="45"/>
    </row>
    <row r="41" spans="6:13">
      <c r="F41" s="45"/>
    </row>
  </sheetData>
  <sheetProtection selectLockedCells="1"/>
  <mergeCells count="3">
    <mergeCell ref="B19:D19"/>
    <mergeCell ref="C2:D2"/>
    <mergeCell ref="G31:M31"/>
  </mergeCells>
  <conditionalFormatting sqref="B19:D19">
    <cfRule type="cellIs" dxfId="1" priority="1" operator="equal">
      <formula>"Ciclone dentro da Faixa de Operação"</formula>
    </cfRule>
    <cfRule type="cellIs" dxfId="0" priority="2" operator="equal">
      <formula>"Ciclone FORA da Faixa de Operação"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189277-71AA-4236-82AD-1CE9D41B16EF}">
          <x14:formula1>
            <xm:f>Auxiliar!$A$2:$A$3</xm:f>
          </x14:formula1>
          <xm:sqref>C2:D2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33382-91D4-40BE-A4B7-436C95BCED42}">
  <sheetPr codeName="Planilha5"/>
  <dimension ref="B1:F31"/>
  <sheetViews>
    <sheetView workbookViewId="0">
      <selection activeCell="B2" sqref="B2"/>
    </sheetView>
  </sheetViews>
  <sheetFormatPr defaultRowHeight="14.4"/>
  <cols>
    <col min="2" max="2" width="12.6640625" bestFit="1" customWidth="1"/>
    <col min="3" max="3" width="10.44140625" customWidth="1"/>
    <col min="5" max="5" width="9.5546875" style="145" bestFit="1" customWidth="1"/>
    <col min="6" max="6" width="12" style="131" bestFit="1" customWidth="1"/>
  </cols>
  <sheetData>
    <row r="1" spans="2:6" ht="15" thickBot="1"/>
    <row r="2" spans="2:6" ht="15" thickBot="1">
      <c r="B2" s="128" t="s">
        <v>107</v>
      </c>
      <c r="C2" s="129">
        <f>'Distribuição Granulométrica'!N5+4*'Distribuição Granulométrica'!N6</f>
        <v>145.63</v>
      </c>
      <c r="E2" s="146" t="s">
        <v>106</v>
      </c>
      <c r="F2" s="136" t="s">
        <v>2</v>
      </c>
    </row>
    <row r="3" spans="2:6">
      <c r="B3" s="128" t="s">
        <v>108</v>
      </c>
      <c r="C3" s="129">
        <v>0</v>
      </c>
      <c r="E3" s="147">
        <f>C3</f>
        <v>0</v>
      </c>
      <c r="F3" s="137">
        <f>_xlfn.NORM.DIST(E3,'Distribuição Granulométrica'!$N$5,'Distribuição Granulométrica'!$N$6,TRUE)</f>
        <v>1.3090907771988378E-2</v>
      </c>
    </row>
    <row r="4" spans="2:6">
      <c r="B4" s="128" t="s">
        <v>104</v>
      </c>
      <c r="C4" s="129">
        <v>29</v>
      </c>
      <c r="E4" s="148">
        <f t="shared" ref="E4:E31" si="0">E3+$C$5</f>
        <v>5.2010714285714288</v>
      </c>
      <c r="F4" s="138">
        <f>_xlfn.NORM.DIST(E4,'Distribuição Granulométrica'!$N$5,'Distribuição Granulométrica'!$N$6,TRUE)</f>
        <v>2.268346734018431E-2</v>
      </c>
    </row>
    <row r="5" spans="2:6">
      <c r="B5" s="128" t="s">
        <v>105</v>
      </c>
      <c r="C5" s="132">
        <f>(C2-C3)/(C4-1)</f>
        <v>5.2010714285714288</v>
      </c>
      <c r="E5" s="148">
        <f t="shared" si="0"/>
        <v>10.402142857142858</v>
      </c>
      <c r="F5" s="138">
        <f>_xlfn.NORM.DIST(E5,'Distribuição Granulométrica'!$N$5,'Distribuição Granulométrica'!$N$6,TRUE)</f>
        <v>3.7622483388198714E-2</v>
      </c>
    </row>
    <row r="6" spans="2:6">
      <c r="E6" s="148">
        <f t="shared" si="0"/>
        <v>15.603214285714287</v>
      </c>
      <c r="F6" s="138">
        <f>_xlfn.NORM.DIST(E6,'Distribuição Granulométrica'!$N$5,'Distribuição Granulométrica'!$N$6,TRUE)</f>
        <v>5.9770835331429996E-2</v>
      </c>
    </row>
    <row r="7" spans="2:6">
      <c r="E7" s="148">
        <f t="shared" si="0"/>
        <v>20.804285714285715</v>
      </c>
      <c r="F7" s="138">
        <f>_xlfn.NORM.DIST(E7,'Distribuição Granulométrica'!$N$5,'Distribuição Granulométrica'!$N$6,TRUE)</f>
        <v>9.1031120883599895E-2</v>
      </c>
    </row>
    <row r="8" spans="2:6">
      <c r="E8" s="148">
        <f t="shared" si="0"/>
        <v>26.005357142857143</v>
      </c>
      <c r="F8" s="138">
        <f>_xlfn.NORM.DIST(E8,'Distribuição Granulométrica'!$N$5,'Distribuição Granulométrica'!$N$6,TRUE)</f>
        <v>0.13303377338367109</v>
      </c>
    </row>
    <row r="9" spans="2:6">
      <c r="E9" s="148">
        <f t="shared" si="0"/>
        <v>31.206428571428571</v>
      </c>
      <c r="F9" s="138">
        <f>_xlfn.NORM.DIST(E9,'Distribuição Granulométrica'!$N$5,'Distribuição Granulométrica'!$N$6,TRUE)</f>
        <v>0.18676080827905089</v>
      </c>
    </row>
    <row r="10" spans="2:6">
      <c r="B10" s="130"/>
      <c r="C10" s="130"/>
      <c r="E10" s="148">
        <f t="shared" si="0"/>
        <v>36.407499999999999</v>
      </c>
      <c r="F10" s="138">
        <f>_xlfn.NORM.DIST(E10,'Distribuição Granulométrica'!$N$5,'Distribuição Granulométrica'!$N$6,TRUE)</f>
        <v>0.25218547447863993</v>
      </c>
    </row>
    <row r="11" spans="2:6">
      <c r="B11" s="130"/>
      <c r="C11" s="130"/>
      <c r="E11" s="148">
        <f t="shared" si="0"/>
        <v>41.60857142857143</v>
      </c>
      <c r="F11" s="138">
        <f>_xlfn.NORM.DIST(E11,'Distribuição Granulométrica'!$N$5,'Distribuição Granulométrica'!$N$6,TRUE)</f>
        <v>0.32802973646912192</v>
      </c>
    </row>
    <row r="12" spans="2:6">
      <c r="B12" s="130"/>
      <c r="C12" s="130"/>
      <c r="E12" s="148">
        <f t="shared" si="0"/>
        <v>46.809642857142862</v>
      </c>
      <c r="F12" s="138">
        <f>_xlfn.NORM.DIST(E12,'Distribuição Granulométrica'!$N$5,'Distribuição Granulométrica'!$N$6,TRUE)</f>
        <v>0.4117318800502382</v>
      </c>
    </row>
    <row r="13" spans="2:6">
      <c r="B13" s="130"/>
      <c r="C13" s="130"/>
      <c r="E13" s="148">
        <f t="shared" si="0"/>
        <v>52.010714285714293</v>
      </c>
      <c r="F13" s="138">
        <f>_xlfn.NORM.DIST(E13,'Distribuição Granulométrica'!$N$5,'Distribuição Granulométrica'!$N$6,TRUE)</f>
        <v>0.4996712014544753</v>
      </c>
    </row>
    <row r="14" spans="2:6">
      <c r="B14" s="130"/>
      <c r="C14" s="130"/>
      <c r="E14" s="148">
        <f t="shared" si="0"/>
        <v>57.211785714285725</v>
      </c>
      <c r="F14" s="138">
        <f>_xlfn.NORM.DIST(E14,'Distribuição Granulométrica'!$N$5,'Distribuição Granulométrica'!$N$6,TRUE)</f>
        <v>0.58762656753219522</v>
      </c>
    </row>
    <row r="15" spans="2:6">
      <c r="B15" s="130"/>
      <c r="C15" s="130"/>
      <c r="E15" s="148">
        <f t="shared" si="0"/>
        <v>62.412857142857156</v>
      </c>
      <c r="F15" s="138">
        <f>_xlfn.NORM.DIST(E15,'Distribuição Granulométrica'!$N$5,'Distribuição Granulométrica'!$N$6,TRUE)</f>
        <v>0.67137453426845184</v>
      </c>
    </row>
    <row r="16" spans="2:6">
      <c r="B16" s="130"/>
      <c r="C16" s="130"/>
      <c r="E16" s="148">
        <f t="shared" si="0"/>
        <v>67.613928571428588</v>
      </c>
      <c r="F16" s="138">
        <f>_xlfn.NORM.DIST(E16,'Distribuição Granulométrica'!$N$5,'Distribuição Granulométrica'!$N$6,TRUE)</f>
        <v>0.74728801113078114</v>
      </c>
    </row>
    <row r="17" spans="2:6">
      <c r="B17" s="130"/>
      <c r="C17" s="130"/>
      <c r="E17" s="148">
        <f t="shared" si="0"/>
        <v>72.815000000000012</v>
      </c>
      <c r="F17" s="138">
        <f>_xlfn.NORM.DIST(E17,'Distribuição Granulométrica'!$N$5,'Distribuição Granulométrica'!$N$6,TRUE)</f>
        <v>0.81279628111187263</v>
      </c>
    </row>
    <row r="18" spans="2:6">
      <c r="B18" s="130"/>
      <c r="C18" s="130"/>
      <c r="E18" s="148">
        <f t="shared" si="0"/>
        <v>78.016071428571436</v>
      </c>
      <c r="F18" s="138">
        <f>_xlfn.NORM.DIST(E18,'Distribuição Granulométrica'!$N$5,'Distribuição Granulométrica'!$N$6,TRUE)</f>
        <v>0.86661160398707315</v>
      </c>
    </row>
    <row r="19" spans="2:6">
      <c r="B19" s="130"/>
      <c r="C19" s="130"/>
      <c r="E19" s="148">
        <f t="shared" si="0"/>
        <v>83.217142857142861</v>
      </c>
      <c r="F19" s="138">
        <f>_xlfn.NORM.DIST(E19,'Distribuição Granulométrica'!$N$5,'Distribuição Granulométrica'!$N$6,TRUE)</f>
        <v>0.90869863183564692</v>
      </c>
    </row>
    <row r="20" spans="2:6">
      <c r="B20" s="130"/>
      <c r="C20" s="130"/>
      <c r="E20" s="148">
        <f t="shared" si="0"/>
        <v>88.418214285714285</v>
      </c>
      <c r="F20" s="138">
        <f>_xlfn.NORM.DIST(E20,'Distribuição Granulométrica'!$N$5,'Distribuição Granulométrica'!$N$6,TRUE)</f>
        <v>0.94003314450601294</v>
      </c>
    </row>
    <row r="21" spans="2:6">
      <c r="B21" s="130"/>
      <c r="C21" s="130"/>
      <c r="E21" s="148">
        <f t="shared" si="0"/>
        <v>93.619285714285709</v>
      </c>
      <c r="F21" s="138">
        <f>_xlfn.NORM.DIST(E21,'Distribuição Granulométrica'!$N$5,'Distribuição Granulométrica'!$N$6,TRUE)</f>
        <v>0.96224218954075902</v>
      </c>
    </row>
    <row r="22" spans="2:6">
      <c r="B22" s="130"/>
      <c r="C22" s="130"/>
      <c r="E22" s="148">
        <f t="shared" si="0"/>
        <v>98.820357142857134</v>
      </c>
      <c r="F22" s="138">
        <f>_xlfn.NORM.DIST(E22,'Distribuição Granulométrica'!$N$5,'Distribuição Granulométrica'!$N$6,TRUE)</f>
        <v>0.97722760985671542</v>
      </c>
    </row>
    <row r="23" spans="2:6">
      <c r="B23" s="130"/>
      <c r="C23" s="130"/>
      <c r="E23" s="148">
        <f t="shared" si="0"/>
        <v>104.02142857142856</v>
      </c>
      <c r="F23" s="138">
        <f>_xlfn.NORM.DIST(E23,'Distribuição Granulométrica'!$N$5,'Distribuição Granulométrica'!$N$6,TRUE)</f>
        <v>0.98685347797201928</v>
      </c>
    </row>
    <row r="24" spans="2:6">
      <c r="B24" s="130"/>
      <c r="C24" s="130"/>
      <c r="E24" s="148">
        <f t="shared" si="0"/>
        <v>109.22249999999998</v>
      </c>
      <c r="F24" s="138">
        <f>_xlfn.NORM.DIST(E24,'Distribuição Granulométrica'!$N$5,'Distribuição Granulométrica'!$N$6,TRUE)</f>
        <v>0.99273978119001827</v>
      </c>
    </row>
    <row r="25" spans="2:6">
      <c r="B25" s="130"/>
      <c r="C25" s="130"/>
      <c r="E25" s="148">
        <f t="shared" si="0"/>
        <v>114.42357142857141</v>
      </c>
      <c r="F25" s="138">
        <f>_xlfn.NORM.DIST(E25,'Distribuição Granulométrica'!$N$5,'Distribuição Granulométrica'!$N$6,TRUE)</f>
        <v>0.99616648751997794</v>
      </c>
    </row>
    <row r="26" spans="2:6">
      <c r="B26" s="130"/>
      <c r="C26" s="130"/>
      <c r="E26" s="148">
        <f t="shared" si="0"/>
        <v>119.62464285714283</v>
      </c>
      <c r="F26" s="138">
        <f>_xlfn.NORM.DIST(E26,'Distribuição Granulométrica'!$N$5,'Distribuição Granulométrica'!$N$6,TRUE)</f>
        <v>0.99806556396592183</v>
      </c>
    </row>
    <row r="27" spans="2:6">
      <c r="B27" s="130"/>
      <c r="C27" s="130"/>
      <c r="E27" s="148">
        <f t="shared" si="0"/>
        <v>124.82571428571426</v>
      </c>
      <c r="F27" s="138">
        <f>_xlfn.NORM.DIST(E27,'Distribuição Granulométrica'!$N$5,'Distribuição Granulométrica'!$N$6,TRUE)</f>
        <v>0.99906749784281113</v>
      </c>
    </row>
    <row r="28" spans="2:6">
      <c r="B28" s="130"/>
      <c r="C28" s="130"/>
      <c r="E28" s="148">
        <f t="shared" si="0"/>
        <v>130.02678571428569</v>
      </c>
      <c r="F28" s="138">
        <f>_xlfn.NORM.DIST(E28,'Distribuição Granulométrica'!$N$5,'Distribuição Granulométrica'!$N$6,TRUE)</f>
        <v>0.99957072776678513</v>
      </c>
    </row>
    <row r="29" spans="2:6">
      <c r="B29" s="130"/>
      <c r="C29" s="130"/>
      <c r="E29" s="148">
        <f t="shared" si="0"/>
        <v>135.22785714285712</v>
      </c>
      <c r="F29" s="138">
        <f>_xlfn.NORM.DIST(E29,'Distribuição Granulométrica'!$N$5,'Distribuição Granulométrica'!$N$6,TRUE)</f>
        <v>0.99981134368164615</v>
      </c>
    </row>
    <row r="30" spans="2:6">
      <c r="B30" s="130"/>
      <c r="C30" s="130"/>
      <c r="E30" s="148">
        <f t="shared" si="0"/>
        <v>140.42892857142854</v>
      </c>
      <c r="F30" s="138">
        <f>_xlfn.NORM.DIST(E30,'Distribuição Granulométrica'!$N$5,'Distribuição Granulométrica'!$N$6,TRUE)</f>
        <v>0.99992086847090866</v>
      </c>
    </row>
    <row r="31" spans="2:6" ht="15" thickBot="1">
      <c r="B31" s="130"/>
      <c r="C31" s="130"/>
      <c r="E31" s="149">
        <f t="shared" si="0"/>
        <v>145.62999999999997</v>
      </c>
      <c r="F31" s="139">
        <f>_xlfn.NORM.DIST(E31,'Distribuição Granulométrica'!$N$5,'Distribuição Granulométrica'!$N$6,TRUE)</f>
        <v>0.99996832875816688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63220-2DAF-48B8-80E7-A2D3ECC2B18D}">
  <sheetPr codeName="Planilha4"/>
  <dimension ref="A1:N51"/>
  <sheetViews>
    <sheetView topLeftCell="A19" workbookViewId="0">
      <selection activeCell="A41" sqref="A41"/>
    </sheetView>
  </sheetViews>
  <sheetFormatPr defaultColWidth="9.109375" defaultRowHeight="14.4"/>
  <cols>
    <col min="1" max="1" width="27" style="1" bestFit="1" customWidth="1"/>
    <col min="2" max="2" width="12" style="1" bestFit="1" customWidth="1"/>
    <col min="3" max="6" width="9.109375" style="1"/>
    <col min="7" max="7" width="20.88671875" style="1" bestFit="1" customWidth="1"/>
    <col min="8" max="8" width="12" style="1" bestFit="1" customWidth="1"/>
    <col min="9" max="9" width="6.5546875" style="1" bestFit="1" customWidth="1"/>
    <col min="10" max="10" width="9.88671875" style="1" bestFit="1" customWidth="1"/>
    <col min="11" max="16384" width="9.109375" style="1"/>
  </cols>
  <sheetData>
    <row r="1" spans="1:14" ht="15" thickBot="1">
      <c r="A1" s="11" t="s">
        <v>8</v>
      </c>
      <c r="B1" s="12" t="s">
        <v>11</v>
      </c>
      <c r="C1" s="12" t="s">
        <v>15</v>
      </c>
      <c r="D1" s="189" t="s">
        <v>16</v>
      </c>
      <c r="E1" s="189"/>
      <c r="F1" s="190"/>
      <c r="H1" s="66" t="s">
        <v>30</v>
      </c>
      <c r="I1" s="67" t="str">
        <f>'Dados de Operação'!C2</f>
        <v>Lappe</v>
      </c>
      <c r="J1" s="66" t="s">
        <v>30</v>
      </c>
      <c r="L1" s="5" t="s">
        <v>30</v>
      </c>
      <c r="M1" s="14" t="s">
        <v>9</v>
      </c>
      <c r="N1" s="15" t="s">
        <v>10</v>
      </c>
    </row>
    <row r="2" spans="1:14">
      <c r="A2" s="32" t="s">
        <v>9</v>
      </c>
      <c r="B2" s="33">
        <v>9.5000000000000001E-2</v>
      </c>
      <c r="C2" s="33">
        <v>315</v>
      </c>
      <c r="D2" s="34">
        <v>5</v>
      </c>
      <c r="E2" s="34" t="s">
        <v>27</v>
      </c>
      <c r="F2" s="35">
        <v>20</v>
      </c>
      <c r="H2" s="7" t="s">
        <v>20</v>
      </c>
      <c r="I2" s="13">
        <f>_xlfn.XLOOKUP($I$1,Auxiliar!$M$1:$N$1,Auxiliar!M2:N2)</f>
        <v>0.25</v>
      </c>
      <c r="J2" s="64">
        <f>I2*$B$13</f>
        <v>3.2198052117872757</v>
      </c>
      <c r="L2" s="7" t="s">
        <v>20</v>
      </c>
      <c r="M2" s="13">
        <v>0.25</v>
      </c>
      <c r="N2" s="16">
        <v>0.2</v>
      </c>
    </row>
    <row r="3" spans="1:14" ht="15" thickBot="1">
      <c r="A3" s="36" t="s">
        <v>10</v>
      </c>
      <c r="B3" s="37">
        <v>4.1000000000000002E-2</v>
      </c>
      <c r="C3" s="37">
        <v>400</v>
      </c>
      <c r="D3" s="38">
        <v>10</v>
      </c>
      <c r="E3" s="38" t="s">
        <v>27</v>
      </c>
      <c r="F3" s="39">
        <v>30</v>
      </c>
      <c r="H3" s="7" t="s">
        <v>21</v>
      </c>
      <c r="I3" s="13">
        <f>_xlfn.XLOOKUP($I$1,Auxiliar!$M$1:$N$1,Auxiliar!M3:N3)</f>
        <v>0.5</v>
      </c>
      <c r="J3" s="64">
        <f t="shared" ref="J3:J8" si="0">I3*$B$13</f>
        <v>6.4396104235745515</v>
      </c>
      <c r="L3" s="7" t="s">
        <v>21</v>
      </c>
      <c r="M3" s="13">
        <v>0.5</v>
      </c>
      <c r="N3" s="16">
        <v>0.6</v>
      </c>
    </row>
    <row r="4" spans="1:14" ht="15" thickBot="1">
      <c r="A4" s="31"/>
      <c r="B4" s="31"/>
      <c r="C4" s="31"/>
      <c r="D4" s="31"/>
      <c r="E4" s="31"/>
      <c r="F4" s="31"/>
      <c r="H4" s="7" t="s">
        <v>22</v>
      </c>
      <c r="I4" s="13">
        <f>_xlfn.XLOOKUP($I$1,Auxiliar!$M$1:$N$1,Auxiliar!M4:N4)</f>
        <v>0.5</v>
      </c>
      <c r="J4" s="64">
        <f t="shared" si="0"/>
        <v>6.4396104235745515</v>
      </c>
      <c r="L4" s="7" t="s">
        <v>22</v>
      </c>
      <c r="M4" s="13">
        <v>0.5</v>
      </c>
      <c r="N4" s="16">
        <v>0.5</v>
      </c>
    </row>
    <row r="5" spans="1:14" ht="15" thickBot="1">
      <c r="A5" s="11" t="s">
        <v>8</v>
      </c>
      <c r="B5" s="12" t="s">
        <v>11</v>
      </c>
      <c r="C5" s="12" t="s">
        <v>15</v>
      </c>
      <c r="D5" s="189" t="s">
        <v>16</v>
      </c>
      <c r="E5" s="189"/>
      <c r="F5" s="190"/>
      <c r="H5" s="7" t="s">
        <v>23</v>
      </c>
      <c r="I5" s="13">
        <f>_xlfn.XLOOKUP($I$1,Auxiliar!$M$1:$N$1,Auxiliar!M5:N5)</f>
        <v>2</v>
      </c>
      <c r="J5" s="64">
        <f t="shared" si="0"/>
        <v>25.758441694298206</v>
      </c>
      <c r="L5" s="7" t="s">
        <v>23</v>
      </c>
      <c r="M5" s="13">
        <v>2</v>
      </c>
      <c r="N5" s="16">
        <v>1.5</v>
      </c>
    </row>
    <row r="6" spans="1:14" ht="15" thickBot="1">
      <c r="A6" s="68" t="str">
        <f>'Dados de Operação'!C2</f>
        <v>Lappe</v>
      </c>
      <c r="B6" s="40">
        <f>_xlfn.XLOOKUP('Dados de Operação'!$C$2,$A$2:$A$3,B2:B3)</f>
        <v>9.5000000000000001E-2</v>
      </c>
      <c r="C6" s="40">
        <f>_xlfn.XLOOKUP('Dados de Operação'!$C$2,$A$2:$A$3,C2:C3)</f>
        <v>315</v>
      </c>
      <c r="D6" s="41">
        <f>_xlfn.XLOOKUP('Dados de Operação'!$C$2,$A$2:$A$3,D2:D3)</f>
        <v>5</v>
      </c>
      <c r="E6" s="41" t="s">
        <v>27</v>
      </c>
      <c r="F6" s="42">
        <f>_xlfn.XLOOKUP('Dados de Operação'!$C$2,$A$2:$A$3,F2:F3)</f>
        <v>20</v>
      </c>
      <c r="H6" s="7" t="s">
        <v>24</v>
      </c>
      <c r="I6" s="13">
        <f>_xlfn.XLOOKUP($I$1,Auxiliar!$M$1:$N$1,Auxiliar!M6:N6)</f>
        <v>4</v>
      </c>
      <c r="J6" s="64">
        <f t="shared" si="0"/>
        <v>51.516883388596412</v>
      </c>
      <c r="L6" s="7" t="s">
        <v>24</v>
      </c>
      <c r="M6" s="13">
        <v>4</v>
      </c>
      <c r="N6" s="16">
        <v>4</v>
      </c>
    </row>
    <row r="7" spans="1:14" ht="15" thickBot="1">
      <c r="H7" s="7" t="s">
        <v>25</v>
      </c>
      <c r="I7" s="13">
        <f>_xlfn.XLOOKUP($I$1,Auxiliar!$M$1:$N$1,Auxiliar!M7:N7)</f>
        <v>0.62</v>
      </c>
      <c r="J7" s="64">
        <f t="shared" si="0"/>
        <v>7.9851169252324441</v>
      </c>
      <c r="L7" s="7" t="s">
        <v>25</v>
      </c>
      <c r="M7" s="13">
        <v>0.62</v>
      </c>
      <c r="N7" s="16">
        <v>0.5</v>
      </c>
    </row>
    <row r="8" spans="1:14" ht="15" thickBot="1">
      <c r="A8" s="25" t="s">
        <v>6</v>
      </c>
      <c r="B8" s="76" t="s">
        <v>0</v>
      </c>
      <c r="E8" s="25" t="s">
        <v>6</v>
      </c>
      <c r="F8" s="76" t="s">
        <v>0</v>
      </c>
      <c r="H8" s="7" t="s">
        <v>26</v>
      </c>
      <c r="I8" s="13">
        <f>_xlfn.XLOOKUP($I$1,Auxiliar!$M$1:$N$1,Auxiliar!M8:N8)</f>
        <v>0.25</v>
      </c>
      <c r="J8" s="64">
        <f t="shared" si="0"/>
        <v>3.2198052117872757</v>
      </c>
      <c r="L8" s="9" t="s">
        <v>26</v>
      </c>
      <c r="M8" s="17">
        <v>0.25</v>
      </c>
      <c r="N8" s="18">
        <v>0.35</v>
      </c>
    </row>
    <row r="9" spans="1:14" ht="15" thickBot="1">
      <c r="A9" s="74">
        <f>MAX('Distribuição Granulométrica'!B:B)</f>
        <v>145.62999999999997</v>
      </c>
      <c r="B9" s="75">
        <f>1-EXP(-1)</f>
        <v>0.63212055882855767</v>
      </c>
      <c r="E9" s="74">
        <f>'Distribuição Granulométrica'!H2</f>
        <v>59.975034016222473</v>
      </c>
      <c r="F9" s="75">
        <v>1</v>
      </c>
      <c r="H9" s="23" t="s">
        <v>7</v>
      </c>
      <c r="I9" s="10"/>
      <c r="J9" s="65">
        <f>B13</f>
        <v>12.879220847149103</v>
      </c>
    </row>
    <row r="10" spans="1:14">
      <c r="A10" s="28">
        <f>(A9+A11)/2</f>
        <v>72.814999999999984</v>
      </c>
      <c r="B10" s="30">
        <f>B9</f>
        <v>0.63212055882855767</v>
      </c>
      <c r="E10" s="28">
        <f>E9</f>
        <v>59.975034016222473</v>
      </c>
      <c r="F10" s="30">
        <v>0.5</v>
      </c>
    </row>
    <row r="11" spans="1:14" ht="15" thickBot="1">
      <c r="A11" s="23">
        <f>MIN('Distribuição Granulométrica'!B:B)</f>
        <v>0</v>
      </c>
      <c r="B11" s="73">
        <f>B10</f>
        <v>0.63212055882855767</v>
      </c>
      <c r="E11" s="23">
        <f>E10</f>
        <v>59.975034016222473</v>
      </c>
      <c r="F11" s="73">
        <v>0</v>
      </c>
    </row>
    <row r="12" spans="1:14" ht="15" thickBot="1">
      <c r="H12" s="92" t="str">
        <f>'Distribuição Granulométrica'!B2</f>
        <v>Di (mm)</v>
      </c>
      <c r="I12" s="92" t="s">
        <v>72</v>
      </c>
      <c r="J12" s="92" t="s">
        <v>73</v>
      </c>
    </row>
    <row r="13" spans="1:14">
      <c r="A13" s="5" t="s">
        <v>17</v>
      </c>
      <c r="B13" s="6">
        <f>CONVERT('Dados de Operação'!C4,'Dados de Operação'!D4,C13)</f>
        <v>12.879220847149103</v>
      </c>
      <c r="C13" s="6" t="s">
        <v>38</v>
      </c>
      <c r="D13" s="63"/>
      <c r="H13" s="21">
        <f>'Distribuição Granulométrica'!B3</f>
        <v>0</v>
      </c>
      <c r="I13" s="21">
        <f>H13/'Dados de Operação'!$C$15</f>
        <v>0</v>
      </c>
      <c r="J13" s="93">
        <f t="shared" ref="J13:J41" si="1">POWER(I13,2)/(1+POWER(I13,2))</f>
        <v>0</v>
      </c>
    </row>
    <row r="14" spans="1:14">
      <c r="A14" s="7" t="s">
        <v>63</v>
      </c>
      <c r="B14" s="69">
        <f>(CONVERT('Dados de Operação'!C8,"m3","cm3")/(CONVERT(1,"hr","sec")))/'Dados de Operação'!C5</f>
        <v>11805.555555555555</v>
      </c>
      <c r="C14" s="4" t="s">
        <v>19</v>
      </c>
      <c r="D14" s="30"/>
      <c r="H14" s="21">
        <f>'Distribuição Granulométrica'!B4</f>
        <v>5.2010714285714288</v>
      </c>
      <c r="I14" s="21">
        <f>H14/'Dados de Operação'!$C$15</f>
        <v>1.4548946688330586</v>
      </c>
      <c r="J14" s="93">
        <f t="shared" si="1"/>
        <v>0.67914972082509928</v>
      </c>
    </row>
    <row r="15" spans="1:14">
      <c r="A15" s="28" t="s">
        <v>63</v>
      </c>
      <c r="B15" s="22">
        <f>CONVERT(B14,"cm3","m3")</f>
        <v>1.1805555555555554E-2</v>
      </c>
      <c r="C15" s="21" t="s">
        <v>57</v>
      </c>
      <c r="D15" s="30"/>
      <c r="H15" s="21">
        <f>'Distribuição Granulométrica'!B5</f>
        <v>10.402142857142858</v>
      </c>
      <c r="I15" s="21">
        <f>H15/'Dados de Operação'!$C$15</f>
        <v>2.9097893376661172</v>
      </c>
      <c r="J15" s="93">
        <f t="shared" si="1"/>
        <v>0.89436851054539745</v>
      </c>
    </row>
    <row r="16" spans="1:14">
      <c r="A16" s="28" t="s">
        <v>54</v>
      </c>
      <c r="B16" s="22">
        <f>B14*'Dados de Operação'!C12</f>
        <v>13.435864508259867</v>
      </c>
      <c r="C16" s="21" t="s">
        <v>32</v>
      </c>
      <c r="D16" s="30"/>
      <c r="H16" s="21">
        <f>'Distribuição Granulométrica'!B6</f>
        <v>15.603214285714287</v>
      </c>
      <c r="I16" s="21">
        <f>H16/'Dados de Operação'!$C$15</f>
        <v>4.3646840064991768</v>
      </c>
      <c r="J16" s="93">
        <f t="shared" si="1"/>
        <v>0.95012584863461558</v>
      </c>
    </row>
    <row r="17" spans="1:10">
      <c r="A17" s="7" t="s">
        <v>27</v>
      </c>
      <c r="B17" s="13" cm="1">
        <f t="array" ref="B17">_xlfn.SWITCH('Dados de Operação'!C2,"Lappe",Auxiliar!M4,"Stairmand",Auxiliar!N4)</f>
        <v>0.5</v>
      </c>
      <c r="C17" s="4">
        <f>B17*CONVERT('Dados de Operação'!$C$4,'Dados de Operação'!$D$4,"cm")</f>
        <v>6.4396104235745515</v>
      </c>
      <c r="D17" s="8" t="s">
        <v>38</v>
      </c>
      <c r="H17" s="21">
        <f>'Distribuição Granulométrica'!B7</f>
        <v>20.804285714285715</v>
      </c>
      <c r="I17" s="21">
        <f>H17/'Dados de Operação'!$C$15</f>
        <v>5.8195786753322345</v>
      </c>
      <c r="J17" s="93">
        <f t="shared" si="1"/>
        <v>0.97131999380759626</v>
      </c>
    </row>
    <row r="18" spans="1:10">
      <c r="A18" s="7" t="s">
        <v>13</v>
      </c>
      <c r="B18" s="13" cm="1">
        <f t="array" ref="B18">_xlfn.SWITCH('Dados de Operação'!C2,"Lappe",Auxiliar!M2,"Stairmand",Auxiliar!N2)</f>
        <v>0.25</v>
      </c>
      <c r="C18" s="4">
        <f>B18*CONVERT('Dados de Operação'!$C$4,'Dados de Operação'!$D$4,"cm")</f>
        <v>3.2198052117872757</v>
      </c>
      <c r="D18" s="8" t="s">
        <v>38</v>
      </c>
      <c r="H18" s="21">
        <f>'Distribuição Granulométrica'!B8</f>
        <v>26.005357142857143</v>
      </c>
      <c r="I18" s="21">
        <f>H18/'Dados de Operação'!$C$15</f>
        <v>7.2744733441652931</v>
      </c>
      <c r="J18" s="93">
        <f t="shared" si="1"/>
        <v>0.98145330507980399</v>
      </c>
    </row>
    <row r="19" spans="1:10">
      <c r="A19" s="7" t="s">
        <v>14</v>
      </c>
      <c r="B19" s="69">
        <f>Auxiliar!B14/(Auxiliar!C17*Auxiliar!C18)</f>
        <v>569.37348084732321</v>
      </c>
      <c r="C19" s="4" t="s">
        <v>28</v>
      </c>
      <c r="D19" s="30"/>
      <c r="H19" s="21">
        <f>'Distribuição Granulométrica'!B9</f>
        <v>31.206428571428571</v>
      </c>
      <c r="I19" s="21">
        <f>H19/'Dados de Operação'!$C$15</f>
        <v>8.7293680129983517</v>
      </c>
      <c r="J19" s="93">
        <f t="shared" si="1"/>
        <v>0.98704694519672698</v>
      </c>
    </row>
    <row r="20" spans="1:10">
      <c r="A20" s="7" t="s">
        <v>35</v>
      </c>
      <c r="B20" s="19">
        <f>'Dados de Operação'!C9/'Dados de Operação'!C11</f>
        <v>16.460905349794238</v>
      </c>
      <c r="C20" s="4" t="s">
        <v>19</v>
      </c>
      <c r="D20" s="30"/>
      <c r="H20" s="21">
        <f>'Distribuição Granulométrica'!B10</f>
        <v>36.407499999999999</v>
      </c>
      <c r="I20" s="21">
        <f>H20/'Dados de Operação'!$C$15</f>
        <v>10.184262681831409</v>
      </c>
      <c r="J20" s="93">
        <f t="shared" si="1"/>
        <v>0.99045065337448746</v>
      </c>
    </row>
    <row r="21" spans="1:10">
      <c r="A21" s="7" t="s">
        <v>36</v>
      </c>
      <c r="B21" s="69">
        <f>Auxiliar!B20/(Auxiliar!B20+Auxiliar!B14)</f>
        <v>1.392394047515447E-3</v>
      </c>
      <c r="C21" s="21"/>
      <c r="D21" s="30"/>
      <c r="H21" s="21">
        <f>'Distribuição Granulométrica'!B11</f>
        <v>41.60857142857143</v>
      </c>
      <c r="I21" s="21">
        <f>H21/'Dados de Operação'!$C$15</f>
        <v>11.639157350664469</v>
      </c>
      <c r="J21" s="93">
        <f t="shared" si="1"/>
        <v>0.99267238134050162</v>
      </c>
    </row>
    <row r="22" spans="1:10">
      <c r="A22" s="28" t="s">
        <v>55</v>
      </c>
      <c r="B22" s="22">
        <f>'Dados de Operação'!C9/('Dados de Operação'!C9+Auxiliar!B16)</f>
        <v>0.748560921921961</v>
      </c>
      <c r="C22" s="21"/>
      <c r="D22" s="30"/>
      <c r="H22" s="21">
        <f>'Distribuição Granulométrica'!B12</f>
        <v>46.809642857142862</v>
      </c>
      <c r="I22" s="21">
        <f>H22/'Dados de Operação'!$C$15</f>
        <v>13.094052019497529</v>
      </c>
      <c r="J22" s="93">
        <f t="shared" si="1"/>
        <v>0.99420135891199113</v>
      </c>
    </row>
    <row r="23" spans="1:10">
      <c r="A23" s="71" t="s">
        <v>37</v>
      </c>
      <c r="B23" s="70">
        <f>1/POWER((4.8*POWER(1-B21,2))-(3.8*(1-B21)),1/2)</f>
        <v>1.0040578560441171</v>
      </c>
      <c r="C23" s="21"/>
      <c r="D23" s="30"/>
      <c r="H23" s="21">
        <f>'Distribuição Granulométrica'!B13</f>
        <v>52.010714285714293</v>
      </c>
      <c r="I23" s="21">
        <f>H23/'Dados de Operação'!$C$15</f>
        <v>14.548946688330588</v>
      </c>
      <c r="J23" s="93">
        <f t="shared" si="1"/>
        <v>0.99529792024086361</v>
      </c>
    </row>
    <row r="24" spans="1:10" ht="15" thickBot="1">
      <c r="A24" s="9" t="s">
        <v>40</v>
      </c>
      <c r="B24" s="72">
        <f>Auxiliar!B13*Auxiliar!B6*POWER(('Dados de Operação'!C13*Auxiliar!B13)/(Auxiliar!B14*(('Dados de Operação'!C11/'Dados de Operação'!C12)-1)),1/2)*Auxiliar!B23</f>
        <v>3.5748783331119785E-4</v>
      </c>
      <c r="C24" s="10" t="s">
        <v>38</v>
      </c>
      <c r="D24" s="73"/>
      <c r="H24" s="21">
        <f>'Distribuição Granulométrica'!B14</f>
        <v>57.211785714285725</v>
      </c>
      <c r="I24" s="21">
        <f>H24/'Dados de Operação'!$C$15</f>
        <v>16.003841357163648</v>
      </c>
      <c r="J24" s="93">
        <f t="shared" si="1"/>
        <v>0.99611080984427969</v>
      </c>
    </row>
    <row r="25" spans="1:10" ht="15" thickBot="1">
      <c r="H25" s="21">
        <f>'Distribuição Granulométrica'!B15</f>
        <v>62.412857142857156</v>
      </c>
      <c r="I25" s="21">
        <f>H25/'Dados de Operação'!$C$15</f>
        <v>17.458736025996707</v>
      </c>
      <c r="J25" s="93">
        <f t="shared" si="1"/>
        <v>0.99672996862749941</v>
      </c>
    </row>
    <row r="26" spans="1:10">
      <c r="A26" s="26" t="s">
        <v>50</v>
      </c>
      <c r="B26" s="77">
        <f>4*B14/(PI()*POWER(B13,2))</f>
        <v>90.618603942290093</v>
      </c>
      <c r="C26" s="63" t="s">
        <v>28</v>
      </c>
      <c r="H26" s="21">
        <f>'Distribuição Granulométrica'!B16</f>
        <v>67.613928571428588</v>
      </c>
      <c r="I26" s="21">
        <f>H26/'Dados de Operação'!$C$15</f>
        <v>18.913630694829767</v>
      </c>
      <c r="J26" s="93">
        <f t="shared" si="1"/>
        <v>0.99721235260354357</v>
      </c>
    </row>
    <row r="27" spans="1:10">
      <c r="A27" s="28" t="s">
        <v>50</v>
      </c>
      <c r="B27" s="21">
        <f>CONVERT(B26,"cm","m")</f>
        <v>0.90618603942290099</v>
      </c>
      <c r="C27" s="30" t="s">
        <v>29</v>
      </c>
      <c r="H27" s="21">
        <f>'Distribuição Granulométrica'!B17</f>
        <v>72.815000000000012</v>
      </c>
      <c r="I27" s="21">
        <f>H27/'Dados de Operação'!$C$15</f>
        <v>20.368525363662826</v>
      </c>
      <c r="J27" s="93">
        <f t="shared" si="1"/>
        <v>0.99759544187435467</v>
      </c>
    </row>
    <row r="28" spans="1:10">
      <c r="A28" s="7" t="s">
        <v>45</v>
      </c>
      <c r="B28" s="20">
        <f>'Dados de Operação'!C12*1000</f>
        <v>1.1380967583467183</v>
      </c>
      <c r="C28" s="8" t="s">
        <v>53</v>
      </c>
      <c r="H28" s="21">
        <f>'Distribuição Granulométrica'!B18</f>
        <v>78.016071428571436</v>
      </c>
      <c r="I28" s="21">
        <f>H28/'Dados de Operação'!$C$15</f>
        <v>21.823420032495882</v>
      </c>
      <c r="J28" s="93">
        <f t="shared" si="1"/>
        <v>0.99790471332646313</v>
      </c>
    </row>
    <row r="29" spans="1:10" ht="15" thickBot="1">
      <c r="A29" s="23" t="s">
        <v>51</v>
      </c>
      <c r="B29" s="78">
        <f>B28*Auxiliar!C6*POWER(B27,2)/2</f>
        <v>147.19548161593409</v>
      </c>
      <c r="C29" s="73" t="s">
        <v>52</v>
      </c>
      <c r="H29" s="21">
        <f>'Distribuição Granulométrica'!B19</f>
        <v>83.217142857142861</v>
      </c>
      <c r="I29" s="21">
        <f>H29/'Dados de Operação'!$C$15</f>
        <v>23.278314701328938</v>
      </c>
      <c r="J29" s="93">
        <f t="shared" si="1"/>
        <v>0.99815797207648771</v>
      </c>
    </row>
    <row r="30" spans="1:10" ht="15" thickBot="1">
      <c r="H30" s="21">
        <f>'Distribuição Granulométrica'!B20</f>
        <v>88.418214285714285</v>
      </c>
      <c r="I30" s="21">
        <f>H30/'Dados de Operação'!$C$15</f>
        <v>24.733209370161997</v>
      </c>
      <c r="J30" s="93">
        <f t="shared" si="1"/>
        <v>0.9983679641700588</v>
      </c>
    </row>
    <row r="31" spans="1:10">
      <c r="A31" s="105">
        <f>_xlfn.XLOOKUP(1-EXP(-1),'Distribuição Granulométrica'!C:C,'Distribuição Granulométrica'!B:B,,-1)</f>
        <v>57.211785714285725</v>
      </c>
      <c r="B31" s="106">
        <f>_xlfn.XLOOKUP(A31,'Distribuição Granulométrica'!$B$3:$B$31,'Distribuição Granulométrica'!$C$3:$C$31)</f>
        <v>0.58762656753219522</v>
      </c>
      <c r="H31" s="21">
        <f>'Distribuição Granulométrica'!B21</f>
        <v>93.619285714285709</v>
      </c>
      <c r="I31" s="21">
        <f>H31/'Dados de Operação'!$C$15</f>
        <v>26.188104038995053</v>
      </c>
      <c r="J31" s="93">
        <f t="shared" si="1"/>
        <v>0.99854400764517837</v>
      </c>
    </row>
    <row r="32" spans="1:10">
      <c r="A32" s="107">
        <f>_xlfn.XLOOKUP(1-EXP(-1),'Distribuição Granulométrica'!C:C,'Distribuição Granulométrica'!B:B,,1)</f>
        <v>62.412857142857156</v>
      </c>
      <c r="B32" s="108">
        <f>_xlfn.XLOOKUP(A32,'Distribuição Granulométrica'!$B$3:$B$31,'Distribuição Granulométrica'!$C$3:$C$31)</f>
        <v>0.67137453426845184</v>
      </c>
      <c r="H32" s="21">
        <f>'Distribuição Granulométrica'!B22</f>
        <v>98.820357142857134</v>
      </c>
      <c r="I32" s="21">
        <f>H32/'Dados de Operação'!$C$15</f>
        <v>27.642998707828113</v>
      </c>
      <c r="J32" s="93">
        <f t="shared" si="1"/>
        <v>0.99869304174225004</v>
      </c>
    </row>
    <row r="33" spans="1:10" ht="15" thickBot="1">
      <c r="A33" s="109">
        <f>_xlfn.FORECAST.LINEAR(B33,A31:A32,B31:B32)</f>
        <v>59.975034016222473</v>
      </c>
      <c r="B33" s="110">
        <f>1-EXP(-1)</f>
        <v>0.63212055882855767</v>
      </c>
      <c r="H33" s="21">
        <f>'Distribuição Granulométrica'!B23</f>
        <v>104.02142857142856</v>
      </c>
      <c r="I33" s="21">
        <f>H33/'Dados de Operação'!$C$15</f>
        <v>29.097893376661169</v>
      </c>
      <c r="J33" s="93">
        <f t="shared" si="1"/>
        <v>0.99882031984759079</v>
      </c>
    </row>
    <row r="34" spans="1:10">
      <c r="H34" s="21">
        <f>'Distribuição Granulométrica'!B24</f>
        <v>109.22249999999998</v>
      </c>
      <c r="I34" s="21">
        <f>H34/'Dados de Operação'!$C$15</f>
        <v>30.552788045494225</v>
      </c>
      <c r="J34" s="93">
        <f t="shared" si="1"/>
        <v>0.99892987796046562</v>
      </c>
    </row>
    <row r="35" spans="1:10" ht="15" thickBot="1">
      <c r="H35" s="21">
        <f>'Distribuição Granulométrica'!B25</f>
        <v>114.42357142857141</v>
      </c>
      <c r="I35" s="21">
        <f>H35/'Dados de Operação'!$C$15</f>
        <v>32.007682714327281</v>
      </c>
      <c r="J35" s="93">
        <f t="shared" si="1"/>
        <v>0.99902485807679375</v>
      </c>
    </row>
    <row r="36" spans="1:10">
      <c r="A36" s="121" t="s">
        <v>100</v>
      </c>
      <c r="B36" s="113">
        <v>28.964700000000001</v>
      </c>
      <c r="C36" s="162" t="s">
        <v>75</v>
      </c>
      <c r="D36" s="163"/>
      <c r="H36" s="21">
        <f>'Distribuição Granulométrica'!B26</f>
        <v>119.62464285714283</v>
      </c>
      <c r="I36" s="21">
        <f>H36/'Dados de Operação'!$C$15</f>
        <v>33.462577383160344</v>
      </c>
      <c r="J36" s="93">
        <f t="shared" si="1"/>
        <v>0.99910773564342359</v>
      </c>
    </row>
    <row r="37" spans="1:10">
      <c r="A37" s="122" t="s">
        <v>101</v>
      </c>
      <c r="B37" s="114">
        <f>8.20574587*10^-5</f>
        <v>8.2057458699999998E-5</v>
      </c>
      <c r="C37" s="180" t="s">
        <v>76</v>
      </c>
      <c r="D37" s="181"/>
      <c r="H37" s="21">
        <f>'Distribuição Granulométrica'!B27</f>
        <v>124.82571428571426</v>
      </c>
      <c r="I37" s="21">
        <f>H37/'Dados de Operação'!$C$15</f>
        <v>34.9174720519934</v>
      </c>
      <c r="J37" s="93">
        <f t="shared" si="1"/>
        <v>0.99918048227036016</v>
      </c>
    </row>
    <row r="38" spans="1:10">
      <c r="A38" s="122" t="s">
        <v>77</v>
      </c>
      <c r="B38" s="115">
        <f>'Dados de Operação'!C6</f>
        <v>35</v>
      </c>
      <c r="C38" s="180" t="s">
        <v>78</v>
      </c>
      <c r="D38" s="181"/>
      <c r="H38" s="21">
        <f>'Distribuição Granulométrica'!B28</f>
        <v>130.02678571428569</v>
      </c>
      <c r="I38" s="21">
        <f>H38/'Dados de Operação'!$C$15</f>
        <v>36.372366720826463</v>
      </c>
      <c r="J38" s="93">
        <f t="shared" si="1"/>
        <v>0.99924468393116295</v>
      </c>
    </row>
    <row r="39" spans="1:10">
      <c r="A39" s="122" t="s">
        <v>77</v>
      </c>
      <c r="B39" s="119">
        <f>B38+273.15</f>
        <v>308.14999999999998</v>
      </c>
      <c r="C39" s="180" t="s">
        <v>11</v>
      </c>
      <c r="D39" s="181"/>
      <c r="H39" s="21">
        <f>'Distribuição Granulométrica'!B29</f>
        <v>135.22785714285712</v>
      </c>
      <c r="I39" s="21">
        <f>H39/'Dados de Operação'!$C$15</f>
        <v>37.827261389659519</v>
      </c>
      <c r="J39" s="93">
        <f t="shared" si="1"/>
        <v>0.99930162803980349</v>
      </c>
    </row>
    <row r="40" spans="1:10">
      <c r="A40" s="122" t="s">
        <v>79</v>
      </c>
      <c r="B40" s="117">
        <f>'Dados de Operação'!C7</f>
        <v>1</v>
      </c>
      <c r="C40" s="180" t="s">
        <v>80</v>
      </c>
      <c r="D40" s="181"/>
      <c r="H40" s="21">
        <f>'Distribuição Granulométrica'!B30</f>
        <v>140.42892857142854</v>
      </c>
      <c r="I40" s="21">
        <f>H40/'Dados de Operação'!$C$15</f>
        <v>39.282156058492575</v>
      </c>
      <c r="J40" s="93">
        <f t="shared" si="1"/>
        <v>0.99935236842751363</v>
      </c>
    </row>
    <row r="41" spans="1:10">
      <c r="A41" s="122" t="s">
        <v>81</v>
      </c>
      <c r="B41" s="117">
        <f>(B36*(B40)/(B37*(B38+275.15)))/1000</f>
        <v>1.1380967583467181</v>
      </c>
      <c r="C41" s="180" t="s">
        <v>82</v>
      </c>
      <c r="D41" s="181"/>
      <c r="H41" s="21">
        <f>'Distribuição Granulométrica'!B31</f>
        <v>145.62999999999997</v>
      </c>
      <c r="I41" s="21">
        <f>H41/'Dados de Operação'!$C$15</f>
        <v>40.737050727325631</v>
      </c>
      <c r="J41" s="93">
        <f t="shared" si="1"/>
        <v>0.99939777440375044</v>
      </c>
    </row>
    <row r="42" spans="1:10">
      <c r="A42" s="122" t="s">
        <v>81</v>
      </c>
      <c r="B42" s="118">
        <f>B41*1000/1000000</f>
        <v>1.1380967583467182E-3</v>
      </c>
      <c r="C42" s="180" t="s">
        <v>83</v>
      </c>
      <c r="D42" s="181"/>
    </row>
    <row r="43" spans="1:10">
      <c r="A43" s="122" t="s">
        <v>84</v>
      </c>
      <c r="B43" s="118">
        <f>((B39/B49)^(3/2))*((B49+B50)/(B39+B50))*B48</f>
        <v>1.8852906988466955E-5</v>
      </c>
      <c r="C43" s="180" t="s">
        <v>94</v>
      </c>
      <c r="D43" s="181"/>
    </row>
    <row r="44" spans="1:10">
      <c r="A44" s="122" t="s">
        <v>85</v>
      </c>
      <c r="B44" s="118">
        <f>B43/B41</f>
        <v>1.6565293636240609E-5</v>
      </c>
      <c r="C44" s="180" t="s">
        <v>86</v>
      </c>
      <c r="D44" s="181"/>
    </row>
    <row r="45" spans="1:10" ht="15" thickBot="1">
      <c r="A45" s="124" t="s">
        <v>85</v>
      </c>
      <c r="B45" s="125">
        <f>B44*100*100</f>
        <v>0.16565293636240608</v>
      </c>
      <c r="C45" s="164" t="s">
        <v>87</v>
      </c>
      <c r="D45" s="165"/>
    </row>
    <row r="46" spans="1:10" ht="15" thickBot="1">
      <c r="A46" s="186" t="s">
        <v>91</v>
      </c>
      <c r="B46" s="187"/>
      <c r="C46" s="187"/>
      <c r="D46" s="188"/>
    </row>
    <row r="47" spans="1:10">
      <c r="A47" s="121" t="s">
        <v>88</v>
      </c>
      <c r="B47" s="184" t="s">
        <v>89</v>
      </c>
      <c r="C47" s="184"/>
      <c r="D47" s="185"/>
    </row>
    <row r="48" spans="1:10">
      <c r="A48" s="122" t="s">
        <v>95</v>
      </c>
      <c r="B48" s="118">
        <f>1.716*10^-5</f>
        <v>1.7160000000000002E-5</v>
      </c>
      <c r="C48" s="180" t="s">
        <v>90</v>
      </c>
      <c r="D48" s="181"/>
    </row>
    <row r="49" spans="1:4">
      <c r="A49" s="122" t="s">
        <v>96</v>
      </c>
      <c r="B49" s="116">
        <v>273</v>
      </c>
      <c r="C49" s="180" t="s">
        <v>11</v>
      </c>
      <c r="D49" s="181"/>
    </row>
    <row r="50" spans="1:4" ht="15" thickBot="1">
      <c r="A50" s="123" t="s">
        <v>97</v>
      </c>
      <c r="B50" s="126">
        <v>111</v>
      </c>
      <c r="C50" s="182" t="s">
        <v>11</v>
      </c>
      <c r="D50" s="183"/>
    </row>
    <row r="51" spans="1:4" ht="15" thickBot="1">
      <c r="A51" s="127" t="s">
        <v>98</v>
      </c>
      <c r="B51" s="178" t="s">
        <v>99</v>
      </c>
      <c r="C51" s="178"/>
      <c r="D51" s="179"/>
    </row>
  </sheetData>
  <mergeCells count="18">
    <mergeCell ref="D1:F1"/>
    <mergeCell ref="D5:F5"/>
    <mergeCell ref="C36:D36"/>
    <mergeCell ref="C37:D37"/>
    <mergeCell ref="C38:D38"/>
    <mergeCell ref="C43:D43"/>
    <mergeCell ref="B47:D47"/>
    <mergeCell ref="A46:D46"/>
    <mergeCell ref="C39:D39"/>
    <mergeCell ref="C40:D40"/>
    <mergeCell ref="C41:D41"/>
    <mergeCell ref="C42:D42"/>
    <mergeCell ref="C44:D44"/>
    <mergeCell ref="B51:D51"/>
    <mergeCell ref="C45:D45"/>
    <mergeCell ref="C48:D48"/>
    <mergeCell ref="C49:D49"/>
    <mergeCell ref="C50:D50"/>
  </mergeCells>
  <hyperlinks>
    <hyperlink ref="B51" r:id="rId1" display="https://doc.comsol.com/5.5/doc/com.comsol.help.cfd/cfd_ug_fluidflow_high_mach.08.27.html" xr:uid="{FE803338-DC0B-4D99-9178-2FD1DC593702}"/>
  </hyperlinks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Acknowledgment</vt:lpstr>
      <vt:lpstr>Distribuição Granulométrica</vt:lpstr>
      <vt:lpstr>Dados de Operação</vt:lpstr>
      <vt:lpstr>Distribuição por Média e Desvio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Spogis</dc:creator>
  <cp:lastModifiedBy>Nicolas Spogis</cp:lastModifiedBy>
  <cp:lastPrinted>2021-12-07T12:54:49Z</cp:lastPrinted>
  <dcterms:created xsi:type="dcterms:W3CDTF">2021-12-07T10:53:03Z</dcterms:created>
  <dcterms:modified xsi:type="dcterms:W3CDTF">2024-10-02T15:01:46Z</dcterms:modified>
</cp:coreProperties>
</file>