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D8B77AFE-68A4-469D-9373-19163585502B}" xr6:coauthVersionLast="47" xr6:coauthVersionMax="47" xr10:uidLastSave="{00000000-0000-0000-0000-000000000000}"/>
  <bookViews>
    <workbookView xWindow="-28920" yWindow="-120" windowWidth="29040" windowHeight="16440" activeTab="3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  <sheet name="Cash Flow Stat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F5" i="4" s="1"/>
  <c r="C5" i="4"/>
  <c r="C31" i="4"/>
  <c r="D31" i="4"/>
  <c r="E31" i="4"/>
  <c r="F31" i="4"/>
  <c r="C22" i="5"/>
  <c r="D22" i="5"/>
  <c r="E22" i="5"/>
  <c r="B22" i="5"/>
  <c r="C20" i="5"/>
  <c r="D20" i="5"/>
  <c r="E20" i="5"/>
  <c r="B20" i="5"/>
  <c r="C19" i="5"/>
  <c r="D19" i="5"/>
  <c r="E19" i="5"/>
  <c r="B19" i="5"/>
  <c r="C18" i="5"/>
  <c r="D18" i="5"/>
  <c r="E18" i="5"/>
  <c r="B18" i="5"/>
  <c r="C15" i="5"/>
  <c r="D15" i="5"/>
  <c r="E15" i="5"/>
  <c r="B15" i="5"/>
  <c r="C13" i="5"/>
  <c r="D13" i="5"/>
  <c r="E13" i="5"/>
  <c r="B13" i="5"/>
  <c r="B10" i="5"/>
  <c r="C10" i="5" l="1"/>
  <c r="D10" i="5"/>
  <c r="E10" i="5"/>
  <c r="C8" i="5"/>
  <c r="D8" i="5"/>
  <c r="E8" i="5"/>
  <c r="C9" i="5"/>
  <c r="D9" i="5"/>
  <c r="E9" i="5"/>
  <c r="B9" i="5"/>
  <c r="B8" i="5"/>
  <c r="C7" i="5"/>
  <c r="D7" i="5"/>
  <c r="E7" i="5"/>
  <c r="B7" i="5"/>
  <c r="C6" i="5"/>
  <c r="D6" i="5"/>
  <c r="E6" i="5"/>
  <c r="B6" i="5"/>
  <c r="C3" i="5"/>
  <c r="D3" i="5"/>
  <c r="E3" i="5"/>
  <c r="B3" i="5"/>
  <c r="B6" i="2"/>
  <c r="D28" i="4" l="1"/>
  <c r="E28" i="4" s="1"/>
  <c r="D29" i="4"/>
  <c r="C29" i="4"/>
  <c r="C29" i="2"/>
  <c r="D29" i="2"/>
  <c r="E29" i="2"/>
  <c r="B29" i="2"/>
  <c r="D45" i="4"/>
  <c r="E45" i="4"/>
  <c r="F45" i="4"/>
  <c r="C45" i="4"/>
  <c r="D27" i="4"/>
  <c r="E27" i="4"/>
  <c r="F27" i="4" s="1"/>
  <c r="C27" i="4"/>
  <c r="C23" i="4"/>
  <c r="C21" i="4"/>
  <c r="D21" i="4" s="1"/>
  <c r="E21" i="4" s="1"/>
  <c r="F21" i="4" s="1"/>
  <c r="F23" i="4" s="1"/>
  <c r="F28" i="4" l="1"/>
  <c r="F29" i="4" s="1"/>
  <c r="E29" i="4"/>
  <c r="E23" i="4"/>
  <c r="D23" i="4"/>
  <c r="C9" i="4"/>
  <c r="D9" i="4" s="1"/>
  <c r="C10" i="4"/>
  <c r="D10" i="4" s="1"/>
  <c r="E10" i="4" s="1"/>
  <c r="F10" i="4" s="1"/>
  <c r="C11" i="4"/>
  <c r="C13" i="4" s="1"/>
  <c r="C3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D37" i="4"/>
  <c r="E37" i="4"/>
  <c r="F37" i="4"/>
  <c r="C37" i="4"/>
  <c r="B9" i="2"/>
  <c r="B29" i="4"/>
  <c r="B23" i="4"/>
  <c r="B31" i="4" s="1"/>
  <c r="B33" i="4" s="1"/>
  <c r="B19" i="4"/>
  <c r="B11" i="4"/>
  <c r="B7" i="4"/>
  <c r="B13" i="4" s="1"/>
  <c r="E9" i="4" l="1"/>
  <c r="D11" i="4"/>
  <c r="D13" i="4" s="1"/>
  <c r="D3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F33" i="4" s="1"/>
  <c r="E11" i="4"/>
  <c r="E13" i="4" s="1"/>
  <c r="E33" i="4" s="1"/>
  <c r="C6" i="2"/>
  <c r="D6" i="2"/>
  <c r="E6" i="2"/>
  <c r="E8" i="2" s="1"/>
  <c r="B7" i="2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 s="1"/>
  <c r="E36" i="2" s="1"/>
  <c r="B33" i="2"/>
  <c r="B35" i="2" s="1"/>
  <c r="B36" i="2" l="1"/>
  <c r="C28" i="4"/>
</calcChain>
</file>

<file path=xl/sharedStrings.xml><?xml version="1.0" encoding="utf-8"?>
<sst xmlns="http://schemas.openxmlformats.org/spreadsheetml/2006/main" count="133" uniqueCount="107">
  <si>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</si>
  <si>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</si>
  <si>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</si>
  <si>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</si>
  <si>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</si>
  <si>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</si>
  <si>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</si>
  <si>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</si>
  <si>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</si>
  <si>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</si>
  <si>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</si>
  <si>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</si>
  <si>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</si>
  <si>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</si>
  <si>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</si>
  <si>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</si>
  <si>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</si>
  <si>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</si>
  <si>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</si>
  <si>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</si>
  <si>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</si>
  <si>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</si>
  <si>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</si>
  <si>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</si>
  <si>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</si>
  <si>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</si>
  <si>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</si>
  <si>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</si>
  <si>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</si>
  <si>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</si>
  <si>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</si>
  <si>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</si>
  <si>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</si>
  <si>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</si>
  <si>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</si>
  <si>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</si>
  <si>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</si>
  <si>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</si>
  <si>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</si>
  <si>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</si>
  <si>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</si>
  <si>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</si>
  <si>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</si>
  <si>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</si>
  <si>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</si>
  <si>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</si>
  <si>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</si>
  <si>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</si>
  <si>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</si>
  <si>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</si>
  <si>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</si>
  <si>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</si>
  <si>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</si>
  <si>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</si>
  <si>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</si>
  <si>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</si>
  <si>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</si>
  <si>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</si>
  <si>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</si>
  <si>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</si>
  <si>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</si>
  <si>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</si>
  <si>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</si>
  <si>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</si>
  <si>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</si>
  <si>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</si>
  <si>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</si>
  <si>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</si>
  <si>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</si>
  <si>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</si>
  <si>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</si>
  <si>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</si>
  <si>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</si>
  <si>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</si>
  <si>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</si>
  <si>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</si>
  <si>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</si>
  <si>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</si>
  <si>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</si>
  <si>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</si>
  <si>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</si>
  <si>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</si>
  <si>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</si>
  <si>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</si>
  <si>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</si>
  <si>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</si>
  <si>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</si>
  <si>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</si>
  <si>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</si>
  <si>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</si>
  <si>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</si>
  <si>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</si>
  <si>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</si>
  <si>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</si>
  <si>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</si>
  <si>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</si>
  <si>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</si>
  <si>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</si>
  <si>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Def Rev</t>
  </si>
  <si>
    <t>Operating Cash Flow</t>
  </si>
  <si>
    <t>Depreciations</t>
  </si>
  <si>
    <t>CapEx</t>
  </si>
  <si>
    <t>Free Cash Flow</t>
  </si>
  <si>
    <t>Net Borrowings</t>
  </si>
  <si>
    <t>NCF From Financing</t>
  </si>
  <si>
    <t>Debt Repayment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</si>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</sst>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3" borderId="4" xfId="4" applyNumberFormat="1" applyFont="1" applyFill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0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4" borderId="4" xfId="4" applyNumberFormat="1" applyFont="1" applyFill="1" applyBorder="1"/>
    <xf numFmtId="165" fontId="20" fillId="0" borderId="0" xfId="4" applyNumberFormat="1" applyFont="1"/>
    <xf numFmtId="165" fontId="8" fillId="0" borderId="5" xfId="4" applyNumberFormat="1" applyFont="1" applyBorder="1"/>
    <xf numFmtId="164" fontId="4" fillId="0" borderId="4" xfId="1" applyNumberFormat="1" applyFont="1" applyBorder="1"/>
    <xf numFmtId="165" fontId="0" fillId="3" borderId="0" xfId="0" applyNumberFormat="1" applyFont="1" applyFill="1"/>
    <xf numFmtId="9" fontId="20" fillId="0" borderId="0" xfId="2" applyFont="1"/>
    <xf numFmtId="165" fontId="0" fillId="4" borderId="0" xfId="4" applyNumberFormat="1" applyFont="1" applyFill="1"/>
    <xf numFmtId="165" fontId="0" fillId="0" borderId="0" xfId="4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3" xfId="0" applyNumberForma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15.75" thickTop="1" x14ac:dyDescent="0.25"/>
    <row r="3" spans="1:9" ht="18.75" x14ac:dyDescent="0.3">
      <c r="A3" s="39" t="s">
        <v>2</v>
      </c>
      <c r="B3" s="39"/>
      <c r="C3" s="39"/>
      <c r="D3" s="39"/>
      <c r="E3" s="39"/>
      <c r="F3" s="39"/>
      <c r="G3" s="39"/>
      <c r="H3" s="39"/>
    </row>
    <row r="4" spans="1:9" ht="18.75" x14ac:dyDescent="0.3">
      <c r="A4" s="39" t="s">
        <v>11</v>
      </c>
      <c r="B4" s="39"/>
      <c r="C4" s="39"/>
      <c r="D4" s="39"/>
      <c r="E4" s="39"/>
      <c r="F4" s="39"/>
      <c r="G4" s="39"/>
      <c r="H4" s="39"/>
    </row>
    <row r="5" spans="1:9" ht="18.75" x14ac:dyDescent="0.3">
      <c r="A5" s="39" t="s">
        <v>1</v>
      </c>
      <c r="B5" s="39"/>
      <c r="C5" s="39"/>
      <c r="D5" s="39"/>
      <c r="E5" s="39"/>
      <c r="F5" s="39"/>
      <c r="G5" s="39"/>
      <c r="H5" s="39"/>
    </row>
    <row r="6" spans="1:9" ht="18.75" x14ac:dyDescent="0.3">
      <c r="A6" s="39" t="s">
        <v>12</v>
      </c>
      <c r="B6" s="39"/>
      <c r="C6" s="39"/>
      <c r="D6" s="39"/>
      <c r="E6" s="39"/>
      <c r="F6" s="39"/>
      <c r="G6" s="39"/>
      <c r="H6" s="39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2" zoomScale="120" zoomScaleNormal="120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5">
        <f>SUM(B6:B8)</f>
        <v>1522500</v>
      </c>
      <c r="C9" s="25">
        <f t="shared" ref="C9:E9" si="2">SUM(C6:C8)</f>
        <v>2392500</v>
      </c>
      <c r="D9" s="25">
        <f t="shared" si="2"/>
        <v>4785000</v>
      </c>
      <c r="E9" s="25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7">C9-C15</f>
        <v>1268025</v>
      </c>
      <c r="D17" s="24">
        <f t="shared" si="7"/>
        <v>2536050</v>
      </c>
      <c r="E17" s="24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51">
        <f>'Balance Sheet'!C45</f>
        <v>175000.00000000003</v>
      </c>
      <c r="C29" s="51">
        <f>'Balance Sheet'!D45</f>
        <v>196000.00000000003</v>
      </c>
      <c r="D29" s="51">
        <f>'Balance Sheet'!E45</f>
        <v>147000</v>
      </c>
      <c r="E29" s="51">
        <f>'Balance Sheet'!F45</f>
        <v>98000.000000000015</v>
      </c>
    </row>
    <row r="30" spans="1:5" x14ac:dyDescent="0.25">
      <c r="A30" s="19"/>
    </row>
    <row r="31" spans="1:5" x14ac:dyDescent="0.25">
      <c r="A31" s="19" t="s">
        <v>45</v>
      </c>
      <c r="B31" s="23">
        <f>B27-B29</f>
        <v>-3741.666666666657</v>
      </c>
      <c r="C31" s="23">
        <f t="shared" ref="C31:E31" si="14">C27-C29</f>
        <v>55024.999999999971</v>
      </c>
      <c r="D31" s="23">
        <f t="shared" si="14"/>
        <v>375716.66666666674</v>
      </c>
      <c r="E31" s="23">
        <f t="shared" si="14"/>
        <v>1091708.3333333335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-823.16666666666458</v>
      </c>
      <c r="C33" s="16">
        <f t="shared" ref="C33:E33" si="15">C31*C62</f>
        <v>12105.499999999995</v>
      </c>
      <c r="D33" s="16">
        <f t="shared" si="15"/>
        <v>82657.666666666686</v>
      </c>
      <c r="E33" s="16">
        <f t="shared" si="15"/>
        <v>240175.83333333337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-2918.4999999999923</v>
      </c>
      <c r="C35" s="23">
        <f t="shared" ref="C35:E35" si="16">C31-C33</f>
        <v>42919.499999999978</v>
      </c>
      <c r="D35" s="23">
        <f t="shared" si="16"/>
        <v>293059.00000000006</v>
      </c>
      <c r="E35" s="23">
        <f t="shared" si="16"/>
        <v>851532.50000000012</v>
      </c>
    </row>
    <row r="36" spans="1:7" x14ac:dyDescent="0.25">
      <c r="A36" s="20" t="s">
        <v>48</v>
      </c>
      <c r="B36" s="26">
        <f>B35/B9</f>
        <v>-1.9169129720853807E-3</v>
      </c>
      <c r="C36" s="26">
        <f t="shared" ref="C36:E36" si="17">C35/C9</f>
        <v>1.7939184952978048E-2</v>
      </c>
      <c r="D36" s="26">
        <f t="shared" si="17"/>
        <v>6.1245350052246614E-2</v>
      </c>
      <c r="E36" s="26">
        <f t="shared" si="17"/>
        <v>8.7002043422733086E-2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7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8" t="s">
        <v>56</v>
      </c>
    </row>
    <row r="4" spans="1:6" ht="15.75" x14ac:dyDescent="0.25">
      <c r="A4" s="29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29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29" t="s">
        <v>59</v>
      </c>
      <c r="B6" s="6">
        <v>5</v>
      </c>
      <c r="C6" s="31"/>
      <c r="D6" s="31"/>
      <c r="E6" s="31">
        <v>30000</v>
      </c>
      <c r="F6" s="31"/>
    </row>
    <row r="7" spans="1:6" x14ac:dyDescent="0.25">
      <c r="A7" s="30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8" t="s">
        <v>61</v>
      </c>
    </row>
    <row r="10" spans="1:6" x14ac:dyDescent="0.25">
      <c r="A10" s="29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29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29" t="s">
        <v>59</v>
      </c>
      <c r="C12" s="31"/>
      <c r="D12" s="31"/>
      <c r="E12" s="31">
        <f>$E$6/$B$6</f>
        <v>6000</v>
      </c>
      <c r="F12" s="31">
        <f>$E$6/$B$6</f>
        <v>6000</v>
      </c>
    </row>
    <row r="13" spans="1:6" x14ac:dyDescent="0.25">
      <c r="A13" s="30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tabSelected="1" zoomScale="118" zoomScaleNormal="118" workbookViewId="0">
      <pane ySplit="1" topLeftCell="A5" activePane="bottomLeft" state="frozen"/>
      <selection pane="bottomLeft" activeCell="C6" sqref="C6"/>
    </sheetView>
  </sheetViews>
  <sheetFormatPr defaultRowHeight="15.75" x14ac:dyDescent="0.25"/>
  <cols>
    <col min="1" max="1" width="34.140625" bestFit="1" customWidth="1"/>
    <col min="2" max="2" width="18" style="32" customWidth="1"/>
    <col min="3" max="6" width="17.28515625" bestFit="1" customWidth="1"/>
  </cols>
  <sheetData>
    <row r="1" spans="1:6" x14ac:dyDescent="0.25">
      <c r="A1" s="12" t="s">
        <v>63</v>
      </c>
      <c r="B1" s="33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6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4">
        <v>4250000</v>
      </c>
      <c r="C5" s="49">
        <f>B5+'Cash Flow Statement'!B22</f>
        <v>3700773.1666666665</v>
      </c>
      <c r="D5" s="49">
        <f>C5+'Cash Flow Statement'!C22</f>
        <v>4116292.6666666665</v>
      </c>
      <c r="E5" s="49">
        <f>D5+'Cash Flow Statement'!D22</f>
        <v>3846160</v>
      </c>
      <c r="F5" s="49">
        <f>E5+'Cash Flow Statement'!E22</f>
        <v>4674134.166666667</v>
      </c>
    </row>
    <row r="6" spans="1:6" x14ac:dyDescent="0.25">
      <c r="A6" s="1" t="s">
        <v>67</v>
      </c>
      <c r="B6" s="42">
        <v>120000</v>
      </c>
      <c r="C6" s="44">
        <v>130000</v>
      </c>
      <c r="D6" s="44">
        <f t="shared" ref="D6:F6" si="0">D37*D38</f>
        <v>119625</v>
      </c>
      <c r="E6" s="44">
        <f t="shared" si="0"/>
        <v>239250</v>
      </c>
      <c r="F6" s="44">
        <f t="shared" si="0"/>
        <v>489375</v>
      </c>
    </row>
    <row r="7" spans="1:6" x14ac:dyDescent="0.25">
      <c r="A7" s="12" t="s">
        <v>68</v>
      </c>
      <c r="B7" s="41">
        <f>SUM(B5:B6)</f>
        <v>4370000</v>
      </c>
      <c r="C7" s="43">
        <f t="shared" ref="C7:F7" si="1">SUM(C5:C6)</f>
        <v>3830773.1666666665</v>
      </c>
      <c r="D7" s="43">
        <f t="shared" si="1"/>
        <v>4235917.666666666</v>
      </c>
      <c r="E7" s="43">
        <f t="shared" si="1"/>
        <v>4085410</v>
      </c>
      <c r="F7" s="43">
        <f t="shared" si="1"/>
        <v>5163509.166666667</v>
      </c>
    </row>
    <row r="8" spans="1:6" x14ac:dyDescent="0.25">
      <c r="A8" s="1"/>
    </row>
    <row r="9" spans="1:6" x14ac:dyDescent="0.25">
      <c r="A9" s="1" t="s">
        <v>69</v>
      </c>
      <c r="B9" s="34">
        <v>40000</v>
      </c>
      <c r="C9" s="44">
        <f>B9+'Capex and Depreciation Schedule'!C7</f>
        <v>140000</v>
      </c>
      <c r="D9" s="44">
        <f>C9+'Capex and Depreciation Schedule'!D7</f>
        <v>240000</v>
      </c>
      <c r="E9" s="44">
        <f>D9+'Capex and Depreciation Schedule'!E7</f>
        <v>370000</v>
      </c>
      <c r="F9" s="44">
        <f>E9+'Capex and Depreciation Schedule'!F7</f>
        <v>370000</v>
      </c>
    </row>
    <row r="10" spans="1:6" x14ac:dyDescent="0.25">
      <c r="A10" s="1" t="s">
        <v>70</v>
      </c>
      <c r="B10" s="34">
        <v>-10000</v>
      </c>
      <c r="C10" s="44">
        <f>B10-'Capex and Depreciation Schedule'!C13</f>
        <v>-36666.666666666672</v>
      </c>
      <c r="D10" s="44">
        <f>C10-'Capex and Depreciation Schedule'!D13</f>
        <v>-96666.666666666672</v>
      </c>
      <c r="E10" s="44">
        <f>D10-'Capex and Depreciation Schedule'!E13</f>
        <v>-196000</v>
      </c>
      <c r="F10" s="44">
        <f>E10-'Capex and Depreciation Schedule'!F13</f>
        <v>-278666.66666666669</v>
      </c>
    </row>
    <row r="11" spans="1:6" x14ac:dyDescent="0.25">
      <c r="A11" s="12" t="s">
        <v>71</v>
      </c>
      <c r="B11" s="35">
        <f>SUM(B9:B10)</f>
        <v>30000</v>
      </c>
      <c r="C11" s="44">
        <f t="shared" ref="C11:F11" si="2">SUM(C9:C10)</f>
        <v>103333.33333333333</v>
      </c>
      <c r="D11" s="44">
        <f t="shared" si="2"/>
        <v>143333.33333333331</v>
      </c>
      <c r="E11" s="44">
        <f t="shared" si="2"/>
        <v>174000</v>
      </c>
      <c r="F11" s="44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5">
        <f>SUM(B7,B11)</f>
        <v>4400000</v>
      </c>
      <c r="C13" s="44">
        <f t="shared" ref="C13:F13" si="3">SUM(C7,C11)</f>
        <v>3934106.5</v>
      </c>
      <c r="D13" s="44">
        <f t="shared" si="3"/>
        <v>4379250.9999999991</v>
      </c>
      <c r="E13" s="44">
        <f t="shared" si="3"/>
        <v>4259410</v>
      </c>
      <c r="F13" s="44">
        <f t="shared" si="3"/>
        <v>5254842.5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4">
        <v>75000</v>
      </c>
      <c r="C17" s="43">
        <f>C37*C39</f>
        <v>91350</v>
      </c>
      <c r="D17" s="43">
        <f t="shared" ref="D17:F17" si="4">D37*D39</f>
        <v>143550</v>
      </c>
      <c r="E17" s="43">
        <f t="shared" si="4"/>
        <v>287100</v>
      </c>
      <c r="F17" s="43">
        <f t="shared" si="4"/>
        <v>587250</v>
      </c>
    </row>
    <row r="18" spans="1:6" x14ac:dyDescent="0.25">
      <c r="A18" s="1" t="s">
        <v>74</v>
      </c>
      <c r="B18" s="34">
        <v>25000</v>
      </c>
      <c r="C18" s="44">
        <f>C37*C40</f>
        <v>45675</v>
      </c>
      <c r="D18" s="44">
        <f t="shared" ref="D18:F18" si="5">D37*D40</f>
        <v>95700</v>
      </c>
      <c r="E18" s="44">
        <f t="shared" si="5"/>
        <v>239250</v>
      </c>
      <c r="F18" s="44">
        <f t="shared" si="5"/>
        <v>783000</v>
      </c>
    </row>
    <row r="19" spans="1:6" x14ac:dyDescent="0.25">
      <c r="A19" s="12" t="s">
        <v>68</v>
      </c>
      <c r="B19" s="47">
        <f>SUM(B17:B18)</f>
        <v>100000</v>
      </c>
      <c r="C19" s="44">
        <f t="shared" ref="C19:F19" si="6">SUM(C17:C18)</f>
        <v>137025</v>
      </c>
      <c r="D19" s="44">
        <f t="shared" si="6"/>
        <v>239250</v>
      </c>
      <c r="E19" s="44">
        <f t="shared" si="6"/>
        <v>526350</v>
      </c>
      <c r="F19" s="44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4">
        <v>3000000</v>
      </c>
      <c r="C21" s="41">
        <f>B21+C42-C43</f>
        <v>2500000</v>
      </c>
      <c r="D21" s="41">
        <f t="shared" ref="D21:F21" si="7">C21+D42-D43</f>
        <v>2800000</v>
      </c>
      <c r="E21" s="41">
        <f t="shared" si="7"/>
        <v>2100000</v>
      </c>
      <c r="F21" s="41">
        <f t="shared" si="7"/>
        <v>1400000</v>
      </c>
    </row>
    <row r="22" spans="1:6" x14ac:dyDescent="0.25">
      <c r="A22" s="1"/>
    </row>
    <row r="23" spans="1:6" ht="16.5" thickBot="1" x14ac:dyDescent="0.3">
      <c r="A23" s="12" t="s">
        <v>76</v>
      </c>
      <c r="B23" s="48">
        <f>SUM(B19,B21)</f>
        <v>3100000</v>
      </c>
      <c r="C23" s="48">
        <f t="shared" ref="C23:F23" si="8">SUM(C19,C21)</f>
        <v>2637025</v>
      </c>
      <c r="D23" s="48">
        <f t="shared" si="8"/>
        <v>3039250</v>
      </c>
      <c r="E23" s="48">
        <f t="shared" si="8"/>
        <v>2626350</v>
      </c>
      <c r="F23" s="48">
        <f t="shared" si="8"/>
        <v>2770250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4">
        <v>50000</v>
      </c>
      <c r="C27" s="16">
        <f>B27</f>
        <v>50000</v>
      </c>
      <c r="D27" s="16">
        <f t="shared" ref="D27:F27" si="9">C27</f>
        <v>50000</v>
      </c>
      <c r="E27" s="16">
        <f t="shared" si="9"/>
        <v>50000</v>
      </c>
      <c r="F27" s="16">
        <f t="shared" si="9"/>
        <v>50000</v>
      </c>
    </row>
    <row r="28" spans="1:6" x14ac:dyDescent="0.25">
      <c r="A28" t="s">
        <v>80</v>
      </c>
      <c r="B28" s="34">
        <v>1250000</v>
      </c>
      <c r="C28" s="49">
        <f>B28+'Income Statement'!B35</f>
        <v>1247081.5</v>
      </c>
      <c r="D28" s="49">
        <f>C28+'Income Statement'!C35</f>
        <v>1290001</v>
      </c>
      <c r="E28" s="49">
        <f>D28+'Income Statement'!D35</f>
        <v>1583060</v>
      </c>
      <c r="F28" s="49">
        <f>E28+'Income Statement'!E35</f>
        <v>2434592.5</v>
      </c>
    </row>
    <row r="29" spans="1:6" x14ac:dyDescent="0.25">
      <c r="A29" t="s">
        <v>81</v>
      </c>
      <c r="B29" s="35">
        <f>SUM(B27:B28)</f>
        <v>1300000</v>
      </c>
      <c r="C29" s="35">
        <f>SUM(C27:C28)</f>
        <v>1297081.5</v>
      </c>
      <c r="D29" s="35">
        <f t="shared" ref="D29:F29" si="10">SUM(D27:D28)</f>
        <v>1340001</v>
      </c>
      <c r="E29" s="35">
        <f t="shared" si="10"/>
        <v>1633060</v>
      </c>
      <c r="F29" s="35">
        <f t="shared" si="10"/>
        <v>2484592.5</v>
      </c>
    </row>
    <row r="31" spans="1:6" ht="16.5" thickBot="1" x14ac:dyDescent="0.3">
      <c r="A31" s="19" t="s">
        <v>82</v>
      </c>
      <c r="B31" s="37">
        <f>B23+B29</f>
        <v>4400000</v>
      </c>
      <c r="C31" s="37">
        <f t="shared" ref="C31:F31" si="11">C23+C29</f>
        <v>3934106.5</v>
      </c>
      <c r="D31" s="37">
        <f t="shared" si="11"/>
        <v>4379251</v>
      </c>
      <c r="E31" s="37">
        <f t="shared" si="11"/>
        <v>4259410</v>
      </c>
      <c r="F31" s="37">
        <f t="shared" si="11"/>
        <v>5254842.5</v>
      </c>
    </row>
    <row r="32" spans="1:6" ht="16.5" thickTop="1" x14ac:dyDescent="0.25"/>
    <row r="33" spans="1:6" x14ac:dyDescent="0.25">
      <c r="A33" t="s">
        <v>85</v>
      </c>
      <c r="B33" s="32">
        <f>B13-B31</f>
        <v>0</v>
      </c>
      <c r="C33" s="32">
        <f t="shared" ref="C33:F33" si="12">C13-C31</f>
        <v>0</v>
      </c>
      <c r="D33" s="32">
        <f t="shared" si="12"/>
        <v>0</v>
      </c>
      <c r="E33" s="32">
        <f t="shared" si="12"/>
        <v>0</v>
      </c>
      <c r="F33" s="32">
        <f t="shared" si="12"/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40">
        <v>0.05</v>
      </c>
      <c r="D38" s="40">
        <v>0.05</v>
      </c>
      <c r="E38" s="40">
        <v>0.05</v>
      </c>
      <c r="F38" s="40">
        <v>0.05</v>
      </c>
    </row>
    <row r="39" spans="1:6" x14ac:dyDescent="0.25">
      <c r="A39" t="s">
        <v>87</v>
      </c>
      <c r="C39" s="40">
        <v>0.06</v>
      </c>
      <c r="D39" s="40">
        <v>0.06</v>
      </c>
      <c r="E39" s="40">
        <v>0.06</v>
      </c>
      <c r="F39" s="40">
        <v>0.06</v>
      </c>
    </row>
    <row r="40" spans="1:6" x14ac:dyDescent="0.25">
      <c r="A40" t="s">
        <v>74</v>
      </c>
      <c r="C40" s="40">
        <v>0.03</v>
      </c>
      <c r="D40" s="40">
        <v>0.04</v>
      </c>
      <c r="E40" s="40">
        <v>0.05</v>
      </c>
      <c r="F40" s="40">
        <v>0.08</v>
      </c>
    </row>
    <row r="42" spans="1:6" ht="15" x14ac:dyDescent="0.25">
      <c r="A42" t="s">
        <v>89</v>
      </c>
      <c r="B42" s="40"/>
      <c r="C42" s="46"/>
      <c r="D42" s="46">
        <v>1000000</v>
      </c>
      <c r="E42" s="46"/>
      <c r="F42" s="46"/>
    </row>
    <row r="43" spans="1:6" ht="15" x14ac:dyDescent="0.25">
      <c r="A43" t="s">
        <v>88</v>
      </c>
      <c r="B43" s="40"/>
      <c r="C43" s="46">
        <v>500000</v>
      </c>
      <c r="D43" s="46">
        <v>700000</v>
      </c>
      <c r="E43" s="46">
        <v>700000</v>
      </c>
      <c r="F43" s="46">
        <v>700000</v>
      </c>
    </row>
    <row r="44" spans="1:6" ht="15" x14ac:dyDescent="0.25">
      <c r="A44" t="s">
        <v>90</v>
      </c>
      <c r="B44" s="40"/>
      <c r="C44" s="50">
        <v>7.0000000000000007E-2</v>
      </c>
      <c r="D44" s="50">
        <v>7.0000000000000007E-2</v>
      </c>
      <c r="E44" s="50">
        <v>7.0000000000000007E-2</v>
      </c>
      <c r="F44" s="50">
        <v>7.0000000000000007E-2</v>
      </c>
    </row>
    <row r="45" spans="1:6" ht="15" x14ac:dyDescent="0.25">
      <c r="A45" t="s">
        <v>91</v>
      </c>
      <c r="B45" s="40"/>
      <c r="C45" s="14">
        <f>C44*C21</f>
        <v>175000.00000000003</v>
      </c>
      <c r="D45" s="14">
        <f t="shared" ref="D45:F45" si="13">D44*D21</f>
        <v>196000.00000000003</v>
      </c>
      <c r="E45" s="14">
        <f t="shared" si="13"/>
        <v>147000</v>
      </c>
      <c r="F45" s="14">
        <f t="shared" si="13"/>
        <v>98000.000000000015</v>
      </c>
    </row>
    <row r="46" spans="1:6" ht="15" x14ac:dyDescent="0.25">
      <c r="B46" s="40"/>
      <c r="C46" s="40"/>
      <c r="D46" s="40"/>
      <c r="E46" s="40"/>
      <c r="F46" s="40"/>
    </row>
    <row r="47" spans="1:6" ht="15" x14ac:dyDescent="0.25">
      <c r="B47" s="40"/>
      <c r="C47" s="40"/>
      <c r="D47" s="40"/>
      <c r="E47" s="40"/>
      <c r="F47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DDE-C657-4091-81CE-49ED591FD205}">
  <dimension ref="A1:E22"/>
  <sheetViews>
    <sheetView zoomScale="178" zoomScaleNormal="178" workbookViewId="0">
      <pane ySplit="1" topLeftCell="A8" activePane="bottomLeft" state="frozen"/>
      <selection pane="bottomLeft" activeCell="E6" sqref="E6"/>
    </sheetView>
  </sheetViews>
  <sheetFormatPr defaultRowHeight="15" x14ac:dyDescent="0.25"/>
  <cols>
    <col min="1" max="1" width="28.140625" customWidth="1"/>
    <col min="2" max="5" width="18.85546875" customWidth="1"/>
  </cols>
  <sheetData>
    <row r="1" spans="1:5" ht="15.75" x14ac:dyDescent="0.25">
      <c r="A1" s="19" t="s">
        <v>92</v>
      </c>
      <c r="B1" s="3" t="s">
        <v>14</v>
      </c>
      <c r="C1" s="3" t="s">
        <v>15</v>
      </c>
      <c r="D1" s="3" t="s">
        <v>16</v>
      </c>
      <c r="E1" s="3" t="s">
        <v>17</v>
      </c>
    </row>
    <row r="3" spans="1:5" x14ac:dyDescent="0.25">
      <c r="A3" s="19" t="s">
        <v>47</v>
      </c>
      <c r="B3" s="52">
        <f>'Income Statement'!B35</f>
        <v>-2918.4999999999923</v>
      </c>
      <c r="C3" s="14">
        <f>'Income Statement'!C35</f>
        <v>42919.499999999978</v>
      </c>
      <c r="D3" s="14">
        <f>'Income Statement'!D35</f>
        <v>293059.00000000006</v>
      </c>
      <c r="E3" s="14">
        <f>'Income Statement'!E35</f>
        <v>851532.50000000012</v>
      </c>
    </row>
    <row r="5" spans="1:5" x14ac:dyDescent="0.25">
      <c r="A5" s="17" t="s">
        <v>93</v>
      </c>
    </row>
    <row r="6" spans="1:5" x14ac:dyDescent="0.25">
      <c r="A6" s="19" t="s">
        <v>100</v>
      </c>
      <c r="B6" s="15">
        <f>'Capex and Depreciation Schedule'!C13</f>
        <v>26666.666666666668</v>
      </c>
      <c r="C6" s="15">
        <f>'Capex and Depreciation Schedule'!D13</f>
        <v>60000</v>
      </c>
      <c r="D6" s="15">
        <f>'Capex and Depreciation Schedule'!E13</f>
        <v>99333.333333333343</v>
      </c>
      <c r="E6" s="15">
        <f>'Capex and Depreciation Schedule'!F13</f>
        <v>82666.666666666672</v>
      </c>
    </row>
    <row r="7" spans="1:5" x14ac:dyDescent="0.25">
      <c r="A7" s="19" t="s">
        <v>96</v>
      </c>
      <c r="B7" s="53">
        <f>'Balance Sheet'!B6-'Balance Sheet'!C6</f>
        <v>-10000</v>
      </c>
      <c r="C7" s="53">
        <f>'Balance Sheet'!C6-'Balance Sheet'!D6</f>
        <v>10375</v>
      </c>
      <c r="D7" s="53">
        <f>'Balance Sheet'!D6-'Balance Sheet'!E6</f>
        <v>-119625</v>
      </c>
      <c r="E7" s="53">
        <f>'Balance Sheet'!E6-'Balance Sheet'!F6</f>
        <v>-250125</v>
      </c>
    </row>
    <row r="8" spans="1:5" x14ac:dyDescent="0.25">
      <c r="A8" s="19" t="s">
        <v>97</v>
      </c>
      <c r="B8" s="15">
        <f>'Balance Sheet'!C17-'Balance Sheet'!B17</f>
        <v>16350</v>
      </c>
      <c r="C8" s="15">
        <f>'Balance Sheet'!D17-'Balance Sheet'!C17</f>
        <v>52200</v>
      </c>
      <c r="D8" s="15">
        <f>'Balance Sheet'!E17-'Balance Sheet'!D17</f>
        <v>143550</v>
      </c>
      <c r="E8" s="15">
        <f>'Balance Sheet'!F17-'Balance Sheet'!E17</f>
        <v>300150</v>
      </c>
    </row>
    <row r="9" spans="1:5" x14ac:dyDescent="0.25">
      <c r="A9" s="19" t="s">
        <v>98</v>
      </c>
      <c r="B9" s="54">
        <f>'Balance Sheet'!C18-'Balance Sheet'!B18</f>
        <v>20675</v>
      </c>
      <c r="C9" s="54">
        <f>'Balance Sheet'!D18-'Balance Sheet'!C18</f>
        <v>50025</v>
      </c>
      <c r="D9" s="54">
        <f>'Balance Sheet'!E18-'Balance Sheet'!D18</f>
        <v>143550</v>
      </c>
      <c r="E9" s="54">
        <f>'Balance Sheet'!F18-'Balance Sheet'!E18</f>
        <v>543750</v>
      </c>
    </row>
    <row r="10" spans="1:5" x14ac:dyDescent="0.25">
      <c r="A10" s="19" t="s">
        <v>99</v>
      </c>
      <c r="B10" s="14">
        <f>B3+SUM(B6:B9)</f>
        <v>50773.166666666679</v>
      </c>
      <c r="C10" s="14">
        <f t="shared" ref="C10:E10" si="0">C3+SUM(C6:C9)</f>
        <v>215519.49999999997</v>
      </c>
      <c r="D10" s="14">
        <f t="shared" si="0"/>
        <v>559867.33333333349</v>
      </c>
      <c r="E10" s="14">
        <f t="shared" si="0"/>
        <v>1527974.166666667</v>
      </c>
    </row>
    <row r="11" spans="1:5" x14ac:dyDescent="0.25">
      <c r="A11" s="19"/>
    </row>
    <row r="12" spans="1:5" x14ac:dyDescent="0.25">
      <c r="A12" s="17" t="s">
        <v>94</v>
      </c>
    </row>
    <row r="13" spans="1:5" x14ac:dyDescent="0.25">
      <c r="A13" s="19" t="s">
        <v>101</v>
      </c>
      <c r="B13" s="15">
        <f>'Capex and Depreciation Schedule'!C7</f>
        <v>100000</v>
      </c>
      <c r="C13" s="15">
        <f>'Capex and Depreciation Schedule'!D7</f>
        <v>100000</v>
      </c>
      <c r="D13" s="15">
        <f>'Capex and Depreciation Schedule'!E7</f>
        <v>130000</v>
      </c>
      <c r="E13" s="15">
        <f>'Capex and Depreciation Schedule'!F7</f>
        <v>0</v>
      </c>
    </row>
    <row r="14" spans="1:5" x14ac:dyDescent="0.25">
      <c r="A14" s="19"/>
    </row>
    <row r="15" spans="1:5" x14ac:dyDescent="0.25">
      <c r="A15" s="19" t="s">
        <v>102</v>
      </c>
      <c r="B15" s="16">
        <f>B10-B13</f>
        <v>-49226.833333333321</v>
      </c>
      <c r="C15" s="16">
        <f t="shared" ref="C15:E15" si="1">C10-C13</f>
        <v>115519.49999999997</v>
      </c>
      <c r="D15" s="16">
        <f t="shared" si="1"/>
        <v>429867.33333333349</v>
      </c>
      <c r="E15" s="16">
        <f t="shared" si="1"/>
        <v>1527974.166666667</v>
      </c>
    </row>
    <row r="16" spans="1:5" x14ac:dyDescent="0.25">
      <c r="A16" s="19"/>
    </row>
    <row r="17" spans="1:5" x14ac:dyDescent="0.25">
      <c r="A17" s="17" t="s">
        <v>95</v>
      </c>
    </row>
    <row r="18" spans="1:5" x14ac:dyDescent="0.25">
      <c r="A18" s="19" t="s">
        <v>105</v>
      </c>
      <c r="B18" s="15">
        <f>-'Balance Sheet'!C43</f>
        <v>-500000</v>
      </c>
      <c r="C18" s="15">
        <f>-'Balance Sheet'!D43</f>
        <v>-700000</v>
      </c>
      <c r="D18" s="15">
        <f>-'Balance Sheet'!E43</f>
        <v>-700000</v>
      </c>
      <c r="E18" s="15">
        <f>-'Balance Sheet'!F43</f>
        <v>-700000</v>
      </c>
    </row>
    <row r="19" spans="1:5" x14ac:dyDescent="0.25">
      <c r="A19" s="19" t="s">
        <v>103</v>
      </c>
      <c r="B19" s="15">
        <f>'Balance Sheet'!C42</f>
        <v>0</v>
      </c>
      <c r="C19" s="15">
        <f>'Balance Sheet'!D42</f>
        <v>1000000</v>
      </c>
      <c r="D19" s="15">
        <f>'Balance Sheet'!E42</f>
        <v>0</v>
      </c>
      <c r="E19" s="15">
        <f>'Balance Sheet'!F42</f>
        <v>0</v>
      </c>
    </row>
    <row r="20" spans="1:5" x14ac:dyDescent="0.25">
      <c r="A20" s="19" t="s">
        <v>104</v>
      </c>
      <c r="B20" s="55">
        <f>SUM(B18:B19)</f>
        <v>-500000</v>
      </c>
      <c r="C20" s="55">
        <f t="shared" ref="C20:E20" si="2">SUM(C18:C19)</f>
        <v>300000</v>
      </c>
      <c r="D20" s="55">
        <f t="shared" si="2"/>
        <v>-700000</v>
      </c>
      <c r="E20" s="55">
        <f t="shared" si="2"/>
        <v>-700000</v>
      </c>
    </row>
    <row r="22" spans="1:5" x14ac:dyDescent="0.25">
      <c r="A22" s="19" t="s">
        <v>106</v>
      </c>
      <c r="B22" s="16">
        <f>B15+B20</f>
        <v>-549226.83333333337</v>
      </c>
      <c r="C22" s="16">
        <f t="shared" ref="C22:E22" si="3">C15+C20</f>
        <v>415519.5</v>
      </c>
      <c r="D22" s="16">
        <f t="shared" si="3"/>
        <v>-270132.66666666651</v>
      </c>
      <c r="E22" s="16">
        <f t="shared" si="3"/>
        <v>827974.16666666698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69606e6-110c-407d-89a5-8e8ee39370a8"/>
    <ds:schemaRef ds:uri="c9700d81-5e02-44ff-8ca3-a9c741dfab9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Income Statement</vt:lpstr>
      <vt:lpstr>Capex and Depreciation Schedule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2024-02-01T21:36:11Z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