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c5ea40db8019d8/Área de Trabalho/"/>
    </mc:Choice>
  </mc:AlternateContent>
  <xr:revisionPtr revIDLastSave="557" documentId="8_{090C0EE4-A01A-49B0-8C9B-20E77FE1390B}" xr6:coauthVersionLast="47" xr6:coauthVersionMax="47" xr10:uidLastSave="{EDDBBCC7-48B3-402D-840C-4BABA64A2D34}"/>
  <bookViews>
    <workbookView xWindow="20370" yWindow="-120" windowWidth="29040" windowHeight="15840" firstSheet="1" activeTab="7" xr2:uid="{21EC9F78-AF00-4D01-9AEE-DAA27D984746}"/>
  </bookViews>
  <sheets>
    <sheet name="Madeirite" sheetId="1" r:id="rId1"/>
    <sheet name="Tabua" sheetId="2" r:id="rId2"/>
    <sheet name="Planilha4" sheetId="4" r:id="rId3"/>
    <sheet name="Tabua (2)" sheetId="3" r:id="rId4"/>
    <sheet name="Vigota" sheetId="5" r:id="rId5"/>
    <sheet name="Caibros" sheetId="6" r:id="rId6"/>
    <sheet name="Planilha2" sheetId="7" r:id="rId7"/>
    <sheet name="Tabua (3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8" l="1"/>
  <c r="J25" i="8"/>
  <c r="J26" i="8" s="1"/>
  <c r="J27" i="8" s="1"/>
  <c r="J28" i="8" s="1"/>
  <c r="J24" i="8"/>
  <c r="J21" i="8"/>
  <c r="D6" i="8"/>
  <c r="C6" i="8"/>
  <c r="E6" i="8" s="1"/>
  <c r="J6" i="8" s="1"/>
  <c r="B6" i="8"/>
  <c r="E5" i="8"/>
  <c r="K14" i="8" s="1"/>
  <c r="D5" i="8"/>
  <c r="C5" i="8"/>
  <c r="B5" i="8"/>
  <c r="D4" i="8"/>
  <c r="C4" i="8"/>
  <c r="B4" i="8"/>
  <c r="D3" i="8"/>
  <c r="C3" i="8"/>
  <c r="B3" i="8"/>
  <c r="E3" i="8" s="1"/>
  <c r="K12" i="8" s="1"/>
  <c r="N1" i="8"/>
  <c r="F1" i="8"/>
  <c r="G11" i="8" s="1"/>
  <c r="M15" i="7"/>
  <c r="T10" i="7"/>
  <c r="R10" i="7"/>
  <c r="Q10" i="7"/>
  <c r="N10" i="7"/>
  <c r="T9" i="7"/>
  <c r="R9" i="7"/>
  <c r="Q9" i="7"/>
  <c r="N9" i="7"/>
  <c r="Q5" i="7"/>
  <c r="R5" i="7" s="1"/>
  <c r="T5" i="7" s="1"/>
  <c r="N5" i="7"/>
  <c r="T4" i="7"/>
  <c r="R4" i="7"/>
  <c r="Q4" i="7"/>
  <c r="N4" i="7"/>
  <c r="J8" i="7"/>
  <c r="J9" i="7"/>
  <c r="F23" i="6"/>
  <c r="D14" i="5"/>
  <c r="I16" i="5"/>
  <c r="I17" i="5"/>
  <c r="J17" i="5" s="1"/>
  <c r="H17" i="5"/>
  <c r="H16" i="5"/>
  <c r="G17" i="5"/>
  <c r="G16" i="5"/>
  <c r="E19" i="5"/>
  <c r="C19" i="5"/>
  <c r="J15" i="5"/>
  <c r="K3" i="6"/>
  <c r="K4" i="6" s="1"/>
  <c r="L2" i="6"/>
  <c r="K2" i="6"/>
  <c r="E15" i="6"/>
  <c r="F15" i="6"/>
  <c r="E3" i="6"/>
  <c r="E4" i="6"/>
  <c r="E5" i="6"/>
  <c r="E6" i="6"/>
  <c r="E7" i="6"/>
  <c r="E8" i="6"/>
  <c r="E9" i="6"/>
  <c r="E10" i="6"/>
  <c r="E11" i="6"/>
  <c r="E12" i="6"/>
  <c r="E13" i="6"/>
  <c r="E14" i="6"/>
  <c r="E2" i="6"/>
  <c r="F3" i="6"/>
  <c r="F4" i="6"/>
  <c r="F5" i="6"/>
  <c r="F6" i="6"/>
  <c r="F7" i="6"/>
  <c r="F8" i="6"/>
  <c r="F9" i="6"/>
  <c r="F10" i="6"/>
  <c r="F11" i="6"/>
  <c r="F12" i="6"/>
  <c r="F13" i="6"/>
  <c r="F14" i="6"/>
  <c r="F2" i="6"/>
  <c r="E10" i="5"/>
  <c r="B10" i="5"/>
  <c r="C10" i="5"/>
  <c r="D10" i="5"/>
  <c r="B11" i="5"/>
  <c r="C11" i="5"/>
  <c r="D11" i="5"/>
  <c r="B12" i="5"/>
  <c r="C12" i="5"/>
  <c r="D12" i="5"/>
  <c r="B13" i="5"/>
  <c r="C13" i="5"/>
  <c r="B14" i="5"/>
  <c r="C14" i="5"/>
  <c r="B15" i="5"/>
  <c r="B4" i="5"/>
  <c r="C4" i="5"/>
  <c r="D4" i="5"/>
  <c r="B5" i="5"/>
  <c r="E5" i="5" s="1"/>
  <c r="J5" i="5" s="1"/>
  <c r="C5" i="5"/>
  <c r="D5" i="5"/>
  <c r="B6" i="5"/>
  <c r="C6" i="5"/>
  <c r="E6" i="5" s="1"/>
  <c r="J6" i="5" s="1"/>
  <c r="D6" i="5"/>
  <c r="B7" i="5"/>
  <c r="C7" i="5"/>
  <c r="D7" i="5"/>
  <c r="E7" i="5" s="1"/>
  <c r="J7" i="5" s="1"/>
  <c r="B8" i="5"/>
  <c r="C8" i="5"/>
  <c r="D8" i="5"/>
  <c r="B9" i="5"/>
  <c r="E9" i="5" s="1"/>
  <c r="J9" i="5" s="1"/>
  <c r="C9" i="5"/>
  <c r="D9" i="5"/>
  <c r="D3" i="5"/>
  <c r="C3" i="5"/>
  <c r="B3" i="5"/>
  <c r="J24" i="5"/>
  <c r="J21" i="5"/>
  <c r="J25" i="5" s="1"/>
  <c r="J26" i="5" s="1"/>
  <c r="J27" i="5" s="1"/>
  <c r="J28" i="5" s="1"/>
  <c r="E4" i="5"/>
  <c r="N1" i="5"/>
  <c r="F1" i="5"/>
  <c r="G11" i="5" s="1"/>
  <c r="K2" i="4"/>
  <c r="J2" i="4"/>
  <c r="M1" i="4"/>
  <c r="L1" i="4"/>
  <c r="I2" i="4"/>
  <c r="I1" i="4"/>
  <c r="G2" i="4"/>
  <c r="D2" i="4"/>
  <c r="C2" i="4"/>
  <c r="B2" i="4"/>
  <c r="E2" i="4" s="1"/>
  <c r="G1" i="4"/>
  <c r="D1" i="4"/>
  <c r="C1" i="4"/>
  <c r="B1" i="4"/>
  <c r="E1" i="4" s="1"/>
  <c r="J28" i="3"/>
  <c r="J27" i="3"/>
  <c r="J26" i="3"/>
  <c r="J25" i="3"/>
  <c r="J24" i="3"/>
  <c r="J21" i="3"/>
  <c r="H11" i="3"/>
  <c r="G11" i="3"/>
  <c r="K4" i="3"/>
  <c r="K5" i="3"/>
  <c r="K6" i="3"/>
  <c r="K7" i="3"/>
  <c r="K8" i="3"/>
  <c r="K9" i="3"/>
  <c r="K3" i="3"/>
  <c r="I4" i="3"/>
  <c r="I5" i="3"/>
  <c r="I6" i="3"/>
  <c r="I7" i="3"/>
  <c r="I8" i="3"/>
  <c r="I9" i="3"/>
  <c r="I3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N1" i="3"/>
  <c r="F1" i="3"/>
  <c r="L1" i="3" s="1"/>
  <c r="O11" i="2"/>
  <c r="N11" i="2"/>
  <c r="N4" i="2"/>
  <c r="N5" i="2"/>
  <c r="N6" i="2"/>
  <c r="N7" i="2"/>
  <c r="N8" i="2"/>
  <c r="N9" i="2"/>
  <c r="N3" i="2"/>
  <c r="H14" i="2"/>
  <c r="H13" i="2"/>
  <c r="H12" i="2"/>
  <c r="I4" i="2"/>
  <c r="I8" i="2"/>
  <c r="I1" i="2"/>
  <c r="I5" i="2" s="1"/>
  <c r="F1" i="2"/>
  <c r="D4" i="2"/>
  <c r="D5" i="2"/>
  <c r="D6" i="2"/>
  <c r="D7" i="2"/>
  <c r="D8" i="2"/>
  <c r="D9" i="2"/>
  <c r="C4" i="2"/>
  <c r="C5" i="2"/>
  <c r="C6" i="2"/>
  <c r="C7" i="2"/>
  <c r="C8" i="2"/>
  <c r="C9" i="2"/>
  <c r="B4" i="2"/>
  <c r="B5" i="2"/>
  <c r="E5" i="2" s="1"/>
  <c r="G5" i="2" s="1"/>
  <c r="H5" i="2" s="1"/>
  <c r="B6" i="2"/>
  <c r="B7" i="2"/>
  <c r="E7" i="2" s="1"/>
  <c r="G7" i="2" s="1"/>
  <c r="H7" i="2" s="1"/>
  <c r="B8" i="2"/>
  <c r="B9" i="2"/>
  <c r="E9" i="2" s="1"/>
  <c r="G9" i="2" s="1"/>
  <c r="H9" i="2" s="1"/>
  <c r="D3" i="2"/>
  <c r="C3" i="2"/>
  <c r="B3" i="2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3" i="1"/>
  <c r="K3" i="1" s="1"/>
  <c r="L3" i="1" s="1"/>
  <c r="F4" i="1"/>
  <c r="F5" i="1"/>
  <c r="F6" i="1"/>
  <c r="F7" i="1"/>
  <c r="F8" i="1"/>
  <c r="F9" i="1"/>
  <c r="F10" i="1"/>
  <c r="F3" i="1"/>
  <c r="D4" i="1"/>
  <c r="D5" i="1"/>
  <c r="D6" i="1"/>
  <c r="D7" i="1"/>
  <c r="D8" i="1"/>
  <c r="D9" i="1"/>
  <c r="D10" i="1"/>
  <c r="D3" i="1"/>
  <c r="H11" i="8" l="1"/>
  <c r="G5" i="8"/>
  <c r="H5" i="8" s="1"/>
  <c r="G3" i="8"/>
  <c r="H3" i="8" s="1"/>
  <c r="E4" i="8"/>
  <c r="J4" i="8"/>
  <c r="K13" i="8"/>
  <c r="J3" i="8"/>
  <c r="J5" i="8"/>
  <c r="I5" i="8" s="1"/>
  <c r="K5" i="8" s="1"/>
  <c r="L1" i="8"/>
  <c r="G4" i="8"/>
  <c r="H4" i="8" s="1"/>
  <c r="I4" i="8" s="1"/>
  <c r="K4" i="8" s="1"/>
  <c r="G6" i="8"/>
  <c r="H6" i="8" s="1"/>
  <c r="I6" i="8" s="1"/>
  <c r="K6" i="8" s="1"/>
  <c r="J16" i="5"/>
  <c r="G5" i="5"/>
  <c r="H5" i="5" s="1"/>
  <c r="I5" i="5" s="1"/>
  <c r="K5" i="5" s="1"/>
  <c r="H11" i="5"/>
  <c r="G7" i="5"/>
  <c r="H7" i="5" s="1"/>
  <c r="I7" i="5" s="1"/>
  <c r="K7" i="5" s="1"/>
  <c r="G3" i="5"/>
  <c r="H3" i="5" s="1"/>
  <c r="I3" i="5" s="1"/>
  <c r="K3" i="5" s="1"/>
  <c r="E8" i="5"/>
  <c r="J8" i="5" s="1"/>
  <c r="E3" i="5"/>
  <c r="K12" i="5" s="1"/>
  <c r="J4" i="5"/>
  <c r="K13" i="5"/>
  <c r="G9" i="5"/>
  <c r="H9" i="5" s="1"/>
  <c r="I9" i="5" s="1"/>
  <c r="K9" i="5" s="1"/>
  <c r="K14" i="5"/>
  <c r="J3" i="5"/>
  <c r="L1" i="5"/>
  <c r="G4" i="5"/>
  <c r="H4" i="5" s="1"/>
  <c r="G6" i="5"/>
  <c r="H6" i="5" s="1"/>
  <c r="I6" i="5" s="1"/>
  <c r="K6" i="5" s="1"/>
  <c r="G8" i="5"/>
  <c r="H8" i="5" s="1"/>
  <c r="G8" i="3"/>
  <c r="H8" i="3" s="1"/>
  <c r="G7" i="3"/>
  <c r="H7" i="3" s="1"/>
  <c r="G4" i="3"/>
  <c r="H4" i="3" s="1"/>
  <c r="E6" i="3"/>
  <c r="J6" i="3" s="1"/>
  <c r="G3" i="3"/>
  <c r="H3" i="3" s="1"/>
  <c r="G6" i="3"/>
  <c r="H6" i="3" s="1"/>
  <c r="G9" i="3"/>
  <c r="H9" i="3" s="1"/>
  <c r="G5" i="3"/>
  <c r="H5" i="3" s="1"/>
  <c r="E5" i="3"/>
  <c r="K14" i="3" s="1"/>
  <c r="E8" i="3"/>
  <c r="J8" i="3" s="1"/>
  <c r="E9" i="3"/>
  <c r="J9" i="3" s="1"/>
  <c r="E3" i="3"/>
  <c r="J3" i="3" s="1"/>
  <c r="E4" i="3"/>
  <c r="K13" i="3" s="1"/>
  <c r="E7" i="3"/>
  <c r="J7" i="3" s="1"/>
  <c r="L8" i="3"/>
  <c r="M8" i="3" s="1"/>
  <c r="L4" i="3"/>
  <c r="L9" i="3"/>
  <c r="L5" i="3"/>
  <c r="L6" i="3"/>
  <c r="M6" i="3" s="1"/>
  <c r="L7" i="3"/>
  <c r="L3" i="3"/>
  <c r="J4" i="3"/>
  <c r="J5" i="3"/>
  <c r="I7" i="2"/>
  <c r="J7" i="2" s="1"/>
  <c r="L7" i="2" s="1"/>
  <c r="M7" i="2" s="1"/>
  <c r="J5" i="2"/>
  <c r="L5" i="2" s="1"/>
  <c r="M5" i="2" s="1"/>
  <c r="I3" i="2"/>
  <c r="J3" i="2" s="1"/>
  <c r="L3" i="2" s="1"/>
  <c r="M3" i="2" s="1"/>
  <c r="I6" i="2"/>
  <c r="I9" i="2"/>
  <c r="J9" i="2" s="1"/>
  <c r="L9" i="2" s="1"/>
  <c r="M9" i="2" s="1"/>
  <c r="E3" i="2"/>
  <c r="G3" i="2" s="1"/>
  <c r="E8" i="2"/>
  <c r="G8" i="2" s="1"/>
  <c r="H8" i="2" s="1"/>
  <c r="J8" i="2" s="1"/>
  <c r="L8" i="2" s="1"/>
  <c r="M8" i="2" s="1"/>
  <c r="E4" i="2"/>
  <c r="G4" i="2" s="1"/>
  <c r="H4" i="2" s="1"/>
  <c r="J4" i="2" s="1"/>
  <c r="L4" i="2" s="1"/>
  <c r="M4" i="2" s="1"/>
  <c r="K1" i="2"/>
  <c r="H3" i="2"/>
  <c r="E6" i="2"/>
  <c r="G6" i="2" s="1"/>
  <c r="H6" i="2" s="1"/>
  <c r="J6" i="2" s="1"/>
  <c r="L6" i="2" s="1"/>
  <c r="M6" i="2" s="1"/>
  <c r="D1" i="1"/>
  <c r="F1" i="1"/>
  <c r="H1" i="1" s="1"/>
  <c r="I3" i="8" l="1"/>
  <c r="K3" i="8" s="1"/>
  <c r="L5" i="8"/>
  <c r="M5" i="8" s="1"/>
  <c r="L3" i="8"/>
  <c r="M3" i="8" s="1"/>
  <c r="L6" i="8"/>
  <c r="M6" i="8" s="1"/>
  <c r="L4" i="8"/>
  <c r="M4" i="8" s="1"/>
  <c r="I8" i="5"/>
  <c r="K8" i="5" s="1"/>
  <c r="I4" i="5"/>
  <c r="K4" i="5" s="1"/>
  <c r="L5" i="5"/>
  <c r="M5" i="5" s="1"/>
  <c r="L6" i="5"/>
  <c r="M6" i="5" s="1"/>
  <c r="L9" i="5"/>
  <c r="M9" i="5" s="1"/>
  <c r="L7" i="5"/>
  <c r="M7" i="5" s="1"/>
  <c r="L3" i="5"/>
  <c r="M3" i="5" s="1"/>
  <c r="L4" i="5"/>
  <c r="L8" i="5"/>
  <c r="M8" i="5" s="1"/>
  <c r="K12" i="3"/>
  <c r="M9" i="3"/>
  <c r="Q9" i="3" s="1"/>
  <c r="M7" i="3"/>
  <c r="O7" i="3" s="1"/>
  <c r="P7" i="3" s="1"/>
  <c r="M5" i="3"/>
  <c r="M3" i="3"/>
  <c r="M4" i="3"/>
  <c r="Q6" i="3"/>
  <c r="O6" i="3"/>
  <c r="P6" i="3" s="1"/>
  <c r="Q8" i="3"/>
  <c r="O8" i="3"/>
  <c r="P8" i="3" s="1"/>
  <c r="O4" i="8" l="1"/>
  <c r="P4" i="8" s="1"/>
  <c r="Q4" i="8"/>
  <c r="Q3" i="8"/>
  <c r="O3" i="8"/>
  <c r="P3" i="8" s="1"/>
  <c r="Q5" i="8"/>
  <c r="O5" i="8"/>
  <c r="P5" i="8" s="1"/>
  <c r="O6" i="8"/>
  <c r="P6" i="8" s="1"/>
  <c r="Q6" i="8"/>
  <c r="M4" i="5"/>
  <c r="Q4" i="5" s="1"/>
  <c r="Q9" i="5"/>
  <c r="O9" i="5"/>
  <c r="P9" i="5" s="1"/>
  <c r="O8" i="5"/>
  <c r="P8" i="5" s="1"/>
  <c r="Q8" i="5"/>
  <c r="O4" i="5"/>
  <c r="P4" i="5" s="1"/>
  <c r="O6" i="5"/>
  <c r="P6" i="5" s="1"/>
  <c r="Q6" i="5"/>
  <c r="Q7" i="5"/>
  <c r="O7" i="5"/>
  <c r="P7" i="5" s="1"/>
  <c r="Q3" i="5"/>
  <c r="O3" i="5"/>
  <c r="P3" i="5" s="1"/>
  <c r="Q5" i="5"/>
  <c r="O5" i="5"/>
  <c r="P5" i="5" s="1"/>
  <c r="O9" i="3"/>
  <c r="P9" i="3" s="1"/>
  <c r="Q7" i="3"/>
  <c r="O3" i="3"/>
  <c r="P3" i="3" s="1"/>
  <c r="Q3" i="3"/>
  <c r="Q4" i="3"/>
  <c r="O4" i="3"/>
  <c r="P4" i="3" s="1"/>
  <c r="Q5" i="3"/>
  <c r="O5" i="3"/>
  <c r="P5" i="3" s="1"/>
  <c r="Q11" i="8" l="1"/>
  <c r="R11" i="8" s="1"/>
  <c r="Q11" i="5"/>
  <c r="R11" i="5" s="1"/>
  <c r="Q11" i="3"/>
  <c r="R11" i="3" s="1"/>
</calcChain>
</file>

<file path=xl/sharedStrings.xml><?xml version="1.0" encoding="utf-8"?>
<sst xmlns="http://schemas.openxmlformats.org/spreadsheetml/2006/main" count="102" uniqueCount="54">
  <si>
    <t>Custo</t>
  </si>
  <si>
    <t>Custo + Frete</t>
  </si>
  <si>
    <t>Total Mercadoria</t>
  </si>
  <si>
    <t>Total + Frete</t>
  </si>
  <si>
    <t>Qtde</t>
  </si>
  <si>
    <t>FRETE</t>
  </si>
  <si>
    <t>VALOR+FRETE</t>
  </si>
  <si>
    <t>VALOR MERCADORIA</t>
  </si>
  <si>
    <t>%</t>
  </si>
  <si>
    <t>Preço Original</t>
  </si>
  <si>
    <t>MADEIRITE COLA BRANCA 5 MM</t>
  </si>
  <si>
    <t>MADEIRITE COLA BRANCA 9 MM</t>
  </si>
  <si>
    <t>MADEIRITE COLA BRANCA 14 MM</t>
  </si>
  <si>
    <t>MADEIRITE COLA BRANCA 17 MM</t>
  </si>
  <si>
    <t>MADEIRITE PLASTIFICADO 10 MM</t>
  </si>
  <si>
    <t>MADEIRITE PLASTIFICADO 12 MM</t>
  </si>
  <si>
    <t>MADEIRITE PLASTIFICADO 14 MM</t>
  </si>
  <si>
    <t>MADEIRITE PLASTIFICADO 17 MM</t>
  </si>
  <si>
    <t>TABUA PINUS 0,15 X 0,020 X 3,0</t>
  </si>
  <si>
    <t>TABUA PINUS 0,20 X 0,020 X 3,0</t>
  </si>
  <si>
    <t>TABUA PINUS 0,27 X 0,020 X 3,0</t>
  </si>
  <si>
    <t>TABUA PINUS 0,30 X 0,020 X 3,0</t>
  </si>
  <si>
    <t>Cubicagem</t>
  </si>
  <si>
    <t>M3</t>
  </si>
  <si>
    <t>Frete</t>
  </si>
  <si>
    <t>Total M3</t>
  </si>
  <si>
    <t>Frete por M3</t>
  </si>
  <si>
    <t>TABUA PINUS 0,15 X 0,023 X 3,0</t>
  </si>
  <si>
    <t>TABUA PINUS 0,20 X 0,023 X 3,0</t>
  </si>
  <si>
    <t>TABUA PINUS 0,30 X 0,023 X 3,0</t>
  </si>
  <si>
    <t>VIGOTA 5 X 30 CM 4,0 MTS PEROBA</t>
  </si>
  <si>
    <t>VIGOTA 5 X 30 CM 4,5 MTS PEROBA</t>
  </si>
  <si>
    <t>VIGOTA 5 X 30 CM 5,0 MTS PEROBA</t>
  </si>
  <si>
    <t>VIGOTA 5 X 30 CM 5,5 MTS PEROBA</t>
  </si>
  <si>
    <t>VIGOTA 5 X 30 CM 6,0 MTS PEROBA</t>
  </si>
  <si>
    <t>VIGOTA 5 X 30 CM 6,5 MTS PEROBA</t>
  </si>
  <si>
    <t>VIGOTA 5 X 30 CM 7,0 MTS PEROBA</t>
  </si>
  <si>
    <t>VIGOTA 5 X 30 CM 7,5 MTS PEROBA</t>
  </si>
  <si>
    <t>PEROBA</t>
  </si>
  <si>
    <t>VIGOTA</t>
  </si>
  <si>
    <t/>
  </si>
  <si>
    <t>VIGOTA 8 X 30 CM 4,5 MTS PEROBA</t>
  </si>
  <si>
    <t>VIGOTA 8 X 30 CM 5 MTS PEROBA</t>
  </si>
  <si>
    <t>VIGOTA 8 X 30 CM 5,5 MTS PEROBA</t>
  </si>
  <si>
    <t>VIGOTA 8 X 30 CM 6 MTS PEROBA</t>
  </si>
  <si>
    <t>VIGOTA 8 X 30 CM 6,5 MTS PEROBA</t>
  </si>
  <si>
    <t>VIGOTA 8 X 30 CM 7 MTS PEROBA</t>
  </si>
  <si>
    <t>VIGOTA 8 X 30 CM 7,5 MTS PEROBA</t>
  </si>
  <si>
    <t>VIGOTA 8 X 30 CM 8 MTS PEROBA</t>
  </si>
  <si>
    <t>VIGOTA 8 X 30 CM 8,5 MTS PEROBA</t>
  </si>
  <si>
    <t>VIGOTA 8 X 30 CM 9 MTS PEROBA</t>
  </si>
  <si>
    <t>TABUA PINUS 0,15 X 0,025 X 3,0</t>
  </si>
  <si>
    <t>TABUA PINUS 0,20 X 0,025 X 3,0</t>
  </si>
  <si>
    <t>TABUA PINUS 0,27 X 0,025 X 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</si>
</sst>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000%"/>
    <numFmt numFmtId="165" formatCode="0.00000%"/>
    <numFmt numFmtId="166" formatCode="_-&quot;R$&quot;\ * #,##0.0000_-;\-&quot;R$&quot;\ * #,##0.00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0" applyNumberFormat="1"/>
    <xf numFmtId="9" fontId="0" fillId="0" borderId="0" xfId="2" applyFont="1"/>
    <xf numFmtId="44" fontId="0" fillId="2" borderId="0" xfId="0" applyNumberFormat="1" applyFill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4" fontId="2" fillId="0" borderId="1" xfId="0" applyNumberFormat="1" applyFont="1" applyBorder="1"/>
    <xf numFmtId="0" fontId="2" fillId="0" borderId="0" xfId="0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2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4C57-353E-4477-A953-9DD03BA189B3}">
  <dimension ref="A1:M10"/>
  <sheetViews>
    <sheetView workbookViewId="0">
      <selection sqref="A1:L3"/>
    </sheetView>
  </sheetViews>
  <sheetFormatPr defaultRowHeight="15" x14ac:dyDescent="0.25"/>
  <cols>
    <col min="1" max="1" width="67.85546875" customWidth="1"/>
    <col min="2" max="2" width="14.42578125" customWidth="1"/>
    <col min="3" max="3" width="14.5703125" customWidth="1"/>
    <col min="4" max="4" width="16.140625" bestFit="1" customWidth="1"/>
    <col min="5" max="6" width="14.5703125" customWidth="1"/>
    <col min="7" max="7" width="9.5703125" bestFit="1" customWidth="1"/>
    <col min="8" max="8" width="12.140625" bestFit="1" customWidth="1"/>
    <col min="9" max="11" width="10.5703125" bestFit="1" customWidth="1"/>
    <col min="13" max="13" width="9.5703125" bestFit="1" customWidth="1"/>
  </cols>
  <sheetData>
    <row r="1" spans="1:13" x14ac:dyDescent="0.25">
      <c r="C1" t="s">
        <v>7</v>
      </c>
      <c r="D1" s="1">
        <f>SUM(D3:D10)</f>
        <v>57310</v>
      </c>
      <c r="E1" t="s">
        <v>6</v>
      </c>
      <c r="F1" s="2">
        <f>SUM(F3:F10)</f>
        <v>66381.5</v>
      </c>
      <c r="G1" t="s">
        <v>5</v>
      </c>
      <c r="H1" s="2">
        <f>F1-D1</f>
        <v>9071.5</v>
      </c>
    </row>
    <row r="2" spans="1:13" x14ac:dyDescent="0.25">
      <c r="B2" t="s">
        <v>4</v>
      </c>
      <c r="C2" t="s">
        <v>0</v>
      </c>
      <c r="D2" t="s">
        <v>2</v>
      </c>
      <c r="E2" t="s">
        <v>1</v>
      </c>
      <c r="F2" t="s">
        <v>3</v>
      </c>
      <c r="G2" s="17" t="s">
        <v>9</v>
      </c>
      <c r="H2" s="17"/>
      <c r="I2" s="17"/>
      <c r="J2" s="3">
        <v>0.45</v>
      </c>
      <c r="K2" s="3">
        <v>0.37</v>
      </c>
      <c r="L2" t="s">
        <v>8</v>
      </c>
    </row>
    <row r="3" spans="1:13" x14ac:dyDescent="0.25">
      <c r="A3" t="s">
        <v>10</v>
      </c>
      <c r="B3">
        <v>150</v>
      </c>
      <c r="C3" s="1">
        <v>20.7</v>
      </c>
      <c r="D3" s="1">
        <f>B3*C3</f>
        <v>3105</v>
      </c>
      <c r="E3" s="2">
        <v>24.56</v>
      </c>
      <c r="F3" s="2">
        <f>B3*E3</f>
        <v>3684</v>
      </c>
      <c r="G3" s="5">
        <v>19.28</v>
      </c>
      <c r="H3" s="5">
        <v>23.29</v>
      </c>
      <c r="I3" s="5">
        <v>47.88</v>
      </c>
      <c r="J3" s="2">
        <f>E3*(1+$J$2)</f>
        <v>35.611999999999995</v>
      </c>
      <c r="K3" s="2">
        <f>J3*(1+$K$2)</f>
        <v>48.788439999999994</v>
      </c>
      <c r="L3" s="4">
        <f>(K3-I3)/I3</f>
        <v>1.8973266499582114E-2</v>
      </c>
      <c r="M3" s="2"/>
    </row>
    <row r="4" spans="1:13" x14ac:dyDescent="0.25">
      <c r="A4" t="s">
        <v>11</v>
      </c>
      <c r="B4">
        <v>100</v>
      </c>
      <c r="C4" s="1">
        <v>35.17</v>
      </c>
      <c r="D4" s="1">
        <f t="shared" ref="D4:D10" si="0">B4*C4</f>
        <v>3517</v>
      </c>
      <c r="E4" s="2">
        <v>42.14</v>
      </c>
      <c r="F4" s="2">
        <f t="shared" ref="F4:F10" si="1">B4*E4</f>
        <v>4214</v>
      </c>
      <c r="G4" s="5">
        <v>32.67</v>
      </c>
      <c r="H4" s="5">
        <v>40.07</v>
      </c>
      <c r="I4" s="5">
        <v>82.34</v>
      </c>
      <c r="J4" s="2">
        <f t="shared" ref="J4:J10" si="2">E4*(1+$J$2)</f>
        <v>61.103000000000002</v>
      </c>
      <c r="K4" s="2">
        <f t="shared" ref="K4:K10" si="3">J4*(1+$K$2)</f>
        <v>83.711110000000005</v>
      </c>
      <c r="L4" s="4">
        <f t="shared" ref="L4:L10" si="4">(K4-I4)/I4</f>
        <v>1.6651809570075317E-2</v>
      </c>
    </row>
    <row r="5" spans="1:13" x14ac:dyDescent="0.25">
      <c r="A5" t="s">
        <v>12</v>
      </c>
      <c r="B5">
        <v>100</v>
      </c>
      <c r="C5" s="1">
        <v>50.79</v>
      </c>
      <c r="D5" s="1">
        <f t="shared" si="0"/>
        <v>5079</v>
      </c>
      <c r="E5" s="2">
        <v>60.87</v>
      </c>
      <c r="F5" s="2">
        <f t="shared" si="1"/>
        <v>6087</v>
      </c>
      <c r="G5" s="5">
        <v>47.19</v>
      </c>
      <c r="H5" s="5">
        <v>57.88</v>
      </c>
      <c r="I5" s="5">
        <v>118.94</v>
      </c>
      <c r="J5" s="2">
        <f t="shared" si="2"/>
        <v>88.261499999999998</v>
      </c>
      <c r="K5" s="2">
        <f t="shared" si="3"/>
        <v>120.918255</v>
      </c>
      <c r="L5" s="4">
        <f t="shared" si="4"/>
        <v>1.6632377669413185E-2</v>
      </c>
    </row>
    <row r="6" spans="1:13" x14ac:dyDescent="0.25">
      <c r="A6" t="s">
        <v>13</v>
      </c>
      <c r="B6">
        <v>50</v>
      </c>
      <c r="C6" s="1">
        <v>54.73</v>
      </c>
      <c r="D6" s="1">
        <f t="shared" si="0"/>
        <v>2736.5</v>
      </c>
      <c r="E6" s="2">
        <v>65.569999999999993</v>
      </c>
      <c r="F6" s="2">
        <f t="shared" si="1"/>
        <v>3278.4999999999995</v>
      </c>
      <c r="G6" s="5">
        <v>67.84</v>
      </c>
      <c r="H6" s="5">
        <v>80.180000000000007</v>
      </c>
      <c r="I6" s="5">
        <v>175.75</v>
      </c>
      <c r="J6" s="2">
        <f t="shared" si="2"/>
        <v>95.076499999999982</v>
      </c>
      <c r="K6" s="2">
        <f t="shared" si="3"/>
        <v>130.25480499999998</v>
      </c>
      <c r="L6" s="4">
        <f t="shared" si="4"/>
        <v>-0.25886312944523482</v>
      </c>
    </row>
    <row r="7" spans="1:13" x14ac:dyDescent="0.25">
      <c r="A7" t="s">
        <v>14</v>
      </c>
      <c r="B7">
        <v>100</v>
      </c>
      <c r="C7" s="1">
        <v>55.16</v>
      </c>
      <c r="D7" s="1">
        <f t="shared" si="0"/>
        <v>5516</v>
      </c>
      <c r="E7" s="2">
        <v>62.9</v>
      </c>
      <c r="F7" s="2">
        <f t="shared" si="1"/>
        <v>6290</v>
      </c>
      <c r="G7" s="5">
        <v>51.54</v>
      </c>
      <c r="H7" s="5">
        <v>58.5</v>
      </c>
      <c r="I7" s="5">
        <v>113.82</v>
      </c>
      <c r="J7" s="2">
        <f t="shared" si="2"/>
        <v>91.204999999999998</v>
      </c>
      <c r="K7" s="2">
        <f t="shared" si="3"/>
        <v>124.95085</v>
      </c>
      <c r="L7" s="4">
        <f t="shared" si="4"/>
        <v>9.7793445791600861E-2</v>
      </c>
    </row>
    <row r="8" spans="1:13" x14ac:dyDescent="0.25">
      <c r="A8" t="s">
        <v>15</v>
      </c>
      <c r="B8">
        <v>250</v>
      </c>
      <c r="C8" s="1">
        <v>59.42</v>
      </c>
      <c r="D8" s="1">
        <f t="shared" si="0"/>
        <v>14855</v>
      </c>
      <c r="E8" s="2">
        <v>67.83</v>
      </c>
      <c r="F8" s="2">
        <f t="shared" si="1"/>
        <v>16957.5</v>
      </c>
      <c r="G8" s="5">
        <v>55.64</v>
      </c>
      <c r="H8" s="5">
        <v>63.63</v>
      </c>
      <c r="I8" s="5">
        <v>122.93</v>
      </c>
      <c r="J8" s="2">
        <f t="shared" si="2"/>
        <v>98.353499999999997</v>
      </c>
      <c r="K8" s="2">
        <f t="shared" si="3"/>
        <v>134.74429499999999</v>
      </c>
      <c r="L8" s="4">
        <f t="shared" si="4"/>
        <v>9.6105873261205454E-2</v>
      </c>
    </row>
    <row r="9" spans="1:13" x14ac:dyDescent="0.25">
      <c r="A9" t="s">
        <v>16</v>
      </c>
      <c r="B9">
        <v>150</v>
      </c>
      <c r="C9" s="1">
        <v>67.23</v>
      </c>
      <c r="D9" s="1">
        <f t="shared" si="0"/>
        <v>10084.5</v>
      </c>
      <c r="E9" s="2">
        <v>77.31</v>
      </c>
      <c r="F9" s="2">
        <f t="shared" si="1"/>
        <v>11596.5</v>
      </c>
      <c r="G9" s="5">
        <v>62.56</v>
      </c>
      <c r="H9" s="5">
        <v>72</v>
      </c>
      <c r="I9" s="5">
        <v>144.19999999999999</v>
      </c>
      <c r="J9" s="2">
        <f t="shared" si="2"/>
        <v>112.09950000000001</v>
      </c>
      <c r="K9" s="2">
        <f t="shared" si="3"/>
        <v>153.57631500000002</v>
      </c>
      <c r="L9" s="4">
        <f t="shared" si="4"/>
        <v>6.5022988904299819E-2</v>
      </c>
    </row>
    <row r="10" spans="1:13" x14ac:dyDescent="0.25">
      <c r="A10" t="s">
        <v>17</v>
      </c>
      <c r="B10">
        <v>150</v>
      </c>
      <c r="C10" s="1">
        <v>82.78</v>
      </c>
      <c r="D10" s="1">
        <f t="shared" si="0"/>
        <v>12417</v>
      </c>
      <c r="E10" s="2">
        <v>95.16</v>
      </c>
      <c r="F10" s="2">
        <f t="shared" si="1"/>
        <v>14274</v>
      </c>
      <c r="G10" s="5">
        <v>73.38</v>
      </c>
      <c r="H10" s="5">
        <v>85</v>
      </c>
      <c r="I10" s="5">
        <v>178.72</v>
      </c>
      <c r="J10" s="2">
        <f t="shared" si="2"/>
        <v>137.982</v>
      </c>
      <c r="K10" s="2">
        <f t="shared" si="3"/>
        <v>189.03534000000002</v>
      </c>
      <c r="L10" s="4">
        <f t="shared" si="4"/>
        <v>5.7717882721575763E-2</v>
      </c>
    </row>
  </sheetData>
  <mergeCells count="1">
    <mergeCell ref="G2:I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C897-F2C7-44F2-AF13-6766FA658899}">
  <dimension ref="A1:O15"/>
  <sheetViews>
    <sheetView workbookViewId="0">
      <selection activeCell="A3" sqref="A3:H3"/>
    </sheetView>
  </sheetViews>
  <sheetFormatPr defaultRowHeight="15" x14ac:dyDescent="0.25"/>
  <cols>
    <col min="1" max="1" width="28.28515625" bestFit="1" customWidth="1"/>
    <col min="2" max="2" width="5" bestFit="1" customWidth="1"/>
    <col min="3" max="3" width="5.5703125" bestFit="1" customWidth="1"/>
    <col min="4" max="4" width="3.5703125" bestFit="1" customWidth="1"/>
    <col min="5" max="5" width="10.85546875" bestFit="1" customWidth="1"/>
    <col min="6" max="6" width="7" bestFit="1" customWidth="1"/>
    <col min="7" max="7" width="12" bestFit="1" customWidth="1"/>
    <col min="8" max="10" width="12.140625" bestFit="1" customWidth="1"/>
    <col min="11" max="11" width="16.140625" bestFit="1" customWidth="1"/>
    <col min="12" max="12" width="9.5703125" bestFit="1" customWidth="1"/>
    <col min="13" max="15" width="13.28515625" bestFit="1" customWidth="1"/>
  </cols>
  <sheetData>
    <row r="1" spans="1:15" x14ac:dyDescent="0.25">
      <c r="E1" s="6" t="s">
        <v>25</v>
      </c>
      <c r="F1" s="7">
        <f>SUM(F3:F9)</f>
        <v>63.073000000000008</v>
      </c>
      <c r="H1" s="6" t="s">
        <v>26</v>
      </c>
      <c r="I1" s="8">
        <f>M1/F1</f>
        <v>209.99999999999997</v>
      </c>
      <c r="K1" s="1">
        <f>SUM(K3:K10)</f>
        <v>66639.790000000008</v>
      </c>
      <c r="L1" t="s">
        <v>5</v>
      </c>
      <c r="M1" s="2">
        <v>13245.33</v>
      </c>
    </row>
    <row r="2" spans="1:15" x14ac:dyDescent="0.25">
      <c r="E2" t="s">
        <v>22</v>
      </c>
      <c r="F2" t="s">
        <v>23</v>
      </c>
      <c r="G2" t="s">
        <v>4</v>
      </c>
      <c r="H2" t="s">
        <v>0</v>
      </c>
      <c r="I2" t="s">
        <v>24</v>
      </c>
      <c r="J2" t="s">
        <v>1</v>
      </c>
      <c r="K2" t="s">
        <v>2</v>
      </c>
      <c r="L2" s="3">
        <v>0.45</v>
      </c>
      <c r="M2" s="3">
        <v>0.37</v>
      </c>
    </row>
    <row r="3" spans="1:15" x14ac:dyDescent="0.25">
      <c r="A3" t="s">
        <v>18</v>
      </c>
      <c r="B3" t="str">
        <f>MID((A3),12,5)</f>
        <v xml:space="preserve"> 0,15</v>
      </c>
      <c r="C3" t="str">
        <f>MID((A3),20,5)</f>
        <v>0,020</v>
      </c>
      <c r="D3" t="str">
        <f>MID((A3),28,3)</f>
        <v>3,0</v>
      </c>
      <c r="E3">
        <f>B3*C3*D3</f>
        <v>9.0000000000000011E-3</v>
      </c>
      <c r="F3">
        <v>8.82</v>
      </c>
      <c r="G3">
        <f>F3/E3</f>
        <v>979.99999999999989</v>
      </c>
      <c r="H3" s="1">
        <f>K3/G3</f>
        <v>7.9200000000000017</v>
      </c>
      <c r="I3" s="1">
        <f>F3*$I$1</f>
        <v>1852.1999999999998</v>
      </c>
      <c r="J3" s="1">
        <f>(I3/G3)+H3</f>
        <v>9.8100000000000023</v>
      </c>
      <c r="K3" s="1">
        <v>7761.6</v>
      </c>
      <c r="L3" s="2">
        <f>J3*(1+$L$2)</f>
        <v>14.224500000000003</v>
      </c>
      <c r="M3" s="2">
        <f>L3*(1+$M$2)</f>
        <v>19.487565000000004</v>
      </c>
      <c r="N3" s="1">
        <f>J3*G3</f>
        <v>9613.8000000000011</v>
      </c>
    </row>
    <row r="4" spans="1:15" x14ac:dyDescent="0.25">
      <c r="A4" t="s">
        <v>19</v>
      </c>
      <c r="B4" t="str">
        <f t="shared" ref="B4:B9" si="0">MID((A4),12,5)</f>
        <v xml:space="preserve"> 0,20</v>
      </c>
      <c r="C4" t="str">
        <f t="shared" ref="C4:C9" si="1">MID((A4),20,5)</f>
        <v>0,020</v>
      </c>
      <c r="D4" t="str">
        <f t="shared" ref="D4:D9" si="2">MID((A4),28,3)</f>
        <v>3,0</v>
      </c>
      <c r="E4">
        <f t="shared" ref="E4:E9" si="3">B4*C4*D4</f>
        <v>1.2E-2</v>
      </c>
      <c r="F4">
        <v>6.3</v>
      </c>
      <c r="G4">
        <f t="shared" ref="G4:G9" si="4">F4/E4</f>
        <v>525</v>
      </c>
      <c r="H4" s="1">
        <f t="shared" ref="H4:H9" si="5">K4/G4</f>
        <v>10.56</v>
      </c>
      <c r="I4" s="1">
        <f t="shared" ref="I4:I9" si="6">F4*$I$1</f>
        <v>1322.9999999999998</v>
      </c>
      <c r="J4" s="1">
        <f t="shared" ref="J4:J9" si="7">(I4/G4)+H4</f>
        <v>13.08</v>
      </c>
      <c r="K4" s="1">
        <v>5544</v>
      </c>
      <c r="L4" s="2">
        <f t="shared" ref="L4:L9" si="8">J4*(1+$L$2)</f>
        <v>18.966000000000001</v>
      </c>
      <c r="M4" s="2">
        <f t="shared" ref="M4:M9" si="9">L4*(1+$M$2)</f>
        <v>25.983420000000002</v>
      </c>
      <c r="N4" s="1">
        <f t="shared" ref="N4:N9" si="10">J4*G4</f>
        <v>6867</v>
      </c>
    </row>
    <row r="5" spans="1:15" x14ac:dyDescent="0.25">
      <c r="A5" t="s">
        <v>20</v>
      </c>
      <c r="B5" t="str">
        <f t="shared" si="0"/>
        <v xml:space="preserve"> 0,27</v>
      </c>
      <c r="C5" t="str">
        <f t="shared" si="1"/>
        <v>0,020</v>
      </c>
      <c r="D5" t="str">
        <f t="shared" si="2"/>
        <v>3,0</v>
      </c>
      <c r="E5">
        <f t="shared" si="3"/>
        <v>1.6199999999999999E-2</v>
      </c>
      <c r="F5">
        <v>5.8319999999999999</v>
      </c>
      <c r="G5">
        <f t="shared" si="4"/>
        <v>360</v>
      </c>
      <c r="H5" s="1">
        <f t="shared" si="5"/>
        <v>15.389999999999999</v>
      </c>
      <c r="I5" s="1">
        <f t="shared" si="6"/>
        <v>1224.7199999999998</v>
      </c>
      <c r="J5" s="1">
        <f t="shared" si="7"/>
        <v>18.791999999999998</v>
      </c>
      <c r="K5" s="1">
        <v>5540.4</v>
      </c>
      <c r="L5" s="2">
        <f t="shared" si="8"/>
        <v>27.248399999999997</v>
      </c>
      <c r="M5" s="2">
        <f t="shared" si="9"/>
        <v>37.330307999999995</v>
      </c>
      <c r="N5" s="1">
        <f t="shared" si="10"/>
        <v>6765.119999999999</v>
      </c>
    </row>
    <row r="6" spans="1:15" x14ac:dyDescent="0.25">
      <c r="A6" t="s">
        <v>21</v>
      </c>
      <c r="B6" t="str">
        <f t="shared" si="0"/>
        <v xml:space="preserve"> 0,30</v>
      </c>
      <c r="C6" t="str">
        <f t="shared" si="1"/>
        <v>0,020</v>
      </c>
      <c r="D6" t="str">
        <f t="shared" si="2"/>
        <v>3,0</v>
      </c>
      <c r="E6">
        <f t="shared" si="3"/>
        <v>1.8000000000000002E-2</v>
      </c>
      <c r="F6">
        <v>20.952000000000002</v>
      </c>
      <c r="G6">
        <f t="shared" si="4"/>
        <v>1164</v>
      </c>
      <c r="H6" s="1">
        <f t="shared" si="5"/>
        <v>21.959999999999997</v>
      </c>
      <c r="I6" s="1">
        <f t="shared" si="6"/>
        <v>4399.92</v>
      </c>
      <c r="J6" s="1">
        <f t="shared" si="7"/>
        <v>25.74</v>
      </c>
      <c r="K6" s="1">
        <v>25561.439999999999</v>
      </c>
      <c r="L6" s="2">
        <f t="shared" si="8"/>
        <v>37.322999999999993</v>
      </c>
      <c r="M6" s="2">
        <f t="shared" si="9"/>
        <v>51.132509999999996</v>
      </c>
      <c r="N6" s="1">
        <f t="shared" si="10"/>
        <v>29961.359999999997</v>
      </c>
    </row>
    <row r="7" spans="1:15" x14ac:dyDescent="0.25">
      <c r="A7" t="s">
        <v>27</v>
      </c>
      <c r="B7" t="str">
        <f t="shared" si="0"/>
        <v xml:space="preserve"> 0,15</v>
      </c>
      <c r="C7" t="str">
        <f t="shared" si="1"/>
        <v>0,023</v>
      </c>
      <c r="D7" t="str">
        <f t="shared" si="2"/>
        <v>3,0</v>
      </c>
      <c r="E7">
        <f t="shared" si="3"/>
        <v>1.035E-2</v>
      </c>
      <c r="F7">
        <v>7.5350000000000001</v>
      </c>
      <c r="G7">
        <f t="shared" si="4"/>
        <v>728.01932367149766</v>
      </c>
      <c r="H7" s="1">
        <f t="shared" si="5"/>
        <v>9.107752753815527</v>
      </c>
      <c r="I7" s="1">
        <f t="shared" si="6"/>
        <v>1582.35</v>
      </c>
      <c r="J7" s="1">
        <f t="shared" si="7"/>
        <v>11.281252753815526</v>
      </c>
      <c r="K7" s="1">
        <v>6630.62</v>
      </c>
      <c r="L7" s="2">
        <f t="shared" si="8"/>
        <v>16.357816493032512</v>
      </c>
      <c r="M7" s="2">
        <f t="shared" si="9"/>
        <v>22.410208595454545</v>
      </c>
      <c r="N7" s="1">
        <f t="shared" si="10"/>
        <v>8212.9699999999993</v>
      </c>
    </row>
    <row r="8" spans="1:15" x14ac:dyDescent="0.25">
      <c r="A8" t="s">
        <v>28</v>
      </c>
      <c r="B8" t="str">
        <f t="shared" si="0"/>
        <v xml:space="preserve"> 0,20</v>
      </c>
      <c r="C8" t="str">
        <f t="shared" si="1"/>
        <v>0,023</v>
      </c>
      <c r="D8" t="str">
        <f t="shared" si="2"/>
        <v>3,0</v>
      </c>
      <c r="E8">
        <f t="shared" si="3"/>
        <v>1.38E-2</v>
      </c>
      <c r="F8">
        <v>3.036</v>
      </c>
      <c r="G8">
        <f t="shared" si="4"/>
        <v>220</v>
      </c>
      <c r="H8" s="1">
        <f t="shared" si="5"/>
        <v>12.144</v>
      </c>
      <c r="I8" s="1">
        <f t="shared" si="6"/>
        <v>637.55999999999995</v>
      </c>
      <c r="J8" s="1">
        <f t="shared" si="7"/>
        <v>15.042</v>
      </c>
      <c r="K8" s="1">
        <v>2671.68</v>
      </c>
      <c r="L8" s="2">
        <f t="shared" si="8"/>
        <v>21.8109</v>
      </c>
      <c r="M8" s="2">
        <f t="shared" si="9"/>
        <v>29.880933000000002</v>
      </c>
      <c r="N8" s="1">
        <f t="shared" si="10"/>
        <v>3309.24</v>
      </c>
    </row>
    <row r="9" spans="1:15" x14ac:dyDescent="0.25">
      <c r="A9" t="s">
        <v>29</v>
      </c>
      <c r="B9" t="str">
        <f t="shared" si="0"/>
        <v xml:space="preserve"> 0,30</v>
      </c>
      <c r="C9" t="str">
        <f t="shared" si="1"/>
        <v>0,023</v>
      </c>
      <c r="D9" t="str">
        <f t="shared" si="2"/>
        <v>3,0</v>
      </c>
      <c r="E9">
        <f t="shared" si="3"/>
        <v>2.07E-2</v>
      </c>
      <c r="F9">
        <v>10.598000000000001</v>
      </c>
      <c r="G9">
        <f t="shared" si="4"/>
        <v>511.98067632850245</v>
      </c>
      <c r="H9" s="1">
        <f t="shared" si="5"/>
        <v>25.254957067371198</v>
      </c>
      <c r="I9" s="1">
        <f t="shared" si="6"/>
        <v>2225.58</v>
      </c>
      <c r="J9" s="1">
        <f t="shared" si="7"/>
        <v>29.601957067371195</v>
      </c>
      <c r="K9" s="1">
        <v>12930.05</v>
      </c>
      <c r="L9" s="2">
        <f t="shared" si="8"/>
        <v>42.922837747688234</v>
      </c>
      <c r="M9" s="2">
        <f t="shared" si="9"/>
        <v>58.804287714332887</v>
      </c>
      <c r="N9" s="1">
        <f t="shared" si="10"/>
        <v>15155.629999999997</v>
      </c>
    </row>
    <row r="11" spans="1:15" x14ac:dyDescent="0.25">
      <c r="I11" s="2"/>
      <c r="N11" s="2">
        <f>SUM(N3:N9)</f>
        <v>79885.119999999995</v>
      </c>
      <c r="O11" s="2">
        <f>N11/F1</f>
        <v>1266.5501878775385</v>
      </c>
    </row>
    <row r="12" spans="1:15" x14ac:dyDescent="0.25">
      <c r="G12">
        <v>880</v>
      </c>
      <c r="H12">
        <f>G12*E3</f>
        <v>7.9200000000000008</v>
      </c>
    </row>
    <row r="13" spans="1:15" x14ac:dyDescent="0.25">
      <c r="H13">
        <f>G12*E4</f>
        <v>10.56</v>
      </c>
    </row>
    <row r="14" spans="1:15" x14ac:dyDescent="0.25">
      <c r="G14">
        <v>950</v>
      </c>
      <c r="H14">
        <f>G14*E5</f>
        <v>15.389999999999999</v>
      </c>
    </row>
    <row r="15" spans="1:15" x14ac:dyDescent="0.25">
      <c r="G15">
        <v>1220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801F-D1E2-45BD-9A92-233F1D0D0FBC}">
  <dimension ref="A1:M2"/>
  <sheetViews>
    <sheetView workbookViewId="0">
      <selection activeCell="A4" sqref="A4"/>
    </sheetView>
  </sheetViews>
  <sheetFormatPr defaultRowHeight="15" x14ac:dyDescent="0.25"/>
  <cols>
    <col min="1" max="1" width="28.28515625" bestFit="1" customWidth="1"/>
    <col min="8" max="8" width="9.5703125" bestFit="1" customWidth="1"/>
    <col min="9" max="9" width="12.140625" bestFit="1" customWidth="1"/>
  </cols>
  <sheetData>
    <row r="1" spans="1:13" x14ac:dyDescent="0.25">
      <c r="A1" t="s">
        <v>18</v>
      </c>
      <c r="B1" t="str">
        <f>MID((A1),12,5)</f>
        <v xml:space="preserve"> 0,15</v>
      </c>
      <c r="C1" t="str">
        <f>MID((A1),20,5)</f>
        <v>0,020</v>
      </c>
      <c r="D1" t="str">
        <f>MID((A1),28,3)</f>
        <v>3,0</v>
      </c>
      <c r="E1">
        <f>B1*C1*D1</f>
        <v>9.0000000000000011E-3</v>
      </c>
      <c r="F1">
        <v>9.4991610000000009</v>
      </c>
      <c r="G1">
        <f>F1/E1</f>
        <v>1055.4623333333334</v>
      </c>
      <c r="H1" s="1">
        <v>11.41</v>
      </c>
      <c r="I1" s="2">
        <f>H1/E1</f>
        <v>1267.7777777777776</v>
      </c>
      <c r="J1">
        <v>1056.55</v>
      </c>
      <c r="K1">
        <v>1266.55</v>
      </c>
      <c r="L1" s="10">
        <f>1-(J1/G1)</f>
        <v>-1.0305120631179943E-3</v>
      </c>
      <c r="M1" s="11">
        <f>1-(K1/I1)</f>
        <v>9.6844872918477876E-4</v>
      </c>
    </row>
    <row r="2" spans="1:13" x14ac:dyDescent="0.25">
      <c r="A2" t="s">
        <v>19</v>
      </c>
      <c r="B2" t="str">
        <f>MID((A2),12,5)</f>
        <v xml:space="preserve"> 0,20</v>
      </c>
      <c r="C2" t="str">
        <f>MID((A2),20,5)</f>
        <v>0,020</v>
      </c>
      <c r="D2" t="str">
        <f>MID((A2),28,3)</f>
        <v>3,0</v>
      </c>
      <c r="E2">
        <f>B2*C2*D2</f>
        <v>1.2E-2</v>
      </c>
      <c r="F2">
        <v>12.66554</v>
      </c>
      <c r="G2">
        <f>F2/E2</f>
        <v>1055.4616666666666</v>
      </c>
      <c r="H2" s="1">
        <v>15.21</v>
      </c>
      <c r="I2" s="2">
        <f>H2/E2</f>
        <v>1267.5</v>
      </c>
      <c r="J2" s="10">
        <f>1-(G1/J1)</f>
        <v>1.029451201236653E-3</v>
      </c>
      <c r="K2" s="10">
        <f>1-(I1/K1)</f>
        <v>-9.6938753130770827E-4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B833-31C8-489D-925F-61C24816B61D}">
  <dimension ref="A1:R28"/>
  <sheetViews>
    <sheetView workbookViewId="0">
      <selection activeCell="A3" sqref="A3"/>
    </sheetView>
  </sheetViews>
  <sheetFormatPr defaultRowHeight="15" x14ac:dyDescent="0.25"/>
  <cols>
    <col min="1" max="1" width="28.28515625" bestFit="1" customWidth="1"/>
    <col min="2" max="2" width="5" customWidth="1"/>
    <col min="3" max="3" width="5.5703125" customWidth="1"/>
    <col min="4" max="4" width="3.5703125" customWidth="1"/>
    <col min="5" max="5" width="10.85546875" customWidth="1"/>
    <col min="6" max="6" width="7" customWidth="1"/>
    <col min="7" max="7" width="12" customWidth="1"/>
    <col min="8" max="9" width="13.28515625" customWidth="1"/>
    <col min="10" max="10" width="12" customWidth="1"/>
    <col min="11" max="11" width="12.140625" bestFit="1" customWidth="1"/>
    <col min="12" max="12" width="12.140625" customWidth="1"/>
    <col min="13" max="13" width="12.140625" bestFit="1" customWidth="1"/>
    <col min="14" max="14" width="16.140625" customWidth="1"/>
    <col min="15" max="15" width="9.5703125" customWidth="1"/>
    <col min="16" max="18" width="13.28515625" bestFit="1" customWidth="1"/>
  </cols>
  <sheetData>
    <row r="1" spans="1:18" x14ac:dyDescent="0.25">
      <c r="E1" s="6" t="s">
        <v>25</v>
      </c>
      <c r="F1" s="7">
        <f>SUM(F3:F9)</f>
        <v>63.073000000000008</v>
      </c>
      <c r="G1" s="9"/>
      <c r="H1" s="1">
        <v>66639.789999999994</v>
      </c>
      <c r="I1" s="1"/>
      <c r="K1" s="6" t="s">
        <v>26</v>
      </c>
      <c r="L1" s="8">
        <f>P1/F1</f>
        <v>209.99999999999997</v>
      </c>
      <c r="N1" s="1">
        <f>SUM(N3:N10)</f>
        <v>66639.790000000008</v>
      </c>
      <c r="O1" t="s">
        <v>5</v>
      </c>
      <c r="P1" s="2">
        <v>13245.33</v>
      </c>
    </row>
    <row r="2" spans="1:18" x14ac:dyDescent="0.25">
      <c r="E2" t="s">
        <v>22</v>
      </c>
      <c r="F2" t="s">
        <v>23</v>
      </c>
      <c r="J2" t="s">
        <v>4</v>
      </c>
      <c r="K2" t="s">
        <v>0</v>
      </c>
      <c r="L2" t="s">
        <v>24</v>
      </c>
      <c r="M2" t="s">
        <v>1</v>
      </c>
      <c r="N2" t="s">
        <v>2</v>
      </c>
      <c r="O2" s="3">
        <v>0.45</v>
      </c>
      <c r="P2" s="3">
        <v>0.37</v>
      </c>
    </row>
    <row r="3" spans="1:18" x14ac:dyDescent="0.25">
      <c r="A3" t="s">
        <v>18</v>
      </c>
      <c r="B3" t="str">
        <f>MID((A3),12,5)</f>
        <v xml:space="preserve"> 0,15</v>
      </c>
      <c r="C3" t="str">
        <f>MID((A3),20,5)</f>
        <v>0,020</v>
      </c>
      <c r="D3" t="str">
        <f>MID((A3),28,3)</f>
        <v>3,0</v>
      </c>
      <c r="E3">
        <f>B3*C3*D3</f>
        <v>9.0000000000000011E-3</v>
      </c>
      <c r="F3">
        <v>8.82</v>
      </c>
      <c r="G3">
        <f>F3/$F$1</f>
        <v>0.13983796553200259</v>
      </c>
      <c r="H3" s="2">
        <f>$H$1*G3</f>
        <v>9318.7726570798895</v>
      </c>
      <c r="I3" s="2">
        <f>H3/J3</f>
        <v>9.5089516908978471</v>
      </c>
      <c r="J3">
        <f>F3/E3</f>
        <v>979.99999999999989</v>
      </c>
      <c r="K3" s="12">
        <f>I3</f>
        <v>9.5089516908978471</v>
      </c>
      <c r="L3" s="1">
        <f>F3*$L$1</f>
        <v>1852.1999999999998</v>
      </c>
      <c r="M3" s="1">
        <f>(L3/J3)+K3</f>
        <v>11.398951690897848</v>
      </c>
      <c r="N3" s="1">
        <v>7761.6</v>
      </c>
      <c r="O3" s="2">
        <f>M3*(1+$O$2)</f>
        <v>16.528479951801877</v>
      </c>
      <c r="P3" s="2">
        <f>O3*(1+$P$2)</f>
        <v>22.644017533968572</v>
      </c>
      <c r="Q3" s="1">
        <f>M3*J3</f>
        <v>11170.97265707989</v>
      </c>
    </row>
    <row r="4" spans="1:18" x14ac:dyDescent="0.25">
      <c r="A4" t="s">
        <v>19</v>
      </c>
      <c r="B4" t="str">
        <f t="shared" ref="B4:B9" si="0">MID((A4),12,5)</f>
        <v xml:space="preserve"> 0,20</v>
      </c>
      <c r="C4" t="str">
        <f t="shared" ref="C4:C9" si="1">MID((A4),20,5)</f>
        <v>0,020</v>
      </c>
      <c r="D4" t="str">
        <f t="shared" ref="D4:D9" si="2">MID((A4),28,3)</f>
        <v>3,0</v>
      </c>
      <c r="E4">
        <f t="shared" ref="E4:E9" si="3">B4*C4*D4</f>
        <v>1.2E-2</v>
      </c>
      <c r="F4">
        <v>6.3</v>
      </c>
      <c r="G4">
        <f t="shared" ref="G4:G9" si="4">F4/$F$1</f>
        <v>9.9884261094287552E-2</v>
      </c>
      <c r="H4" s="2">
        <f t="shared" ref="H4:H9" si="5">$H$1*G4</f>
        <v>6656.2661836284924</v>
      </c>
      <c r="I4" s="2">
        <f t="shared" ref="I4:I9" si="6">H4/J4</f>
        <v>12.678602254530462</v>
      </c>
      <c r="J4">
        <f t="shared" ref="J4:J9" si="7">F4/E4</f>
        <v>525</v>
      </c>
      <c r="K4" s="12">
        <f t="shared" ref="K4:K9" si="8">I4</f>
        <v>12.678602254530462</v>
      </c>
      <c r="L4" s="1">
        <f t="shared" ref="L4:L9" si="9">F4*$L$1</f>
        <v>1322.9999999999998</v>
      </c>
      <c r="M4" s="1">
        <f t="shared" ref="M4:M9" si="10">(L4/J4)+K4</f>
        <v>15.198602254530462</v>
      </c>
      <c r="N4" s="1">
        <v>5544</v>
      </c>
      <c r="O4" s="2">
        <f t="shared" ref="O4:O9" si="11">M4*(1+$O$2)</f>
        <v>22.03797326906917</v>
      </c>
      <c r="P4" s="2">
        <f t="shared" ref="P4:P9" si="12">O4*(1+$P$2)</f>
        <v>30.192023378624764</v>
      </c>
      <c r="Q4" s="1">
        <f t="shared" ref="Q4:Q9" si="13">M4*J4</f>
        <v>7979.2661836284924</v>
      </c>
    </row>
    <row r="5" spans="1:18" x14ac:dyDescent="0.25">
      <c r="A5" t="s">
        <v>20</v>
      </c>
      <c r="B5" t="str">
        <f t="shared" si="0"/>
        <v xml:space="preserve"> 0,27</v>
      </c>
      <c r="C5" t="str">
        <f t="shared" si="1"/>
        <v>0,020</v>
      </c>
      <c r="D5" t="str">
        <f t="shared" si="2"/>
        <v>3,0</v>
      </c>
      <c r="E5">
        <f t="shared" si="3"/>
        <v>1.6199999999999999E-2</v>
      </c>
      <c r="F5">
        <v>5.8319999999999999</v>
      </c>
      <c r="G5">
        <f t="shared" si="4"/>
        <v>9.2464287412997628E-2</v>
      </c>
      <c r="H5" s="2">
        <f t="shared" si="5"/>
        <v>6161.8006957018042</v>
      </c>
      <c r="I5" s="2">
        <f t="shared" si="6"/>
        <v>17.116113043616124</v>
      </c>
      <c r="J5">
        <f t="shared" si="7"/>
        <v>360</v>
      </c>
      <c r="K5" s="12">
        <f t="shared" si="8"/>
        <v>17.116113043616124</v>
      </c>
      <c r="L5" s="1">
        <f t="shared" si="9"/>
        <v>1224.7199999999998</v>
      </c>
      <c r="M5" s="1">
        <f t="shared" si="10"/>
        <v>20.518113043616125</v>
      </c>
      <c r="N5" s="1">
        <v>5540.4</v>
      </c>
      <c r="O5" s="2">
        <f t="shared" si="11"/>
        <v>29.751263913243381</v>
      </c>
      <c r="P5" s="2">
        <f t="shared" si="12"/>
        <v>40.759231561143437</v>
      </c>
      <c r="Q5" s="1">
        <f t="shared" si="13"/>
        <v>7386.5206957018054</v>
      </c>
    </row>
    <row r="6" spans="1:18" x14ac:dyDescent="0.25">
      <c r="A6" t="s">
        <v>21</v>
      </c>
      <c r="B6" t="str">
        <f t="shared" si="0"/>
        <v xml:space="preserve"> 0,30</v>
      </c>
      <c r="C6" t="str">
        <f t="shared" si="1"/>
        <v>0,020</v>
      </c>
      <c r="D6" t="str">
        <f t="shared" si="2"/>
        <v>3,0</v>
      </c>
      <c r="E6">
        <f t="shared" si="3"/>
        <v>1.8000000000000002E-2</v>
      </c>
      <c r="F6">
        <v>20.952000000000002</v>
      </c>
      <c r="G6">
        <f t="shared" si="4"/>
        <v>0.33218651403928778</v>
      </c>
      <c r="H6" s="2">
        <f t="shared" si="5"/>
        <v>22136.839536410189</v>
      </c>
      <c r="I6" s="2">
        <f t="shared" si="6"/>
        <v>19.017903381795694</v>
      </c>
      <c r="J6">
        <f t="shared" si="7"/>
        <v>1164</v>
      </c>
      <c r="K6" s="12">
        <f t="shared" si="8"/>
        <v>19.017903381795694</v>
      </c>
      <c r="L6" s="1">
        <f t="shared" si="9"/>
        <v>4399.92</v>
      </c>
      <c r="M6" s="1">
        <f t="shared" si="10"/>
        <v>22.797903381795695</v>
      </c>
      <c r="N6" s="1">
        <v>25561.439999999999</v>
      </c>
      <c r="O6" s="2">
        <f t="shared" si="11"/>
        <v>33.056959903603754</v>
      </c>
      <c r="P6" s="2">
        <f t="shared" si="12"/>
        <v>45.288035067937145</v>
      </c>
      <c r="Q6" s="1">
        <f t="shared" si="13"/>
        <v>26536.759536410191</v>
      </c>
    </row>
    <row r="7" spans="1:18" x14ac:dyDescent="0.25">
      <c r="A7" t="s">
        <v>27</v>
      </c>
      <c r="B7" t="str">
        <f t="shared" si="0"/>
        <v xml:space="preserve"> 0,15</v>
      </c>
      <c r="C7" t="str">
        <f t="shared" si="1"/>
        <v>0,023</v>
      </c>
      <c r="D7" t="str">
        <f t="shared" si="2"/>
        <v>3,0</v>
      </c>
      <c r="E7">
        <f t="shared" si="3"/>
        <v>1.035E-2</v>
      </c>
      <c r="F7">
        <v>7.5350000000000001</v>
      </c>
      <c r="G7">
        <f t="shared" si="4"/>
        <v>0.11946474719769155</v>
      </c>
      <c r="H7" s="2">
        <f t="shared" si="5"/>
        <v>7961.1056656572528</v>
      </c>
      <c r="I7" s="2">
        <f t="shared" si="6"/>
        <v>10.935294444532522</v>
      </c>
      <c r="J7">
        <f t="shared" si="7"/>
        <v>728.01932367149766</v>
      </c>
      <c r="K7" s="12">
        <f t="shared" si="8"/>
        <v>10.935294444532522</v>
      </c>
      <c r="L7" s="1">
        <f t="shared" si="9"/>
        <v>1582.35</v>
      </c>
      <c r="M7" s="1">
        <f t="shared" si="10"/>
        <v>13.108794444532521</v>
      </c>
      <c r="N7" s="1">
        <v>6630.62</v>
      </c>
      <c r="O7" s="2">
        <f t="shared" si="11"/>
        <v>19.007751944572153</v>
      </c>
      <c r="P7" s="2">
        <f t="shared" si="12"/>
        <v>26.040620164063853</v>
      </c>
      <c r="Q7" s="1">
        <f t="shared" si="13"/>
        <v>9543.4556656572513</v>
      </c>
    </row>
    <row r="8" spans="1:18" x14ac:dyDescent="0.25">
      <c r="A8" t="s">
        <v>28</v>
      </c>
      <c r="B8" t="str">
        <f t="shared" si="0"/>
        <v xml:space="preserve"> 0,20</v>
      </c>
      <c r="C8" t="str">
        <f t="shared" si="1"/>
        <v>0,023</v>
      </c>
      <c r="D8" t="str">
        <f t="shared" si="2"/>
        <v>3,0</v>
      </c>
      <c r="E8">
        <f t="shared" si="3"/>
        <v>1.38E-2</v>
      </c>
      <c r="F8">
        <v>3.036</v>
      </c>
      <c r="G8">
        <f t="shared" si="4"/>
        <v>4.8134701060675716E-2</v>
      </c>
      <c r="H8" s="2">
        <f t="shared" si="5"/>
        <v>3207.6863703962067</v>
      </c>
      <c r="I8" s="2">
        <f t="shared" si="6"/>
        <v>14.58039259271003</v>
      </c>
      <c r="J8">
        <f t="shared" si="7"/>
        <v>220</v>
      </c>
      <c r="K8" s="12">
        <f t="shared" si="8"/>
        <v>14.58039259271003</v>
      </c>
      <c r="L8" s="1">
        <f t="shared" si="9"/>
        <v>637.55999999999995</v>
      </c>
      <c r="M8" s="1">
        <f t="shared" si="10"/>
        <v>17.47839259271003</v>
      </c>
      <c r="N8" s="1">
        <v>2671.68</v>
      </c>
      <c r="O8" s="2">
        <f t="shared" si="11"/>
        <v>25.343669259429543</v>
      </c>
      <c r="P8" s="2">
        <f t="shared" si="12"/>
        <v>34.720826885418475</v>
      </c>
      <c r="Q8" s="1">
        <f t="shared" si="13"/>
        <v>3845.2463703962067</v>
      </c>
    </row>
    <row r="9" spans="1:18" x14ac:dyDescent="0.25">
      <c r="A9" t="s">
        <v>29</v>
      </c>
      <c r="B9" t="str">
        <f t="shared" si="0"/>
        <v xml:space="preserve"> 0,30</v>
      </c>
      <c r="C9" t="str">
        <f t="shared" si="1"/>
        <v>0,023</v>
      </c>
      <c r="D9" t="str">
        <f t="shared" si="2"/>
        <v>3,0</v>
      </c>
      <c r="E9">
        <f t="shared" si="3"/>
        <v>2.07E-2</v>
      </c>
      <c r="F9">
        <v>10.598000000000001</v>
      </c>
      <c r="G9">
        <f t="shared" si="4"/>
        <v>0.16802752366305709</v>
      </c>
      <c r="H9" s="2">
        <f t="shared" si="5"/>
        <v>11197.318891126155</v>
      </c>
      <c r="I9" s="2">
        <f t="shared" si="6"/>
        <v>21.870588889065051</v>
      </c>
      <c r="J9">
        <f t="shared" si="7"/>
        <v>511.98067632850245</v>
      </c>
      <c r="K9" s="12">
        <f t="shared" si="8"/>
        <v>21.870588889065051</v>
      </c>
      <c r="L9" s="1">
        <f t="shared" si="9"/>
        <v>2225.58</v>
      </c>
      <c r="M9" s="1">
        <f t="shared" si="10"/>
        <v>26.217588889065048</v>
      </c>
      <c r="N9" s="1">
        <v>12930.05</v>
      </c>
      <c r="O9" s="2">
        <f t="shared" si="11"/>
        <v>38.01550388914432</v>
      </c>
      <c r="P9" s="2">
        <f t="shared" si="12"/>
        <v>52.08124032812772</v>
      </c>
      <c r="Q9" s="1">
        <f t="shared" si="13"/>
        <v>13422.898891126155</v>
      </c>
    </row>
    <row r="11" spans="1:18" x14ac:dyDescent="0.25">
      <c r="G11" s="2">
        <f>H1/F1</f>
        <v>1056.5501878775385</v>
      </c>
      <c r="H11" s="2">
        <f>(N1+P1)/F1</f>
        <v>1266.5501878775387</v>
      </c>
      <c r="L11" s="2"/>
      <c r="Q11" s="2">
        <f>SUM(Q3:Q9)</f>
        <v>79885.119999999995</v>
      </c>
      <c r="R11" s="2">
        <f>Q11/F1</f>
        <v>1266.5501878775385</v>
      </c>
    </row>
    <row r="12" spans="1:18" x14ac:dyDescent="0.25">
      <c r="J12">
        <v>880</v>
      </c>
      <c r="K12">
        <f>J12*E3</f>
        <v>7.9200000000000008</v>
      </c>
    </row>
    <row r="13" spans="1:18" x14ac:dyDescent="0.25">
      <c r="K13">
        <f>J12*E4</f>
        <v>10.56</v>
      </c>
    </row>
    <row r="14" spans="1:18" x14ac:dyDescent="0.25">
      <c r="J14">
        <v>950</v>
      </c>
      <c r="K14">
        <f>J14*E5</f>
        <v>15.389999999999999</v>
      </c>
    </row>
    <row r="15" spans="1:18" x14ac:dyDescent="0.25">
      <c r="J15">
        <v>1220</v>
      </c>
    </row>
    <row r="19" spans="10:10" x14ac:dyDescent="0.25">
      <c r="J19">
        <v>1890.56</v>
      </c>
    </row>
    <row r="20" spans="10:10" x14ac:dyDescent="0.25">
      <c r="J20">
        <v>127.24</v>
      </c>
    </row>
    <row r="21" spans="10:10" x14ac:dyDescent="0.25">
      <c r="J21" s="9">
        <f>J19+J20</f>
        <v>2017.8</v>
      </c>
    </row>
    <row r="22" spans="10:10" x14ac:dyDescent="0.25">
      <c r="J22">
        <v>1988.95</v>
      </c>
    </row>
    <row r="23" spans="10:10" x14ac:dyDescent="0.25">
      <c r="J23">
        <v>127.11</v>
      </c>
    </row>
    <row r="24" spans="10:10" x14ac:dyDescent="0.25">
      <c r="J24" s="9">
        <f>J22+J23</f>
        <v>2116.06</v>
      </c>
    </row>
    <row r="25" spans="10:10" x14ac:dyDescent="0.25">
      <c r="J25">
        <f>J21+J24</f>
        <v>4133.8599999999997</v>
      </c>
    </row>
    <row r="26" spans="10:10" x14ac:dyDescent="0.25">
      <c r="J26">
        <f>J25/22</f>
        <v>187.90272727272725</v>
      </c>
    </row>
    <row r="27" spans="10:10" x14ac:dyDescent="0.25">
      <c r="J27">
        <f>J26/8</f>
        <v>23.487840909090906</v>
      </c>
    </row>
    <row r="28" spans="10:10" x14ac:dyDescent="0.25">
      <c r="J28">
        <f>J27*3</f>
        <v>70.463522727272718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1F2-6EB2-4376-BA49-4D39BF743B40}">
  <dimension ref="A1:R28"/>
  <sheetViews>
    <sheetView workbookViewId="0">
      <selection activeCell="D15" sqref="D15"/>
    </sheetView>
  </sheetViews>
  <sheetFormatPr defaultRowHeight="15" x14ac:dyDescent="0.25"/>
  <cols>
    <col min="1" max="1" width="31.28515625" bestFit="1" customWidth="1"/>
    <col min="2" max="2" width="6.140625" bestFit="1" customWidth="1"/>
    <col min="3" max="3" width="6" bestFit="1" customWidth="1"/>
    <col min="4" max="4" width="12" bestFit="1" customWidth="1"/>
    <col min="5" max="5" width="10.85546875" customWidth="1"/>
    <col min="6" max="6" width="7" customWidth="1"/>
    <col min="7" max="7" width="12.140625" bestFit="1" customWidth="1"/>
    <col min="8" max="8" width="13.28515625" customWidth="1"/>
    <col min="9" max="9" width="9.5703125" bestFit="1" customWidth="1"/>
    <col min="10" max="10" width="12" customWidth="1"/>
    <col min="11" max="11" width="12.140625" bestFit="1" customWidth="1"/>
    <col min="12" max="12" width="12.140625" customWidth="1"/>
    <col min="13" max="13" width="12.140625" bestFit="1" customWidth="1"/>
    <col min="14" max="14" width="16.140625" customWidth="1"/>
    <col min="15" max="16" width="15.85546875" bestFit="1" customWidth="1"/>
    <col min="17" max="18" width="13.28515625" bestFit="1" customWidth="1"/>
  </cols>
  <sheetData>
    <row r="1" spans="1:18" x14ac:dyDescent="0.25">
      <c r="E1" s="6" t="s">
        <v>25</v>
      </c>
      <c r="F1" s="7">
        <f>SUM(F3:F9)</f>
        <v>46.038999999999994</v>
      </c>
      <c r="G1" s="9"/>
      <c r="H1" s="1">
        <v>66639.789999999994</v>
      </c>
      <c r="I1" s="1"/>
      <c r="K1" s="6" t="s">
        <v>26</v>
      </c>
      <c r="L1" s="8">
        <f>P1/F1</f>
        <v>287.69803861943137</v>
      </c>
      <c r="N1" s="1">
        <f>SUM(N3:N10)</f>
        <v>66639.790000000008</v>
      </c>
      <c r="O1" t="s">
        <v>5</v>
      </c>
      <c r="P1" s="2">
        <v>13245.33</v>
      </c>
    </row>
    <row r="2" spans="1:18" x14ac:dyDescent="0.25">
      <c r="E2" t="s">
        <v>22</v>
      </c>
      <c r="F2" t="s">
        <v>23</v>
      </c>
      <c r="J2" t="s">
        <v>4</v>
      </c>
      <c r="K2" t="s">
        <v>0</v>
      </c>
      <c r="L2" t="s">
        <v>24</v>
      </c>
      <c r="M2" t="s">
        <v>1</v>
      </c>
      <c r="N2" t="s">
        <v>2</v>
      </c>
      <c r="O2" s="3">
        <v>0.45</v>
      </c>
      <c r="P2" s="3">
        <v>0.37</v>
      </c>
    </row>
    <row r="3" spans="1:18" x14ac:dyDescent="0.25">
      <c r="A3" t="s">
        <v>30</v>
      </c>
      <c r="B3" t="str">
        <f>MID((A3),8,1)</f>
        <v>5</v>
      </c>
      <c r="C3" t="str">
        <f>MID((A3),12,2)</f>
        <v>30</v>
      </c>
      <c r="D3" t="str">
        <f>MID((A3),18,3)</f>
        <v>4,0</v>
      </c>
      <c r="E3">
        <f>B3*C3*D3</f>
        <v>600</v>
      </c>
      <c r="F3">
        <v>6.577</v>
      </c>
      <c r="G3">
        <f>F3/$F$1</f>
        <v>0.14285714285714288</v>
      </c>
      <c r="H3" s="2">
        <f>$H$1*G3</f>
        <v>9519.9700000000012</v>
      </c>
      <c r="I3" s="2">
        <f>H3/J3</f>
        <v>868478.33358674182</v>
      </c>
      <c r="J3">
        <f>F3/E3</f>
        <v>1.0961666666666666E-2</v>
      </c>
      <c r="K3" s="12">
        <f>I3</f>
        <v>868478.33358674182</v>
      </c>
      <c r="L3" s="1">
        <f>F3*$L$1</f>
        <v>1892.19</v>
      </c>
      <c r="M3" s="1">
        <f>(L3/J3)+K3</f>
        <v>1041097.1567584006</v>
      </c>
      <c r="N3" s="1">
        <v>7761.6</v>
      </c>
      <c r="O3" s="2">
        <f>M3*(1+$O$2)</f>
        <v>1509590.8772996808</v>
      </c>
      <c r="P3" s="2">
        <f>O3*(1+$P$2)</f>
        <v>2068139.501900563</v>
      </c>
      <c r="Q3" s="1">
        <f>M3*J3</f>
        <v>11412.160000000002</v>
      </c>
    </row>
    <row r="4" spans="1:18" x14ac:dyDescent="0.25">
      <c r="A4" t="s">
        <v>31</v>
      </c>
      <c r="B4" t="str">
        <f t="shared" ref="B4:B15" si="0">MID((A4),8,1)</f>
        <v>5</v>
      </c>
      <c r="C4" t="str">
        <f t="shared" ref="C4:C9" si="1">MID((A4),12,2)</f>
        <v>30</v>
      </c>
      <c r="D4" t="str">
        <f t="shared" ref="D4:D9" si="2">MID((A4),18,3)</f>
        <v>4,5</v>
      </c>
      <c r="E4">
        <f t="shared" ref="E4:E10" si="3">B4*C4*D4</f>
        <v>675</v>
      </c>
      <c r="F4">
        <v>6.577</v>
      </c>
      <c r="G4">
        <f t="shared" ref="G4:G9" si="4">F4/$F$1</f>
        <v>0.14285714285714288</v>
      </c>
      <c r="H4" s="2">
        <f t="shared" ref="H4:H9" si="5">$H$1*G4</f>
        <v>9519.9700000000012</v>
      </c>
      <c r="I4" s="2">
        <f t="shared" ref="I4:I9" si="6">H4/J4</f>
        <v>977038.12528508448</v>
      </c>
      <c r="J4">
        <f t="shared" ref="J4:J9" si="7">F4/E4</f>
        <v>9.7437037037037041E-3</v>
      </c>
      <c r="K4" s="12">
        <f t="shared" ref="K4:K9" si="8">I4</f>
        <v>977038.12528508448</v>
      </c>
      <c r="L4" s="1">
        <f t="shared" ref="L4:L9" si="9">F4*$L$1</f>
        <v>1892.19</v>
      </c>
      <c r="M4" s="1">
        <f t="shared" ref="M4:M9" si="10">(L4/J4)+K4</f>
        <v>1171234.3013532006</v>
      </c>
      <c r="N4" s="1">
        <v>5544</v>
      </c>
      <c r="O4" s="2">
        <f t="shared" ref="O4:O9" si="11">M4*(1+$O$2)</f>
        <v>1698289.7369621408</v>
      </c>
      <c r="P4" s="2">
        <f t="shared" ref="P4:P9" si="12">O4*(1+$P$2)</f>
        <v>2326656.9396381332</v>
      </c>
      <c r="Q4" s="1">
        <f t="shared" ref="Q4:Q9" si="13">M4*J4</f>
        <v>11412.16</v>
      </c>
    </row>
    <row r="5" spans="1:18" x14ac:dyDescent="0.25">
      <c r="A5" t="s">
        <v>32</v>
      </c>
      <c r="B5" t="str">
        <f t="shared" si="0"/>
        <v>5</v>
      </c>
      <c r="C5" t="str">
        <f t="shared" si="1"/>
        <v>30</v>
      </c>
      <c r="D5" t="str">
        <f t="shared" si="2"/>
        <v>5,0</v>
      </c>
      <c r="E5">
        <f t="shared" si="3"/>
        <v>750</v>
      </c>
      <c r="F5">
        <v>6.577</v>
      </c>
      <c r="G5">
        <f t="shared" si="4"/>
        <v>0.14285714285714288</v>
      </c>
      <c r="H5" s="2">
        <f t="shared" si="5"/>
        <v>9519.9700000000012</v>
      </c>
      <c r="I5" s="2">
        <f t="shared" si="6"/>
        <v>1085597.9169834272</v>
      </c>
      <c r="J5">
        <f t="shared" si="7"/>
        <v>8.7693333333333338E-3</v>
      </c>
      <c r="K5" s="12">
        <f t="shared" si="8"/>
        <v>1085597.9169834272</v>
      </c>
      <c r="L5" s="1">
        <f t="shared" si="9"/>
        <v>1892.19</v>
      </c>
      <c r="M5" s="1">
        <f t="shared" si="10"/>
        <v>1301371.4459480008</v>
      </c>
      <c r="N5" s="1">
        <v>5540.4</v>
      </c>
      <c r="O5" s="2">
        <f t="shared" si="11"/>
        <v>1886988.5966246012</v>
      </c>
      <c r="P5" s="2">
        <f t="shared" si="12"/>
        <v>2585174.3773757038</v>
      </c>
      <c r="Q5" s="1">
        <f t="shared" si="13"/>
        <v>11412.160000000002</v>
      </c>
    </row>
    <row r="6" spans="1:18" x14ac:dyDescent="0.25">
      <c r="A6" t="s">
        <v>33</v>
      </c>
      <c r="B6" t="str">
        <f t="shared" si="0"/>
        <v>5</v>
      </c>
      <c r="C6" t="str">
        <f t="shared" si="1"/>
        <v>30</v>
      </c>
      <c r="D6" t="str">
        <f t="shared" si="2"/>
        <v>5,5</v>
      </c>
      <c r="E6">
        <f t="shared" si="3"/>
        <v>825</v>
      </c>
      <c r="F6">
        <v>6.577</v>
      </c>
      <c r="G6">
        <f t="shared" si="4"/>
        <v>0.14285714285714288</v>
      </c>
      <c r="H6" s="2">
        <f t="shared" si="5"/>
        <v>9519.9700000000012</v>
      </c>
      <c r="I6" s="2">
        <f t="shared" si="6"/>
        <v>1194157.7086817701</v>
      </c>
      <c r="J6">
        <f t="shared" si="7"/>
        <v>7.9721212121212116E-3</v>
      </c>
      <c r="K6" s="12">
        <f t="shared" si="8"/>
        <v>1194157.7086817701</v>
      </c>
      <c r="L6" s="1">
        <f t="shared" si="9"/>
        <v>1892.19</v>
      </c>
      <c r="M6" s="1">
        <f t="shared" si="10"/>
        <v>1431508.590542801</v>
      </c>
      <c r="N6" s="1">
        <v>25561.439999999999</v>
      </c>
      <c r="O6" s="2">
        <f t="shared" si="11"/>
        <v>2075687.4562870613</v>
      </c>
      <c r="P6" s="2">
        <f t="shared" si="12"/>
        <v>2843691.8151132744</v>
      </c>
      <c r="Q6" s="1">
        <f t="shared" si="13"/>
        <v>11412.160000000002</v>
      </c>
    </row>
    <row r="7" spans="1:18" x14ac:dyDescent="0.25">
      <c r="A7" t="s">
        <v>34</v>
      </c>
      <c r="B7" t="str">
        <f t="shared" si="0"/>
        <v>5</v>
      </c>
      <c r="C7" t="str">
        <f t="shared" si="1"/>
        <v>30</v>
      </c>
      <c r="D7" t="str">
        <f t="shared" si="2"/>
        <v>6,0</v>
      </c>
      <c r="E7">
        <f t="shared" si="3"/>
        <v>900</v>
      </c>
      <c r="F7">
        <v>6.577</v>
      </c>
      <c r="G7">
        <f t="shared" si="4"/>
        <v>0.14285714285714288</v>
      </c>
      <c r="H7" s="2">
        <f t="shared" si="5"/>
        <v>9519.9700000000012</v>
      </c>
      <c r="I7" s="2">
        <f t="shared" si="6"/>
        <v>1302717.5003801128</v>
      </c>
      <c r="J7">
        <f t="shared" si="7"/>
        <v>7.3077777777777776E-3</v>
      </c>
      <c r="K7" s="12">
        <f t="shared" si="8"/>
        <v>1302717.5003801128</v>
      </c>
      <c r="L7" s="1">
        <f t="shared" si="9"/>
        <v>1892.19</v>
      </c>
      <c r="M7" s="1">
        <f t="shared" si="10"/>
        <v>1561645.7351376009</v>
      </c>
      <c r="N7" s="1">
        <v>6630.62</v>
      </c>
      <c r="O7" s="2">
        <f t="shared" si="11"/>
        <v>2264386.3159495215</v>
      </c>
      <c r="P7" s="2">
        <f t="shared" si="12"/>
        <v>3102209.2528508445</v>
      </c>
      <c r="Q7" s="1">
        <f t="shared" si="13"/>
        <v>11412.160000000002</v>
      </c>
    </row>
    <row r="8" spans="1:18" x14ac:dyDescent="0.25">
      <c r="A8" t="s">
        <v>35</v>
      </c>
      <c r="B8" t="str">
        <f t="shared" si="0"/>
        <v>5</v>
      </c>
      <c r="C8" t="str">
        <f t="shared" si="1"/>
        <v>30</v>
      </c>
      <c r="D8" t="str">
        <f t="shared" si="2"/>
        <v>6,5</v>
      </c>
      <c r="E8">
        <f t="shared" si="3"/>
        <v>975</v>
      </c>
      <c r="F8">
        <v>6.577</v>
      </c>
      <c r="G8">
        <f t="shared" si="4"/>
        <v>0.14285714285714288</v>
      </c>
      <c r="H8" s="2">
        <f t="shared" si="5"/>
        <v>9519.9700000000012</v>
      </c>
      <c r="I8" s="2">
        <f t="shared" si="6"/>
        <v>1411277.2920784554</v>
      </c>
      <c r="J8">
        <f t="shared" si="7"/>
        <v>6.7456410256410259E-3</v>
      </c>
      <c r="K8" s="12">
        <f t="shared" si="8"/>
        <v>1411277.2920784554</v>
      </c>
      <c r="L8" s="1">
        <f t="shared" si="9"/>
        <v>1892.19</v>
      </c>
      <c r="M8" s="1">
        <f t="shared" si="10"/>
        <v>1691782.8797324011</v>
      </c>
      <c r="N8" s="1">
        <v>2671.68</v>
      </c>
      <c r="O8" s="2">
        <f t="shared" si="11"/>
        <v>2453085.1756119817</v>
      </c>
      <c r="P8" s="2">
        <f t="shared" si="12"/>
        <v>3360726.6905884151</v>
      </c>
      <c r="Q8" s="1">
        <f t="shared" si="13"/>
        <v>11412.160000000003</v>
      </c>
    </row>
    <row r="9" spans="1:18" x14ac:dyDescent="0.25">
      <c r="A9" t="s">
        <v>36</v>
      </c>
      <c r="B9" t="str">
        <f t="shared" si="0"/>
        <v>5</v>
      </c>
      <c r="C9" t="str">
        <f t="shared" si="1"/>
        <v>30</v>
      </c>
      <c r="D9" t="str">
        <f t="shared" si="2"/>
        <v>7,0</v>
      </c>
      <c r="E9">
        <f t="shared" si="3"/>
        <v>1050</v>
      </c>
      <c r="F9">
        <v>6.577</v>
      </c>
      <c r="G9">
        <f t="shared" si="4"/>
        <v>0.14285714285714288</v>
      </c>
      <c r="H9" s="2">
        <f t="shared" si="5"/>
        <v>9519.9700000000012</v>
      </c>
      <c r="I9" s="2">
        <f t="shared" si="6"/>
        <v>1519837.0837767981</v>
      </c>
      <c r="J9">
        <f t="shared" si="7"/>
        <v>6.2638095238095239E-3</v>
      </c>
      <c r="K9" s="12">
        <f t="shared" si="8"/>
        <v>1519837.0837767981</v>
      </c>
      <c r="L9" s="1">
        <f t="shared" si="9"/>
        <v>1892.19</v>
      </c>
      <c r="M9" s="1">
        <f t="shared" si="10"/>
        <v>1821920.0243272011</v>
      </c>
      <c r="N9" s="1">
        <v>12930.05</v>
      </c>
      <c r="O9" s="2">
        <f t="shared" si="11"/>
        <v>2641784.0352744414</v>
      </c>
      <c r="P9" s="2">
        <f t="shared" si="12"/>
        <v>3619244.1283259848</v>
      </c>
      <c r="Q9" s="1">
        <f t="shared" si="13"/>
        <v>11412.160000000002</v>
      </c>
    </row>
    <row r="10" spans="1:18" x14ac:dyDescent="0.25">
      <c r="A10" t="s">
        <v>37</v>
      </c>
      <c r="B10" t="str">
        <f t="shared" si="0"/>
        <v>5</v>
      </c>
      <c r="C10" t="str">
        <f t="shared" ref="C10:C14" si="14">MID((A10),12,2)</f>
        <v>30</v>
      </c>
      <c r="D10" t="str">
        <f t="shared" ref="D10:D12" si="15">MID((A10),18,3)</f>
        <v>7,5</v>
      </c>
      <c r="E10">
        <f t="shared" si="3"/>
        <v>1125</v>
      </c>
      <c r="F10">
        <v>6.577</v>
      </c>
    </row>
    <row r="11" spans="1:18" x14ac:dyDescent="0.25">
      <c r="B11" t="str">
        <f t="shared" si="0"/>
        <v/>
      </c>
      <c r="C11" t="str">
        <f t="shared" si="14"/>
        <v/>
      </c>
      <c r="D11" t="str">
        <f t="shared" si="15"/>
        <v/>
      </c>
      <c r="G11" s="2">
        <f>H1/F1</f>
        <v>1447.4638893112362</v>
      </c>
      <c r="H11" s="2">
        <f>(N1+P1)/F1</f>
        <v>1735.1619279306678</v>
      </c>
      <c r="L11" s="2"/>
      <c r="Q11" s="2">
        <f>SUM(Q3:Q9)</f>
        <v>79885.120000000024</v>
      </c>
      <c r="R11" s="2">
        <f>Q11/F1</f>
        <v>1735.1619279306683</v>
      </c>
    </row>
    <row r="12" spans="1:18" x14ac:dyDescent="0.25">
      <c r="B12" t="str">
        <f t="shared" si="0"/>
        <v/>
      </c>
      <c r="C12" t="str">
        <f t="shared" si="14"/>
        <v/>
      </c>
      <c r="D12" t="str">
        <f t="shared" si="15"/>
        <v/>
      </c>
      <c r="J12">
        <v>880</v>
      </c>
      <c r="K12">
        <f>J12*E3</f>
        <v>528000</v>
      </c>
    </row>
    <row r="13" spans="1:18" x14ac:dyDescent="0.25">
      <c r="B13" t="str">
        <f t="shared" si="0"/>
        <v/>
      </c>
      <c r="C13" t="str">
        <f t="shared" si="14"/>
        <v/>
      </c>
      <c r="D13">
        <v>1400</v>
      </c>
      <c r="K13">
        <f>J12*E4</f>
        <v>594000</v>
      </c>
    </row>
    <row r="14" spans="1:18" x14ac:dyDescent="0.25">
      <c r="B14" t="str">
        <f t="shared" si="0"/>
        <v/>
      </c>
      <c r="C14" t="str">
        <f t="shared" si="14"/>
        <v/>
      </c>
      <c r="D14">
        <f>D13*0.06*0.06*4.5</f>
        <v>22.68</v>
      </c>
      <c r="J14">
        <v>950</v>
      </c>
      <c r="K14">
        <f>J14*E5</f>
        <v>712500</v>
      </c>
    </row>
    <row r="15" spans="1:18" x14ac:dyDescent="0.25">
      <c r="B15" t="str">
        <f t="shared" si="0"/>
        <v/>
      </c>
      <c r="C15">
        <v>280</v>
      </c>
      <c r="D15">
        <v>280</v>
      </c>
      <c r="F15">
        <v>3500</v>
      </c>
      <c r="G15">
        <v>0.06</v>
      </c>
      <c r="H15">
        <v>0.06</v>
      </c>
      <c r="I15">
        <v>4.5</v>
      </c>
      <c r="J15">
        <f>F15*G15*H15*I15</f>
        <v>56.699999999999996</v>
      </c>
    </row>
    <row r="16" spans="1:18" x14ac:dyDescent="0.25">
      <c r="C16">
        <v>0.08</v>
      </c>
      <c r="D16">
        <v>0.06</v>
      </c>
      <c r="F16">
        <v>3850</v>
      </c>
      <c r="G16">
        <f>G15</f>
        <v>0.06</v>
      </c>
      <c r="H16">
        <f>H15</f>
        <v>0.06</v>
      </c>
      <c r="I16">
        <f>I15</f>
        <v>4.5</v>
      </c>
      <c r="J16">
        <f t="shared" ref="J16:J17" si="16">F16*G16*H16*I16</f>
        <v>62.37</v>
      </c>
    </row>
    <row r="17" spans="3:10" x14ac:dyDescent="0.25">
      <c r="C17">
        <v>0.2</v>
      </c>
      <c r="D17">
        <v>0.12</v>
      </c>
      <c r="F17">
        <v>8220</v>
      </c>
      <c r="G17">
        <f>G15</f>
        <v>0.06</v>
      </c>
      <c r="H17">
        <f>H15</f>
        <v>0.06</v>
      </c>
      <c r="I17">
        <f>I15</f>
        <v>4.5</v>
      </c>
      <c r="J17">
        <f t="shared" si="16"/>
        <v>133.16399999999999</v>
      </c>
    </row>
    <row r="18" spans="3:10" x14ac:dyDescent="0.25">
      <c r="C18">
        <v>5</v>
      </c>
      <c r="D18">
        <v>2.5</v>
      </c>
    </row>
    <row r="19" spans="3:10" x14ac:dyDescent="0.25">
      <c r="C19">
        <f>C15/C16/C17/C18</f>
        <v>3500</v>
      </c>
      <c r="D19">
        <v>3500</v>
      </c>
      <c r="E19">
        <f>D19*D16*D17*D18</f>
        <v>63</v>
      </c>
      <c r="J19">
        <v>1890.56</v>
      </c>
    </row>
    <row r="20" spans="3:10" x14ac:dyDescent="0.25">
      <c r="J20">
        <v>127.24</v>
      </c>
    </row>
    <row r="21" spans="3:10" x14ac:dyDescent="0.25">
      <c r="J21" s="9">
        <f>J19+J20</f>
        <v>2017.8</v>
      </c>
    </row>
    <row r="22" spans="3:10" x14ac:dyDescent="0.25">
      <c r="J22">
        <v>1988.95</v>
      </c>
    </row>
    <row r="23" spans="3:10" x14ac:dyDescent="0.25">
      <c r="J23">
        <v>127.11</v>
      </c>
    </row>
    <row r="24" spans="3:10" x14ac:dyDescent="0.25">
      <c r="J24" s="9">
        <f>J22+J23</f>
        <v>2116.06</v>
      </c>
    </row>
    <row r="25" spans="3:10" x14ac:dyDescent="0.25">
      <c r="J25">
        <f>J21+J24</f>
        <v>4133.8599999999997</v>
      </c>
    </row>
    <row r="26" spans="3:10" x14ac:dyDescent="0.25">
      <c r="J26">
        <f>J25/22</f>
        <v>187.90272727272725</v>
      </c>
    </row>
    <row r="27" spans="3:10" x14ac:dyDescent="0.25">
      <c r="J27">
        <f>J26/8</f>
        <v>23.487840909090906</v>
      </c>
    </row>
    <row r="28" spans="3:10" x14ac:dyDescent="0.25">
      <c r="J28">
        <f>J27*3</f>
        <v>70.463522727272718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328-A861-45EF-B49F-182DB8BE0E4B}">
  <dimension ref="A1:N23"/>
  <sheetViews>
    <sheetView view="pageLayout" topLeftCell="A8" zoomScaleNormal="100" workbookViewId="0">
      <selection activeCell="F19" sqref="F19"/>
    </sheetView>
  </sheetViews>
  <sheetFormatPr defaultRowHeight="15" x14ac:dyDescent="0.25"/>
  <cols>
    <col min="5" max="5" width="40.5703125" style="14" bestFit="1" customWidth="1"/>
    <col min="6" max="6" width="14.85546875" customWidth="1"/>
    <col min="8" max="8" width="30.28515625" bestFit="1" customWidth="1"/>
  </cols>
  <sheetData>
    <row r="1" spans="1:14" x14ac:dyDescent="0.25">
      <c r="A1" t="s">
        <v>39</v>
      </c>
      <c r="B1">
        <v>8</v>
      </c>
      <c r="C1">
        <v>30</v>
      </c>
      <c r="D1" t="s">
        <v>38</v>
      </c>
      <c r="K1">
        <v>5</v>
      </c>
      <c r="L1">
        <v>20</v>
      </c>
      <c r="M1">
        <v>5.5</v>
      </c>
    </row>
    <row r="2" spans="1:14" ht="18.75" x14ac:dyDescent="0.3">
      <c r="B2">
        <v>250</v>
      </c>
      <c r="C2">
        <v>0</v>
      </c>
      <c r="E2" s="15" t="str">
        <f>IF(C2=0,"",$A$1&amp;" "&amp;$B$1&amp;" "&amp;"X"&amp;" "&amp;$C$1&amp;" "&amp;"CM"&amp;" "&amp;B2/100&amp;" "&amp;"MTS"&amp;" "&amp;$D$1)</f>
        <v/>
      </c>
      <c r="F2" s="13">
        <f>C2</f>
        <v>0</v>
      </c>
      <c r="H2" t="s">
        <v>40</v>
      </c>
      <c r="K2">
        <f>K1/100</f>
        <v>0.05</v>
      </c>
      <c r="L2">
        <f>L1/100</f>
        <v>0.2</v>
      </c>
      <c r="M2">
        <v>5</v>
      </c>
      <c r="N2">
        <v>513.71</v>
      </c>
    </row>
    <row r="3" spans="1:14" ht="18.75" x14ac:dyDescent="0.3">
      <c r="B3">
        <v>300</v>
      </c>
      <c r="C3">
        <v>0</v>
      </c>
      <c r="E3" s="15" t="str">
        <f t="shared" ref="E3:E15" si="0">IF(C3=0,"",$A$1&amp;" "&amp;$B$1&amp;" "&amp;"X"&amp;" "&amp;$C$1&amp;" "&amp;"CM"&amp;" "&amp;B3/100&amp;" "&amp;"MTS"&amp;" "&amp;$D$1)</f>
        <v/>
      </c>
      <c r="F3" s="13">
        <f t="shared" ref="F3:F15" si="1">C3</f>
        <v>0</v>
      </c>
      <c r="H3" t="s">
        <v>40</v>
      </c>
      <c r="K3">
        <f>N2/K2/L2/M2</f>
        <v>10274.200000000001</v>
      </c>
    </row>
    <row r="4" spans="1:14" ht="18.75" x14ac:dyDescent="0.3">
      <c r="B4">
        <v>350</v>
      </c>
      <c r="C4">
        <v>0</v>
      </c>
      <c r="E4" s="15" t="str">
        <f t="shared" si="0"/>
        <v/>
      </c>
      <c r="F4" s="13">
        <f t="shared" si="1"/>
        <v>0</v>
      </c>
      <c r="H4" t="s">
        <v>40</v>
      </c>
      <c r="K4">
        <f>K3*K2*L2*5.5</f>
        <v>565.08100000000013</v>
      </c>
    </row>
    <row r="5" spans="1:14" ht="18.75" x14ac:dyDescent="0.3">
      <c r="B5">
        <v>400</v>
      </c>
      <c r="C5">
        <v>0</v>
      </c>
      <c r="E5" s="15" t="str">
        <f t="shared" si="0"/>
        <v/>
      </c>
      <c r="F5" s="13">
        <f t="shared" si="1"/>
        <v>0</v>
      </c>
      <c r="H5" t="s">
        <v>40</v>
      </c>
    </row>
    <row r="6" spans="1:14" ht="18.75" x14ac:dyDescent="0.3">
      <c r="B6">
        <v>450</v>
      </c>
      <c r="C6">
        <v>8</v>
      </c>
      <c r="E6" s="15" t="str">
        <f t="shared" si="0"/>
        <v>VIGOTA 8 X 30 CM 4,5 MTS PEROBA</v>
      </c>
      <c r="F6" s="13">
        <f t="shared" si="1"/>
        <v>8</v>
      </c>
      <c r="H6" t="s">
        <v>41</v>
      </c>
      <c r="L6">
        <v>126.65049999999999</v>
      </c>
    </row>
    <row r="7" spans="1:14" ht="18.75" x14ac:dyDescent="0.3">
      <c r="B7">
        <v>500</v>
      </c>
      <c r="C7">
        <v>1</v>
      </c>
      <c r="E7" s="15" t="str">
        <f t="shared" si="0"/>
        <v>VIGOTA 8 X 30 CM 5 MTS PEROBA</v>
      </c>
      <c r="F7" s="13">
        <f t="shared" si="1"/>
        <v>1</v>
      </c>
      <c r="H7" t="s">
        <v>42</v>
      </c>
      <c r="L7">
        <v>151.393</v>
      </c>
    </row>
    <row r="8" spans="1:14" ht="18.75" x14ac:dyDescent="0.3">
      <c r="B8">
        <v>550</v>
      </c>
      <c r="C8">
        <v>2</v>
      </c>
      <c r="E8" s="15" t="str">
        <f t="shared" si="0"/>
        <v>VIGOTA 8 X 30 CM 5,5 MTS PEROBA</v>
      </c>
      <c r="F8" s="13">
        <f t="shared" si="1"/>
        <v>2</v>
      </c>
      <c r="H8" t="s">
        <v>43</v>
      </c>
      <c r="L8">
        <v>565.08100000000002</v>
      </c>
    </row>
    <row r="9" spans="1:14" ht="18.75" x14ac:dyDescent="0.3">
      <c r="B9">
        <v>600</v>
      </c>
      <c r="C9">
        <v>1</v>
      </c>
      <c r="E9" s="15" t="str">
        <f t="shared" si="0"/>
        <v>VIGOTA 8 X 30 CM 6 MTS PEROBA</v>
      </c>
      <c r="F9" s="13">
        <f t="shared" si="1"/>
        <v>1</v>
      </c>
      <c r="H9" t="s">
        <v>44</v>
      </c>
    </row>
    <row r="10" spans="1:14" ht="18.75" x14ac:dyDescent="0.3">
      <c r="B10">
        <v>650</v>
      </c>
      <c r="C10">
        <v>1</v>
      </c>
      <c r="E10" s="15" t="str">
        <f t="shared" si="0"/>
        <v>VIGOTA 8 X 30 CM 6,5 MTS PEROBA</v>
      </c>
      <c r="F10" s="13">
        <f t="shared" si="1"/>
        <v>1</v>
      </c>
      <c r="H10" t="s">
        <v>45</v>
      </c>
      <c r="L10">
        <v>70</v>
      </c>
    </row>
    <row r="11" spans="1:14" ht="18.75" x14ac:dyDescent="0.3">
      <c r="B11">
        <v>700</v>
      </c>
      <c r="C11">
        <v>3</v>
      </c>
      <c r="E11" s="15" t="str">
        <f t="shared" si="0"/>
        <v>VIGOTA 8 X 30 CM 7 MTS PEROBA</v>
      </c>
      <c r="F11" s="13">
        <f t="shared" si="1"/>
        <v>3</v>
      </c>
      <c r="H11" t="s">
        <v>46</v>
      </c>
    </row>
    <row r="12" spans="1:14" ht="18.75" x14ac:dyDescent="0.3">
      <c r="B12">
        <v>750</v>
      </c>
      <c r="C12">
        <v>9</v>
      </c>
      <c r="E12" s="15" t="str">
        <f t="shared" si="0"/>
        <v>VIGOTA 8 X 30 CM 7,5 MTS PEROBA</v>
      </c>
      <c r="F12" s="13">
        <f t="shared" si="1"/>
        <v>9</v>
      </c>
      <c r="H12" t="s">
        <v>47</v>
      </c>
    </row>
    <row r="13" spans="1:14" ht="18.75" x14ac:dyDescent="0.3">
      <c r="B13">
        <v>800</v>
      </c>
      <c r="C13">
        <v>7</v>
      </c>
      <c r="E13" s="15" t="str">
        <f t="shared" si="0"/>
        <v>VIGOTA 8 X 30 CM 8 MTS PEROBA</v>
      </c>
      <c r="F13" s="13">
        <f t="shared" si="1"/>
        <v>7</v>
      </c>
      <c r="H13" t="s">
        <v>48</v>
      </c>
    </row>
    <row r="14" spans="1:14" ht="18.75" x14ac:dyDescent="0.3">
      <c r="B14">
        <v>850</v>
      </c>
      <c r="C14">
        <v>2</v>
      </c>
      <c r="E14" s="15" t="str">
        <f t="shared" si="0"/>
        <v>VIGOTA 8 X 30 CM 8,5 MTS PEROBA</v>
      </c>
      <c r="F14" s="13">
        <f t="shared" si="1"/>
        <v>2</v>
      </c>
      <c r="H14" t="s">
        <v>49</v>
      </c>
    </row>
    <row r="15" spans="1:14" ht="18.75" x14ac:dyDescent="0.3">
      <c r="B15">
        <v>900</v>
      </c>
      <c r="C15">
        <v>4</v>
      </c>
      <c r="E15" s="15" t="str">
        <f t="shared" si="0"/>
        <v>VIGOTA 8 X 30 CM 9 MTS PEROBA</v>
      </c>
      <c r="F15" s="13">
        <f t="shared" si="1"/>
        <v>4</v>
      </c>
      <c r="H15" t="s">
        <v>50</v>
      </c>
    </row>
    <row r="18" spans="6:6" x14ac:dyDescent="0.25">
      <c r="F18">
        <v>7459</v>
      </c>
    </row>
    <row r="21" spans="6:6" x14ac:dyDescent="0.25">
      <c r="F21">
        <v>73691.59</v>
      </c>
    </row>
    <row r="22" spans="6:6" x14ac:dyDescent="0.25">
      <c r="F22">
        <v>13455</v>
      </c>
    </row>
    <row r="23" spans="6:6" x14ac:dyDescent="0.25">
      <c r="F23">
        <f>F21+F22</f>
        <v>87146.59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3DA6-EA83-453E-AF9D-C5A10F69F651}">
  <dimension ref="A1:T17"/>
  <sheetViews>
    <sheetView workbookViewId="0">
      <selection activeCell="M18" sqref="M18"/>
    </sheetView>
  </sheetViews>
  <sheetFormatPr defaultRowHeight="15" x14ac:dyDescent="0.25"/>
  <sheetData>
    <row r="1" spans="1:20" x14ac:dyDescent="0.25">
      <c r="A1">
        <v>1</v>
      </c>
    </row>
    <row r="2" spans="1:20" x14ac:dyDescent="0.25">
      <c r="A2">
        <v>2</v>
      </c>
    </row>
    <row r="3" spans="1:20" x14ac:dyDescent="0.25">
      <c r="A3">
        <v>3</v>
      </c>
    </row>
    <row r="4" spans="1:20" x14ac:dyDescent="0.25">
      <c r="A4">
        <v>4</v>
      </c>
      <c r="L4" s="16">
        <v>0.28958333333333336</v>
      </c>
      <c r="M4" s="16">
        <v>0.4777777777777778</v>
      </c>
      <c r="N4" s="16">
        <f>M4-L4</f>
        <v>0.18819444444444444</v>
      </c>
      <c r="O4" s="16">
        <v>0.53680555555555554</v>
      </c>
      <c r="P4" s="16">
        <v>0.75347222222222221</v>
      </c>
      <c r="Q4" s="16">
        <f>P4-O4</f>
        <v>0.21666666666666667</v>
      </c>
      <c r="R4" s="16">
        <f>Q4+N4</f>
        <v>0.40486111111111112</v>
      </c>
      <c r="S4" s="16">
        <v>0.33333333333333331</v>
      </c>
      <c r="T4" s="16">
        <f>R4-S4</f>
        <v>7.1527777777777801E-2</v>
      </c>
    </row>
    <row r="5" spans="1:20" x14ac:dyDescent="0.25">
      <c r="A5">
        <v>5</v>
      </c>
      <c r="L5" s="16">
        <v>0.28958333333333336</v>
      </c>
      <c r="M5" s="16">
        <v>0.49027777777777776</v>
      </c>
      <c r="N5" s="16">
        <f>M5-L5</f>
        <v>0.2006944444444444</v>
      </c>
      <c r="O5" s="16">
        <v>0.53472222222222221</v>
      </c>
      <c r="P5" s="16">
        <v>0.72916666666666663</v>
      </c>
      <c r="Q5" s="16">
        <f>P5-O5</f>
        <v>0.19444444444444442</v>
      </c>
      <c r="R5" s="16">
        <f>Q5+N5</f>
        <v>0.39513888888888882</v>
      </c>
      <c r="S5" s="16">
        <v>0.33333333333333331</v>
      </c>
      <c r="T5" s="16">
        <f>R5-S5</f>
        <v>6.1805555555555503E-2</v>
      </c>
    </row>
    <row r="6" spans="1:20" x14ac:dyDescent="0.25">
      <c r="A6">
        <v>6</v>
      </c>
    </row>
    <row r="7" spans="1:20" x14ac:dyDescent="0.25">
      <c r="I7">
        <v>8.4</v>
      </c>
      <c r="J7">
        <v>19.73</v>
      </c>
    </row>
    <row r="8" spans="1:20" x14ac:dyDescent="0.25">
      <c r="I8">
        <v>9.3320000000000007</v>
      </c>
      <c r="J8">
        <f>I8*J7</f>
        <v>184.12036000000001</v>
      </c>
    </row>
    <row r="9" spans="1:20" x14ac:dyDescent="0.25">
      <c r="J9">
        <f>J8/I7</f>
        <v>21.919090476190476</v>
      </c>
      <c r="L9" s="16">
        <v>0.28194444444444444</v>
      </c>
      <c r="M9" s="16">
        <v>0.47916666666666669</v>
      </c>
      <c r="N9" s="16">
        <f>M9-L9</f>
        <v>0.19722222222222224</v>
      </c>
      <c r="O9" s="16">
        <v>0.54166666666666663</v>
      </c>
      <c r="P9" s="16">
        <v>0.73958333333333337</v>
      </c>
      <c r="Q9" s="16">
        <f>P9-O9</f>
        <v>0.19791666666666674</v>
      </c>
      <c r="R9" s="16">
        <f>Q9+N9</f>
        <v>0.39513888888888898</v>
      </c>
      <c r="S9" s="16">
        <v>0.33333333333333331</v>
      </c>
      <c r="T9" s="16">
        <f>R9-S9</f>
        <v>6.1805555555555669E-2</v>
      </c>
    </row>
    <row r="10" spans="1:20" x14ac:dyDescent="0.25">
      <c r="L10" s="16">
        <v>0.28819444444444442</v>
      </c>
      <c r="M10" s="16">
        <v>0.47222222222222221</v>
      </c>
      <c r="N10" s="16">
        <f>M10-L10</f>
        <v>0.18402777777777779</v>
      </c>
      <c r="O10" s="16">
        <v>0.53055555555555556</v>
      </c>
      <c r="P10" s="16">
        <v>0.75208333333333333</v>
      </c>
      <c r="Q10" s="16">
        <f>P10-O10</f>
        <v>0.22152777777777777</v>
      </c>
      <c r="R10" s="16">
        <f>Q10+N10</f>
        <v>0.40555555555555556</v>
      </c>
      <c r="S10" s="16">
        <v>0.33333333333333331</v>
      </c>
      <c r="T10" s="16">
        <f>R10-S10</f>
        <v>7.2222222222222243E-2</v>
      </c>
    </row>
    <row r="15" spans="1:20" x14ac:dyDescent="0.25">
      <c r="L15">
        <v>180</v>
      </c>
      <c r="M15">
        <f>L15*12</f>
        <v>2160</v>
      </c>
    </row>
    <row r="17" spans="13:13" x14ac:dyDescent="0.25">
      <c r="M17">
        <v>3.6</v>
      </c>
    </row>
  </sheetData>
  <pageMargins left="0.51181102362204722" right="0.51181102362204722" top="0.78740157480314965" bottom="0.78740157480314965" header="0.31496062992125984" footer="0.31496062992125984"/>
  <pageSetup paperSize="9" orientation="portrait" r:id="rId1"/>
  <headerFooter>
    <oddFooter>&amp;L&amp;P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F247-AC04-453D-8C41-6CFB57301739}">
  <dimension ref="A1:R28"/>
  <sheetViews>
    <sheetView tabSelected="1" zoomScale="145" zoomScaleNormal="145" workbookViewId="0">
      <selection activeCell="M6" sqref="M6"/>
    </sheetView>
  </sheetViews>
  <sheetFormatPr defaultRowHeight="15" x14ac:dyDescent="0.25"/>
  <cols>
    <col min="1" max="1" width="28.28515625" bestFit="1" customWidth="1"/>
    <col min="2" max="2" width="5" customWidth="1"/>
    <col min="3" max="3" width="5.5703125" customWidth="1"/>
    <col min="4" max="4" width="3.5703125" customWidth="1"/>
    <col min="5" max="5" width="10.85546875" customWidth="1"/>
    <col min="6" max="6" width="7" customWidth="1"/>
    <col min="7" max="7" width="12" hidden="1" customWidth="1"/>
    <col min="8" max="9" width="13.28515625" hidden="1" customWidth="1"/>
    <col min="10" max="10" width="12" customWidth="1"/>
    <col min="11" max="11" width="12.140625" bestFit="1" customWidth="1"/>
    <col min="12" max="12" width="12.140625" customWidth="1"/>
    <col min="13" max="13" width="12.140625" bestFit="1" customWidth="1"/>
    <col min="14" max="14" width="16.140625" customWidth="1"/>
    <col min="15" max="15" width="9.5703125" customWidth="1"/>
    <col min="16" max="18" width="13.28515625" bestFit="1" customWidth="1"/>
  </cols>
  <sheetData>
    <row r="1" spans="1:18" x14ac:dyDescent="0.25">
      <c r="E1" s="6" t="s">
        <v>25</v>
      </c>
      <c r="F1" s="7">
        <f>SUM(F3:F9)</f>
        <v>50.106000000000002</v>
      </c>
      <c r="G1" s="9"/>
      <c r="H1" s="1">
        <v>55959.9</v>
      </c>
      <c r="I1" s="1"/>
      <c r="K1" s="6" t="s">
        <v>26</v>
      </c>
      <c r="L1" s="8">
        <f>P1/F1</f>
        <v>240</v>
      </c>
      <c r="N1" s="1">
        <f>SUM(N3:N10)</f>
        <v>44407.44</v>
      </c>
      <c r="O1" t="s">
        <v>5</v>
      </c>
      <c r="P1" s="2">
        <v>12025.44</v>
      </c>
    </row>
    <row r="2" spans="1:18" x14ac:dyDescent="0.25">
      <c r="E2" t="s">
        <v>22</v>
      </c>
      <c r="F2" t="s">
        <v>23</v>
      </c>
      <c r="J2" s="18" t="s">
        <v>4</v>
      </c>
      <c r="K2" t="s">
        <v>0</v>
      </c>
      <c r="L2" t="s">
        <v>24</v>
      </c>
      <c r="M2" t="s">
        <v>1</v>
      </c>
      <c r="N2" t="s">
        <v>2</v>
      </c>
      <c r="O2" s="3">
        <v>0.45</v>
      </c>
      <c r="P2" s="3">
        <v>0.37</v>
      </c>
    </row>
    <row r="3" spans="1:18" x14ac:dyDescent="0.25">
      <c r="A3" t="s">
        <v>51</v>
      </c>
      <c r="B3" t="str">
        <f>MID((A3),12,5)</f>
        <v xml:space="preserve"> 0,15</v>
      </c>
      <c r="C3" t="str">
        <f>MID((A3),20,5)</f>
        <v>0,025</v>
      </c>
      <c r="D3" t="str">
        <f>MID((A3),28,3)</f>
        <v>3,0</v>
      </c>
      <c r="E3">
        <f>B3*C3*D3</f>
        <v>1.125E-2</v>
      </c>
      <c r="F3">
        <v>4.8540000000000001</v>
      </c>
      <c r="G3">
        <f>F3/$F$1</f>
        <v>9.6874625793318167E-2</v>
      </c>
      <c r="H3" s="2">
        <f>$H$1*G3</f>
        <v>5421.0943719315055</v>
      </c>
      <c r="I3" s="2">
        <f>H3/J3</f>
        <v>12.564341096874626</v>
      </c>
      <c r="J3" s="18">
        <f>F3/E3</f>
        <v>431.4666666666667</v>
      </c>
      <c r="K3" s="12">
        <f>I3</f>
        <v>12.564341096874626</v>
      </c>
      <c r="L3" s="1">
        <f>F3*$L$1</f>
        <v>1164.96</v>
      </c>
      <c r="M3" s="1">
        <f>(L3/J3)+K3</f>
        <v>15.264341096874626</v>
      </c>
      <c r="N3" s="1">
        <v>7761.6</v>
      </c>
      <c r="O3" s="2">
        <f>M3*(1+$O$2)</f>
        <v>22.133294590468207</v>
      </c>
      <c r="P3" s="2">
        <f>O3*(1+$P$2)</f>
        <v>30.322613588941447</v>
      </c>
      <c r="Q3" s="1">
        <f>M3*J3</f>
        <v>6586.0543719315056</v>
      </c>
    </row>
    <row r="4" spans="1:18" x14ac:dyDescent="0.25">
      <c r="A4" t="s">
        <v>52</v>
      </c>
      <c r="B4" t="str">
        <f t="shared" ref="B4:B9" si="0">MID((A4),12,5)</f>
        <v xml:space="preserve"> 0,20</v>
      </c>
      <c r="C4" t="str">
        <f t="shared" ref="C4:C9" si="1">MID((A4),20,5)</f>
        <v>0,025</v>
      </c>
      <c r="D4" t="str">
        <f t="shared" ref="D4:D9" si="2">MID((A4),28,3)</f>
        <v>3,0</v>
      </c>
      <c r="E4">
        <f t="shared" ref="E4:E9" si="3">B4*C4*D4</f>
        <v>1.5000000000000003E-2</v>
      </c>
      <c r="F4">
        <v>6.21</v>
      </c>
      <c r="G4">
        <f t="shared" ref="G4:G9" si="4">F4/$F$1</f>
        <v>0.12393725302358999</v>
      </c>
      <c r="H4" s="2">
        <f t="shared" ref="H4:H9" si="5">$H$1*G4</f>
        <v>6935.5162854747932</v>
      </c>
      <c r="I4" s="2">
        <f t="shared" ref="I4:I9" si="6">H4/J4</f>
        <v>16.752454795832836</v>
      </c>
      <c r="J4" s="18">
        <f t="shared" ref="J4:J9" si="7">F4/E4</f>
        <v>413.99999999999994</v>
      </c>
      <c r="K4" s="12">
        <f t="shared" ref="K4:K9" si="8">I4</f>
        <v>16.752454795832836</v>
      </c>
      <c r="L4" s="1">
        <f t="shared" ref="L4:L9" si="9">F4*$L$1</f>
        <v>1490.4</v>
      </c>
      <c r="M4" s="1">
        <f t="shared" ref="M4:M9" si="10">(L4/J4)+K4</f>
        <v>20.352454795832838</v>
      </c>
      <c r="N4" s="1">
        <v>5544</v>
      </c>
      <c r="O4" s="2">
        <f t="shared" ref="O4:O9" si="11">M4*(1+$O$2)</f>
        <v>29.511059453957614</v>
      </c>
      <c r="P4" s="2">
        <f t="shared" ref="P4:P9" si="12">O4*(1+$P$2)</f>
        <v>40.430151451921937</v>
      </c>
      <c r="Q4" s="1">
        <f t="shared" ref="Q4:Q9" si="13">M4*J4</f>
        <v>8425.9162854747938</v>
      </c>
    </row>
    <row r="5" spans="1:18" x14ac:dyDescent="0.25">
      <c r="A5" t="s">
        <v>53</v>
      </c>
      <c r="B5" t="str">
        <f t="shared" si="0"/>
        <v xml:space="preserve"> 0,27</v>
      </c>
      <c r="C5" t="str">
        <f t="shared" si="1"/>
        <v>0,025</v>
      </c>
      <c r="D5" t="str">
        <f t="shared" si="2"/>
        <v>3,0</v>
      </c>
      <c r="E5">
        <f t="shared" si="3"/>
        <v>2.0250000000000004E-2</v>
      </c>
      <c r="F5">
        <v>4.1399999999999997</v>
      </c>
      <c r="G5">
        <f t="shared" si="4"/>
        <v>8.2624835349059983E-2</v>
      </c>
      <c r="H5" s="2">
        <f t="shared" si="5"/>
        <v>4623.6775236498615</v>
      </c>
      <c r="I5" s="2">
        <f t="shared" si="6"/>
        <v>22.615813974374326</v>
      </c>
      <c r="J5" s="18">
        <f t="shared" si="7"/>
        <v>204.4444444444444</v>
      </c>
      <c r="K5" s="12">
        <f t="shared" si="8"/>
        <v>22.615813974374326</v>
      </c>
      <c r="L5" s="1">
        <f t="shared" si="9"/>
        <v>993.59999999999991</v>
      </c>
      <c r="M5" s="1">
        <f t="shared" si="10"/>
        <v>27.475813974374326</v>
      </c>
      <c r="N5" s="1">
        <v>5540.4</v>
      </c>
      <c r="O5" s="2">
        <f t="shared" si="11"/>
        <v>39.839930262842771</v>
      </c>
      <c r="P5" s="2">
        <f t="shared" si="12"/>
        <v>54.580704460094601</v>
      </c>
      <c r="Q5" s="1">
        <f t="shared" si="13"/>
        <v>5617.277523649861</v>
      </c>
    </row>
    <row r="6" spans="1:18" x14ac:dyDescent="0.25">
      <c r="A6" t="s">
        <v>21</v>
      </c>
      <c r="B6" t="str">
        <f t="shared" si="0"/>
        <v xml:space="preserve"> 0,30</v>
      </c>
      <c r="C6" t="str">
        <f t="shared" si="1"/>
        <v>0,020</v>
      </c>
      <c r="D6" t="str">
        <f t="shared" si="2"/>
        <v>3,0</v>
      </c>
      <c r="E6">
        <f t="shared" si="3"/>
        <v>1.8000000000000002E-2</v>
      </c>
      <c r="F6">
        <v>34.902000000000001</v>
      </c>
      <c r="G6">
        <f t="shared" si="4"/>
        <v>0.69656328583403182</v>
      </c>
      <c r="H6" s="2">
        <f t="shared" si="5"/>
        <v>38979.611818943835</v>
      </c>
      <c r="I6" s="2">
        <f t="shared" si="6"/>
        <v>20.1029457549994</v>
      </c>
      <c r="J6" s="18">
        <f t="shared" si="7"/>
        <v>1938.9999999999998</v>
      </c>
      <c r="K6" s="12">
        <f t="shared" si="8"/>
        <v>20.1029457549994</v>
      </c>
      <c r="L6" s="1">
        <f t="shared" si="9"/>
        <v>8376.48</v>
      </c>
      <c r="M6" s="12">
        <f t="shared" si="10"/>
        <v>24.4229457549994</v>
      </c>
      <c r="N6" s="1">
        <v>25561.439999999999</v>
      </c>
      <c r="O6" s="2">
        <f t="shared" si="11"/>
        <v>35.413271344749127</v>
      </c>
      <c r="P6" s="2">
        <f t="shared" si="12"/>
        <v>48.516181742306308</v>
      </c>
      <c r="Q6" s="1">
        <f t="shared" si="13"/>
        <v>47356.091818943831</v>
      </c>
    </row>
    <row r="7" spans="1:18" x14ac:dyDescent="0.25">
      <c r="H7" s="2"/>
      <c r="I7" s="2"/>
      <c r="K7" s="12"/>
      <c r="L7" s="1"/>
      <c r="M7" s="1"/>
      <c r="N7" s="1"/>
      <c r="O7" s="2"/>
      <c r="P7" s="2"/>
      <c r="Q7" s="1"/>
    </row>
    <row r="8" spans="1:18" x14ac:dyDescent="0.25">
      <c r="H8" s="2"/>
      <c r="I8" s="2"/>
      <c r="K8" s="12"/>
      <c r="L8" s="1"/>
      <c r="M8" s="1"/>
      <c r="N8" s="1"/>
      <c r="O8" s="2"/>
      <c r="P8" s="2"/>
      <c r="Q8" s="1"/>
    </row>
    <row r="9" spans="1:18" x14ac:dyDescent="0.25">
      <c r="H9" s="2"/>
      <c r="I9" s="2"/>
      <c r="K9" s="12"/>
      <c r="L9" s="1"/>
      <c r="M9" s="1"/>
      <c r="N9" s="1"/>
      <c r="O9" s="2"/>
      <c r="P9" s="2"/>
      <c r="Q9" s="1"/>
    </row>
    <row r="11" spans="1:18" x14ac:dyDescent="0.25">
      <c r="G11" s="2">
        <f>H1/F1</f>
        <v>1116.830319722189</v>
      </c>
      <c r="H11" s="2">
        <f>(N1+P1)/F1</f>
        <v>1126.2699077954737</v>
      </c>
      <c r="L11" s="2"/>
      <c r="Q11" s="2">
        <f>SUM(Q3:Q9)</f>
        <v>67985.34</v>
      </c>
      <c r="R11" s="2">
        <f>Q11/F1</f>
        <v>1356.8303197221887</v>
      </c>
    </row>
    <row r="12" spans="1:18" x14ac:dyDescent="0.25">
      <c r="J12">
        <v>880</v>
      </c>
      <c r="K12">
        <f>J12*E3</f>
        <v>9.9</v>
      </c>
      <c r="N12">
        <v>55959.9</v>
      </c>
    </row>
    <row r="13" spans="1:18" x14ac:dyDescent="0.25">
      <c r="K13">
        <f>J12*E4</f>
        <v>13.200000000000003</v>
      </c>
      <c r="N13">
        <v>12025.44</v>
      </c>
    </row>
    <row r="14" spans="1:18" x14ac:dyDescent="0.25">
      <c r="J14">
        <v>950</v>
      </c>
      <c r="K14">
        <f>J14*E5</f>
        <v>19.237500000000004</v>
      </c>
      <c r="N14">
        <f>N12+N13</f>
        <v>67985.34</v>
      </c>
    </row>
    <row r="15" spans="1:18" x14ac:dyDescent="0.25">
      <c r="J15">
        <v>1220</v>
      </c>
    </row>
    <row r="19" spans="10:10" x14ac:dyDescent="0.25">
      <c r="J19">
        <v>1890.56</v>
      </c>
    </row>
    <row r="20" spans="10:10" x14ac:dyDescent="0.25">
      <c r="J20">
        <v>127.24</v>
      </c>
    </row>
    <row r="21" spans="10:10" x14ac:dyDescent="0.25">
      <c r="J21" s="9">
        <f>J19+J20</f>
        <v>2017.8</v>
      </c>
    </row>
    <row r="22" spans="10:10" x14ac:dyDescent="0.25">
      <c r="J22">
        <v>1988.95</v>
      </c>
    </row>
    <row r="23" spans="10:10" x14ac:dyDescent="0.25">
      <c r="J23">
        <v>127.11</v>
      </c>
    </row>
    <row r="24" spans="10:10" x14ac:dyDescent="0.25">
      <c r="J24" s="9">
        <f>J22+J23</f>
        <v>2116.06</v>
      </c>
    </row>
    <row r="25" spans="10:10" x14ac:dyDescent="0.25">
      <c r="J25">
        <f>J21+J24</f>
        <v>4133.8599999999997</v>
      </c>
    </row>
    <row r="26" spans="10:10" x14ac:dyDescent="0.25">
      <c r="J26">
        <f>J25/22</f>
        <v>187.90272727272725</v>
      </c>
    </row>
    <row r="27" spans="10:10" x14ac:dyDescent="0.25">
      <c r="J27">
        <f>J26/8</f>
        <v>23.487840909090906</v>
      </c>
    </row>
    <row r="28" spans="10:10" x14ac:dyDescent="0.25">
      <c r="J28">
        <f>J27*3</f>
        <v>70.463522727272718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Madeirite</vt:lpstr>
      <vt:lpstr>Tabua</vt:lpstr>
      <vt:lpstr>Planilha4</vt:lpstr>
      <vt:lpstr>Tabua (2)</vt:lpstr>
      <vt:lpstr>Vigota</vt:lpstr>
      <vt:lpstr>Caibros</vt:lpstr>
      <vt:lpstr>Planilha2</vt:lpstr>
      <vt:lpstr>Tabua (3)</vt:lpstr>
    </vt:vector>
  </TitlesOfParts>
  <Company>NogueiraTech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Dos santos</dc:creator>
  <cp:lastModifiedBy>Tito Dos santos</cp:lastModifiedBy>
  <dcterms:created xsi:type="dcterms:W3CDTF">2024-09-06T11:30:06Z</dcterms:created>
  <dcterms:modified xsi:type="dcterms:W3CDTF">2024-10-09T12:19:34Z</dcterms:modified>
</cp:coreProperties>
</file>