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Usuario\Desktop\ELECTRONICA ANALOGICA III\"/>
    </mc:Choice>
  </mc:AlternateContent>
  <xr:revisionPtr revIDLastSave="0" documentId="13_ncr:1_{1BCB9BE8-6E8E-4316-9E21-7831AA2EB371}" xr6:coauthVersionLast="47" xr6:coauthVersionMax="47" xr10:uidLastSave="{00000000-0000-0000-0000-000000000000}"/>
  <bookViews>
    <workbookView xWindow="-119" yWindow="-119" windowWidth="23990" windowHeight="12871" xr2:uid="{00000000-000D-0000-FFFF-FFFF00000000}"/>
  </bookViews>
  <sheets>
    <sheet name="Hoja 1" sheetId="1" r:id="rId1"/>
    <sheet name="Hoja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7" i="1"/>
  <c r="U29" i="1"/>
  <c r="U26" i="1"/>
  <c r="I14" i="1"/>
  <c r="I15" i="1"/>
  <c r="I16" i="1"/>
  <c r="I17" i="1"/>
  <c r="I18" i="1"/>
  <c r="I19" i="1"/>
  <c r="I20" i="1"/>
  <c r="I21" i="1"/>
  <c r="I22" i="1"/>
  <c r="I23" i="1"/>
  <c r="C20" i="1"/>
  <c r="D20" i="1"/>
  <c r="D21" i="1"/>
  <c r="D22" i="1" s="1"/>
  <c r="D23" i="1" s="1"/>
  <c r="E20" i="1"/>
  <c r="E21" i="1"/>
  <c r="E22" i="1"/>
  <c r="E23" i="1"/>
  <c r="F22" i="1"/>
  <c r="F23" i="1"/>
  <c r="H20" i="1"/>
  <c r="H21" i="1"/>
  <c r="H22" i="1"/>
  <c r="H23" i="1"/>
  <c r="O14" i="1"/>
  <c r="O15" i="1"/>
  <c r="O16" i="1"/>
  <c r="O17" i="1"/>
  <c r="O18" i="1"/>
  <c r="O19" i="1"/>
  <c r="O13" i="1"/>
  <c r="D14" i="1"/>
  <c r="D15" i="1" s="1"/>
  <c r="P5" i="1"/>
  <c r="O17" i="2"/>
  <c r="M19" i="2" s="1"/>
  <c r="M17" i="2"/>
  <c r="O9" i="2"/>
  <c r="O4" i="2"/>
  <c r="N4" i="2"/>
  <c r="N9" i="2" s="1"/>
  <c r="I16" i="2"/>
  <c r="I15" i="2"/>
  <c r="I14" i="2"/>
  <c r="I6" i="2"/>
  <c r="I7" i="2"/>
  <c r="I8" i="2"/>
  <c r="I9" i="2"/>
  <c r="I10" i="2"/>
  <c r="I11" i="2"/>
  <c r="I12" i="2"/>
  <c r="I5" i="2"/>
  <c r="G16" i="2"/>
  <c r="G15" i="2"/>
  <c r="G14" i="2"/>
  <c r="G6" i="2"/>
  <c r="G7" i="2"/>
  <c r="G8" i="2"/>
  <c r="G9" i="2"/>
  <c r="G10" i="2"/>
  <c r="G11" i="2"/>
  <c r="G12" i="2"/>
  <c r="G5" i="2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A13" i="1" s="1"/>
  <c r="E13" i="1"/>
  <c r="C13" i="1"/>
  <c r="J13" i="1" s="1"/>
  <c r="P7" i="1"/>
  <c r="P6" i="1"/>
  <c r="F16" i="1" s="1"/>
  <c r="I13" i="1" l="1"/>
  <c r="F20" i="1"/>
  <c r="F21" i="1"/>
  <c r="C14" i="1"/>
  <c r="J14" i="1" s="1"/>
  <c r="K14" i="1" s="1"/>
  <c r="M14" i="1" s="1"/>
  <c r="D16" i="1"/>
  <c r="D17" i="1" s="1"/>
  <c r="C15" i="1"/>
  <c r="J15" i="1" s="1"/>
  <c r="L15" i="1" s="1"/>
  <c r="L13" i="1"/>
  <c r="K13" i="1"/>
  <c r="F14" i="1"/>
  <c r="F19" i="1"/>
  <c r="F15" i="1"/>
  <c r="F13" i="1"/>
  <c r="F17" i="1"/>
  <c r="F18" i="1"/>
  <c r="L14" i="1" l="1"/>
  <c r="N14" i="1" s="1"/>
  <c r="C16" i="1"/>
  <c r="J16" i="1" s="1"/>
  <c r="L16" i="1" s="1"/>
  <c r="K15" i="1"/>
  <c r="N15" i="1" s="1"/>
  <c r="P15" i="1" s="1"/>
  <c r="D18" i="1"/>
  <c r="C17" i="1"/>
  <c r="J17" i="1" s="1"/>
  <c r="N13" i="1"/>
  <c r="P13" i="1" s="1"/>
  <c r="M13" i="1"/>
  <c r="R14" i="1" l="1"/>
  <c r="P14" i="1"/>
  <c r="Q14" i="1"/>
  <c r="K16" i="1"/>
  <c r="N16" i="1" s="1"/>
  <c r="P16" i="1" s="1"/>
  <c r="M15" i="1"/>
  <c r="T15" i="1" s="1"/>
  <c r="R15" i="1"/>
  <c r="Q15" i="1"/>
  <c r="L17" i="1"/>
  <c r="K17" i="1"/>
  <c r="C18" i="1"/>
  <c r="J18" i="1" s="1"/>
  <c r="D19" i="1"/>
  <c r="T13" i="1"/>
  <c r="S13" i="1"/>
  <c r="R13" i="1"/>
  <c r="Q13" i="1"/>
  <c r="T14" i="1" l="1"/>
  <c r="S14" i="1"/>
  <c r="M16" i="1"/>
  <c r="T16" i="1" s="1"/>
  <c r="S15" i="1"/>
  <c r="N17" i="1"/>
  <c r="P17" i="1" s="1"/>
  <c r="M17" i="1"/>
  <c r="Q16" i="1"/>
  <c r="R16" i="1"/>
  <c r="C19" i="1"/>
  <c r="J19" i="1" s="1"/>
  <c r="L18" i="1"/>
  <c r="K18" i="1"/>
  <c r="S16" i="1" l="1"/>
  <c r="J20" i="1"/>
  <c r="L19" i="1"/>
  <c r="K19" i="1"/>
  <c r="S17" i="1"/>
  <c r="T17" i="1"/>
  <c r="R17" i="1"/>
  <c r="Q17" i="1"/>
  <c r="N18" i="1"/>
  <c r="P18" i="1" s="1"/>
  <c r="M18" i="1"/>
  <c r="K20" i="1" l="1"/>
  <c r="M20" i="1" s="1"/>
  <c r="O20" i="1" s="1"/>
  <c r="L20" i="1"/>
  <c r="N19" i="1"/>
  <c r="P19" i="1" s="1"/>
  <c r="M19" i="1"/>
  <c r="T18" i="1"/>
  <c r="S18" i="1"/>
  <c r="Q18" i="1"/>
  <c r="R18" i="1"/>
  <c r="C21" i="1"/>
  <c r="J21" i="1" s="1"/>
  <c r="N20" i="1" l="1"/>
  <c r="P20" i="1" s="1"/>
  <c r="T20" i="1" s="1"/>
  <c r="Q20" i="1"/>
  <c r="R20" i="1"/>
  <c r="K21" i="1"/>
  <c r="M21" i="1" s="1"/>
  <c r="O21" i="1" s="1"/>
  <c r="L21" i="1"/>
  <c r="N21" i="1" s="1"/>
  <c r="P21" i="1" s="1"/>
  <c r="T19" i="1"/>
  <c r="S19" i="1"/>
  <c r="C22" i="1"/>
  <c r="J22" i="1" s="1"/>
  <c r="Q19" i="1"/>
  <c r="R19" i="1"/>
  <c r="S20" i="1" l="1"/>
  <c r="R21" i="1"/>
  <c r="Q21" i="1"/>
  <c r="K22" i="1"/>
  <c r="M22" i="1" s="1"/>
  <c r="O22" i="1" s="1"/>
  <c r="L22" i="1"/>
  <c r="N22" i="1" s="1"/>
  <c r="P22" i="1" s="1"/>
  <c r="S21" i="1"/>
  <c r="T21" i="1"/>
  <c r="C23" i="1"/>
  <c r="J23" i="1" s="1"/>
  <c r="Q22" i="1" l="1"/>
  <c r="R22" i="1"/>
  <c r="K23" i="1"/>
  <c r="M23" i="1" s="1"/>
  <c r="O23" i="1" s="1"/>
  <c r="L23" i="1"/>
  <c r="N23" i="1" s="1"/>
  <c r="P23" i="1" s="1"/>
  <c r="S22" i="1"/>
  <c r="T22" i="1"/>
  <c r="T23" i="1" l="1"/>
  <c r="S23" i="1"/>
  <c r="R23" i="1"/>
  <c r="Q23" i="1"/>
</calcChain>
</file>

<file path=xl/sharedStrings.xml><?xml version="1.0" encoding="utf-8"?>
<sst xmlns="http://schemas.openxmlformats.org/spreadsheetml/2006/main" count="100" uniqueCount="94">
  <si>
    <t>INDUCTOR</t>
  </si>
  <si>
    <t>INDUCTANCIA</t>
  </si>
  <si>
    <t>FACTOR DE NAGAOKA</t>
  </si>
  <si>
    <t>NUMERO DE ESPIRAS</t>
  </si>
  <si>
    <t>ALAMBRE</t>
  </si>
  <si>
    <t>Frecuencia Centra (fo)</t>
  </si>
  <si>
    <t>fo</t>
  </si>
  <si>
    <t>[MHz]</t>
  </si>
  <si>
    <t>d</t>
  </si>
  <si>
    <t>Ancho de Banda</t>
  </si>
  <si>
    <t>BW</t>
  </si>
  <si>
    <t>Se</t>
  </si>
  <si>
    <t>Impedancia de Generador</t>
  </si>
  <si>
    <t>Zin</t>
  </si>
  <si>
    <t>p</t>
  </si>
  <si>
    <t>Impedancia de Carga</t>
  </si>
  <si>
    <t>Zout</t>
  </si>
  <si>
    <t>Qc</t>
  </si>
  <si>
    <t xml:space="preserve">Resistencia de Generador </t>
  </si>
  <si>
    <t>Rg</t>
  </si>
  <si>
    <t>Relacion longitud/diametro</t>
  </si>
  <si>
    <t>l/D</t>
  </si>
  <si>
    <t>Resistencia de Carga</t>
  </si>
  <si>
    <t>RL</t>
  </si>
  <si>
    <t>BOBINA</t>
  </si>
  <si>
    <t>REACTANCIA</t>
  </si>
  <si>
    <t>Impedancias</t>
  </si>
  <si>
    <t>Impedancias Reflejadas</t>
  </si>
  <si>
    <t>CAPACITANCIAS</t>
  </si>
  <si>
    <t>K</t>
  </si>
  <si>
    <t>L[Hy]</t>
  </si>
  <si>
    <t>C[F]</t>
  </si>
  <si>
    <t>Qd</t>
  </si>
  <si>
    <t>Ns</t>
  </si>
  <si>
    <t>D[cm]</t>
  </si>
  <si>
    <t>l (largo) [cm]</t>
  </si>
  <si>
    <t>N (vueltas)</t>
  </si>
  <si>
    <t>XL</t>
  </si>
  <si>
    <t>RT</t>
  </si>
  <si>
    <t>Rp</t>
  </si>
  <si>
    <t>R'g</t>
  </si>
  <si>
    <t>R'L</t>
  </si>
  <si>
    <t>C1/C2</t>
  </si>
  <si>
    <t>C3/C4</t>
  </si>
  <si>
    <t>C1</t>
  </si>
  <si>
    <t>C2</t>
  </si>
  <si>
    <t>C3</t>
  </si>
  <si>
    <t>C4</t>
  </si>
  <si>
    <t>Harina</t>
  </si>
  <si>
    <t>pan</t>
  </si>
  <si>
    <t>facturas</t>
  </si>
  <si>
    <t>Azucar</t>
  </si>
  <si>
    <t>Manteca</t>
  </si>
  <si>
    <t>Aníz</t>
  </si>
  <si>
    <t>huevos</t>
  </si>
  <si>
    <t>levadura</t>
  </si>
  <si>
    <t>sal</t>
  </si>
  <si>
    <t>leche</t>
  </si>
  <si>
    <t>$</t>
  </si>
  <si>
    <t>TOTAL</t>
  </si>
  <si>
    <t>c/u</t>
  </si>
  <si>
    <t>Celular</t>
  </si>
  <si>
    <t>j4</t>
  </si>
  <si>
    <t>j7</t>
  </si>
  <si>
    <t>J4</t>
  </si>
  <si>
    <t xml:space="preserve">Repuesto Pantalla </t>
  </si>
  <si>
    <t xml:space="preserve">Pegamento </t>
  </si>
  <si>
    <t>Total</t>
  </si>
  <si>
    <t>Desarmando</t>
  </si>
  <si>
    <t>J7</t>
  </si>
  <si>
    <t>Repuesto Botón</t>
  </si>
  <si>
    <t>Desarmado y Soldado</t>
  </si>
  <si>
    <t>Botón Plástico</t>
  </si>
  <si>
    <t xml:space="preserve">TOTAL </t>
  </si>
  <si>
    <t>Diametro del Alambre [cm]</t>
  </si>
  <si>
    <t>Separacioón entre espiras [cm]</t>
  </si>
  <si>
    <t>paso [cm]</t>
  </si>
  <si>
    <t>Factor de Calidad Cargado</t>
  </si>
  <si>
    <t>292 pF</t>
  </si>
  <si>
    <t>62 pF</t>
  </si>
  <si>
    <t>68,8 pF</t>
  </si>
  <si>
    <t>197 pF</t>
  </si>
  <si>
    <t>300 pF</t>
  </si>
  <si>
    <t>60 pF</t>
  </si>
  <si>
    <t>68 pF</t>
  </si>
  <si>
    <t>180 pF</t>
  </si>
  <si>
    <t>0,06 nF</t>
  </si>
  <si>
    <t>0,068 nF</t>
  </si>
  <si>
    <t>0,3 nF</t>
  </si>
  <si>
    <t>0,18 nF</t>
  </si>
  <si>
    <t>suma</t>
  </si>
  <si>
    <t>paralelos</t>
  </si>
  <si>
    <t>serie</t>
  </si>
  <si>
    <t>serie/paralelo/serie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</si>
</sst>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CE5CD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C9DAF8"/>
      </patternFill>
    </fill>
    <fill>
      <patternFill patternType="solid">
        <fgColor rgb="FFFFFF00"/>
        <bgColor rgb="FFCFE2F3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/>
    <xf numFmtId="0" fontId="1" fillId="0" borderId="3" xfId="0" applyFont="1" applyBorder="1" applyAlignment="1"/>
    <xf numFmtId="0" fontId="1" fillId="0" borderId="3" xfId="0" applyFont="1" applyBorder="1"/>
    <xf numFmtId="0" fontId="1" fillId="3" borderId="3" xfId="0" applyFont="1" applyFill="1" applyBorder="1" applyAlignment="1"/>
    <xf numFmtId="0" fontId="1" fillId="4" borderId="3" xfId="0" applyFont="1" applyFill="1" applyBorder="1" applyAlignment="1"/>
    <xf numFmtId="0" fontId="1" fillId="4" borderId="3" xfId="0" applyFont="1" applyFill="1" applyBorder="1" applyAlignment="1">
      <alignment horizontal="right"/>
    </xf>
    <xf numFmtId="0" fontId="1" fillId="0" borderId="5" xfId="0" applyFont="1" applyBorder="1"/>
    <xf numFmtId="0" fontId="1" fillId="0" borderId="6" xfId="0" applyFont="1" applyBorder="1"/>
    <xf numFmtId="0" fontId="1" fillId="5" borderId="3" xfId="0" applyFont="1" applyFill="1" applyBorder="1" applyAlignme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3" borderId="3" xfId="0" applyFont="1" applyFill="1" applyBorder="1"/>
    <xf numFmtId="0" fontId="1" fillId="7" borderId="3" xfId="0" applyFont="1" applyFill="1" applyBorder="1" applyAlignment="1">
      <alignment horizontal="center"/>
    </xf>
    <xf numFmtId="0" fontId="1" fillId="6" borderId="3" xfId="0" applyFont="1" applyFill="1" applyBorder="1" applyAlignment="1"/>
    <xf numFmtId="0" fontId="1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0" xfId="0" applyFont="1"/>
    <xf numFmtId="11" fontId="1" fillId="0" borderId="3" xfId="0" applyNumberFormat="1" applyFont="1" applyBorder="1"/>
    <xf numFmtId="11" fontId="1" fillId="0" borderId="3" xfId="0" applyNumberFormat="1" applyFont="1" applyBorder="1" applyAlignment="1"/>
    <xf numFmtId="0" fontId="1" fillId="11" borderId="3" xfId="0" applyFont="1" applyFill="1" applyBorder="1" applyAlignment="1"/>
    <xf numFmtId="0" fontId="1" fillId="11" borderId="3" xfId="0" applyFont="1" applyFill="1" applyBorder="1"/>
    <xf numFmtId="11" fontId="1" fillId="12" borderId="3" xfId="0" applyNumberFormat="1" applyFont="1" applyFill="1" applyBorder="1"/>
    <xf numFmtId="11" fontId="1" fillId="13" borderId="3" xfId="0" applyNumberFormat="1" applyFont="1" applyFill="1" applyBorder="1"/>
    <xf numFmtId="11" fontId="1" fillId="14" borderId="3" xfId="0" applyNumberFormat="1" applyFont="1" applyFill="1" applyBorder="1" applyAlignment="1"/>
    <xf numFmtId="11" fontId="1" fillId="14" borderId="3" xfId="0" applyNumberFormat="1" applyFont="1" applyFill="1" applyBorder="1"/>
    <xf numFmtId="164" fontId="1" fillId="15" borderId="3" xfId="0" applyNumberFormat="1" applyFont="1" applyFill="1" applyBorder="1"/>
    <xf numFmtId="165" fontId="1" fillId="15" borderId="3" xfId="0" applyNumberFormat="1" applyFont="1" applyFill="1" applyBorder="1"/>
    <xf numFmtId="11" fontId="1" fillId="15" borderId="3" xfId="0" applyNumberFormat="1" applyFont="1" applyFill="1" applyBorder="1"/>
    <xf numFmtId="0" fontId="3" fillId="0" borderId="0" xfId="0" applyFont="1" applyAlignment="1"/>
    <xf numFmtId="0" fontId="3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Fill="1" applyBorder="1" applyAlignment="1"/>
    <xf numFmtId="0" fontId="0" fillId="0" borderId="15" xfId="0" applyFont="1" applyFill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4" fillId="3" borderId="3" xfId="0" applyFont="1" applyFill="1" applyBorder="1" applyAlignment="1"/>
    <xf numFmtId="11" fontId="1" fillId="16" borderId="3" xfId="0" applyNumberFormat="1" applyFont="1" applyFill="1" applyBorder="1"/>
    <xf numFmtId="0" fontId="1" fillId="0" borderId="1" xfId="0" applyFont="1" applyBorder="1" applyAlignment="1"/>
    <xf numFmtId="0" fontId="2" fillId="0" borderId="2" xfId="0" applyFont="1" applyBorder="1"/>
    <xf numFmtId="0" fontId="1" fillId="2" borderId="1" xfId="0" applyFont="1" applyFill="1" applyBorder="1" applyAlignment="1"/>
    <xf numFmtId="0" fontId="2" fillId="0" borderId="4" xfId="0" applyFont="1" applyBorder="1"/>
    <xf numFmtId="0" fontId="1" fillId="6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/>
    <xf numFmtId="0" fontId="3" fillId="0" borderId="21" xfId="0" applyFont="1" applyBorder="1" applyAlignment="1"/>
    <xf numFmtId="11" fontId="1" fillId="17" borderId="3" xfId="0" applyNumberFormat="1" applyFont="1" applyFill="1" applyBorder="1"/>
    <xf numFmtId="0" fontId="1" fillId="17" borderId="3" xfId="0" applyFont="1" applyFill="1" applyBorder="1"/>
    <xf numFmtId="0" fontId="1" fillId="18" borderId="3" xfId="0" applyFont="1" applyFill="1" applyBorder="1" applyAlignment="1"/>
    <xf numFmtId="0" fontId="1" fillId="18" borderId="3" xfId="0" applyFont="1" applyFill="1" applyBorder="1"/>
    <xf numFmtId="11" fontId="1" fillId="19" borderId="3" xfId="0" applyNumberFormat="1" applyFont="1" applyFill="1" applyBorder="1"/>
    <xf numFmtId="11" fontId="1" fillId="20" borderId="3" xfId="0" applyNumberFormat="1" applyFont="1" applyFill="1" applyBorder="1"/>
    <xf numFmtId="11" fontId="1" fillId="21" borderId="3" xfId="0" applyNumberFormat="1" applyFont="1" applyFill="1" applyBorder="1" applyAlignment="1"/>
    <xf numFmtId="11" fontId="1" fillId="21" borderId="3" xfId="0" applyNumberFormat="1" applyFont="1" applyFill="1" applyBorder="1"/>
    <xf numFmtId="164" fontId="1" fillId="16" borderId="3" xfId="0" applyNumberFormat="1" applyFont="1" applyFill="1" applyBorder="1"/>
    <xf numFmtId="165" fontId="1" fillId="16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94662</xdr:colOff>
      <xdr:row>3</xdr:row>
      <xdr:rowOff>66381</xdr:rowOff>
    </xdr:from>
    <xdr:ext cx="1489042" cy="50865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40938" y="584855"/>
          <a:ext cx="1489042" cy="508655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198355</xdr:colOff>
      <xdr:row>3</xdr:row>
      <xdr:rowOff>85235</xdr:rowOff>
    </xdr:from>
    <xdr:ext cx="1385348" cy="508654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03749" y="603709"/>
          <a:ext cx="1385348" cy="508654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189617</xdr:colOff>
      <xdr:row>3</xdr:row>
      <xdr:rowOff>85922</xdr:rowOff>
    </xdr:from>
    <xdr:ext cx="1375234" cy="507967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654128" y="604396"/>
          <a:ext cx="1375234" cy="507967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U29"/>
  <sheetViews>
    <sheetView tabSelected="1" topLeftCell="F4" workbookViewId="0">
      <selection activeCell="U29" sqref="U29"/>
    </sheetView>
  </sheetViews>
  <sheetFormatPr baseColWidth="10" defaultColWidth="12.5703125" defaultRowHeight="15.8" customHeight="1" x14ac:dyDescent="0.2"/>
  <cols>
    <col min="1" max="2" width="21.42578125" customWidth="1"/>
    <col min="13" max="13" width="14.42578125" customWidth="1"/>
    <col min="14" max="14" width="27.140625" customWidth="1"/>
  </cols>
  <sheetData>
    <row r="2" spans="1:20" ht="12.65" x14ac:dyDescent="0.2">
      <c r="B2" s="1" t="s">
        <v>0</v>
      </c>
    </row>
    <row r="3" spans="1:20" ht="12.65" x14ac:dyDescent="0.2">
      <c r="G3" s="47" t="s">
        <v>1</v>
      </c>
      <c r="H3" s="48"/>
      <c r="I3" s="47" t="s">
        <v>2</v>
      </c>
      <c r="J3" s="48"/>
      <c r="K3" s="2" t="s">
        <v>3</v>
      </c>
      <c r="L3" s="3"/>
      <c r="N3" s="49" t="s">
        <v>4</v>
      </c>
      <c r="O3" s="50"/>
      <c r="P3" s="48"/>
    </row>
    <row r="4" spans="1:20" ht="12.65" x14ac:dyDescent="0.2">
      <c r="A4" s="4" t="s">
        <v>5</v>
      </c>
      <c r="B4" s="5" t="s">
        <v>6</v>
      </c>
      <c r="C4" s="5">
        <v>19000000</v>
      </c>
      <c r="D4" s="6">
        <v>19</v>
      </c>
      <c r="E4" s="6" t="s">
        <v>7</v>
      </c>
      <c r="G4" s="7"/>
      <c r="H4" s="8"/>
      <c r="I4" s="7"/>
      <c r="J4" s="8"/>
      <c r="K4" s="7"/>
      <c r="L4" s="8"/>
      <c r="N4" s="9" t="s">
        <v>74</v>
      </c>
      <c r="O4" s="9" t="s">
        <v>8</v>
      </c>
      <c r="P4" s="9">
        <v>0.115</v>
      </c>
    </row>
    <row r="5" spans="1:20" ht="12.65" x14ac:dyDescent="0.2">
      <c r="A5" s="4" t="s">
        <v>9</v>
      </c>
      <c r="B5" s="5" t="s">
        <v>10</v>
      </c>
      <c r="C5" s="5">
        <v>1900000</v>
      </c>
      <c r="G5" s="10"/>
      <c r="H5" s="11"/>
      <c r="I5" s="10"/>
      <c r="J5" s="11"/>
      <c r="K5" s="10"/>
      <c r="L5" s="11"/>
      <c r="N5" s="9" t="s">
        <v>75</v>
      </c>
      <c r="O5" s="9" t="s">
        <v>11</v>
      </c>
      <c r="P5" s="9">
        <f>P4</f>
        <v>0.115</v>
      </c>
    </row>
    <row r="6" spans="1:20" ht="12.65" x14ac:dyDescent="0.2">
      <c r="A6" s="4" t="s">
        <v>12</v>
      </c>
      <c r="B6" s="5" t="s">
        <v>13</v>
      </c>
      <c r="C6" s="5">
        <v>50</v>
      </c>
      <c r="G6" s="10"/>
      <c r="H6" s="11"/>
      <c r="I6" s="10"/>
      <c r="J6" s="11"/>
      <c r="K6" s="10"/>
      <c r="L6" s="11"/>
      <c r="N6" s="9" t="s">
        <v>76</v>
      </c>
      <c r="O6" s="9" t="s">
        <v>14</v>
      </c>
      <c r="P6" s="9">
        <f>P4*2</f>
        <v>0.23</v>
      </c>
    </row>
    <row r="7" spans="1:20" ht="12.65" x14ac:dyDescent="0.2">
      <c r="A7" s="4" t="s">
        <v>15</v>
      </c>
      <c r="B7" s="5" t="s">
        <v>16</v>
      </c>
      <c r="C7" s="5">
        <v>1000</v>
      </c>
      <c r="G7" s="12"/>
      <c r="H7" s="13"/>
      <c r="I7" s="12"/>
      <c r="J7" s="13"/>
      <c r="K7" s="12"/>
      <c r="L7" s="13"/>
      <c r="N7" s="45" t="s">
        <v>77</v>
      </c>
      <c r="O7" s="4" t="s">
        <v>17</v>
      </c>
      <c r="P7" s="14">
        <f>C4/C5</f>
        <v>10</v>
      </c>
    </row>
    <row r="8" spans="1:20" ht="12.65" x14ac:dyDescent="0.2">
      <c r="A8" s="4" t="s">
        <v>18</v>
      </c>
      <c r="B8" s="5" t="s">
        <v>19</v>
      </c>
      <c r="C8" s="5">
        <v>50</v>
      </c>
      <c r="N8" s="4" t="s">
        <v>20</v>
      </c>
      <c r="O8" s="4" t="s">
        <v>21</v>
      </c>
      <c r="P8" s="4">
        <v>1.5</v>
      </c>
    </row>
    <row r="9" spans="1:20" ht="12.65" x14ac:dyDescent="0.2">
      <c r="A9" s="4" t="s">
        <v>22</v>
      </c>
      <c r="B9" s="5" t="s">
        <v>23</v>
      </c>
      <c r="C9" s="5">
        <v>1000</v>
      </c>
    </row>
    <row r="11" spans="1:20" ht="12.65" x14ac:dyDescent="0.2">
      <c r="F11" s="51" t="s">
        <v>24</v>
      </c>
      <c r="G11" s="50"/>
      <c r="H11" s="50"/>
      <c r="I11" s="48"/>
      <c r="J11" s="15" t="s">
        <v>25</v>
      </c>
      <c r="K11" s="52" t="s">
        <v>26</v>
      </c>
      <c r="L11" s="53"/>
      <c r="M11" s="54" t="s">
        <v>27</v>
      </c>
      <c r="N11" s="48"/>
      <c r="O11" s="55" t="s">
        <v>28</v>
      </c>
      <c r="P11" s="50"/>
      <c r="Q11" s="50"/>
      <c r="R11" s="50"/>
      <c r="S11" s="50"/>
      <c r="T11" s="48"/>
    </row>
    <row r="12" spans="1:20" ht="12.65" x14ac:dyDescent="0.2">
      <c r="A12" s="1" t="s">
        <v>29</v>
      </c>
      <c r="C12" s="2" t="s">
        <v>30</v>
      </c>
      <c r="D12" s="2" t="s">
        <v>31</v>
      </c>
      <c r="E12" s="2" t="s">
        <v>32</v>
      </c>
      <c r="F12" s="16" t="s">
        <v>33</v>
      </c>
      <c r="G12" s="16" t="s">
        <v>34</v>
      </c>
      <c r="H12" s="16" t="s">
        <v>35</v>
      </c>
      <c r="I12" s="16" t="s">
        <v>36</v>
      </c>
      <c r="J12" s="15" t="s">
        <v>37</v>
      </c>
      <c r="K12" s="17" t="s">
        <v>38</v>
      </c>
      <c r="L12" s="17" t="s">
        <v>39</v>
      </c>
      <c r="M12" s="18" t="s">
        <v>40</v>
      </c>
      <c r="N12" s="18" t="s">
        <v>41</v>
      </c>
      <c r="O12" s="19" t="s">
        <v>42</v>
      </c>
      <c r="P12" s="19" t="s">
        <v>43</v>
      </c>
      <c r="Q12" s="19" t="s">
        <v>44</v>
      </c>
      <c r="R12" s="19" t="s">
        <v>45</v>
      </c>
      <c r="S12" s="19" t="s">
        <v>46</v>
      </c>
      <c r="T12" s="19" t="s">
        <v>47</v>
      </c>
    </row>
    <row r="13" spans="1:20" ht="12.65" x14ac:dyDescent="0.2">
      <c r="A13" s="20">
        <f>(1/(1+(0.45*(G13/H13))))*PI()^2*(H13/G13)</f>
        <v>11.388005078180029</v>
      </c>
      <c r="C13" s="21">
        <f t="shared" ref="C13:C23" si="0">1/(4*PI()^2*$C$4^2*D13)</f>
        <v>7.7963360758954897E-7</v>
      </c>
      <c r="D13" s="22">
        <v>8.9999999999999999E-11</v>
      </c>
      <c r="E13" s="3">
        <f t="shared" ref="E13:E23" si="1">0.39*75*G13*SQRT($D$4)</f>
        <v>203.99647055770356</v>
      </c>
      <c r="F13" s="23">
        <f t="shared" ref="F13:F23" si="2">1/$P$6</f>
        <v>4.3478260869565215</v>
      </c>
      <c r="G13" s="23">
        <v>1.6</v>
      </c>
      <c r="H13" s="23">
        <f t="shared" ref="H13:H23" si="3">$P$8*G13</f>
        <v>2.4000000000000004</v>
      </c>
      <c r="I13" s="24">
        <f>ROUND(F13*H13,-1)</f>
        <v>10</v>
      </c>
      <c r="J13" s="25">
        <f t="shared" ref="J13:J23" si="4">$C$4*C13*2*PI()</f>
        <v>93.073066135611313</v>
      </c>
      <c r="K13" s="26">
        <f t="shared" ref="K13:K23" si="5">J13*$P$7</f>
        <v>930.73066135611316</v>
      </c>
      <c r="L13" s="26">
        <f t="shared" ref="L13:L23" si="6">J13*E13</f>
        <v>18986.576995648429</v>
      </c>
      <c r="M13" s="27">
        <f t="shared" ref="M13:M23" si="7">2*K13</f>
        <v>1861.4613227122263</v>
      </c>
      <c r="N13" s="28">
        <f t="shared" ref="N13:N23" si="8">(2*K13*L13)/(L13-2*K13)</f>
        <v>2063.7979563519948</v>
      </c>
      <c r="O13" s="29">
        <f>SQRT(M13/$C$8)-1</f>
        <v>5.1015757353526743</v>
      </c>
      <c r="P13" s="30">
        <f>SQRT(N13/$C$9)-1</f>
        <v>0.43659248096041292</v>
      </c>
      <c r="Q13" s="31">
        <f t="shared" ref="Q13:Q23" si="9">(D13/2)*(O13+1)</f>
        <v>2.7457090809087034E-10</v>
      </c>
      <c r="R13" s="31">
        <f t="shared" ref="R13:R23" si="10">(D13/2)*((1+O13)/O13)</f>
        <v>5.3820804068076648E-11</v>
      </c>
      <c r="S13" s="31">
        <f t="shared" ref="S13:S23" si="11">(D13/2)*(P13+1)</f>
        <v>6.4646661643218587E-11</v>
      </c>
      <c r="T13" s="31">
        <f t="shared" ref="T13:T23" si="12">(D13/2)*((1+P13)/P13)</f>
        <v>1.4807094593340072E-10</v>
      </c>
    </row>
    <row r="14" spans="1:20" ht="12.65" x14ac:dyDescent="0.2">
      <c r="C14" s="21">
        <f t="shared" si="0"/>
        <v>7.4645770939424903E-7</v>
      </c>
      <c r="D14" s="21">
        <f>D13+0.000000000004</f>
        <v>9.3999999999999999E-11</v>
      </c>
      <c r="E14" s="3">
        <f t="shared" si="1"/>
        <v>203.99647055770356</v>
      </c>
      <c r="F14" s="23">
        <f t="shared" si="2"/>
        <v>4.3478260869565215</v>
      </c>
      <c r="G14" s="23">
        <v>1.6</v>
      </c>
      <c r="H14" s="23">
        <f t="shared" si="3"/>
        <v>2.4000000000000004</v>
      </c>
      <c r="I14" s="24">
        <f t="shared" ref="I14:I23" si="13">ROUND(F14*H14,-1)</f>
        <v>10</v>
      </c>
      <c r="J14" s="25">
        <f t="shared" si="4"/>
        <v>89.112510129840629</v>
      </c>
      <c r="K14" s="26">
        <f t="shared" si="5"/>
        <v>891.12510129840632</v>
      </c>
      <c r="L14" s="26">
        <f t="shared" si="6"/>
        <v>18178.637549025094</v>
      </c>
      <c r="M14" s="27">
        <f t="shared" si="7"/>
        <v>1782.2502025968126</v>
      </c>
      <c r="N14" s="28">
        <f t="shared" si="8"/>
        <v>1975.9767667199956</v>
      </c>
      <c r="O14" s="29">
        <f t="shared" ref="O14:O23" si="14">SQRT(M14/$C$8)-1</f>
        <v>4.9703437130483747</v>
      </c>
      <c r="P14" s="30">
        <f t="shared" ref="P14:P23" si="15">SQRT(N14/$C$9)-1</f>
        <v>0.4056944073019555</v>
      </c>
      <c r="Q14" s="31">
        <f t="shared" si="9"/>
        <v>2.806061545132736E-10</v>
      </c>
      <c r="R14" s="31">
        <f t="shared" si="10"/>
        <v>5.6456086482834869E-11</v>
      </c>
      <c r="S14" s="31">
        <f t="shared" si="11"/>
        <v>6.6067637143191902E-11</v>
      </c>
      <c r="T14" s="31">
        <f t="shared" si="12"/>
        <v>1.6285074665576603E-10</v>
      </c>
    </row>
    <row r="15" spans="1:20" ht="12.65" x14ac:dyDescent="0.2">
      <c r="C15" s="21">
        <f t="shared" si="0"/>
        <v>7.3090650711520215E-7</v>
      </c>
      <c r="D15" s="21">
        <f t="shared" ref="D15:D23" si="16">D14+0.000000000002</f>
        <v>9.6000000000000005E-11</v>
      </c>
      <c r="E15" s="3">
        <f t="shared" si="1"/>
        <v>203.99647055770356</v>
      </c>
      <c r="F15" s="23">
        <f t="shared" si="2"/>
        <v>4.3478260869565215</v>
      </c>
      <c r="G15" s="23">
        <v>1.6</v>
      </c>
      <c r="H15" s="23">
        <f t="shared" si="3"/>
        <v>2.4000000000000004</v>
      </c>
      <c r="I15" s="24">
        <f t="shared" si="13"/>
        <v>10</v>
      </c>
      <c r="J15" s="25">
        <f t="shared" si="4"/>
        <v>87.255999502135609</v>
      </c>
      <c r="K15" s="26">
        <f t="shared" si="5"/>
        <v>872.55999502135614</v>
      </c>
      <c r="L15" s="26">
        <f t="shared" si="6"/>
        <v>17799.915933420401</v>
      </c>
      <c r="M15" s="27">
        <f t="shared" si="7"/>
        <v>1745.1199900427123</v>
      </c>
      <c r="N15" s="28">
        <f t="shared" si="8"/>
        <v>1934.8105840799954</v>
      </c>
      <c r="O15" s="29">
        <f t="shared" si="14"/>
        <v>4.9078253021610454</v>
      </c>
      <c r="P15" s="30">
        <f t="shared" si="15"/>
        <v>0.39097468851161898</v>
      </c>
      <c r="Q15" s="31">
        <f t="shared" si="9"/>
        <v>2.8357561450373017E-10</v>
      </c>
      <c r="R15" s="31">
        <f t="shared" si="10"/>
        <v>5.7780299225170942E-11</v>
      </c>
      <c r="S15" s="31">
        <f t="shared" si="11"/>
        <v>6.6766785048557717E-11</v>
      </c>
      <c r="T15" s="31">
        <f t="shared" si="12"/>
        <v>1.707700958922141E-10</v>
      </c>
    </row>
    <row r="16" spans="1:20" ht="12.65" x14ac:dyDescent="0.2">
      <c r="C16" s="21">
        <f t="shared" si="0"/>
        <v>7.1599004778632038E-7</v>
      </c>
      <c r="D16" s="21">
        <f t="shared" si="16"/>
        <v>9.8000000000000011E-11</v>
      </c>
      <c r="E16" s="3">
        <f t="shared" si="1"/>
        <v>203.99647055770356</v>
      </c>
      <c r="F16" s="23">
        <f t="shared" si="2"/>
        <v>4.3478260869565215</v>
      </c>
      <c r="G16" s="23">
        <v>1.6</v>
      </c>
      <c r="H16" s="23">
        <f t="shared" si="3"/>
        <v>2.4000000000000004</v>
      </c>
      <c r="I16" s="24">
        <f t="shared" si="13"/>
        <v>10</v>
      </c>
      <c r="J16" s="25">
        <f t="shared" si="4"/>
        <v>85.475264818418538</v>
      </c>
      <c r="K16" s="26">
        <f t="shared" si="5"/>
        <v>854.75264818418532</v>
      </c>
      <c r="L16" s="26">
        <f t="shared" si="6"/>
        <v>17436.652342942431</v>
      </c>
      <c r="M16" s="27">
        <f t="shared" si="7"/>
        <v>1709.5052963683706</v>
      </c>
      <c r="N16" s="28">
        <f t="shared" si="8"/>
        <v>1895.3246537926477</v>
      </c>
      <c r="O16" s="29">
        <f t="shared" si="14"/>
        <v>4.8472306203336473</v>
      </c>
      <c r="P16" s="30">
        <f t="shared" si="15"/>
        <v>0.37670790431109524</v>
      </c>
      <c r="Q16" s="31">
        <f t="shared" si="9"/>
        <v>2.8651430039634876E-10</v>
      </c>
      <c r="R16" s="31">
        <f t="shared" si="10"/>
        <v>5.9108865007257955E-11</v>
      </c>
      <c r="S16" s="31">
        <f t="shared" si="11"/>
        <v>6.7458687311243679E-11</v>
      </c>
      <c r="T16" s="31">
        <f t="shared" si="12"/>
        <v>1.7907425498439908E-10</v>
      </c>
    </row>
    <row r="17" spans="3:21" ht="12.65" x14ac:dyDescent="0.2">
      <c r="C17" s="21">
        <f t="shared" si="0"/>
        <v>7.01670246830594E-7</v>
      </c>
      <c r="D17" s="21">
        <f t="shared" si="16"/>
        <v>1.0000000000000002E-10</v>
      </c>
      <c r="E17" s="3">
        <f t="shared" si="1"/>
        <v>203.99647055770356</v>
      </c>
      <c r="F17" s="23">
        <f t="shared" si="2"/>
        <v>4.3478260869565215</v>
      </c>
      <c r="G17" s="23">
        <v>1.6</v>
      </c>
      <c r="H17" s="23">
        <f t="shared" si="3"/>
        <v>2.4000000000000004</v>
      </c>
      <c r="I17" s="24">
        <f t="shared" si="13"/>
        <v>10</v>
      </c>
      <c r="J17" s="25">
        <f t="shared" si="4"/>
        <v>83.765759522050175</v>
      </c>
      <c r="K17" s="26">
        <f t="shared" si="5"/>
        <v>837.65759522050178</v>
      </c>
      <c r="L17" s="26">
        <f t="shared" si="6"/>
        <v>17087.919296083586</v>
      </c>
      <c r="M17" s="27">
        <f t="shared" si="7"/>
        <v>1675.3151904410036</v>
      </c>
      <c r="N17" s="28">
        <f t="shared" si="8"/>
        <v>1857.4181607167952</v>
      </c>
      <c r="O17" s="29">
        <f t="shared" si="14"/>
        <v>4.7884629919193635</v>
      </c>
      <c r="P17" s="30">
        <f t="shared" si="15"/>
        <v>0.36287129279209451</v>
      </c>
      <c r="Q17" s="31">
        <f t="shared" si="9"/>
        <v>2.8942314959596822E-10</v>
      </c>
      <c r="R17" s="31">
        <f t="shared" si="10"/>
        <v>6.0441763898849405E-11</v>
      </c>
      <c r="S17" s="31">
        <f t="shared" si="11"/>
        <v>6.8143564639604742E-11</v>
      </c>
      <c r="T17" s="31">
        <f t="shared" si="12"/>
        <v>1.8778990235154063E-10</v>
      </c>
    </row>
    <row r="18" spans="3:21" ht="12.65" x14ac:dyDescent="0.2">
      <c r="C18" s="60">
        <f t="shared" si="0"/>
        <v>6.8791200669666072E-7</v>
      </c>
      <c r="D18" s="60">
        <f t="shared" si="16"/>
        <v>1.0200000000000002E-10</v>
      </c>
      <c r="E18" s="61">
        <f t="shared" si="1"/>
        <v>203.99647055770356</v>
      </c>
      <c r="F18" s="62">
        <f t="shared" si="2"/>
        <v>4.3478260869565215</v>
      </c>
      <c r="G18" s="62">
        <v>1.6</v>
      </c>
      <c r="H18" s="62">
        <f t="shared" si="3"/>
        <v>2.4000000000000004</v>
      </c>
      <c r="I18" s="63">
        <f t="shared" si="13"/>
        <v>10</v>
      </c>
      <c r="J18" s="64">
        <f t="shared" si="4"/>
        <v>82.123293649068785</v>
      </c>
      <c r="K18" s="65">
        <f t="shared" si="5"/>
        <v>821.23293649068785</v>
      </c>
      <c r="L18" s="65">
        <f t="shared" si="6"/>
        <v>16752.862054983903</v>
      </c>
      <c r="M18" s="66">
        <f t="shared" si="7"/>
        <v>1642.4658729813757</v>
      </c>
      <c r="N18" s="67">
        <f t="shared" si="8"/>
        <v>1820.9981967811716</v>
      </c>
      <c r="O18" s="68">
        <f t="shared" si="14"/>
        <v>4.7314324090603659</v>
      </c>
      <c r="P18" s="69">
        <f t="shared" si="15"/>
        <v>0.3494436619515362</v>
      </c>
      <c r="Q18" s="46">
        <f t="shared" si="9"/>
        <v>2.9230305286207873E-10</v>
      </c>
      <c r="R18" s="46">
        <f t="shared" si="10"/>
        <v>6.1778976764486496E-11</v>
      </c>
      <c r="S18" s="46">
        <f t="shared" si="11"/>
        <v>6.8821626759528363E-11</v>
      </c>
      <c r="T18" s="46">
        <f t="shared" si="12"/>
        <v>1.9694627275590171E-10</v>
      </c>
    </row>
    <row r="19" spans="3:21" ht="12.65" x14ac:dyDescent="0.2">
      <c r="C19" s="21">
        <f t="shared" si="0"/>
        <v>6.7468292964480181E-7</v>
      </c>
      <c r="D19" s="21">
        <f t="shared" si="16"/>
        <v>1.0400000000000003E-10</v>
      </c>
      <c r="E19" s="3">
        <f t="shared" si="1"/>
        <v>203.99647055770356</v>
      </c>
      <c r="F19" s="23">
        <f t="shared" si="2"/>
        <v>4.3478260869565215</v>
      </c>
      <c r="G19" s="23">
        <v>1.6</v>
      </c>
      <c r="H19" s="23">
        <f t="shared" si="3"/>
        <v>2.4000000000000004</v>
      </c>
      <c r="I19" s="24">
        <f t="shared" si="13"/>
        <v>10</v>
      </c>
      <c r="J19" s="25">
        <f t="shared" si="4"/>
        <v>80.543999540432836</v>
      </c>
      <c r="K19" s="26">
        <f t="shared" si="5"/>
        <v>805.43999540432833</v>
      </c>
      <c r="L19" s="26">
        <f t="shared" si="6"/>
        <v>16430.691630849597</v>
      </c>
      <c r="M19" s="27">
        <f t="shared" si="7"/>
        <v>1610.8799908086567</v>
      </c>
      <c r="N19" s="28">
        <f t="shared" si="8"/>
        <v>1785.9790006892256</v>
      </c>
      <c r="O19" s="29">
        <f t="shared" si="14"/>
        <v>4.6760549518281742</v>
      </c>
      <c r="P19" s="30">
        <f t="shared" si="15"/>
        <v>0.3364052531658297</v>
      </c>
      <c r="Q19" s="31">
        <f t="shared" si="9"/>
        <v>2.9515485749506513E-10</v>
      </c>
      <c r="R19" s="31">
        <f t="shared" si="10"/>
        <v>6.3120485224338503E-11</v>
      </c>
      <c r="S19" s="31">
        <f t="shared" si="11"/>
        <v>6.9493073164623166E-11</v>
      </c>
      <c r="T19" s="31">
        <f t="shared" si="12"/>
        <v>2.065754696475171E-10</v>
      </c>
    </row>
    <row r="20" spans="3:21" ht="12.65" x14ac:dyDescent="0.2">
      <c r="C20" s="21">
        <f t="shared" si="0"/>
        <v>6.6195306304773006E-7</v>
      </c>
      <c r="D20" s="21">
        <f t="shared" si="16"/>
        <v>1.0600000000000003E-10</v>
      </c>
      <c r="E20" s="3">
        <f t="shared" si="1"/>
        <v>203.99647055770356</v>
      </c>
      <c r="F20" s="23">
        <f t="shared" si="2"/>
        <v>4.3478260869565215</v>
      </c>
      <c r="G20" s="23">
        <v>1.6</v>
      </c>
      <c r="H20" s="23">
        <f t="shared" si="3"/>
        <v>2.4000000000000004</v>
      </c>
      <c r="I20" s="24">
        <f t="shared" si="13"/>
        <v>10</v>
      </c>
      <c r="J20" s="25">
        <f t="shared" si="4"/>
        <v>79.024301435896376</v>
      </c>
      <c r="K20" s="26">
        <f t="shared" si="5"/>
        <v>790.24301435896382</v>
      </c>
      <c r="L20" s="26">
        <f t="shared" si="6"/>
        <v>16120.678581210926</v>
      </c>
      <c r="M20" s="27">
        <f t="shared" si="7"/>
        <v>1580.4860287179276</v>
      </c>
      <c r="N20" s="28">
        <f t="shared" si="8"/>
        <v>1752.2812836950895</v>
      </c>
      <c r="O20" s="29">
        <f t="shared" si="14"/>
        <v>4.6222522688295085</v>
      </c>
      <c r="P20" s="30">
        <f t="shared" si="15"/>
        <v>0.32373761890152908</v>
      </c>
      <c r="Q20" s="31">
        <f t="shared" si="9"/>
        <v>2.9797937024796406E-10</v>
      </c>
      <c r="R20" s="31">
        <f t="shared" si="10"/>
        <v>6.4466271617715331E-11</v>
      </c>
      <c r="S20" s="31">
        <f t="shared" si="11"/>
        <v>7.015809380178106E-11</v>
      </c>
      <c r="T20" s="31">
        <f t="shared" si="12"/>
        <v>2.1671282453930997E-10</v>
      </c>
    </row>
    <row r="21" spans="3:21" ht="12.65" x14ac:dyDescent="0.2">
      <c r="C21" s="21">
        <f t="shared" si="0"/>
        <v>6.4969467299129054E-7</v>
      </c>
      <c r="D21" s="21">
        <f t="shared" si="16"/>
        <v>1.0800000000000004E-10</v>
      </c>
      <c r="E21" s="3">
        <f t="shared" si="1"/>
        <v>203.99647055770356</v>
      </c>
      <c r="F21" s="23">
        <f t="shared" si="2"/>
        <v>4.3478260869565215</v>
      </c>
      <c r="G21" s="23">
        <v>1.6</v>
      </c>
      <c r="H21" s="23">
        <f t="shared" si="3"/>
        <v>2.4000000000000004</v>
      </c>
      <c r="I21" s="24">
        <f t="shared" si="13"/>
        <v>10</v>
      </c>
      <c r="J21" s="25">
        <f t="shared" si="4"/>
        <v>77.56088844634273</v>
      </c>
      <c r="K21" s="26">
        <f t="shared" si="5"/>
        <v>775.60888446342733</v>
      </c>
      <c r="L21" s="26">
        <f t="shared" si="6"/>
        <v>15822.147496373685</v>
      </c>
      <c r="M21" s="27">
        <f t="shared" si="7"/>
        <v>1551.2177689268547</v>
      </c>
      <c r="N21" s="28">
        <f t="shared" si="8"/>
        <v>1719.8316302933285</v>
      </c>
      <c r="O21" s="29">
        <f t="shared" si="14"/>
        <v>4.569951110964718</v>
      </c>
      <c r="P21" s="30">
        <f t="shared" si="15"/>
        <v>0.31142351294054826</v>
      </c>
      <c r="Q21" s="31">
        <f t="shared" si="9"/>
        <v>3.0077735999209489E-10</v>
      </c>
      <c r="R21" s="31">
        <f t="shared" si="10"/>
        <v>6.5816318969023004E-11</v>
      </c>
      <c r="S21" s="31">
        <f t="shared" si="11"/>
        <v>7.0816869698789634E-11</v>
      </c>
      <c r="T21" s="31">
        <f t="shared" si="12"/>
        <v>2.273973118796229E-10</v>
      </c>
    </row>
    <row r="22" spans="3:21" ht="12.65" x14ac:dyDescent="0.2">
      <c r="C22" s="21">
        <f t="shared" si="0"/>
        <v>6.3788204257326707E-7</v>
      </c>
      <c r="D22" s="21">
        <f t="shared" si="16"/>
        <v>1.1000000000000005E-10</v>
      </c>
      <c r="E22" s="3">
        <f t="shared" si="1"/>
        <v>203.99647055770356</v>
      </c>
      <c r="F22" s="23">
        <f t="shared" si="2"/>
        <v>4.3478260869565215</v>
      </c>
      <c r="G22" s="23">
        <v>1.6</v>
      </c>
      <c r="H22" s="23">
        <f t="shared" si="3"/>
        <v>2.4000000000000004</v>
      </c>
      <c r="I22" s="24">
        <f t="shared" si="13"/>
        <v>10</v>
      </c>
      <c r="J22" s="25">
        <f t="shared" si="4"/>
        <v>76.150690474591045</v>
      </c>
      <c r="K22" s="26">
        <f t="shared" si="5"/>
        <v>761.50690474591045</v>
      </c>
      <c r="L22" s="26">
        <f t="shared" si="6"/>
        <v>15534.472087348709</v>
      </c>
      <c r="M22" s="27">
        <f t="shared" si="7"/>
        <v>1523.0138094918209</v>
      </c>
      <c r="N22" s="28">
        <f t="shared" si="8"/>
        <v>1688.5619642879949</v>
      </c>
      <c r="O22" s="29">
        <f t="shared" si="14"/>
        <v>4.5190829120277236</v>
      </c>
      <c r="P22" s="30">
        <f t="shared" si="15"/>
        <v>0.29944679163403798</v>
      </c>
      <c r="Q22" s="31">
        <f t="shared" si="9"/>
        <v>3.0354956016152491E-10</v>
      </c>
      <c r="R22" s="31">
        <f t="shared" si="10"/>
        <v>6.7170610955956429E-11</v>
      </c>
      <c r="S22" s="31">
        <f t="shared" si="11"/>
        <v>7.1469573539872124E-11</v>
      </c>
      <c r="T22" s="31">
        <f t="shared" si="12"/>
        <v>2.3867202967803712E-10</v>
      </c>
    </row>
    <row r="23" spans="3:21" ht="12.65" x14ac:dyDescent="0.2">
      <c r="C23" s="21">
        <f t="shared" si="0"/>
        <v>6.264912918130301E-7</v>
      </c>
      <c r="D23" s="21">
        <f t="shared" si="16"/>
        <v>1.1200000000000005E-10</v>
      </c>
      <c r="E23" s="3">
        <f t="shared" si="1"/>
        <v>203.99647055770356</v>
      </c>
      <c r="F23" s="23">
        <f t="shared" si="2"/>
        <v>4.3478260869565215</v>
      </c>
      <c r="G23" s="23">
        <v>1.6</v>
      </c>
      <c r="H23" s="23">
        <f t="shared" si="3"/>
        <v>2.4000000000000004</v>
      </c>
      <c r="I23" s="24">
        <f t="shared" si="13"/>
        <v>10</v>
      </c>
      <c r="J23" s="25">
        <f t="shared" si="4"/>
        <v>74.790856716116195</v>
      </c>
      <c r="K23" s="26">
        <f t="shared" si="5"/>
        <v>747.90856716116195</v>
      </c>
      <c r="L23" s="26">
        <f t="shared" si="6"/>
        <v>15257.070800074624</v>
      </c>
      <c r="M23" s="27">
        <f t="shared" si="7"/>
        <v>1495.8171343223239</v>
      </c>
      <c r="N23" s="28">
        <f t="shared" si="8"/>
        <v>1658.4090720685665</v>
      </c>
      <c r="O23" s="29">
        <f t="shared" si="14"/>
        <v>4.4695834106855408</v>
      </c>
      <c r="P23" s="30">
        <f t="shared" si="15"/>
        <v>0.28779232489892026</v>
      </c>
      <c r="Q23" s="31">
        <f t="shared" si="9"/>
        <v>3.0629667099839043E-10</v>
      </c>
      <c r="R23" s="31">
        <f t="shared" si="10"/>
        <v>6.8529131879745114E-11</v>
      </c>
      <c r="S23" s="31">
        <f t="shared" si="11"/>
        <v>7.2116370194339575E-11</v>
      </c>
      <c r="T23" s="31">
        <f t="shared" si="12"/>
        <v>2.5058475836584109E-10</v>
      </c>
    </row>
    <row r="25" spans="3:21" ht="15.8" customHeight="1" x14ac:dyDescent="0.2">
      <c r="N25" s="58"/>
      <c r="O25" s="58">
        <v>18</v>
      </c>
      <c r="P25" s="58">
        <v>120</v>
      </c>
      <c r="Q25" s="58"/>
      <c r="R25" s="58"/>
      <c r="S25" s="58"/>
      <c r="T25" s="58"/>
      <c r="U25" s="58" t="s">
        <v>90</v>
      </c>
    </row>
    <row r="26" spans="3:21" ht="15.8" customHeight="1" x14ac:dyDescent="0.2">
      <c r="N26" s="58" t="s">
        <v>91</v>
      </c>
      <c r="O26" s="58">
        <v>3</v>
      </c>
      <c r="P26" s="58">
        <v>2</v>
      </c>
      <c r="Q26" s="59" t="s">
        <v>44</v>
      </c>
      <c r="R26" s="58" t="s">
        <v>78</v>
      </c>
      <c r="S26" s="58" t="s">
        <v>82</v>
      </c>
      <c r="T26" s="58" t="s">
        <v>88</v>
      </c>
      <c r="U26" s="58">
        <f>$O$25*O26+$P$25*P26</f>
        <v>294</v>
      </c>
    </row>
    <row r="27" spans="3:21" ht="15.8" customHeight="1" x14ac:dyDescent="0.2">
      <c r="N27" s="58" t="s">
        <v>92</v>
      </c>
      <c r="O27" s="58">
        <v>0</v>
      </c>
      <c r="P27" s="58">
        <v>2</v>
      </c>
      <c r="Q27" s="58" t="s">
        <v>45</v>
      </c>
      <c r="R27" s="58" t="s">
        <v>79</v>
      </c>
      <c r="S27" s="58" t="s">
        <v>83</v>
      </c>
      <c r="T27" s="58" t="s">
        <v>86</v>
      </c>
      <c r="U27" s="58">
        <f>$P$25*$P$25/($P$25+$P$25)</f>
        <v>60</v>
      </c>
    </row>
    <row r="28" spans="3:21" ht="15.8" customHeight="1" x14ac:dyDescent="0.2">
      <c r="N28" s="58" t="s">
        <v>93</v>
      </c>
      <c r="O28" s="58">
        <v>2</v>
      </c>
      <c r="P28" s="58">
        <v>2</v>
      </c>
      <c r="Q28" s="58" t="s">
        <v>46</v>
      </c>
      <c r="R28" s="58" t="s">
        <v>80</v>
      </c>
      <c r="S28" s="58" t="s">
        <v>84</v>
      </c>
      <c r="T28" s="58" t="s">
        <v>87</v>
      </c>
      <c r="U28" s="58">
        <f>$P$25*$P$25/($P$25+$P$25)+($O$25*$O$25)/($O$25+$O$25)</f>
        <v>69</v>
      </c>
    </row>
    <row r="29" spans="3:21" ht="15.8" customHeight="1" x14ac:dyDescent="0.2">
      <c r="N29" s="58" t="s">
        <v>91</v>
      </c>
      <c r="O29" s="58">
        <v>4</v>
      </c>
      <c r="P29" s="58">
        <v>1</v>
      </c>
      <c r="Q29" s="58" t="s">
        <v>47</v>
      </c>
      <c r="R29" s="58" t="s">
        <v>81</v>
      </c>
      <c r="S29" s="58" t="s">
        <v>85</v>
      </c>
      <c r="T29" s="58" t="s">
        <v>89</v>
      </c>
      <c r="U29" s="58">
        <f>$O$25*O29+$P$25*P29</f>
        <v>192</v>
      </c>
    </row>
  </sheetData>
  <mergeCells count="7">
    <mergeCell ref="G3:H3"/>
    <mergeCell ref="I3:J3"/>
    <mergeCell ref="N3:P3"/>
    <mergeCell ref="F11:I11"/>
    <mergeCell ref="K11:L11"/>
    <mergeCell ref="M11:N11"/>
    <mergeCell ref="O11:T1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D9C8-1CB4-4128-BD49-E8407CD846C3}">
  <dimension ref="C3:O19"/>
  <sheetViews>
    <sheetView workbookViewId="0">
      <selection activeCell="P23" sqref="P23"/>
    </sheetView>
  </sheetViews>
  <sheetFormatPr baseColWidth="10" defaultRowHeight="12.65" x14ac:dyDescent="0.2"/>
  <cols>
    <col min="12" max="12" width="19.42578125" customWidth="1"/>
    <col min="14" max="14" width="19.140625" customWidth="1"/>
  </cols>
  <sheetData>
    <row r="3" spans="3:15" x14ac:dyDescent="0.2">
      <c r="F3" s="33" t="s">
        <v>49</v>
      </c>
      <c r="G3" s="34"/>
      <c r="H3" s="33" t="s">
        <v>50</v>
      </c>
      <c r="I3" s="34"/>
      <c r="L3" s="32" t="s">
        <v>61</v>
      </c>
      <c r="N3" s="32" t="s">
        <v>62</v>
      </c>
      <c r="O3" t="s">
        <v>63</v>
      </c>
    </row>
    <row r="4" spans="3:15" x14ac:dyDescent="0.2">
      <c r="E4" s="32" t="s">
        <v>58</v>
      </c>
      <c r="F4" s="35"/>
      <c r="G4" s="36"/>
      <c r="H4" s="35"/>
      <c r="I4" s="36"/>
      <c r="L4">
        <v>8074.28</v>
      </c>
      <c r="N4">
        <f>M14+L7</f>
        <v>24926.59</v>
      </c>
      <c r="O4">
        <f>L4+L6</f>
        <v>10074.279999999999</v>
      </c>
    </row>
    <row r="5" spans="3:15" x14ac:dyDescent="0.2">
      <c r="C5" s="32" t="s">
        <v>48</v>
      </c>
      <c r="D5">
        <v>1000</v>
      </c>
      <c r="E5">
        <v>730</v>
      </c>
      <c r="F5" s="35">
        <v>400</v>
      </c>
      <c r="G5" s="36">
        <f>(F5*E5)/D5</f>
        <v>292</v>
      </c>
      <c r="H5" s="39">
        <v>350</v>
      </c>
      <c r="I5" s="36">
        <f>(H5*E5)/D5</f>
        <v>255.5</v>
      </c>
      <c r="N5">
        <v>5000</v>
      </c>
      <c r="O5">
        <v>5000</v>
      </c>
    </row>
    <row r="6" spans="3:15" x14ac:dyDescent="0.2">
      <c r="C6" s="32" t="s">
        <v>51</v>
      </c>
      <c r="D6">
        <v>1000</v>
      </c>
      <c r="E6">
        <v>1385</v>
      </c>
      <c r="F6" s="35">
        <v>75</v>
      </c>
      <c r="G6" s="36">
        <f t="shared" ref="G6:G12" si="0">(F6*E6)/D6</f>
        <v>103.875</v>
      </c>
      <c r="H6" s="39">
        <v>100</v>
      </c>
      <c r="I6" s="36">
        <f t="shared" ref="I6:I12" si="1">(H6*E6)/D6</f>
        <v>138.5</v>
      </c>
      <c r="L6">
        <v>2000</v>
      </c>
    </row>
    <row r="7" spans="3:15" x14ac:dyDescent="0.2">
      <c r="C7" s="32" t="s">
        <v>52</v>
      </c>
      <c r="D7">
        <v>1000</v>
      </c>
      <c r="E7">
        <v>3500</v>
      </c>
      <c r="F7" s="35">
        <v>60</v>
      </c>
      <c r="G7" s="36">
        <f t="shared" si="0"/>
        <v>210</v>
      </c>
      <c r="H7" s="39">
        <v>200</v>
      </c>
      <c r="I7" s="36">
        <f t="shared" si="1"/>
        <v>700</v>
      </c>
      <c r="L7">
        <v>5000</v>
      </c>
    </row>
    <row r="8" spans="3:15" x14ac:dyDescent="0.2">
      <c r="C8" s="32" t="s">
        <v>53</v>
      </c>
      <c r="D8">
        <v>400</v>
      </c>
      <c r="E8">
        <v>1600</v>
      </c>
      <c r="F8" s="35">
        <v>30</v>
      </c>
      <c r="G8" s="36">
        <f t="shared" si="0"/>
        <v>120</v>
      </c>
      <c r="H8" s="35"/>
      <c r="I8" s="36">
        <f t="shared" si="1"/>
        <v>0</v>
      </c>
    </row>
    <row r="9" spans="3:15" x14ac:dyDescent="0.2">
      <c r="C9" s="32" t="s">
        <v>54</v>
      </c>
      <c r="D9">
        <v>24</v>
      </c>
      <c r="E9">
        <v>3500</v>
      </c>
      <c r="F9" s="35">
        <v>2</v>
      </c>
      <c r="G9" s="36">
        <f t="shared" si="0"/>
        <v>291.66666666666669</v>
      </c>
      <c r="H9" s="39">
        <v>1</v>
      </c>
      <c r="I9" s="36">
        <f t="shared" si="1"/>
        <v>145.83333333333334</v>
      </c>
      <c r="N9">
        <f>SUM(N4:N5)</f>
        <v>29926.59</v>
      </c>
      <c r="O9">
        <f>SUM(O4:O5)</f>
        <v>15074.279999999999</v>
      </c>
    </row>
    <row r="10" spans="3:15" x14ac:dyDescent="0.2">
      <c r="C10" s="32" t="s">
        <v>55</v>
      </c>
      <c r="D10">
        <v>50</v>
      </c>
      <c r="E10">
        <v>245</v>
      </c>
      <c r="F10" s="35">
        <v>15</v>
      </c>
      <c r="G10" s="36">
        <f t="shared" si="0"/>
        <v>73.5</v>
      </c>
      <c r="H10" s="39">
        <v>25</v>
      </c>
      <c r="I10" s="36">
        <f t="shared" si="1"/>
        <v>122.5</v>
      </c>
    </row>
    <row r="11" spans="3:15" x14ac:dyDescent="0.2">
      <c r="C11" s="32" t="s">
        <v>56</v>
      </c>
      <c r="D11">
        <v>500</v>
      </c>
      <c r="E11">
        <v>1799</v>
      </c>
      <c r="F11" s="35">
        <v>15</v>
      </c>
      <c r="G11" s="36">
        <f t="shared" si="0"/>
        <v>53.97</v>
      </c>
      <c r="H11" s="39">
        <v>15</v>
      </c>
      <c r="I11" s="36">
        <f t="shared" si="1"/>
        <v>53.97</v>
      </c>
    </row>
    <row r="12" spans="3:15" x14ac:dyDescent="0.2">
      <c r="C12" s="32" t="s">
        <v>57</v>
      </c>
      <c r="D12">
        <v>1000</v>
      </c>
      <c r="E12">
        <v>699</v>
      </c>
      <c r="F12" s="37">
        <v>75</v>
      </c>
      <c r="G12" s="38">
        <f t="shared" si="0"/>
        <v>52.424999999999997</v>
      </c>
      <c r="H12" s="40">
        <v>150</v>
      </c>
      <c r="I12" s="38">
        <f t="shared" si="1"/>
        <v>104.85</v>
      </c>
    </row>
    <row r="13" spans="3:15" x14ac:dyDescent="0.2">
      <c r="L13" s="56" t="s">
        <v>64</v>
      </c>
      <c r="M13" s="57"/>
      <c r="N13" s="56" t="s">
        <v>69</v>
      </c>
      <c r="O13" s="57"/>
    </row>
    <row r="14" spans="3:15" x14ac:dyDescent="0.2">
      <c r="C14" s="32" t="s">
        <v>59</v>
      </c>
      <c r="G14">
        <f>SUM(G5:G12)</f>
        <v>1197.4366666666667</v>
      </c>
      <c r="I14">
        <f>SUM(I5:I12)</f>
        <v>1521.1533333333332</v>
      </c>
      <c r="L14" s="35" t="s">
        <v>65</v>
      </c>
      <c r="M14" s="41">
        <v>19926.59</v>
      </c>
      <c r="N14" s="35" t="s">
        <v>71</v>
      </c>
      <c r="O14" s="41">
        <v>7000</v>
      </c>
    </row>
    <row r="15" spans="3:15" x14ac:dyDescent="0.2">
      <c r="C15" s="32" t="s">
        <v>60</v>
      </c>
      <c r="G15">
        <f>G14/8</f>
        <v>149.67958333333334</v>
      </c>
      <c r="I15">
        <f>I14/13</f>
        <v>117.01179487179486</v>
      </c>
      <c r="L15" s="35" t="s">
        <v>66</v>
      </c>
      <c r="M15" s="41">
        <v>5000</v>
      </c>
      <c r="N15" s="35" t="s">
        <v>70</v>
      </c>
      <c r="O15" s="41">
        <v>10074.280000000001</v>
      </c>
    </row>
    <row r="16" spans="3:15" x14ac:dyDescent="0.2">
      <c r="G16">
        <f>G15*6</f>
        <v>898.0775000000001</v>
      </c>
      <c r="I16">
        <f>I15*11</f>
        <v>1287.1297435897434</v>
      </c>
      <c r="L16" s="35" t="s">
        <v>68</v>
      </c>
      <c r="M16" s="41">
        <v>5000</v>
      </c>
      <c r="N16" s="35" t="s">
        <v>72</v>
      </c>
      <c r="O16" s="41">
        <v>2000</v>
      </c>
    </row>
    <row r="17" spans="12:15" x14ac:dyDescent="0.2">
      <c r="L17" s="37" t="s">
        <v>67</v>
      </c>
      <c r="M17" s="42">
        <f>SUM(M14:M16)</f>
        <v>29926.59</v>
      </c>
      <c r="N17" s="37" t="s">
        <v>67</v>
      </c>
      <c r="O17" s="42">
        <f>SUM(O14:O16)</f>
        <v>19074.28</v>
      </c>
    </row>
    <row r="19" spans="12:15" x14ac:dyDescent="0.2">
      <c r="L19" s="43" t="s">
        <v>73</v>
      </c>
      <c r="M19" s="44">
        <f>SUM(M17,O17)</f>
        <v>49000.869999999995</v>
      </c>
    </row>
  </sheetData>
  <mergeCells count="2">
    <mergeCell ref="L13:M13"/>
    <mergeCell ref="N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2024-03-19T14:44:51Z</dcterms:created>
  <dcterms:modified xsi:type="dcterms:W3CDTF">2024-03-19T14:55:29Z</dcterms:modified>
</cp:coreProperties>
</file>