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tma\Desktop\"/>
    </mc:Choice>
  </mc:AlternateContent>
  <xr:revisionPtr revIDLastSave="0" documentId="13_ncr:1_{EFD9D23D-6200-46AC-B8FB-7A7349B839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Выплаты з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" i="1" l="1"/>
  <c r="D25" i="1"/>
  <c r="C25" i="1"/>
  <c r="C24" i="1"/>
  <c r="D24" i="1"/>
  <c r="C23" i="1"/>
  <c r="C22" i="1"/>
  <c r="C18" i="1"/>
  <c r="C17" i="1"/>
  <c r="C16" i="1"/>
  <c r="C15" i="1"/>
  <c r="C14" i="1"/>
  <c r="Q3" i="1" l="1"/>
  <c r="Q4" i="1"/>
  <c r="Q5" i="1"/>
  <c r="Q6" i="1"/>
  <c r="Q7" i="1"/>
  <c r="Q8" i="1"/>
  <c r="Q9" i="1"/>
  <c r="Q2" i="1"/>
  <c r="K9" i="1" l="1"/>
  <c r="S7" i="1"/>
  <c r="S8" i="1"/>
  <c r="S6" i="1"/>
  <c r="S4" i="1"/>
  <c r="S9" i="1"/>
  <c r="S3" i="1"/>
  <c r="S2" i="1"/>
  <c r="S5" i="1"/>
  <c r="P6" i="1"/>
  <c r="P9" i="1"/>
  <c r="R8" i="1"/>
  <c r="N8" i="1" s="1"/>
  <c r="R6" i="1"/>
  <c r="N6" i="1" s="1"/>
  <c r="R4" i="1"/>
  <c r="N4" i="1" s="1"/>
  <c r="R9" i="1"/>
  <c r="N9" i="1" s="1"/>
  <c r="R3" i="1"/>
  <c r="N3" i="1" s="1"/>
  <c r="R2" i="1"/>
  <c r="N2" i="1" s="1"/>
  <c r="R5" i="1"/>
  <c r="N5" i="1" s="1"/>
  <c r="R7" i="1"/>
  <c r="N7" i="1" s="1"/>
  <c r="K4" i="1"/>
  <c r="L4" i="1" s="1"/>
  <c r="K3" i="1"/>
  <c r="L3" i="1" s="1"/>
  <c r="K2" i="1"/>
  <c r="L2" i="1" s="1"/>
  <c r="K5" i="1"/>
  <c r="L5" i="1" s="1"/>
  <c r="K6" i="1"/>
  <c r="L6" i="1" s="1"/>
  <c r="K8" i="1"/>
  <c r="P8" i="1" s="1"/>
  <c r="K7" i="1"/>
  <c r="L7" i="1" s="1"/>
  <c r="L9" i="1"/>
  <c r="P2" i="1" l="1"/>
  <c r="M4" i="1"/>
  <c r="U4" i="1" s="1"/>
  <c r="V4" i="1" s="1"/>
  <c r="W4" i="1" s="1"/>
  <c r="P3" i="1"/>
  <c r="M6" i="1"/>
  <c r="U6" i="1" s="1"/>
  <c r="V6" i="1" s="1"/>
  <c r="W6" i="1" s="1"/>
  <c r="O8" i="1"/>
  <c r="M5" i="1"/>
  <c r="U5" i="1" s="1"/>
  <c r="M2" i="1"/>
  <c r="U2" i="1" s="1"/>
  <c r="P7" i="1"/>
  <c r="M3" i="1"/>
  <c r="U3" i="1" s="1"/>
  <c r="M7" i="1"/>
  <c r="U7" i="1" s="1"/>
  <c r="L8" i="1"/>
  <c r="O4" i="1"/>
  <c r="P5" i="1"/>
  <c r="P4" i="1"/>
  <c r="M8" i="1"/>
  <c r="M9" i="1"/>
  <c r="U9" i="1" s="1"/>
  <c r="O5" i="1"/>
  <c r="O7" i="1"/>
  <c r="O2" i="1"/>
  <c r="O6" i="1"/>
  <c r="O3" i="1"/>
  <c r="O9" i="1"/>
  <c r="W2" i="1" l="1"/>
  <c r="U8" i="1"/>
  <c r="V8" i="1" s="1"/>
  <c r="W8" i="1" s="1"/>
  <c r="D22" i="1" s="1"/>
  <c r="V2" i="1"/>
  <c r="V7" i="1"/>
  <c r="W7" i="1" s="1"/>
  <c r="V5" i="1"/>
  <c r="W5" i="1" s="1"/>
  <c r="V3" i="1"/>
  <c r="W3" i="1" s="1"/>
  <c r="V9" i="1"/>
  <c r="W9" i="1" s="1"/>
</calcChain>
</file>

<file path=xl/sharedStrings.xml><?xml version="1.0" encoding="utf-8"?>
<sst xmlns="http://schemas.openxmlformats.org/spreadsheetml/2006/main" count="67" uniqueCount="47">
  <si>
    <t>ФИО сотрудников</t>
  </si>
  <si>
    <t>№ отдела</t>
  </si>
  <si>
    <t>Должность</t>
  </si>
  <si>
    <t>Принадлежность к штату</t>
  </si>
  <si>
    <t>Образование</t>
  </si>
  <si>
    <t>Пол</t>
  </si>
  <si>
    <t>Год рожения</t>
  </si>
  <si>
    <t>Год приёма на работу</t>
  </si>
  <si>
    <t>Кол-во детей</t>
  </si>
  <si>
    <t>Оклад в руб.</t>
  </si>
  <si>
    <t>Стаж</t>
  </si>
  <si>
    <t>Надбавка 1</t>
  </si>
  <si>
    <t>Надбавка 2</t>
  </si>
  <si>
    <t xml:space="preserve">Надбавка 3 </t>
  </si>
  <si>
    <t>Признак 1</t>
  </si>
  <si>
    <t>Признак 2</t>
  </si>
  <si>
    <t>Признак 3</t>
  </si>
  <si>
    <t xml:space="preserve">Признак 4 </t>
  </si>
  <si>
    <t>Премия к 8 марта</t>
  </si>
  <si>
    <t>Премия к 23 февраля</t>
  </si>
  <si>
    <t>Доход</t>
  </si>
  <si>
    <t>Налог с общей суммы дохода</t>
  </si>
  <si>
    <t>Итоговая сумма зп</t>
  </si>
  <si>
    <t>Начальник отдела</t>
  </si>
  <si>
    <t>Высшее</t>
  </si>
  <si>
    <t>М</t>
  </si>
  <si>
    <t>Ж</t>
  </si>
  <si>
    <t>Среднее</t>
  </si>
  <si>
    <t>Зместитель начальника</t>
  </si>
  <si>
    <t>Промоутер</t>
  </si>
  <si>
    <t>Директор</t>
  </si>
  <si>
    <t>шт</t>
  </si>
  <si>
    <t>совм</t>
  </si>
  <si>
    <t xml:space="preserve">Начальник  </t>
  </si>
  <si>
    <t xml:space="preserve">Начальник </t>
  </si>
  <si>
    <t>Бухгалтер</t>
  </si>
  <si>
    <t xml:space="preserve">Програмист </t>
  </si>
  <si>
    <t>Средний оклад отдела</t>
  </si>
  <si>
    <t>Средний оклад для М и Ж</t>
  </si>
  <si>
    <t xml:space="preserve">Соколова Ульяна Викторовна </t>
  </si>
  <si>
    <t xml:space="preserve">Андреев Андрей Сергеевич </t>
  </si>
  <si>
    <t xml:space="preserve">Рубцова Зоя Владимировна </t>
  </si>
  <si>
    <t xml:space="preserve"> Свиридова Анна Александровна</t>
  </si>
  <si>
    <t xml:space="preserve">Иванов Иван Олеговия </t>
  </si>
  <si>
    <t>Петухов Никита Александрович</t>
  </si>
  <si>
    <t>Васильева Александра Викторовна</t>
  </si>
  <si>
    <t xml:space="preserve">Зайцев Георгий Александрович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</si>
</sst>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4" fontId="0" fillId="2" borderId="1" xfId="0" applyNumberFormat="1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/>
    <xf numFmtId="44" fontId="0" fillId="2" borderId="1" xfId="0" applyNumberFormat="1" applyFill="1" applyBorder="1" applyAlignment="1">
      <alignment horizontal="center"/>
    </xf>
    <xf numFmtId="0" fontId="0" fillId="0" borderId="1" xfId="0" applyBorder="1"/>
    <xf numFmtId="4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Возраст сотрудников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'Выплаты зп'!$G$2</c:f>
              <c:numCache>
                <c:formatCode>General</c:formatCode>
                <c:ptCount val="1"/>
                <c:pt idx="0">
                  <c:v>1979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D-4AC3-81F3-02404B1A72B3}"/>
            </c:ext>
          </c:extLst>
        </c:ser>
        <c:ser>
          <c:idx val="1"/>
          <c:order val="1"/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'Выплаты зп'!$G$3</c:f>
              <c:numCache>
                <c:formatCode>General</c:formatCode>
                <c:ptCount val="1"/>
                <c:pt idx="0">
                  <c:v>1960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D-4AC3-81F3-02404B1A72B3}"/>
            </c:ext>
          </c:extLst>
        </c:ser>
        <c:ser>
          <c:idx val="2"/>
          <c:order val="2"/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'Выплаты зп'!$G$4</c:f>
              <c:numCache>
                <c:formatCode>General</c:formatCode>
                <c:ptCount val="1"/>
                <c:pt idx="0">
                  <c:v>1969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DD-4AC3-81F3-02404B1A72B3}"/>
            </c:ext>
          </c:extLst>
        </c:ser>
        <c:ser>
          <c:idx val="3"/>
          <c:order val="3"/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'Выплаты зп'!$G$5</c:f>
              <c:numCache>
                <c:formatCode>General</c:formatCode>
                <c:ptCount val="1"/>
                <c:pt idx="0">
                  <c:v>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DD-4AC3-81F3-02404B1A72B3}"/>
            </c:ext>
          </c:extLst>
        </c:ser>
        <c:ser>
          <c:idx val="4"/>
          <c:order val="4"/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'Выплаты зп'!$G$6</c:f>
              <c:numCache>
                <c:formatCode>General</c:formatCode>
                <c:ptCount val="1"/>
                <c:pt idx="0">
                  <c:v>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DD-4AC3-81F3-02404B1A72B3}"/>
            </c:ext>
          </c:extLst>
        </c:ser>
        <c:ser>
          <c:idx val="5"/>
          <c:order val="5"/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'Выплаты зп'!$G$7</c:f>
              <c:numCache>
                <c:formatCode>General</c:formatCode>
                <c:ptCount val="1"/>
                <c:pt idx="0">
                  <c:v>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DD-4AC3-81F3-02404B1A72B3}"/>
            </c:ext>
          </c:extLst>
        </c:ser>
        <c:ser>
          <c:idx val="6"/>
          <c:order val="6"/>
          <c:spPr>
            <a:noFill/>
            <a:ln w="25400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'Выплаты зп'!$G$8</c:f>
              <c:numCache>
                <c:formatCode>General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DD-4AC3-81F3-02404B1A72B3}"/>
            </c:ext>
          </c:extLst>
        </c:ser>
        <c:ser>
          <c:idx val="7"/>
          <c:order val="7"/>
          <c:spPr>
            <a:noFill/>
            <a:ln w="25400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'Выплаты зп'!$G$9</c:f>
              <c:numCache>
                <c:formatCode>General</c:formatCode>
                <c:ptCount val="1"/>
                <c:pt idx="0">
                  <c:v>2003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DD-4AC3-81F3-02404B1A72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514222984"/>
        <c:axId val="514224944"/>
      </c:barChart>
      <c:catAx>
        <c:axId val="514222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224944"/>
        <c:crosses val="autoZero"/>
        <c:auto val="1"/>
        <c:lblAlgn val="ctr"/>
        <c:lblOffset val="100"/>
        <c:noMultiLvlLbl val="0"/>
      </c:catAx>
      <c:valAx>
        <c:axId val="51422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22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Оклад сотрудников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'Выплаты зп'!$A$2:$A$9</c:f>
              <c:strCache>
                <c:ptCount val="8"/>
                <c:pt idx="0">
                  <c:v>Соколова Ульяна Викторовна </c:v>
                </c:pt>
                <c:pt idx="1">
                  <c:v>Андреев Андрей Сергеевич </c:v>
                </c:pt>
                <c:pt idx="2">
                  <c:v>Рубцова Зоя Владимировна </c:v>
                </c:pt>
                <c:pt idx="3">
                  <c:v> Свиридова Анна Александровна</c:v>
                </c:pt>
                <c:pt idx="4">
                  <c:v>Иванов Иван Олеговия </c:v>
                </c:pt>
                <c:pt idx="5">
                  <c:v>Петухов Никита Александрович</c:v>
                </c:pt>
                <c:pt idx="6">
                  <c:v>Васильева Александра Викторовна</c:v>
                </c:pt>
                <c:pt idx="7">
                  <c:v>Зайцев Георгий Александрович </c:v>
                </c:pt>
              </c:strCache>
            </c:strRef>
          </c:cat>
          <c:val>
            <c:numRef>
              <c:f>'Выплаты зп'!$J$2:$J$9</c:f>
              <c:numCache>
                <c:formatCode>_("₽"* #,##0.00_);_("₽"* \(#,##0.00\);_("₽"* "-"??_);_(@_)</c:formatCode>
                <c:ptCount val="8"/>
                <c:pt idx="0">
                  <c:v>86000</c:v>
                </c:pt>
                <c:pt idx="1">
                  <c:v>110000</c:v>
                </c:pt>
                <c:pt idx="2">
                  <c:v>150000</c:v>
                </c:pt>
                <c:pt idx="3">
                  <c:v>110000</c:v>
                </c:pt>
                <c:pt idx="4">
                  <c:v>80000</c:v>
                </c:pt>
                <c:pt idx="5">
                  <c:v>100000</c:v>
                </c:pt>
                <c:pt idx="6">
                  <c:v>115000</c:v>
                </c:pt>
                <c:pt idx="7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45-4648-B82D-E488004C0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513249432"/>
        <c:axId val="513249824"/>
      </c:barChart>
      <c:catAx>
        <c:axId val="51324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249824"/>
        <c:crosses val="autoZero"/>
        <c:auto val="1"/>
        <c:lblAlgn val="ctr"/>
        <c:lblOffset val="100"/>
        <c:noMultiLvlLbl val="0"/>
      </c:catAx>
      <c:valAx>
        <c:axId val="5132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249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Стаж сотрудников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'Выплаты зп'!$K$2:$K$9</c:f>
              <c:numCache>
                <c:formatCode>General</c:formatCode>
                <c:ptCount val="8"/>
                <c:pt idx="0">
                  <c:v>23</c:v>
                </c:pt>
                <c:pt idx="1">
                  <c:v>47</c:v>
                </c:pt>
                <c:pt idx="2">
                  <c:v>32</c:v>
                </c:pt>
                <c:pt idx="3">
                  <c:v>28</c:v>
                </c:pt>
                <c:pt idx="4">
                  <c:v>3</c:v>
                </c:pt>
                <c:pt idx="5">
                  <c:v>22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A-4B3E-8361-82295E197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518783416"/>
        <c:axId val="518783808"/>
      </c:barChart>
      <c:catAx>
        <c:axId val="518783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8783808"/>
        <c:crosses val="autoZero"/>
        <c:auto val="1"/>
        <c:lblAlgn val="ctr"/>
        <c:lblOffset val="100"/>
        <c:noMultiLvlLbl val="0"/>
      </c:catAx>
      <c:valAx>
        <c:axId val="51878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8783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9713</xdr:colOff>
      <xdr:row>11</xdr:row>
      <xdr:rowOff>107207</xdr:rowOff>
    </xdr:from>
    <xdr:to>
      <xdr:col>10</xdr:col>
      <xdr:colOff>49480</xdr:colOff>
      <xdr:row>26</xdr:row>
      <xdr:rowOff>140194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560779</xdr:colOff>
      <xdr:row>11</xdr:row>
      <xdr:rowOff>107208</xdr:rowOff>
    </xdr:from>
    <xdr:to>
      <xdr:col>15</xdr:col>
      <xdr:colOff>1262990</xdr:colOff>
      <xdr:row>27</xdr:row>
      <xdr:rowOff>24740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494805</xdr:colOff>
      <xdr:row>10</xdr:row>
      <xdr:rowOff>90716</xdr:rowOff>
    </xdr:from>
    <xdr:to>
      <xdr:col>21</xdr:col>
      <xdr:colOff>293997</xdr:colOff>
      <xdr:row>27</xdr:row>
      <xdr:rowOff>57728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zoomScale="140" zoomScaleNormal="140" workbookViewId="0">
      <pane xSplit="1" topLeftCell="B1" activePane="topRight" state="frozen"/>
      <selection pane="topRight" sqref="A1:A9"/>
    </sheetView>
  </sheetViews>
  <sheetFormatPr defaultRowHeight="15" x14ac:dyDescent="0.25"/>
  <cols>
    <col min="1" max="1" width="32.42578125" style="1" customWidth="1"/>
    <col min="2" max="2" width="10.85546875" customWidth="1"/>
    <col min="3" max="3" width="23.140625" customWidth="1"/>
    <col min="4" max="4" width="23" customWidth="1"/>
    <col min="5" max="5" width="12.140625" customWidth="1"/>
    <col min="7" max="7" width="12" customWidth="1"/>
    <col min="8" max="8" width="19.5703125" customWidth="1"/>
    <col min="9" max="9" width="12.42578125" customWidth="1"/>
    <col min="10" max="10" width="13.42578125" customWidth="1"/>
    <col min="12" max="12" width="12.28515625" bestFit="1" customWidth="1"/>
    <col min="13" max="13" width="12.140625" bestFit="1" customWidth="1"/>
    <col min="14" max="14" width="12.28515625" bestFit="1" customWidth="1"/>
    <col min="15" max="15" width="13.140625" customWidth="1"/>
    <col min="16" max="16" width="19.140625" customWidth="1"/>
    <col min="17" max="17" width="12" customWidth="1"/>
    <col min="18" max="18" width="10.5703125" customWidth="1"/>
    <col min="19" max="19" width="17.140625" customWidth="1"/>
    <col min="20" max="20" width="19.140625" customWidth="1"/>
    <col min="21" max="21" width="15.5703125" customWidth="1"/>
    <col min="22" max="22" width="26.140625" customWidth="1"/>
    <col min="23" max="23" width="16.85546875" customWidth="1"/>
  </cols>
  <sheetData>
    <row r="1" spans="1:23" ht="15.75" x14ac:dyDescent="0.25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39</v>
      </c>
      <c r="B2" s="4">
        <v>4</v>
      </c>
      <c r="C2" s="4" t="s">
        <v>28</v>
      </c>
      <c r="D2" s="4" t="s">
        <v>31</v>
      </c>
      <c r="E2" s="4" t="s">
        <v>24</v>
      </c>
      <c r="F2" s="3" t="s">
        <v>26</v>
      </c>
      <c r="G2" s="4">
        <v>1979</v>
      </c>
      <c r="H2" s="4">
        <v>1999</v>
      </c>
      <c r="I2" s="4">
        <v>2</v>
      </c>
      <c r="J2" s="5">
        <v>86000</v>
      </c>
      <c r="K2" s="4">
        <f t="shared" ref="K2:K9" si="0">2022-H2</f>
        <v>23</v>
      </c>
      <c r="L2" s="5">
        <f t="shared" ref="L2:L9" si="1">IF(K2&gt;=15,J2*25%,J2*9%)</f>
        <v>21500</v>
      </c>
      <c r="M2" s="5">
        <f>IF(F2="ж",IF(K2&gt;=17,J2*25%,"0"),IF(F2="м",IF(K2&gt;=19,J2*25%,"0"),0))</f>
        <v>21500</v>
      </c>
      <c r="N2" s="5" t="str">
        <f t="shared" ref="N2:N9" si="2">IF(R2="пенсионер",J2*10%,"0")</f>
        <v>0</v>
      </c>
      <c r="O2" s="4" t="str">
        <f t="shared" ref="O2:O9" si="3">IF(F2="ж",IF(K2&gt;=20,"Ветеран Труда",""), IF(F2="м", IF(K2&gt;=25,"Ветеран Труда","")))</f>
        <v>Ветеран Труда</v>
      </c>
      <c r="P2" s="6" t="str">
        <f t="shared" ref="P2:P9" si="4">IF((2022-G2)&lt;=25,"Молодой специалист", IF(K2&gt;20,"-",))</f>
        <v>-</v>
      </c>
      <c r="Q2" s="4" t="str">
        <f>IF(AND(F2="м",(2022-G2)&gt;=18,(2022-G2)&lt;27),"призывник","")</f>
        <v/>
      </c>
      <c r="R2" s="4" t="str">
        <f t="shared" ref="R2:R9" si="5">IF(F2="ж",IF((2022-G2)&gt;=55,"пенсионер",""), IF(F2="м",IF((2022-G2)&gt;=60,"пенсионер","")))</f>
        <v/>
      </c>
      <c r="S2" s="5">
        <f t="shared" ref="S2:S9" si="6">IF(AND(F5="ж",D5="шт")=TRUE,Y$2,IF(AND(F5="ж",D5="совм"),Z$2,""))</f>
        <v>0</v>
      </c>
      <c r="T2" s="4"/>
      <c r="U2" s="5">
        <f t="shared" ref="U2:U9" si="7">SUM(J2+L2+M2+N2)</f>
        <v>129000</v>
      </c>
      <c r="V2" s="5">
        <f t="shared" ref="V2:V9" si="8">U2*13%</f>
        <v>16770</v>
      </c>
      <c r="W2" s="5">
        <f>U2-V2</f>
        <v>112230</v>
      </c>
    </row>
    <row r="3" spans="1:23" x14ac:dyDescent="0.25">
      <c r="A3" s="3" t="s">
        <v>40</v>
      </c>
      <c r="B3" s="4">
        <v>1</v>
      </c>
      <c r="C3" s="4" t="s">
        <v>33</v>
      </c>
      <c r="D3" s="4" t="s">
        <v>32</v>
      </c>
      <c r="E3" s="4" t="s">
        <v>24</v>
      </c>
      <c r="F3" s="3" t="s">
        <v>25</v>
      </c>
      <c r="G3" s="4">
        <v>1960</v>
      </c>
      <c r="H3" s="4">
        <v>1975</v>
      </c>
      <c r="I3" s="4">
        <v>3</v>
      </c>
      <c r="J3" s="5">
        <v>110000</v>
      </c>
      <c r="K3" s="4">
        <f t="shared" si="0"/>
        <v>47</v>
      </c>
      <c r="L3" s="5">
        <f t="shared" si="1"/>
        <v>27500</v>
      </c>
      <c r="M3" s="5">
        <f>IF(F3="ж",IF(K3&gt;=17,J3*25%,"0"),IF(F3="м",IF(K3&gt;=19,J3*25%,"0"),0))</f>
        <v>27500</v>
      </c>
      <c r="N3" s="5">
        <f t="shared" si="2"/>
        <v>11000</v>
      </c>
      <c r="O3" s="4" t="str">
        <f t="shared" si="3"/>
        <v>Ветеран Труда</v>
      </c>
      <c r="P3" s="6" t="str">
        <f t="shared" si="4"/>
        <v>-</v>
      </c>
      <c r="Q3" s="4" t="str">
        <f t="shared" ref="Q3:Q9" si="9">IF(AND(F3="м",(2022-G3)&gt;=18,(2022-G3)&lt;27),"призывник","")</f>
        <v/>
      </c>
      <c r="R3" s="4" t="str">
        <f t="shared" si="5"/>
        <v>пенсионер</v>
      </c>
      <c r="S3" s="5" t="str">
        <f t="shared" si="6"/>
        <v/>
      </c>
      <c r="T3" s="4"/>
      <c r="U3" s="5">
        <f t="shared" si="7"/>
        <v>176000</v>
      </c>
      <c r="V3" s="5">
        <f t="shared" si="8"/>
        <v>22880</v>
      </c>
      <c r="W3" s="5">
        <f>U3-V3</f>
        <v>153120</v>
      </c>
    </row>
    <row r="4" spans="1:23" x14ac:dyDescent="0.25">
      <c r="A4" s="3" t="s">
        <v>41</v>
      </c>
      <c r="B4" s="4">
        <v>3</v>
      </c>
      <c r="C4" s="4" t="s">
        <v>30</v>
      </c>
      <c r="D4" s="4" t="s">
        <v>31</v>
      </c>
      <c r="E4" s="4" t="s">
        <v>24</v>
      </c>
      <c r="F4" s="3" t="s">
        <v>26</v>
      </c>
      <c r="G4" s="4">
        <v>1969</v>
      </c>
      <c r="H4" s="4">
        <v>1990</v>
      </c>
      <c r="I4" s="4">
        <v>1</v>
      </c>
      <c r="J4" s="5">
        <v>150000</v>
      </c>
      <c r="K4" s="4">
        <f t="shared" si="0"/>
        <v>32</v>
      </c>
      <c r="L4" s="5">
        <f t="shared" si="1"/>
        <v>37500</v>
      </c>
      <c r="M4" s="5">
        <f>IF(F4="ж",IF(K4&gt;=17,J4*25%,"0"),IF(F4="м",IF(K4&gt;=19,J4*25%,"0"),0))</f>
        <v>37500</v>
      </c>
      <c r="N4" s="5" t="str">
        <f t="shared" si="2"/>
        <v>0</v>
      </c>
      <c r="O4" s="4" t="str">
        <f t="shared" si="3"/>
        <v>Ветеран Труда</v>
      </c>
      <c r="P4" s="6" t="str">
        <f t="shared" si="4"/>
        <v>-</v>
      </c>
      <c r="Q4" s="4" t="str">
        <f t="shared" si="9"/>
        <v/>
      </c>
      <c r="R4" s="4" t="str">
        <f t="shared" si="5"/>
        <v/>
      </c>
      <c r="S4" s="5" t="str">
        <f t="shared" si="6"/>
        <v/>
      </c>
      <c r="T4" s="4"/>
      <c r="U4" s="5">
        <f t="shared" si="7"/>
        <v>225000</v>
      </c>
      <c r="V4" s="5">
        <f t="shared" si="8"/>
        <v>29250</v>
      </c>
      <c r="W4" s="5">
        <f t="shared" ref="W4:W9" si="10">U4-V4</f>
        <v>195750</v>
      </c>
    </row>
    <row r="5" spans="1:23" x14ac:dyDescent="0.25">
      <c r="A5" s="3" t="s">
        <v>42</v>
      </c>
      <c r="B5" s="4">
        <v>5</v>
      </c>
      <c r="C5" s="4" t="s">
        <v>34</v>
      </c>
      <c r="D5" s="4" t="s">
        <v>31</v>
      </c>
      <c r="E5" s="4" t="s">
        <v>24</v>
      </c>
      <c r="F5" s="3" t="s">
        <v>26</v>
      </c>
      <c r="G5" s="4">
        <v>1972</v>
      </c>
      <c r="H5" s="4">
        <v>1994</v>
      </c>
      <c r="I5" s="4">
        <v>1</v>
      </c>
      <c r="J5" s="5">
        <v>110000</v>
      </c>
      <c r="K5" s="4">
        <f t="shared" si="0"/>
        <v>28</v>
      </c>
      <c r="L5" s="5">
        <f t="shared" si="1"/>
        <v>27500</v>
      </c>
      <c r="M5" s="5">
        <f>IF(F5="ж",IF(K5&gt;=17,J5*25%,"0"),IF(F5="м",IF(K5&gt;=19,J5*25%,"0"),0))</f>
        <v>27500</v>
      </c>
      <c r="N5" s="5" t="str">
        <f t="shared" si="2"/>
        <v>0</v>
      </c>
      <c r="O5" s="4" t="str">
        <f t="shared" si="3"/>
        <v>Ветеран Труда</v>
      </c>
      <c r="P5" s="6" t="str">
        <f t="shared" si="4"/>
        <v>-</v>
      </c>
      <c r="Q5" s="4" t="str">
        <f t="shared" si="9"/>
        <v/>
      </c>
      <c r="R5" s="4" t="str">
        <f t="shared" si="5"/>
        <v/>
      </c>
      <c r="S5" s="5">
        <f t="shared" si="6"/>
        <v>0</v>
      </c>
      <c r="T5" s="4"/>
      <c r="U5" s="5">
        <f t="shared" si="7"/>
        <v>165000</v>
      </c>
      <c r="V5" s="5">
        <f t="shared" si="8"/>
        <v>21450</v>
      </c>
      <c r="W5" s="5">
        <f t="shared" si="10"/>
        <v>143550</v>
      </c>
    </row>
    <row r="6" spans="1:23" x14ac:dyDescent="0.25">
      <c r="A6" s="3" t="s">
        <v>43</v>
      </c>
      <c r="B6" s="4">
        <v>2</v>
      </c>
      <c r="C6" s="4" t="s">
        <v>35</v>
      </c>
      <c r="D6" s="4" t="s">
        <v>32</v>
      </c>
      <c r="E6" s="4" t="s">
        <v>27</v>
      </c>
      <c r="F6" s="3" t="s">
        <v>25</v>
      </c>
      <c r="G6" s="4">
        <v>2001</v>
      </c>
      <c r="H6" s="4">
        <v>2019</v>
      </c>
      <c r="I6" s="4">
        <v>1</v>
      </c>
      <c r="J6" s="5">
        <v>80000</v>
      </c>
      <c r="K6" s="4">
        <f t="shared" si="0"/>
        <v>3</v>
      </c>
      <c r="L6" s="5">
        <f t="shared" si="1"/>
        <v>7200</v>
      </c>
      <c r="M6" s="5" t="str">
        <f>IF(F6="ж",IF(K6&gt;=17,J6*25%,"0"),IF(F6="м",IF(K6&gt;=19,J6*25%,"0"),0))</f>
        <v>0</v>
      </c>
      <c r="N6" s="5" t="str">
        <f t="shared" si="2"/>
        <v>0</v>
      </c>
      <c r="O6" s="4" t="str">
        <f t="shared" si="3"/>
        <v/>
      </c>
      <c r="P6" s="6" t="str">
        <f t="shared" si="4"/>
        <v>Молодой специалист</v>
      </c>
      <c r="Q6" s="4" t="str">
        <f t="shared" si="9"/>
        <v>призывник</v>
      </c>
      <c r="R6" s="4" t="str">
        <f t="shared" si="5"/>
        <v/>
      </c>
      <c r="S6" s="5" t="str">
        <f t="shared" si="6"/>
        <v/>
      </c>
      <c r="T6" s="4"/>
      <c r="U6" s="5">
        <f t="shared" si="7"/>
        <v>87200</v>
      </c>
      <c r="V6" s="5">
        <f t="shared" si="8"/>
        <v>11336</v>
      </c>
      <c r="W6" s="5">
        <f t="shared" si="10"/>
        <v>75864</v>
      </c>
    </row>
    <row r="7" spans="1:23" x14ac:dyDescent="0.25">
      <c r="A7" s="3" t="s">
        <v>44</v>
      </c>
      <c r="B7" s="4">
        <v>3</v>
      </c>
      <c r="C7" s="4" t="s">
        <v>23</v>
      </c>
      <c r="D7" s="4" t="s">
        <v>31</v>
      </c>
      <c r="E7" s="4" t="s">
        <v>24</v>
      </c>
      <c r="F7" s="3" t="s">
        <v>25</v>
      </c>
      <c r="G7" s="4">
        <v>1953</v>
      </c>
      <c r="H7" s="4">
        <v>2000</v>
      </c>
      <c r="I7" s="4">
        <v>1</v>
      </c>
      <c r="J7" s="5">
        <v>100000</v>
      </c>
      <c r="K7" s="4">
        <f t="shared" si="0"/>
        <v>22</v>
      </c>
      <c r="L7" s="5">
        <f t="shared" si="1"/>
        <v>25000</v>
      </c>
      <c r="M7" s="5">
        <f>IF(F7="ж",IF(K7&gt;=17,J7*25%,0),IF(F7="м",IF(K7&gt;=19,J7*25%,0),0))</f>
        <v>25000</v>
      </c>
      <c r="N7" s="5">
        <f t="shared" si="2"/>
        <v>10000</v>
      </c>
      <c r="O7" s="4" t="str">
        <f t="shared" si="3"/>
        <v/>
      </c>
      <c r="P7" s="6" t="str">
        <f t="shared" si="4"/>
        <v>-</v>
      </c>
      <c r="Q7" s="4" t="str">
        <f t="shared" si="9"/>
        <v/>
      </c>
      <c r="R7" s="4" t="str">
        <f t="shared" si="5"/>
        <v>пенсионер</v>
      </c>
      <c r="S7" s="7" t="str">
        <f t="shared" si="6"/>
        <v/>
      </c>
      <c r="T7" s="4"/>
      <c r="U7" s="5">
        <f t="shared" si="7"/>
        <v>160000</v>
      </c>
      <c r="V7" s="5">
        <f t="shared" si="8"/>
        <v>20800</v>
      </c>
      <c r="W7" s="5">
        <f t="shared" si="10"/>
        <v>139200</v>
      </c>
    </row>
    <row r="8" spans="1:23" x14ac:dyDescent="0.25">
      <c r="A8" s="3" t="s">
        <v>45</v>
      </c>
      <c r="B8" s="4">
        <v>1</v>
      </c>
      <c r="C8" s="4" t="s">
        <v>36</v>
      </c>
      <c r="D8" s="4" t="s">
        <v>31</v>
      </c>
      <c r="E8" s="4" t="s">
        <v>24</v>
      </c>
      <c r="F8" s="3" t="s">
        <v>26</v>
      </c>
      <c r="G8" s="4">
        <v>2000</v>
      </c>
      <c r="H8" s="4">
        <v>2019</v>
      </c>
      <c r="I8" s="4">
        <v>0</v>
      </c>
      <c r="J8" s="5">
        <v>115000</v>
      </c>
      <c r="K8" s="4">
        <f t="shared" si="0"/>
        <v>3</v>
      </c>
      <c r="L8" s="5">
        <f t="shared" si="1"/>
        <v>10350</v>
      </c>
      <c r="M8" s="5" t="str">
        <f>IF(F8="ж",IF(K8&gt;=17,J8*25%,"0"),IF(F8="м",IF(K8&gt;=19,J8*25%,"0"),0))</f>
        <v>0</v>
      </c>
      <c r="N8" s="5" t="str">
        <f t="shared" si="2"/>
        <v>0</v>
      </c>
      <c r="O8" s="4" t="str">
        <f t="shared" si="3"/>
        <v/>
      </c>
      <c r="P8" s="8" t="str">
        <f t="shared" si="4"/>
        <v>Молодой специалист</v>
      </c>
      <c r="Q8" s="4" t="str">
        <f t="shared" si="9"/>
        <v/>
      </c>
      <c r="R8" s="4" t="str">
        <f t="shared" si="5"/>
        <v/>
      </c>
      <c r="S8" s="5" t="str">
        <f t="shared" si="6"/>
        <v/>
      </c>
      <c r="T8" s="4"/>
      <c r="U8" s="5">
        <f t="shared" si="7"/>
        <v>125350</v>
      </c>
      <c r="V8" s="5">
        <f t="shared" si="8"/>
        <v>16295.5</v>
      </c>
      <c r="W8" s="5">
        <f t="shared" si="10"/>
        <v>109054.5</v>
      </c>
    </row>
    <row r="9" spans="1:23" x14ac:dyDescent="0.25">
      <c r="A9" s="3" t="s">
        <v>46</v>
      </c>
      <c r="B9" s="4">
        <v>4</v>
      </c>
      <c r="C9" s="4" t="s">
        <v>29</v>
      </c>
      <c r="D9" s="4" t="s">
        <v>32</v>
      </c>
      <c r="E9" s="4" t="s">
        <v>27</v>
      </c>
      <c r="F9" s="3" t="s">
        <v>25</v>
      </c>
      <c r="G9" s="4">
        <v>2003</v>
      </c>
      <c r="H9" s="4">
        <v>2022</v>
      </c>
      <c r="I9" s="4">
        <v>0</v>
      </c>
      <c r="J9" s="5">
        <v>40000</v>
      </c>
      <c r="K9" s="4">
        <f t="shared" si="0"/>
        <v>0</v>
      </c>
      <c r="L9" s="5">
        <f t="shared" si="1"/>
        <v>3600</v>
      </c>
      <c r="M9" s="5" t="str">
        <f>IF(F9="ж",IF(K9&gt;=17,J9*25%,"0"),IF(F9="м",IF(K9&gt;=19,J9*25%,"0"),0))</f>
        <v>0</v>
      </c>
      <c r="N9" s="5" t="str">
        <f t="shared" si="2"/>
        <v>0</v>
      </c>
      <c r="O9" s="4" t="str">
        <f t="shared" si="3"/>
        <v/>
      </c>
      <c r="P9" s="6" t="str">
        <f t="shared" si="4"/>
        <v>Молодой специалист</v>
      </c>
      <c r="Q9" s="4" t="str">
        <f t="shared" si="9"/>
        <v>призывник</v>
      </c>
      <c r="R9" s="4" t="str">
        <f t="shared" si="5"/>
        <v/>
      </c>
      <c r="S9" s="5" t="str">
        <f t="shared" si="6"/>
        <v/>
      </c>
      <c r="T9" s="4"/>
      <c r="U9" s="5">
        <f t="shared" si="7"/>
        <v>43600</v>
      </c>
      <c r="V9" s="5">
        <f t="shared" si="8"/>
        <v>5668</v>
      </c>
      <c r="W9" s="5">
        <f t="shared" si="10"/>
        <v>37932</v>
      </c>
    </row>
    <row r="13" spans="1:23" x14ac:dyDescent="0.25">
      <c r="B13" s="9"/>
      <c r="C13" s="9" t="s">
        <v>37</v>
      </c>
    </row>
    <row r="14" spans="1:23" x14ac:dyDescent="0.25">
      <c r="B14" s="9">
        <v>1</v>
      </c>
      <c r="C14" s="10">
        <f>AVERAGE(W2,W8)</f>
        <v>110642.25</v>
      </c>
    </row>
    <row r="15" spans="1:23" x14ac:dyDescent="0.25">
      <c r="B15" s="9">
        <v>2</v>
      </c>
      <c r="C15" s="10">
        <f>AVERAGE(W6,W6)</f>
        <v>75864</v>
      </c>
    </row>
    <row r="16" spans="1:23" x14ac:dyDescent="0.25">
      <c r="B16" s="9">
        <v>3</v>
      </c>
      <c r="C16" s="10">
        <f>AVERAGE(W7,W4)</f>
        <v>167475</v>
      </c>
    </row>
    <row r="17" spans="2:4" x14ac:dyDescent="0.25">
      <c r="B17" s="9">
        <v>4</v>
      </c>
      <c r="C17" s="10">
        <f>AVERAGE(W2,W9)</f>
        <v>75081</v>
      </c>
    </row>
    <row r="18" spans="2:4" x14ac:dyDescent="0.25">
      <c r="B18" s="9">
        <v>5</v>
      </c>
      <c r="C18" s="10">
        <f>AVERAGE(W5)</f>
        <v>143550</v>
      </c>
    </row>
    <row r="20" spans="2:4" x14ac:dyDescent="0.25">
      <c r="B20" s="9"/>
      <c r="C20" s="12" t="s">
        <v>38</v>
      </c>
      <c r="D20" s="12"/>
    </row>
    <row r="21" spans="2:4" x14ac:dyDescent="0.25">
      <c r="B21" s="9"/>
      <c r="C21" s="11" t="s">
        <v>25</v>
      </c>
      <c r="D21" s="11" t="s">
        <v>26</v>
      </c>
    </row>
    <row r="22" spans="2:4" x14ac:dyDescent="0.25">
      <c r="B22" s="9">
        <v>1</v>
      </c>
      <c r="C22" s="10">
        <f>AVERAGE(W3)</f>
        <v>153120</v>
      </c>
      <c r="D22" s="10">
        <f>AVERAGE(W8)</f>
        <v>109054.5</v>
      </c>
    </row>
    <row r="23" spans="2:4" x14ac:dyDescent="0.25">
      <c r="B23" s="9">
        <v>2</v>
      </c>
      <c r="C23" s="10">
        <f>AVERAGE(W6)</f>
        <v>75864</v>
      </c>
      <c r="D23" s="10">
        <v>0</v>
      </c>
    </row>
    <row r="24" spans="2:4" x14ac:dyDescent="0.25">
      <c r="B24" s="9">
        <v>3</v>
      </c>
      <c r="C24" s="10">
        <f>AVERAGE(W7)</f>
        <v>139200</v>
      </c>
      <c r="D24" s="10">
        <f>AVERAGE(W4)</f>
        <v>195750</v>
      </c>
    </row>
    <row r="25" spans="2:4" x14ac:dyDescent="0.25">
      <c r="B25" s="9">
        <v>4</v>
      </c>
      <c r="C25" s="10">
        <f>AVERAGE(W9)</f>
        <v>37932</v>
      </c>
      <c r="D25" s="10">
        <f>AVERAGE(W2)</f>
        <v>112230</v>
      </c>
    </row>
    <row r="26" spans="2:4" x14ac:dyDescent="0.25">
      <c r="B26" s="9">
        <v>5</v>
      </c>
      <c r="C26" s="10">
        <v>0</v>
      </c>
      <c r="D26" s="10">
        <f>AVERAGE(W5)</f>
        <v>143550</v>
      </c>
    </row>
  </sheetData>
  <sortState xmlns:xlrd2="http://schemas.microsoft.com/office/spreadsheetml/2017/richdata2" ref="A2:W9">
    <sortCondition descending="1" ref="B2"/>
  </sortState>
  <mergeCells count="1">
    <mergeCell ref="C20:D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Выплаты зп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Романов</dc:creator>
  <cp:lastModifiedBy>Андрей Романов</cp:lastModifiedBy>
  <dcterms:created xsi:type="dcterms:W3CDTF">2022-03-09T13:57:56Z</dcterms:created>
  <dcterms:modified xsi:type="dcterms:W3CDTF">2022-10-30T19:40:58Z</dcterms:modified>
</cp:coreProperties>
</file>