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Dynamic Query" sheetId="1" r:id="rId4"/>
    <sheet state="visible" name="Project Convert TH to EN Date" sheetId="2" r:id="rId5"/>
    <sheet state="visible" name="Project ID Card Parser" sheetId="3" r:id="rId6"/>
    <sheet state="visible" name="Project Simple App" sheetId="4" r:id="rId7"/>
    <sheet state="visible" name="Project Google Translate" sheetId="5" r:id="rId8"/>
  </sheets>
  <definedNames>
    <definedName name="EMPLOYEEQUERRY">'Project Dynamic Query'!$A$3:$G$28</definedName>
  </definedNames>
  <calcPr/>
</workbook>
</file>

<file path=xl/sharedStrings.xml><?xml version="1.0" encoding="utf-8"?>
<sst xmlns="http://schemas.openxmlformats.org/spreadsheetml/2006/main" count="378" uniqueCount="173">
  <si>
    <t>Project - Dynamic Query</t>
  </si>
  <si>
    <t>ssn</t>
  </si>
  <si>
    <t>lastname</t>
  </si>
  <si>
    <t>firstname</t>
  </si>
  <si>
    <t>hiredate</t>
  </si>
  <si>
    <t>salary</t>
  </si>
  <si>
    <t>gender</t>
  </si>
  <si>
    <t>performance</t>
  </si>
  <si>
    <t>To Do</t>
  </si>
  <si>
    <t>000-01-0000</t>
  </si>
  <si>
    <t>Milgrom</t>
  </si>
  <si>
    <t>Patricia</t>
  </si>
  <si>
    <t>F</t>
  </si>
  <si>
    <t>Average</t>
  </si>
  <si>
    <r>
      <rPr>
        <rFont val="Work Sans"/>
        <color theme="1"/>
      </rPr>
      <t xml:space="preserve">Create </t>
    </r>
    <r>
      <rPr>
        <rFont val="Work Sans"/>
        <b/>
        <color theme="1"/>
      </rPr>
      <t>drop down list</t>
    </r>
    <r>
      <rPr>
        <rFont val="Work Sans"/>
        <color theme="1"/>
      </rPr>
      <t xml:space="preserve"> to filter our table</t>
    </r>
  </si>
  <si>
    <t>000-02-2222</t>
  </si>
  <si>
    <t>Adams</t>
  </si>
  <si>
    <t>Sandy</t>
  </si>
  <si>
    <t>109-87-6543</t>
  </si>
  <si>
    <t>Wood</t>
  </si>
  <si>
    <t>Emily</t>
  </si>
  <si>
    <t>Performance</t>
  </si>
  <si>
    <t>Good</t>
  </si>
  <si>
    <t>Salary Min</t>
  </si>
  <si>
    <t>Salary Avg</t>
  </si>
  <si>
    <t>109-87-6544</t>
  </si>
  <si>
    <t>Foster</t>
  </si>
  <si>
    <t>Harold</t>
  </si>
  <si>
    <t>M</t>
  </si>
  <si>
    <t>Gender</t>
  </si>
  <si>
    <t>Salary Max</t>
  </si>
  <si>
    <t>Salary Sum</t>
  </si>
  <si>
    <t>111-12-1111</t>
  </si>
  <si>
    <t>Johnson</t>
  </si>
  <si>
    <t>James</t>
  </si>
  <si>
    <t>123-45-6789</t>
  </si>
  <si>
    <t>Coulter</t>
  </si>
  <si>
    <t>Tracy</t>
  </si>
  <si>
    <t>222-23-2222</t>
  </si>
  <si>
    <t>Marlin</t>
  </si>
  <si>
    <t>Bill</t>
  </si>
  <si>
    <t>222-52-5555</t>
  </si>
  <si>
    <t>Smith</t>
  </si>
  <si>
    <t>Mary</t>
  </si>
  <si>
    <t>245-67-8910</t>
  </si>
  <si>
    <t>Johanson</t>
  </si>
  <si>
    <t>333-34-3333</t>
  </si>
  <si>
    <t>Manin</t>
  </si>
  <si>
    <t>333-43-4444</t>
  </si>
  <si>
    <t>Frank</t>
  </si>
  <si>
    <t>333-66-1234</t>
  </si>
  <si>
    <t>Brown</t>
  </si>
  <si>
    <t>Marietta</t>
  </si>
  <si>
    <t>Poor</t>
  </si>
  <si>
    <t>335-55-5533</t>
  </si>
  <si>
    <t>Jones</t>
  </si>
  <si>
    <t>Holly</t>
  </si>
  <si>
    <t>432-19-8765</t>
  </si>
  <si>
    <t>Bronson</t>
  </si>
  <si>
    <t>Paul</t>
  </si>
  <si>
    <t>444-45-4444</t>
  </si>
  <si>
    <t>Vernon</t>
  </si>
  <si>
    <t>464-64-4466</t>
  </si>
  <si>
    <t>Webster</t>
  </si>
  <si>
    <t>David</t>
  </si>
  <si>
    <t>500-50-0505</t>
  </si>
  <si>
    <t>Rodriguez</t>
  </si>
  <si>
    <t>Jose</t>
  </si>
  <si>
    <t>555-22-3333</t>
  </si>
  <si>
    <t>Rubin</t>
  </si>
  <si>
    <t>555-56-5555</t>
  </si>
  <si>
    <t>Charles</t>
  </si>
  <si>
    <t>Kenneth</t>
  </si>
  <si>
    <t>612-99-1111</t>
  </si>
  <si>
    <t>Roberts</t>
  </si>
  <si>
    <t>Melissa</t>
  </si>
  <si>
    <t>625-62-6262</t>
  </si>
  <si>
    <t>Holmes</t>
  </si>
  <si>
    <t>DynamicQuery</t>
  </si>
  <si>
    <t>767-74-7373</t>
  </si>
  <si>
    <t>Martin</t>
  </si>
  <si>
    <t>William</t>
  </si>
  <si>
    <t>776-67-6666</t>
  </si>
  <si>
    <t>Adamson</t>
  </si>
  <si>
    <t>777-78-7777</t>
  </si>
  <si>
    <t>Marder</t>
  </si>
  <si>
    <t>Kelly</t>
  </si>
  <si>
    <t>925-45-7116</t>
  </si>
  <si>
    <t>Whitehead</t>
  </si>
  <si>
    <t>Project - Convert TH to EN Date</t>
  </si>
  <si>
    <t>Lookup Table</t>
  </si>
  <si>
    <t>TH Date</t>
  </si>
  <si>
    <t>Day</t>
  </si>
  <si>
    <t>Month</t>
  </si>
  <si>
    <t>Year</t>
  </si>
  <si>
    <t>EN Date</t>
  </si>
  <si>
    <t>ม.ค.</t>
  </si>
  <si>
    <t>12 ธ.ค. 2563</t>
  </si>
  <si>
    <t>ก.พ.</t>
  </si>
  <si>
    <t>25 พ.ย. 2561</t>
  </si>
  <si>
    <t>มี.ค.</t>
  </si>
  <si>
    <t>09 ก.ย. 2562</t>
  </si>
  <si>
    <t>เม.ย.</t>
  </si>
  <si>
    <t>07 ม.ค. 2560</t>
  </si>
  <si>
    <t>พ.ค.</t>
  </si>
  <si>
    <t>15 เม.ย. 2563</t>
  </si>
  <si>
    <t>มิ.ย.</t>
  </si>
  <si>
    <t>06 มิ.ย. 2563</t>
  </si>
  <si>
    <t>ก.ค.</t>
  </si>
  <si>
    <t>ส.ค.</t>
  </si>
  <si>
    <t>DAY</t>
  </si>
  <si>
    <t>=ArrayFormula(REGEXEXTRACT(D4:D9,"\d+"))</t>
  </si>
  <si>
    <t>ก.ย.</t>
  </si>
  <si>
    <t>MONTH</t>
  </si>
  <si>
    <t>=ARRAYFORMULA(VLOOKUP(TRIM(MID(D4:D9,4,5)),$A$4:$B$15,2,FALSE))</t>
  </si>
  <si>
    <t>ต.ค.</t>
  </si>
  <si>
    <t>YEAR</t>
  </si>
  <si>
    <t>=ArrayFormula(REGEXEXTRACT(D4:D9,"\d.+ (\d+)"))</t>
  </si>
  <si>
    <t>พ.ย.</t>
  </si>
  <si>
    <t>EN DATE</t>
  </si>
  <si>
    <t>=ArrayFormula(DATE(E4:E9,F4,G4-543))</t>
  </si>
  <si>
    <t>ธ.ค.</t>
  </si>
  <si>
    <t>Project - ID Card Parser</t>
  </si>
  <si>
    <t>Parse Data/ Information</t>
  </si>
  <si>
    <t>Customer Information</t>
  </si>
  <si>
    <t>ID</t>
  </si>
  <si>
    <t>Firstname</t>
  </si>
  <si>
    <t>Lastname</t>
  </si>
  <si>
    <t>DOB</t>
  </si>
  <si>
    <t>Age</t>
  </si>
  <si>
    <t>Address</t>
  </si>
  <si>
    <t>Zipcode</t>
  </si>
  <si>
    <t>Expired Date</t>
  </si>
  <si>
    <t>Expired This Year</t>
  </si>
  <si>
    <t>ID 1-1078-00555-99-1 Mr. John David 
Date of Birth 20 Sep 1988
Address 67 Bangkok Thailand 10560
Expired Date 31 Dec 2020</t>
  </si>
  <si>
    <t>ID 3-5522-87666-87-2 Miss. Carry Anna 
Date of Birth 18 Jan 1995
Address 967 Tokyo Japan 10880
Expired Date 25 Apr 2025</t>
  </si>
  <si>
    <t>ID 1-2222-03874-23-6 Mr. Kevin Demio 
Date of Birth 14 Feb 1992
Address 7878 Washington United States 11155
Expired Date 31 Oct 2020</t>
  </si>
  <si>
    <t>ID 1-1078-00555-99-1 Mr. Stuart Lonely 
Date of Birth 20 Sep 1982
Address 554 Seoul Korea 89237
Expired Date 31 Mar 2021</t>
  </si>
  <si>
    <t>ID 1-1078-00555-99-1 Miss. Anya Tayloy 
Date of Birth 05 May 1985
Address 998 London United Kingdom 55387
Expired Date 15 Nov 2022</t>
  </si>
  <si>
    <t>My Solutions</t>
  </si>
  <si>
    <t>=ArrayFormula(REGEXEXTRACT(A4:A8,"\d-\d{4}-\d{5}-\d{2}-\d"))</t>
  </si>
  <si>
    <t>=ArrayFormula(REGEXEXTRACT(A4:A8, "M[a-z]+\."))</t>
  </si>
  <si>
    <t>=ArrayFormula(REGEXEXTRACT(A4:A8, "M\w+\. (\w\w+)"))</t>
  </si>
  <si>
    <t>=ArrayFormula(REGEXEXTRACT(A4:A8, "M\w+\. \w\w+ (\w\w+)"))</t>
  </si>
  <si>
    <t>=ArrayFormula(REGEXEXTRACT(A4:A8, "Date of Birth (\d+.\w+.\d+)"))</t>
  </si>
  <si>
    <t>=ArrayFormula(DATEDIF(F4:F8, TODAY(), "Y"))</t>
  </si>
  <si>
    <t>=ArrayFormula(REGEXEXTRACT(A4:A8, "Address (\d+ \w+.\w+.\D+)"))</t>
  </si>
  <si>
    <t>=ArrayFormula(REGEXEXTRACT(A4:A8, " \d{5}"))</t>
  </si>
  <si>
    <t>=ArrayFormula(REGEXEXTRACT(A4:A8, "Expired Date (\d+.\w+.\d+)"))</t>
  </si>
  <si>
    <t>=ArrayFormula(RIGHT(A4:A8,4) = "2020")</t>
  </si>
  <si>
    <t>Project - Hamburger Price</t>
  </si>
  <si>
    <t>1. Create drop down list of SSN number</t>
  </si>
  <si>
    <t>2. Create app to select data</t>
  </si>
  <si>
    <t>SSN</t>
  </si>
  <si>
    <t>Salary</t>
  </si>
  <si>
    <t>=INDEX($A$4:$G$28,MATCH(J11,$A$4:$A$28,FALSE),2)</t>
  </si>
  <si>
    <t>=INDEX($A$4:$G$28,MATCH(J8,$A$4:$A$28,FALSE),3)</t>
  </si>
  <si>
    <t>=INDEX($A$4:$G$28,MATCH(J8,$A$4:$A$28,FALSE),6)</t>
  </si>
  <si>
    <t>=INDEX($A$4:$G$28,MATCH(J8,$A$4:$A$28,FALSE),5)</t>
  </si>
  <si>
    <t>Project - Google Translate</t>
  </si>
  <si>
    <t>Language Support</t>
  </si>
  <si>
    <t>https://cloud.google.com/translate/docs/languages</t>
  </si>
  <si>
    <t>Original Text</t>
  </si>
  <si>
    <t>Select target language</t>
  </si>
  <si>
    <t>I want to eat pizza</t>
  </si>
  <si>
    <t>=GOOGLETRANSLATE(B5,"auto", "th")</t>
  </si>
  <si>
    <t>ピザが食べたい</t>
  </si>
  <si>
    <t>=GOOGLETRANSLATE(B6,"auto", "th")</t>
  </si>
  <si>
    <t>나는 피자를 먹고 싶다</t>
  </si>
  <si>
    <t>=GOOGLETRANSLATE(B7,"auto", "th")</t>
  </si>
  <si>
    <t>我想吃比薩餅</t>
  </si>
  <si>
    <t>=GOOGLETRANSLATE(B8,"auto", "th")</t>
  </si>
  <si>
    <t>https://cdn-icons-png.flaticon.com/512/4065/4065958.png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</si>
</sst>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&quot;$&quot;#,##0"/>
    <numFmt numFmtId="166" formatCode="yyyy&quot;-&quot;mm&quot;-&quot;dd"/>
    <numFmt numFmtId="167" formatCode="dd&quot;-&quot;mm&quot;-&quot;yyyy"/>
  </numFmts>
  <fonts count="11">
    <font>
      <sz val="10.0"/>
      <color rgb="FF000000"/>
      <name val="Arial"/>
      <scheme val="minor"/>
    </font>
    <font>
      <b/>
      <color theme="1"/>
      <name val="Work Sans"/>
    </font>
    <font>
      <color theme="1"/>
      <name val="Work Sans"/>
    </font>
    <font>
      <b/>
      <color rgb="FFFFFFFF"/>
      <name val="Work Sans"/>
    </font>
    <font>
      <b/>
      <color rgb="FF000000"/>
      <name val="Work Sans"/>
    </font>
    <font>
      <b/>
      <sz val="11.0"/>
      <color rgb="FFFFFFFF"/>
      <name val="Inconsolata"/>
    </font>
    <font>
      <color theme="1"/>
      <name val="Arial"/>
      <scheme val="minor"/>
    </font>
    <font>
      <color theme="1"/>
      <name val="Prompt"/>
    </font>
    <font>
      <sz val="11.0"/>
      <color rgb="FF000000"/>
      <name val="Inconsolata"/>
    </font>
    <font>
      <u/>
      <color rgb="FF1155CC"/>
      <name val="Work Sans"/>
    </font>
    <font>
      <u/>
      <color rgb="FF0000FF"/>
      <name val="Work Sans"/>
    </font>
  </fonts>
  <fills count="6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2" fontId="3" numFmtId="0" xfId="0" applyFill="1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164" xfId="0" applyFont="1" applyNumberFormat="1"/>
    <xf borderId="0" fillId="0" fontId="2" numFmtId="165" xfId="0" applyFont="1" applyNumberFormat="1"/>
    <xf borderId="0" fillId="0" fontId="1" numFmtId="165" xfId="0" applyFont="1" applyNumberFormat="1"/>
    <xf borderId="0" fillId="0" fontId="4" numFmtId="0" xfId="0" applyAlignment="1" applyFont="1">
      <alignment readingOrder="0"/>
    </xf>
    <xf borderId="0" fillId="0" fontId="4" numFmtId="0" xfId="0" applyFont="1"/>
    <xf borderId="0" fillId="3" fontId="5" numFmtId="0" xfId="0" applyFill="1" applyFont="1"/>
    <xf borderId="0" fillId="3" fontId="3" numFmtId="0" xfId="0" applyFont="1"/>
    <xf borderId="0" fillId="0" fontId="6" numFmtId="0" xfId="0" applyFont="1"/>
    <xf borderId="0" fillId="0" fontId="6" numFmtId="164" xfId="0" applyFont="1" applyNumberFormat="1"/>
    <xf borderId="0" fillId="0" fontId="6" numFmtId="165" xfId="0" applyFont="1" applyNumberFormat="1"/>
    <xf borderId="0" fillId="0" fontId="2" numFmtId="165" xfId="0" applyFont="1" applyNumberFormat="1"/>
    <xf borderId="0" fillId="0" fontId="2" numFmtId="0" xfId="0" applyAlignment="1" applyFont="1">
      <alignment horizontal="center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0" fontId="7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166" xfId="0" applyAlignment="1" applyFont="1" applyNumberFormat="1">
      <alignment readingOrder="0"/>
    </xf>
    <xf borderId="0" fillId="0" fontId="2" numFmtId="0" xfId="0" applyAlignment="1" applyFont="1">
      <alignment horizontal="left"/>
    </xf>
    <xf borderId="0" fillId="0" fontId="2" numFmtId="167" xfId="0" applyAlignment="1" applyFont="1" applyNumberFormat="1">
      <alignment horizontal="center"/>
    </xf>
    <xf quotePrefix="1" borderId="0" fillId="4" fontId="8" numFmtId="0" xfId="0" applyAlignment="1" applyFill="1" applyFont="1">
      <alignment readingOrder="0"/>
    </xf>
    <xf quotePrefix="1" borderId="0" fillId="0" fontId="2" numFmtId="0" xfId="0" applyAlignment="1" applyFont="1">
      <alignment readingOrder="0"/>
    </xf>
    <xf borderId="0" fillId="2" fontId="3" numFmtId="0" xfId="0" applyAlignment="1" applyFont="1">
      <alignment readingOrder="0" vertical="bottom"/>
    </xf>
    <xf borderId="0" fillId="2" fontId="3" numFmtId="0" xfId="0" applyAlignment="1" applyFont="1">
      <alignment vertical="bottom"/>
    </xf>
    <xf borderId="0" fillId="2" fontId="3" numFmtId="0" xfId="0" applyAlignment="1" applyFont="1">
      <alignment shrinkToFit="0" vertical="bottom" wrapText="0"/>
    </xf>
    <xf borderId="0" fillId="0" fontId="2" numFmtId="0" xfId="0" applyAlignment="1" applyFont="1">
      <alignment horizontal="center" shrinkToFit="0" vertical="center" wrapText="1"/>
    </xf>
    <xf borderId="0" fillId="4" fontId="8" numFmtId="0" xfId="0" applyAlignment="1" applyFont="1">
      <alignment horizontal="center" readingOrder="0" shrinkToFit="0" vertical="center" wrapText="1"/>
    </xf>
    <xf borderId="0" fillId="4" fontId="8" numFmtId="0" xfId="0" applyAlignment="1" applyFont="1">
      <alignment vertical="center"/>
    </xf>
    <xf borderId="0" fillId="0" fontId="2" numFmtId="0" xfId="0" applyAlignment="1" applyFont="1">
      <alignment horizontal="center" readingOrder="0" shrinkToFit="0" vertical="center" wrapText="1"/>
    </xf>
    <xf borderId="0" fillId="4" fontId="8" numFmtId="0" xfId="0" applyAlignment="1" applyFont="1">
      <alignment readingOrder="0"/>
    </xf>
    <xf borderId="0" fillId="5" fontId="1" numFmtId="0" xfId="0" applyAlignment="1" applyFill="1" applyFont="1">
      <alignment horizontal="left" readingOrder="0"/>
    </xf>
    <xf borderId="0" fillId="0" fontId="6" numFmtId="0" xfId="0" applyAlignment="1" applyFont="1">
      <alignment horizontal="center"/>
    </xf>
    <xf borderId="0" fillId="0" fontId="2" numFmtId="165" xfId="0" applyAlignment="1" applyFont="1" applyNumberFormat="1">
      <alignment horizontal="center"/>
    </xf>
    <xf borderId="0" fillId="0" fontId="1" numFmtId="0" xfId="0" applyAlignment="1" applyFont="1">
      <alignment readingOrder="0"/>
    </xf>
    <xf quotePrefix="1" borderId="0" fillId="0" fontId="2" numFmtId="0" xfId="0" applyAlignment="1" applyFont="1">
      <alignment horizontal="left"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cloud.google.com/translate/docs/languages" TargetMode="External"/><Relationship Id="rId2" Type="http://schemas.openxmlformats.org/officeDocument/2006/relationships/hyperlink" Target="https://cdn-icons-png.flaticon.com/512/4065/4065958.png" TargetMode="External"/><Relationship Id="rId3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</sheetPr>
  <sheetViews>
    <sheetView workbookViewId="0"/>
  </sheetViews>
  <sheetFormatPr customHeight="1" defaultColWidth="12.63" defaultRowHeight="15.75"/>
  <cols>
    <col customWidth="1" min="10" max="10" width="16.25"/>
    <col customWidth="1" min="12" max="12" width="14.8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2"/>
      <c r="I3" s="4" t="s">
        <v>8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 t="s">
        <v>9</v>
      </c>
      <c r="B4" s="5" t="s">
        <v>10</v>
      </c>
      <c r="C4" s="5" t="s">
        <v>11</v>
      </c>
      <c r="D4" s="6">
        <v>38261.0</v>
      </c>
      <c r="E4" s="7">
        <v>57500.0</v>
      </c>
      <c r="F4" s="5" t="s">
        <v>12</v>
      </c>
      <c r="G4" s="5" t="s">
        <v>13</v>
      </c>
      <c r="H4" s="2"/>
      <c r="I4" s="4" t="s">
        <v>14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 t="s">
        <v>15</v>
      </c>
      <c r="B5" s="5" t="s">
        <v>16</v>
      </c>
      <c r="C5" s="5" t="s">
        <v>17</v>
      </c>
      <c r="D5" s="6">
        <v>36906.0</v>
      </c>
      <c r="E5" s="7">
        <v>19500.0</v>
      </c>
      <c r="F5" s="5" t="s">
        <v>12</v>
      </c>
      <c r="G5" s="5" t="s">
        <v>13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 t="s">
        <v>18</v>
      </c>
      <c r="B6" s="5" t="s">
        <v>19</v>
      </c>
      <c r="C6" s="5" t="s">
        <v>20</v>
      </c>
      <c r="D6" s="6">
        <v>35501.0</v>
      </c>
      <c r="E6" s="7">
        <v>69000.0</v>
      </c>
      <c r="F6" s="5" t="s">
        <v>12</v>
      </c>
      <c r="G6" s="5" t="s">
        <v>13</v>
      </c>
      <c r="H6" s="2"/>
      <c r="I6" s="1" t="s">
        <v>21</v>
      </c>
      <c r="J6" s="1" t="s">
        <v>22</v>
      </c>
      <c r="K6" s="1" t="s">
        <v>23</v>
      </c>
      <c r="L6" s="1">
        <f>MIN(M:M)</f>
        <v>23000</v>
      </c>
      <c r="M6" s="1" t="s">
        <v>24</v>
      </c>
      <c r="N6" s="8">
        <f>AVERAGE(M:M)</f>
        <v>81062.5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 t="s">
        <v>25</v>
      </c>
      <c r="B7" s="5" t="s">
        <v>26</v>
      </c>
      <c r="C7" s="5" t="s">
        <v>27</v>
      </c>
      <c r="D7" s="6">
        <v>38578.0</v>
      </c>
      <c r="E7" s="7">
        <v>55000.0</v>
      </c>
      <c r="F7" s="5" t="s">
        <v>28</v>
      </c>
      <c r="G7" s="5" t="s">
        <v>22</v>
      </c>
      <c r="H7" s="2"/>
      <c r="I7" s="1" t="s">
        <v>29</v>
      </c>
      <c r="J7" s="1" t="s">
        <v>28</v>
      </c>
      <c r="K7" s="1" t="s">
        <v>30</v>
      </c>
      <c r="L7" s="1">
        <f>MAX(M:M)</f>
        <v>175000</v>
      </c>
      <c r="M7" s="1" t="s">
        <v>31</v>
      </c>
      <c r="N7" s="8">
        <f>SUM(M:M)</f>
        <v>648500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 t="s">
        <v>32</v>
      </c>
      <c r="B8" s="5" t="s">
        <v>33</v>
      </c>
      <c r="C8" s="5" t="s">
        <v>34</v>
      </c>
      <c r="D8" s="6">
        <v>35188.0</v>
      </c>
      <c r="E8" s="7">
        <v>47500.0</v>
      </c>
      <c r="F8" s="5" t="s">
        <v>28</v>
      </c>
      <c r="G8" s="5" t="s">
        <v>22</v>
      </c>
      <c r="H8" s="2"/>
      <c r="I8" s="9"/>
      <c r="J8" s="10"/>
      <c r="K8" s="9"/>
      <c r="L8" s="10"/>
      <c r="M8" s="10"/>
      <c r="N8" s="10"/>
      <c r="O8" s="10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 t="s">
        <v>35</v>
      </c>
      <c r="B9" s="5" t="s">
        <v>36</v>
      </c>
      <c r="C9" s="5" t="s">
        <v>37</v>
      </c>
      <c r="D9" s="6">
        <v>34014.0</v>
      </c>
      <c r="E9" s="7">
        <v>100000.0</v>
      </c>
      <c r="F9" s="2"/>
      <c r="G9" s="5" t="s">
        <v>22</v>
      </c>
      <c r="H9" s="2"/>
      <c r="I9" s="11" t="str">
        <f>IFERROR(__xludf.DUMMYFUNCTION("QUERY(EMPLOYEEQUERRY, ""select * where G = '""&amp;J6&amp;""' AND F = '""&amp;J7&amp;""'"")"),"ssn")</f>
        <v>ssn</v>
      </c>
      <c r="J9" s="12" t="str">
        <f>IFERROR(__xludf.DUMMYFUNCTION("""COMPUTED_VALUE"""),"lastname")</f>
        <v>lastname</v>
      </c>
      <c r="K9" s="12" t="str">
        <f>IFERROR(__xludf.DUMMYFUNCTION("""COMPUTED_VALUE"""),"firstname")</f>
        <v>firstname</v>
      </c>
      <c r="L9" s="12" t="str">
        <f>IFERROR(__xludf.DUMMYFUNCTION("""COMPUTED_VALUE"""),"hiredate")</f>
        <v>hiredate</v>
      </c>
      <c r="M9" s="12" t="str">
        <f>IFERROR(__xludf.DUMMYFUNCTION("""COMPUTED_VALUE"""),"salary")</f>
        <v>salary</v>
      </c>
      <c r="N9" s="12" t="str">
        <f>IFERROR(__xludf.DUMMYFUNCTION("""COMPUTED_VALUE"""),"gender")</f>
        <v>gender</v>
      </c>
      <c r="O9" s="12" t="str">
        <f>IFERROR(__xludf.DUMMYFUNCTION("""COMPUTED_VALUE"""),"performance")</f>
        <v>performance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 t="s">
        <v>38</v>
      </c>
      <c r="B10" s="5" t="s">
        <v>39</v>
      </c>
      <c r="C10" s="5" t="s">
        <v>40</v>
      </c>
      <c r="D10" s="6">
        <v>28212.0</v>
      </c>
      <c r="E10" s="7">
        <v>125000.0</v>
      </c>
      <c r="F10" s="5" t="s">
        <v>28</v>
      </c>
      <c r="G10" s="2"/>
      <c r="H10" s="2"/>
      <c r="I10" s="13" t="str">
        <f>IFERROR(__xludf.DUMMYFUNCTION("""COMPUTED_VALUE"""),"109-87-6544")</f>
        <v>109-87-6544</v>
      </c>
      <c r="J10" s="13" t="str">
        <f>IFERROR(__xludf.DUMMYFUNCTION("""COMPUTED_VALUE"""),"Foster")</f>
        <v>Foster</v>
      </c>
      <c r="K10" s="13" t="str">
        <f>IFERROR(__xludf.DUMMYFUNCTION("""COMPUTED_VALUE"""),"Harold")</f>
        <v>Harold</v>
      </c>
      <c r="L10" s="14">
        <f>IFERROR(__xludf.DUMMYFUNCTION("""COMPUTED_VALUE"""),38578.0)</f>
        <v>38578</v>
      </c>
      <c r="M10" s="15">
        <f>IFERROR(__xludf.DUMMYFUNCTION("""COMPUTED_VALUE"""),55000.0)</f>
        <v>55000</v>
      </c>
      <c r="N10" s="13" t="str">
        <f>IFERROR(__xludf.DUMMYFUNCTION("""COMPUTED_VALUE"""),"M")</f>
        <v>M</v>
      </c>
      <c r="O10" s="13" t="str">
        <f>IFERROR(__xludf.DUMMYFUNCTION("""COMPUTED_VALUE"""),"Good")</f>
        <v>Good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 t="s">
        <v>41</v>
      </c>
      <c r="B11" s="5" t="s">
        <v>42</v>
      </c>
      <c r="C11" s="5" t="s">
        <v>43</v>
      </c>
      <c r="D11" s="6">
        <v>38718.0</v>
      </c>
      <c r="E11" s="7">
        <v>42500.0</v>
      </c>
      <c r="F11" s="5" t="s">
        <v>12</v>
      </c>
      <c r="G11" s="5" t="s">
        <v>13</v>
      </c>
      <c r="H11" s="2"/>
      <c r="I11" s="2" t="str">
        <f>IFERROR(__xludf.DUMMYFUNCTION("""COMPUTED_VALUE"""),"111-12-1111")</f>
        <v>111-12-1111</v>
      </c>
      <c r="J11" s="2" t="str">
        <f>IFERROR(__xludf.DUMMYFUNCTION("""COMPUTED_VALUE"""),"Johnson")</f>
        <v>Johnson</v>
      </c>
      <c r="K11" s="2" t="str">
        <f>IFERROR(__xludf.DUMMYFUNCTION("""COMPUTED_VALUE"""),"James")</f>
        <v>James</v>
      </c>
      <c r="L11" s="6">
        <f>IFERROR(__xludf.DUMMYFUNCTION("""COMPUTED_VALUE"""),35188.0)</f>
        <v>35188</v>
      </c>
      <c r="M11" s="16">
        <f>IFERROR(__xludf.DUMMYFUNCTION("""COMPUTED_VALUE"""),47500.0)</f>
        <v>47500</v>
      </c>
      <c r="N11" s="2" t="str">
        <f>IFERROR(__xludf.DUMMYFUNCTION("""COMPUTED_VALUE"""),"M")</f>
        <v>M</v>
      </c>
      <c r="O11" s="2" t="str">
        <f>IFERROR(__xludf.DUMMYFUNCTION("""COMPUTED_VALUE"""),"Good")</f>
        <v>Good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 t="s">
        <v>44</v>
      </c>
      <c r="B12" s="5" t="s">
        <v>45</v>
      </c>
      <c r="C12" s="5" t="s">
        <v>17</v>
      </c>
      <c r="D12" s="6">
        <v>38505.0</v>
      </c>
      <c r="E12" s="7">
        <v>69000.0</v>
      </c>
      <c r="F12" s="5" t="s">
        <v>12</v>
      </c>
      <c r="G12" s="2"/>
      <c r="H12" s="2"/>
      <c r="I12" s="2" t="str">
        <f>IFERROR(__xludf.DUMMYFUNCTION("""COMPUTED_VALUE"""),"333-43-4444")</f>
        <v>333-43-4444</v>
      </c>
      <c r="J12" s="2" t="str">
        <f>IFERROR(__xludf.DUMMYFUNCTION("""COMPUTED_VALUE"""),"Smith")</f>
        <v>Smith</v>
      </c>
      <c r="K12" s="2" t="str">
        <f>IFERROR(__xludf.DUMMYFUNCTION("""COMPUTED_VALUE"""),"Frank")</f>
        <v>Frank</v>
      </c>
      <c r="L12" s="6">
        <f>IFERROR(__xludf.DUMMYFUNCTION("""COMPUTED_VALUE"""),33267.0)</f>
        <v>33267</v>
      </c>
      <c r="M12" s="16">
        <f>IFERROR(__xludf.DUMMYFUNCTION("""COMPUTED_VALUE"""),65000.0)</f>
        <v>65000</v>
      </c>
      <c r="N12" s="2" t="str">
        <f>IFERROR(__xludf.DUMMYFUNCTION("""COMPUTED_VALUE"""),"M")</f>
        <v>M</v>
      </c>
      <c r="O12" s="2" t="str">
        <f>IFERROR(__xludf.DUMMYFUNCTION("""COMPUTED_VALUE"""),"Good")</f>
        <v>Good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 t="s">
        <v>46</v>
      </c>
      <c r="B13" s="5" t="s">
        <v>47</v>
      </c>
      <c r="C13" s="5" t="s">
        <v>20</v>
      </c>
      <c r="D13" s="6">
        <v>36861.0</v>
      </c>
      <c r="E13" s="7">
        <v>49500.0</v>
      </c>
      <c r="F13" s="5" t="s">
        <v>12</v>
      </c>
      <c r="G13" s="5" t="s">
        <v>13</v>
      </c>
      <c r="H13" s="2"/>
      <c r="I13" s="2" t="str">
        <f>IFERROR(__xludf.DUMMYFUNCTION("""COMPUTED_VALUE"""),"432-19-8765")</f>
        <v>432-19-8765</v>
      </c>
      <c r="J13" s="2" t="str">
        <f>IFERROR(__xludf.DUMMYFUNCTION("""COMPUTED_VALUE"""),"Bronson")</f>
        <v>Bronson</v>
      </c>
      <c r="K13" s="2" t="str">
        <f>IFERROR(__xludf.DUMMYFUNCTION("""COMPUTED_VALUE"""),"Paul")</f>
        <v>Paul</v>
      </c>
      <c r="L13" s="6">
        <f>IFERROR(__xludf.DUMMYFUNCTION("""COMPUTED_VALUE"""),37945.0)</f>
        <v>37945</v>
      </c>
      <c r="M13" s="16">
        <f>IFERROR(__xludf.DUMMYFUNCTION("""COMPUTED_VALUE"""),58000.0)</f>
        <v>58000</v>
      </c>
      <c r="N13" s="2" t="str">
        <f>IFERROR(__xludf.DUMMYFUNCTION("""COMPUTED_VALUE"""),"M")</f>
        <v>M</v>
      </c>
      <c r="O13" s="2" t="str">
        <f>IFERROR(__xludf.DUMMYFUNCTION("""COMPUTED_VALUE"""),"Good")</f>
        <v>Good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 t="s">
        <v>48</v>
      </c>
      <c r="B14" s="5" t="s">
        <v>42</v>
      </c>
      <c r="C14" s="5" t="s">
        <v>49</v>
      </c>
      <c r="D14" s="6">
        <v>33267.0</v>
      </c>
      <c r="E14" s="7">
        <v>65000.0</v>
      </c>
      <c r="F14" s="5" t="s">
        <v>28</v>
      </c>
      <c r="G14" s="5" t="s">
        <v>22</v>
      </c>
      <c r="H14" s="2"/>
      <c r="I14" s="2" t="str">
        <f>IFERROR(__xludf.DUMMYFUNCTION("""COMPUTED_VALUE"""),"444-45-4444")</f>
        <v>444-45-4444</v>
      </c>
      <c r="J14" s="2" t="str">
        <f>IFERROR(__xludf.DUMMYFUNCTION("""COMPUTED_VALUE"""),"Frank")</f>
        <v>Frank</v>
      </c>
      <c r="K14" s="4" t="str">
        <f>IFERROR(__xludf.DUMMYFUNCTION("""COMPUTED_VALUE"""),"Vernon")</f>
        <v>Vernon</v>
      </c>
      <c r="L14" s="6">
        <f>IFERROR(__xludf.DUMMYFUNCTION("""COMPUTED_VALUE"""),31147.0)</f>
        <v>31147</v>
      </c>
      <c r="M14" s="16">
        <f>IFERROR(__xludf.DUMMYFUNCTION("""COMPUTED_VALUE"""),75000.0)</f>
        <v>75000</v>
      </c>
      <c r="N14" s="2" t="str">
        <f>IFERROR(__xludf.DUMMYFUNCTION("""COMPUTED_VALUE"""),"M")</f>
        <v>M</v>
      </c>
      <c r="O14" s="2" t="str">
        <f>IFERROR(__xludf.DUMMYFUNCTION("""COMPUTED_VALUE"""),"Good")</f>
        <v>Good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 t="s">
        <v>50</v>
      </c>
      <c r="B15" s="5" t="s">
        <v>51</v>
      </c>
      <c r="C15" s="5" t="s">
        <v>52</v>
      </c>
      <c r="D15" s="6">
        <v>36957.0</v>
      </c>
      <c r="E15" s="7">
        <v>18500.0</v>
      </c>
      <c r="F15" s="5" t="s">
        <v>12</v>
      </c>
      <c r="G15" s="5" t="s">
        <v>53</v>
      </c>
      <c r="H15" s="2"/>
      <c r="I15" s="2" t="str">
        <f>IFERROR(__xludf.DUMMYFUNCTION("""COMPUTED_VALUE"""),"500-50-0505")</f>
        <v>500-50-0505</v>
      </c>
      <c r="J15" s="2" t="str">
        <f>IFERROR(__xludf.DUMMYFUNCTION("""COMPUTED_VALUE"""),"Rodriguez")</f>
        <v>Rodriguez</v>
      </c>
      <c r="K15" s="2" t="str">
        <f>IFERROR(__xludf.DUMMYFUNCTION("""COMPUTED_VALUE"""),"Jose")</f>
        <v>Jose</v>
      </c>
      <c r="L15" s="6">
        <f>IFERROR(__xludf.DUMMYFUNCTION("""COMPUTED_VALUE"""),35992.0)</f>
        <v>35992</v>
      </c>
      <c r="M15" s="16">
        <f>IFERROR(__xludf.DUMMYFUNCTION("""COMPUTED_VALUE"""),150000.0)</f>
        <v>150000</v>
      </c>
      <c r="N15" s="2" t="str">
        <f>IFERROR(__xludf.DUMMYFUNCTION("""COMPUTED_VALUE"""),"M")</f>
        <v>M</v>
      </c>
      <c r="O15" s="2" t="str">
        <f>IFERROR(__xludf.DUMMYFUNCTION("""COMPUTED_VALUE"""),"Good")</f>
        <v>Good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 t="s">
        <v>54</v>
      </c>
      <c r="B16" s="5" t="s">
        <v>55</v>
      </c>
      <c r="C16" s="5" t="s">
        <v>56</v>
      </c>
      <c r="D16" s="6">
        <v>31510.0</v>
      </c>
      <c r="E16" s="7">
        <v>65000.0</v>
      </c>
      <c r="F16" s="5" t="s">
        <v>12</v>
      </c>
      <c r="G16" s="5" t="s">
        <v>22</v>
      </c>
      <c r="H16" s="2"/>
      <c r="I16" s="2" t="str">
        <f>IFERROR(__xludf.DUMMYFUNCTION("""COMPUTED_VALUE"""),"767-74-7373")</f>
        <v>767-74-7373</v>
      </c>
      <c r="J16" s="2" t="str">
        <f>IFERROR(__xludf.DUMMYFUNCTION("""COMPUTED_VALUE"""),"Martin")</f>
        <v>Martin</v>
      </c>
      <c r="K16" s="2" t="str">
        <f>IFERROR(__xludf.DUMMYFUNCTION("""COMPUTED_VALUE"""),"William")</f>
        <v>William</v>
      </c>
      <c r="L16" s="6">
        <f>IFERROR(__xludf.DUMMYFUNCTION("""COMPUTED_VALUE"""),38955.0)</f>
        <v>38955</v>
      </c>
      <c r="M16" s="16">
        <f>IFERROR(__xludf.DUMMYFUNCTION("""COMPUTED_VALUE"""),23000.0)</f>
        <v>23000</v>
      </c>
      <c r="N16" s="2" t="str">
        <f>IFERROR(__xludf.DUMMYFUNCTION("""COMPUTED_VALUE"""),"M")</f>
        <v>M</v>
      </c>
      <c r="O16" s="2" t="str">
        <f>IFERROR(__xludf.DUMMYFUNCTION("""COMPUTED_VALUE"""),"Good")</f>
        <v>Good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 t="s">
        <v>57</v>
      </c>
      <c r="B17" s="5" t="s">
        <v>58</v>
      </c>
      <c r="C17" s="5" t="s">
        <v>59</v>
      </c>
      <c r="D17" s="6">
        <v>37945.0</v>
      </c>
      <c r="E17" s="7">
        <v>58000.0</v>
      </c>
      <c r="F17" s="5" t="s">
        <v>28</v>
      </c>
      <c r="G17" s="5" t="s">
        <v>22</v>
      </c>
      <c r="H17" s="2"/>
      <c r="I17" s="2" t="str">
        <f>IFERROR(__xludf.DUMMYFUNCTION("""COMPUTED_VALUE"""),"925-45-7116")</f>
        <v>925-45-7116</v>
      </c>
      <c r="J17" s="2" t="str">
        <f>IFERROR(__xludf.DUMMYFUNCTION("""COMPUTED_VALUE"""),"Whitehead")</f>
        <v>Whitehead</v>
      </c>
      <c r="K17" s="2" t="str">
        <f>IFERROR(__xludf.DUMMYFUNCTION("""COMPUTED_VALUE"""),"David")</f>
        <v>David</v>
      </c>
      <c r="L17" s="6">
        <f>IFERROR(__xludf.DUMMYFUNCTION("""COMPUTED_VALUE"""),29427.0)</f>
        <v>29427</v>
      </c>
      <c r="M17" s="16">
        <f>IFERROR(__xludf.DUMMYFUNCTION("""COMPUTED_VALUE"""),175000.0)</f>
        <v>175000</v>
      </c>
      <c r="N17" s="2" t="str">
        <f>IFERROR(__xludf.DUMMYFUNCTION("""COMPUTED_VALUE"""),"M")</f>
        <v>M</v>
      </c>
      <c r="O17" s="2" t="str">
        <f>IFERROR(__xludf.DUMMYFUNCTION("""COMPUTED_VALUE"""),"Good")</f>
        <v>Good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 t="s">
        <v>60</v>
      </c>
      <c r="B18" s="5" t="s">
        <v>49</v>
      </c>
      <c r="C18" s="5" t="s">
        <v>61</v>
      </c>
      <c r="D18" s="6">
        <v>31147.0</v>
      </c>
      <c r="E18" s="7">
        <v>75000.0</v>
      </c>
      <c r="F18" s="5" t="s">
        <v>28</v>
      </c>
      <c r="G18" s="5" t="s">
        <v>22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 t="s">
        <v>62</v>
      </c>
      <c r="B19" s="5" t="s">
        <v>63</v>
      </c>
      <c r="C19" s="5" t="s">
        <v>64</v>
      </c>
      <c r="D19" s="6">
        <v>33267.0</v>
      </c>
      <c r="E19" s="7">
        <v>58500.0</v>
      </c>
      <c r="F19" s="5" t="s">
        <v>28</v>
      </c>
      <c r="G19" s="5" t="s">
        <v>53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 t="s">
        <v>65</v>
      </c>
      <c r="B20" s="5" t="s">
        <v>66</v>
      </c>
      <c r="C20" s="5" t="s">
        <v>67</v>
      </c>
      <c r="D20" s="6">
        <v>35992.0</v>
      </c>
      <c r="E20" s="7">
        <v>150000.0</v>
      </c>
      <c r="F20" s="5" t="s">
        <v>28</v>
      </c>
      <c r="G20" s="5" t="s">
        <v>22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5" t="s">
        <v>68</v>
      </c>
      <c r="B21" s="5" t="s">
        <v>69</v>
      </c>
      <c r="C21" s="5" t="s">
        <v>11</v>
      </c>
      <c r="D21" s="6">
        <v>37827.0</v>
      </c>
      <c r="E21" s="7">
        <v>45000.0</v>
      </c>
      <c r="F21" s="5" t="s">
        <v>12</v>
      </c>
      <c r="G21" s="5" t="s">
        <v>13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 t="s">
        <v>70</v>
      </c>
      <c r="B22" s="5" t="s">
        <v>71</v>
      </c>
      <c r="C22" s="5" t="s">
        <v>72</v>
      </c>
      <c r="D22" s="6">
        <v>35964.0</v>
      </c>
      <c r="E22" s="7">
        <v>40000.0</v>
      </c>
      <c r="F22" s="5" t="s">
        <v>28</v>
      </c>
      <c r="G22" s="5" t="s">
        <v>53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 t="s">
        <v>73</v>
      </c>
      <c r="B23" s="5" t="s">
        <v>74</v>
      </c>
      <c r="C23" s="5" t="s">
        <v>75</v>
      </c>
      <c r="D23" s="6">
        <v>30816.0</v>
      </c>
      <c r="E23" s="7">
        <v>79000.0</v>
      </c>
      <c r="F23" s="5" t="s">
        <v>12</v>
      </c>
      <c r="G23" s="5" t="s">
        <v>22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 t="s">
        <v>76</v>
      </c>
      <c r="B24" s="5" t="s">
        <v>77</v>
      </c>
      <c r="C24" s="5" t="s">
        <v>56</v>
      </c>
      <c r="D24" s="6">
        <v>33770.0</v>
      </c>
      <c r="E24" s="7">
        <v>55000.0</v>
      </c>
      <c r="F24" s="5" t="s">
        <v>12</v>
      </c>
      <c r="G24" s="5" t="s">
        <v>13</v>
      </c>
      <c r="H24" s="2"/>
      <c r="I24" s="1" t="s">
        <v>78</v>
      </c>
      <c r="J24" s="2" t="str">
        <f>FORMULATEXT(I9)</f>
        <v>=QUERY(EMPLOYEEQUERRY, "select * where G = '"&amp;J6&amp;"' AND F = '"&amp;J7&amp;"'")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 t="s">
        <v>79</v>
      </c>
      <c r="B25" s="5" t="s">
        <v>80</v>
      </c>
      <c r="C25" s="5" t="s">
        <v>81</v>
      </c>
      <c r="D25" s="6">
        <v>38955.0</v>
      </c>
      <c r="E25" s="7">
        <v>23000.0</v>
      </c>
      <c r="F25" s="5" t="s">
        <v>28</v>
      </c>
      <c r="G25" s="5" t="s">
        <v>22</v>
      </c>
      <c r="H25" s="2"/>
      <c r="I25" s="1" t="s">
        <v>23</v>
      </c>
      <c r="J25" s="2" t="str">
        <f t="shared" ref="J25:J26" si="1">FORMULATEXT(L6)</f>
        <v>=MIN(M:M)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 t="s">
        <v>82</v>
      </c>
      <c r="B26" s="5" t="s">
        <v>83</v>
      </c>
      <c r="C26" s="5" t="s">
        <v>64</v>
      </c>
      <c r="D26" s="6">
        <v>37533.0</v>
      </c>
      <c r="E26" s="7">
        <v>52000.0</v>
      </c>
      <c r="F26" s="5" t="s">
        <v>28</v>
      </c>
      <c r="G26" s="5" t="s">
        <v>53</v>
      </c>
      <c r="H26" s="2"/>
      <c r="I26" s="1" t="s">
        <v>30</v>
      </c>
      <c r="J26" s="2" t="str">
        <f t="shared" si="1"/>
        <v>=MAX(M:M)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 t="s">
        <v>84</v>
      </c>
      <c r="B27" s="5" t="s">
        <v>85</v>
      </c>
      <c r="C27" s="5" t="s">
        <v>86</v>
      </c>
      <c r="D27" s="6">
        <v>35698.0</v>
      </c>
      <c r="E27" s="7">
        <v>38500.0</v>
      </c>
      <c r="F27" s="5" t="s">
        <v>12</v>
      </c>
      <c r="G27" s="5" t="s">
        <v>13</v>
      </c>
      <c r="H27" s="2"/>
      <c r="I27" s="1" t="s">
        <v>24</v>
      </c>
      <c r="J27" s="2" t="str">
        <f t="shared" ref="J27:J28" si="2">FORMULATEXT(N6)</f>
        <v>=AVERAGE(M:M)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 t="s">
        <v>87</v>
      </c>
      <c r="B28" s="5" t="s">
        <v>88</v>
      </c>
      <c r="C28" s="5" t="s">
        <v>64</v>
      </c>
      <c r="D28" s="6">
        <v>29427.0</v>
      </c>
      <c r="E28" s="7">
        <v>175000.0</v>
      </c>
      <c r="F28" s="5" t="s">
        <v>28</v>
      </c>
      <c r="G28" s="5" t="s">
        <v>22</v>
      </c>
      <c r="H28" s="2"/>
      <c r="I28" s="1" t="s">
        <v>31</v>
      </c>
      <c r="J28" s="2" t="str">
        <f t="shared" si="2"/>
        <v>=SUM(M:M)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ataValidations>
    <dataValidation type="list" allowBlank="1" showErrorMessage="1" sqref="J6">
      <formula1>"Good,Average,Poor"</formula1>
    </dataValidation>
    <dataValidation type="list" allowBlank="1" showErrorMessage="1" sqref="J7">
      <formula1>"M,F"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89</v>
      </c>
      <c r="B1" s="17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17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90</v>
      </c>
      <c r="B3" s="17"/>
      <c r="C3" s="2"/>
      <c r="D3" s="1" t="s">
        <v>91</v>
      </c>
      <c r="E3" s="18" t="s">
        <v>92</v>
      </c>
      <c r="F3" s="18" t="s">
        <v>93</v>
      </c>
      <c r="G3" s="18" t="s">
        <v>94</v>
      </c>
      <c r="H3" s="19" t="s">
        <v>95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0" t="s">
        <v>96</v>
      </c>
      <c r="B4" s="21">
        <v>1.0</v>
      </c>
      <c r="C4" s="2"/>
      <c r="D4" s="22" t="s">
        <v>97</v>
      </c>
      <c r="E4" s="23" t="str">
        <f>IFERROR(__xludf.DUMMYFUNCTION("ArrayFormula(REGEXEXTRACT(D4:D9,""\d+""))"),"12")</f>
        <v>12</v>
      </c>
      <c r="F4" s="23">
        <f t="array" ref="F4:F9">VLOOKUP(TRIM(MID(D4:D9,4,5)),$A$4:$B$15,2,FALSE)</f>
        <v>12</v>
      </c>
      <c r="G4" s="23" t="str">
        <f>IFERROR(__xludf.DUMMYFUNCTION("ArrayFormula(REGEXEXTRACT(D4:D9,""\d.+ (\d+)""))"),"2563")</f>
        <v>2563</v>
      </c>
      <c r="H4" s="24">
        <f t="array" ref="H4:H9">DATE(E4:E9,F4,G4-543)</f>
        <v>6738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0" t="s">
        <v>98</v>
      </c>
      <c r="B5" s="21">
        <v>2.0</v>
      </c>
      <c r="C5" s="2"/>
      <c r="D5" s="22" t="s">
        <v>99</v>
      </c>
      <c r="E5" s="23" t="str">
        <f>IFERROR(__xludf.DUMMYFUNCTION("""COMPUTED_VALUE"""),"25")</f>
        <v>25</v>
      </c>
      <c r="F5" s="23">
        <v>11.0</v>
      </c>
      <c r="G5" s="23" t="str">
        <f>IFERROR(__xludf.DUMMYFUNCTION("""COMPUTED_VALUE"""),"2561")</f>
        <v>2561</v>
      </c>
      <c r="H5" s="24">
        <v>11486.0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0" t="s">
        <v>100</v>
      </c>
      <c r="B6" s="21">
        <v>3.0</v>
      </c>
      <c r="C6" s="2"/>
      <c r="D6" s="22" t="s">
        <v>101</v>
      </c>
      <c r="E6" s="23" t="str">
        <f>IFERROR(__xludf.DUMMYFUNCTION("""COMPUTED_VALUE"""),"09")</f>
        <v>09</v>
      </c>
      <c r="F6" s="23">
        <v>9.0</v>
      </c>
      <c r="G6" s="23" t="str">
        <f>IFERROR(__xludf.DUMMYFUNCTION("""COMPUTED_VALUE"""),"2562")</f>
        <v>2562</v>
      </c>
      <c r="H6" s="24">
        <v>5642.0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0" t="s">
        <v>102</v>
      </c>
      <c r="B7" s="21">
        <v>4.0</v>
      </c>
      <c r="C7" s="2"/>
      <c r="D7" s="22" t="s">
        <v>103</v>
      </c>
      <c r="E7" s="23" t="str">
        <f>IFERROR(__xludf.DUMMYFUNCTION("""COMPUTED_VALUE"""),"07")</f>
        <v>07</v>
      </c>
      <c r="F7" s="23">
        <v>1.0</v>
      </c>
      <c r="G7" s="23" t="str">
        <f>IFERROR(__xludf.DUMMYFUNCTION("""COMPUTED_VALUE"""),"2560")</f>
        <v>2560</v>
      </c>
      <c r="H7" s="24">
        <v>4911.0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0" t="s">
        <v>104</v>
      </c>
      <c r="B8" s="21">
        <v>5.0</v>
      </c>
      <c r="C8" s="2"/>
      <c r="D8" s="22" t="s">
        <v>105</v>
      </c>
      <c r="E8" s="23" t="str">
        <f>IFERROR(__xludf.DUMMYFUNCTION("""COMPUTED_VALUE"""),"15")</f>
        <v>15</v>
      </c>
      <c r="F8" s="23">
        <v>4.0</v>
      </c>
      <c r="G8" s="23" t="str">
        <f>IFERROR(__xludf.DUMMYFUNCTION("""COMPUTED_VALUE"""),"2563")</f>
        <v>2563</v>
      </c>
      <c r="H8" s="24">
        <v>7833.0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0" t="s">
        <v>106</v>
      </c>
      <c r="B9" s="21">
        <v>6.0</v>
      </c>
      <c r="C9" s="2"/>
      <c r="D9" s="22" t="s">
        <v>107</v>
      </c>
      <c r="E9" s="23" t="str">
        <f>IFERROR(__xludf.DUMMYFUNCTION("""COMPUTED_VALUE"""),"06")</f>
        <v>06</v>
      </c>
      <c r="F9" s="23">
        <v>6.0</v>
      </c>
      <c r="G9" s="23" t="str">
        <f>IFERROR(__xludf.DUMMYFUNCTION("""COMPUTED_VALUE"""),"2563")</f>
        <v>2563</v>
      </c>
      <c r="H9" s="24">
        <v>4546.0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0" t="s">
        <v>108</v>
      </c>
      <c r="B10" s="21">
        <v>7.0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0" t="s">
        <v>109</v>
      </c>
      <c r="B11" s="21">
        <v>8.0</v>
      </c>
      <c r="C11" s="2"/>
      <c r="D11" s="1" t="s">
        <v>110</v>
      </c>
      <c r="E11" s="25" t="s">
        <v>111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0" t="s">
        <v>112</v>
      </c>
      <c r="B12" s="21">
        <v>9.0</v>
      </c>
      <c r="C12" s="2"/>
      <c r="D12" s="1" t="s">
        <v>113</v>
      </c>
      <c r="E12" s="26" t="s">
        <v>114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0" t="s">
        <v>115</v>
      </c>
      <c r="B13" s="21">
        <v>10.0</v>
      </c>
      <c r="C13" s="2"/>
      <c r="D13" s="1" t="s">
        <v>116</v>
      </c>
      <c r="E13" s="26" t="s">
        <v>117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0" t="s">
        <v>118</v>
      </c>
      <c r="B14" s="21">
        <v>11.0</v>
      </c>
      <c r="C14" s="2"/>
      <c r="D14" s="1" t="s">
        <v>119</v>
      </c>
      <c r="E14" s="26" t="s">
        <v>120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0" t="s">
        <v>121</v>
      </c>
      <c r="B15" s="21">
        <v>12.0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17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17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17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17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17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17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17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17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17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17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17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17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17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17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17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17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17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17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17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17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17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17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17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17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17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17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17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17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17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17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17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17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17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17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17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17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17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17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17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17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17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17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17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17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17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17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17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17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17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17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17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17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17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17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17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17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17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17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17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17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17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17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17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17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17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17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17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17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17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17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17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17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17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17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17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17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17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17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17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17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17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17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17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17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17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17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17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17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17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17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17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17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17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17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17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17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17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17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17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17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17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17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17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17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17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17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17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17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17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17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17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17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17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17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17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17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17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17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17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17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17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17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17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17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17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17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17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17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17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17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17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17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17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17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17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17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17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17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17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17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17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17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17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17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17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17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17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17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17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17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17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17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17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17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17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17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17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17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17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17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17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17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17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17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17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17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17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17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17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17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17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17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17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17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17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17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17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17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17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17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17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17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17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17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17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17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17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17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17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17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17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17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17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17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17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17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17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17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17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17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17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17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17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17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17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17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17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17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17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17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17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17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17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17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17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17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17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17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17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17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17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17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17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17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17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17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17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17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17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17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17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17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17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17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17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17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17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17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17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17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17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17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17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17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17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17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17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17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17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17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17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17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17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17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17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17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17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17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17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17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17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17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17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17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17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17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17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17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17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17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17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17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17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17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17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17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17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17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17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17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17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17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17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17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17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17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17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17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17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17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17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17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17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17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17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17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17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17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17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17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17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17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17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17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17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17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17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17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17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17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17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17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17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17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17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17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17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17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17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17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17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17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17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17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17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17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17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17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17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17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17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17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17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17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17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17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17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17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17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17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17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17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17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17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17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17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17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17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17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17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17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17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17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17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17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17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17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17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17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17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17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17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17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17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17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17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17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17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17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17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17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17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17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17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17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17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17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17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17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17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17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17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17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17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17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17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17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17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17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17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17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17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17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17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17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17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17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17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17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17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17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17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17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17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17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17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17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17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17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17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17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17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17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17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17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17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17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17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17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17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17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17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17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17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17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17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17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17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17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17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17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17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17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17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17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17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17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17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17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17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17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17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17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17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17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17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17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17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17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17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17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17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17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17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17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17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17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17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17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17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17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17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17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17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17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17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17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17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17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17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17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17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17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17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17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17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17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17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17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17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17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17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17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17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17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17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17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17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17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17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17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17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17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17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17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17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17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17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17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17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17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17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17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17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17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17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17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17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17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17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17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17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17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17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17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17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17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17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17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17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17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17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17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17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17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17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17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17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17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17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17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17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17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17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17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17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17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17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17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17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17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17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17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17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17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17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17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17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17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17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17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17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17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17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17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17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17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17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17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17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17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17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17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17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17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17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17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17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17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17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17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17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17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17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17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17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17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17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17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17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17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17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17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17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17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17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17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17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17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17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17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17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17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17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17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17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17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17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17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17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17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17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17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17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17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17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17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17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17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17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17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17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17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17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17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17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17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17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17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17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17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17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17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17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17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17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17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17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17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17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17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17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17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17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17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17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17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17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17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17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17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17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17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17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17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17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17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17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17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17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17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17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17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17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17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17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17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17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17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17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17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17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17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17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17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17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17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17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17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17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17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17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17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17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17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17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17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17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17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17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17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17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17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17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17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17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17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17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17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17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17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17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17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17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17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17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17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17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17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17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17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17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17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17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17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17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17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17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17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17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17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17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17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17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17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17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17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17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17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17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17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17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17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17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17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17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17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17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17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17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17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17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17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17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17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17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17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17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17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17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17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17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17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17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17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17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17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17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17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17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17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17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17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17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17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17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17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17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17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17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17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17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17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17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17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17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17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17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17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17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17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17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17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17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17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17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17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17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17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17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17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17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17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17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17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17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17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17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17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17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17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17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17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17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17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17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17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17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17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17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17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17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17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17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17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17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17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17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17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17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17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17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17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17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17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17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17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17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17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17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17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17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17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17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17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17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17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17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17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17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17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17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17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17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17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17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17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17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17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17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17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17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17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17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17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17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17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17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17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17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17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17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17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17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17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17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17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17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17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17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17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17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17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17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17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17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17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17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17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17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17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17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17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17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17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17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17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17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17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17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17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17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17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17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17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17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17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17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17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17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17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17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17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17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17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17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17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17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17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17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17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17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17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17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17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17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17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17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17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17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17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17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17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17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17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17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17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17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17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17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17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17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17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17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17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17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17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17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17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17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17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17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17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17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17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17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17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17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17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17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17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17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17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17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17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17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17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17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17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17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17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17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17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17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17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17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17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17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17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17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17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17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17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17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17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17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17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17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17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17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17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17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17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17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17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17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17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17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17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17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17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17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17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17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17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2.63" defaultRowHeight="15.75"/>
  <cols>
    <col customWidth="1" min="1" max="1" width="40.25"/>
    <col customWidth="1" min="2" max="2" width="19.88"/>
    <col customWidth="1" min="8" max="8" width="22.63"/>
    <col customWidth="1" min="11" max="11" width="16.25"/>
  </cols>
  <sheetData>
    <row r="1">
      <c r="A1" s="1" t="s">
        <v>122</v>
      </c>
      <c r="B1" s="4" t="s">
        <v>123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7" t="s">
        <v>124</v>
      </c>
      <c r="B3" s="28" t="s">
        <v>125</v>
      </c>
      <c r="C3" s="28" t="s">
        <v>29</v>
      </c>
      <c r="D3" s="28" t="s">
        <v>126</v>
      </c>
      <c r="E3" s="28" t="s">
        <v>127</v>
      </c>
      <c r="F3" s="28" t="s">
        <v>128</v>
      </c>
      <c r="G3" s="28" t="s">
        <v>129</v>
      </c>
      <c r="H3" s="28" t="s">
        <v>130</v>
      </c>
      <c r="I3" s="28" t="s">
        <v>131</v>
      </c>
      <c r="J3" s="28" t="s">
        <v>132</v>
      </c>
      <c r="K3" s="29" t="s">
        <v>133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0" t="s">
        <v>134</v>
      </c>
      <c r="B4" s="30" t="str">
        <f>IFERROR(__xludf.DUMMYFUNCTION("ArrayFormula(REGEXEXTRACT(A4:A8,""\d-\d{4}-\d{5}-\d{2}-\d""))"),"1-1078-00555-99-1")</f>
        <v>1-1078-00555-99-1</v>
      </c>
      <c r="C4" s="30" t="str">
        <f>IFERROR(__xludf.DUMMYFUNCTION("ArrayFormula(REGEXEXTRACT(A4:A8, ""M[a-z]+\.""))"),"Mr.")</f>
        <v>Mr.</v>
      </c>
      <c r="D4" s="30" t="str">
        <f>IFERROR(__xludf.DUMMYFUNCTION("ArrayFormula(REGEXEXTRACT(A4:A8, ""M\w+\. (\w\w+)""))"),"John")</f>
        <v>John</v>
      </c>
      <c r="E4" s="30" t="str">
        <f>IFERROR(__xludf.DUMMYFUNCTION("ArrayFormula(REGEXEXTRACT(A4:A8, ""M\w+\. \w\w+ (\w\w+)""))"),"David")</f>
        <v>David</v>
      </c>
      <c r="F4" s="30" t="str">
        <f>IFERROR(__xludf.DUMMYFUNCTION("ArrayFormula(REGEXEXTRACT(A4:A8, ""Date of Birth (\d+.\w+.\d+)""))"),"20 Sep 1988")</f>
        <v>20 Sep 1988</v>
      </c>
      <c r="G4" s="30">
        <f t="array" ref="G4:G8">DATEDIF(F4:F8, TODAY(), "Y")</f>
        <v>34</v>
      </c>
      <c r="H4" s="31" t="str">
        <f>IFERROR(__xludf.DUMMYFUNCTION("ArrayFormula(REGEXEXTRACT(A4:A8, ""Address (\d+ \w+.\w+.\D+)""))"),"67 Bangkok Thailand ")</f>
        <v>67 Bangkok Thailand </v>
      </c>
      <c r="I4" s="30" t="str">
        <f>IFERROR(__xludf.DUMMYFUNCTION("ArrayFormula(REGEXEXTRACT(A4:A8, "" \d{5}""))")," 10560")</f>
        <v> 10560</v>
      </c>
      <c r="J4" s="32" t="str">
        <f>IFERROR(__xludf.DUMMYFUNCTION("ArrayFormula(REGEXEXTRACT(A4:A8, ""Expired Date (\d+.\w+.\d+)""))"),"31 Dec 2020")</f>
        <v>31 Dec 2020</v>
      </c>
      <c r="K4" s="30" t="b">
        <f t="array" ref="K4:K8">RIGHT(A4:A8,4) = "2020"</f>
        <v>1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0" t="s">
        <v>135</v>
      </c>
      <c r="B5" s="30" t="str">
        <f>IFERROR(__xludf.DUMMYFUNCTION("""COMPUTED_VALUE"""),"3-5522-87666-87-2")</f>
        <v>3-5522-87666-87-2</v>
      </c>
      <c r="C5" s="30" t="str">
        <f>IFERROR(__xludf.DUMMYFUNCTION("""COMPUTED_VALUE"""),"Miss.")</f>
        <v>Miss.</v>
      </c>
      <c r="D5" s="30" t="str">
        <f>IFERROR(__xludf.DUMMYFUNCTION("""COMPUTED_VALUE"""),"Carry")</f>
        <v>Carry</v>
      </c>
      <c r="E5" s="30" t="str">
        <f>IFERROR(__xludf.DUMMYFUNCTION("""COMPUTED_VALUE"""),"Anna")</f>
        <v>Anna</v>
      </c>
      <c r="F5" s="30" t="str">
        <f>IFERROR(__xludf.DUMMYFUNCTION("""COMPUTED_VALUE"""),"18 Jan 1995")</f>
        <v>18 Jan 1995</v>
      </c>
      <c r="G5" s="30">
        <v>28.0</v>
      </c>
      <c r="H5" s="31" t="str">
        <f>IFERROR(__xludf.DUMMYFUNCTION("""COMPUTED_VALUE"""),"967 Tokyo Japan ")</f>
        <v>967 Tokyo Japan </v>
      </c>
      <c r="I5" s="30" t="str">
        <f>IFERROR(__xludf.DUMMYFUNCTION("""COMPUTED_VALUE""")," 10880")</f>
        <v> 10880</v>
      </c>
      <c r="J5" s="30" t="str">
        <f>IFERROR(__xludf.DUMMYFUNCTION("""COMPUTED_VALUE"""),"25 Apr 2025")</f>
        <v>25 Apr 2025</v>
      </c>
      <c r="K5" s="30" t="b">
        <v>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3" t="s">
        <v>136</v>
      </c>
      <c r="B6" s="30" t="str">
        <f>IFERROR(__xludf.DUMMYFUNCTION("""COMPUTED_VALUE"""),"1-2222-03874-23-6")</f>
        <v>1-2222-03874-23-6</v>
      </c>
      <c r="C6" s="30" t="str">
        <f>IFERROR(__xludf.DUMMYFUNCTION("""COMPUTED_VALUE"""),"Mr.")</f>
        <v>Mr.</v>
      </c>
      <c r="D6" s="30" t="str">
        <f>IFERROR(__xludf.DUMMYFUNCTION("""COMPUTED_VALUE"""),"Kevin")</f>
        <v>Kevin</v>
      </c>
      <c r="E6" s="30" t="str">
        <f>IFERROR(__xludf.DUMMYFUNCTION("""COMPUTED_VALUE"""),"Demio")</f>
        <v>Demio</v>
      </c>
      <c r="F6" s="30" t="str">
        <f>IFERROR(__xludf.DUMMYFUNCTION("""COMPUTED_VALUE"""),"14 Feb 1992")</f>
        <v>14 Feb 1992</v>
      </c>
      <c r="G6" s="30">
        <v>31.0</v>
      </c>
      <c r="H6" s="30" t="str">
        <f>IFERROR(__xludf.DUMMYFUNCTION("""COMPUTED_VALUE"""),"7878 Washington United States ")</f>
        <v>7878 Washington United States </v>
      </c>
      <c r="I6" s="30" t="str">
        <f>IFERROR(__xludf.DUMMYFUNCTION("""COMPUTED_VALUE""")," 11155")</f>
        <v> 11155</v>
      </c>
      <c r="J6" s="30" t="str">
        <f>IFERROR(__xludf.DUMMYFUNCTION("""COMPUTED_VALUE"""),"31 Oct 2020")</f>
        <v>31 Oct 2020</v>
      </c>
      <c r="K6" s="30" t="b">
        <v>1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0" t="s">
        <v>137</v>
      </c>
      <c r="B7" s="30" t="str">
        <f>IFERROR(__xludf.DUMMYFUNCTION("""COMPUTED_VALUE"""),"1-1078-00555-99-1")</f>
        <v>1-1078-00555-99-1</v>
      </c>
      <c r="C7" s="30" t="str">
        <f>IFERROR(__xludf.DUMMYFUNCTION("""COMPUTED_VALUE"""),"Mr.")</f>
        <v>Mr.</v>
      </c>
      <c r="D7" s="30" t="str">
        <f>IFERROR(__xludf.DUMMYFUNCTION("""COMPUTED_VALUE"""),"Stuart")</f>
        <v>Stuart</v>
      </c>
      <c r="E7" s="30" t="str">
        <f>IFERROR(__xludf.DUMMYFUNCTION("""COMPUTED_VALUE"""),"Lonely")</f>
        <v>Lonely</v>
      </c>
      <c r="F7" s="30" t="str">
        <f>IFERROR(__xludf.DUMMYFUNCTION("""COMPUTED_VALUE"""),"20 Sep 1982")</f>
        <v>20 Sep 1982</v>
      </c>
      <c r="G7" s="30">
        <v>40.0</v>
      </c>
      <c r="H7" s="30" t="str">
        <f>IFERROR(__xludf.DUMMYFUNCTION("""COMPUTED_VALUE"""),"554 Seoul Korea ")</f>
        <v>554 Seoul Korea </v>
      </c>
      <c r="I7" s="30" t="str">
        <f>IFERROR(__xludf.DUMMYFUNCTION("""COMPUTED_VALUE""")," 89237")</f>
        <v> 89237</v>
      </c>
      <c r="J7" s="30" t="str">
        <f>IFERROR(__xludf.DUMMYFUNCTION("""COMPUTED_VALUE"""),"31 Mar 2021")</f>
        <v>31 Mar 2021</v>
      </c>
      <c r="K7" s="30" t="b">
        <v>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0" t="s">
        <v>138</v>
      </c>
      <c r="B8" s="30" t="str">
        <f>IFERROR(__xludf.DUMMYFUNCTION("""COMPUTED_VALUE"""),"1-1078-00555-99-1")</f>
        <v>1-1078-00555-99-1</v>
      </c>
      <c r="C8" s="30" t="str">
        <f>IFERROR(__xludf.DUMMYFUNCTION("""COMPUTED_VALUE"""),"Miss.")</f>
        <v>Miss.</v>
      </c>
      <c r="D8" s="30" t="str">
        <f>IFERROR(__xludf.DUMMYFUNCTION("""COMPUTED_VALUE"""),"Anya")</f>
        <v>Anya</v>
      </c>
      <c r="E8" s="30" t="str">
        <f>IFERROR(__xludf.DUMMYFUNCTION("""COMPUTED_VALUE"""),"Tayloy")</f>
        <v>Tayloy</v>
      </c>
      <c r="F8" s="30" t="str">
        <f>IFERROR(__xludf.DUMMYFUNCTION("""COMPUTED_VALUE"""),"05 May 1985")</f>
        <v>05 May 1985</v>
      </c>
      <c r="G8" s="30">
        <v>38.0</v>
      </c>
      <c r="H8" s="30" t="str">
        <f>IFERROR(__xludf.DUMMYFUNCTION("""COMPUTED_VALUE"""),"998 London United Kingdom ")</f>
        <v>998 London United Kingdom </v>
      </c>
      <c r="I8" s="30" t="str">
        <f>IFERROR(__xludf.DUMMYFUNCTION("""COMPUTED_VALUE""")," 55387")</f>
        <v> 55387</v>
      </c>
      <c r="J8" s="30" t="str">
        <f>IFERROR(__xludf.DUMMYFUNCTION("""COMPUTED_VALUE"""),"15 Nov 2022")</f>
        <v>15 Nov 2022</v>
      </c>
      <c r="K8" s="30" t="b">
        <v>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1" t="s">
        <v>139</v>
      </c>
      <c r="C10" s="4"/>
      <c r="D10" s="2"/>
      <c r="E10" s="2"/>
      <c r="F10" s="2"/>
      <c r="G10" s="2"/>
      <c r="H10" s="1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1" t="s">
        <v>125</v>
      </c>
      <c r="C11" s="25" t="s">
        <v>140</v>
      </c>
      <c r="D11" s="2"/>
      <c r="E11" s="2"/>
      <c r="F11" s="2"/>
      <c r="G11" s="2"/>
      <c r="H11" s="3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1" t="s">
        <v>29</v>
      </c>
      <c r="C12" s="26" t="s">
        <v>141</v>
      </c>
      <c r="D12" s="2"/>
      <c r="E12" s="2"/>
      <c r="F12" s="2"/>
      <c r="G12" s="2"/>
      <c r="H12" s="4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1" t="s">
        <v>126</v>
      </c>
      <c r="C13" s="26" t="s">
        <v>142</v>
      </c>
      <c r="D13" s="2"/>
      <c r="E13" s="2"/>
      <c r="F13" s="2"/>
      <c r="G13" s="2"/>
      <c r="H13" s="4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1" t="s">
        <v>127</v>
      </c>
      <c r="C14" s="26" t="s">
        <v>143</v>
      </c>
      <c r="D14" s="2"/>
      <c r="E14" s="2"/>
      <c r="F14" s="2"/>
      <c r="G14" s="2"/>
      <c r="H14" s="4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1" t="s">
        <v>128</v>
      </c>
      <c r="C15" s="26" t="s">
        <v>144</v>
      </c>
      <c r="D15" s="2"/>
      <c r="E15" s="2"/>
      <c r="F15" s="2"/>
      <c r="G15" s="2"/>
      <c r="H15" s="4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1" t="s">
        <v>129</v>
      </c>
      <c r="C16" s="26" t="s">
        <v>145</v>
      </c>
      <c r="D16" s="2"/>
      <c r="E16" s="2"/>
      <c r="F16" s="2"/>
      <c r="G16" s="2"/>
      <c r="H16" s="4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1" t="s">
        <v>130</v>
      </c>
      <c r="C17" s="26" t="s">
        <v>146</v>
      </c>
      <c r="D17" s="2"/>
      <c r="E17" s="2"/>
      <c r="F17" s="2"/>
      <c r="G17" s="2"/>
      <c r="H17" s="4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1" t="s">
        <v>131</v>
      </c>
      <c r="C18" s="26" t="s">
        <v>147</v>
      </c>
      <c r="D18" s="2"/>
      <c r="E18" s="2"/>
      <c r="F18" s="2"/>
      <c r="G18" s="2"/>
      <c r="H18" s="4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1" t="s">
        <v>132</v>
      </c>
      <c r="C19" s="26" t="s">
        <v>148</v>
      </c>
      <c r="D19" s="2"/>
      <c r="E19" s="2"/>
      <c r="F19" s="2"/>
      <c r="G19" s="2"/>
      <c r="H19" s="4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1" t="s">
        <v>133</v>
      </c>
      <c r="C20" s="26" t="s">
        <v>149</v>
      </c>
      <c r="D20" s="2"/>
      <c r="E20" s="2"/>
      <c r="F20" s="2"/>
      <c r="G20" s="2"/>
      <c r="H20" s="4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</sheetPr>
  <sheetViews>
    <sheetView workbookViewId="0"/>
  </sheetViews>
  <sheetFormatPr customHeight="1" defaultColWidth="12.63" defaultRowHeight="15.75"/>
  <cols>
    <col customWidth="1" min="10" max="10" width="18.63"/>
  </cols>
  <sheetData>
    <row r="1">
      <c r="A1" s="1" t="s">
        <v>150</v>
      </c>
      <c r="B1" s="2"/>
      <c r="C1" s="2"/>
      <c r="D1" s="2"/>
      <c r="E1" s="2"/>
      <c r="F1" s="2"/>
      <c r="G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 t="s">
        <v>9</v>
      </c>
      <c r="B4" s="5" t="s">
        <v>10</v>
      </c>
      <c r="C4" s="5" t="s">
        <v>11</v>
      </c>
      <c r="D4" s="6">
        <v>38261.0</v>
      </c>
      <c r="E4" s="7">
        <v>57500.0</v>
      </c>
      <c r="F4" s="5" t="s">
        <v>12</v>
      </c>
      <c r="G4" s="5" t="s">
        <v>13</v>
      </c>
      <c r="I4" s="4" t="s">
        <v>8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 t="s">
        <v>15</v>
      </c>
      <c r="B5" s="5" t="s">
        <v>16</v>
      </c>
      <c r="C5" s="5" t="s">
        <v>17</v>
      </c>
      <c r="D5" s="6">
        <v>36906.0</v>
      </c>
      <c r="E5" s="7">
        <v>19500.0</v>
      </c>
      <c r="F5" s="5" t="s">
        <v>12</v>
      </c>
      <c r="G5" s="5" t="s">
        <v>13</v>
      </c>
      <c r="I5" s="4" t="s">
        <v>151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 t="s">
        <v>18</v>
      </c>
      <c r="B6" s="5" t="s">
        <v>19</v>
      </c>
      <c r="C6" s="5" t="s">
        <v>20</v>
      </c>
      <c r="D6" s="6">
        <v>35501.0</v>
      </c>
      <c r="E6" s="7">
        <v>69000.0</v>
      </c>
      <c r="F6" s="5" t="s">
        <v>12</v>
      </c>
      <c r="G6" s="5" t="s">
        <v>13</v>
      </c>
      <c r="I6" s="4" t="s">
        <v>152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 t="s">
        <v>25</v>
      </c>
      <c r="B7" s="5" t="s">
        <v>26</v>
      </c>
      <c r="C7" s="5" t="s">
        <v>27</v>
      </c>
      <c r="D7" s="6">
        <v>38578.0</v>
      </c>
      <c r="E7" s="7">
        <v>55000.0</v>
      </c>
      <c r="F7" s="5" t="s">
        <v>28</v>
      </c>
      <c r="G7" s="5" t="s">
        <v>22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 t="s">
        <v>32</v>
      </c>
      <c r="B8" s="5" t="s">
        <v>33</v>
      </c>
      <c r="C8" s="5" t="s">
        <v>34</v>
      </c>
      <c r="D8" s="6">
        <v>35188.0</v>
      </c>
      <c r="E8" s="7">
        <v>47500.0</v>
      </c>
      <c r="F8" s="5" t="s">
        <v>28</v>
      </c>
      <c r="G8" s="5" t="s">
        <v>22</v>
      </c>
      <c r="I8" s="35" t="s">
        <v>153</v>
      </c>
      <c r="J8" s="21" t="s">
        <v>9</v>
      </c>
      <c r="K8" s="36"/>
      <c r="L8" s="17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 t="s">
        <v>35</v>
      </c>
      <c r="B9" s="5" t="s">
        <v>36</v>
      </c>
      <c r="C9" s="5" t="s">
        <v>37</v>
      </c>
      <c r="D9" s="6">
        <v>34014.0</v>
      </c>
      <c r="E9" s="7">
        <v>100000.0</v>
      </c>
      <c r="F9" s="2"/>
      <c r="G9" s="5" t="s">
        <v>22</v>
      </c>
      <c r="I9" s="35" t="s">
        <v>127</v>
      </c>
      <c r="J9" s="17" t="str">
        <f t="array" ref="J9">INDEX($A$4:$G$28,MATCH(J8,$A$4:$A$28,FALSE),2)</f>
        <v>Milgrom</v>
      </c>
      <c r="K9" s="35" t="s">
        <v>29</v>
      </c>
      <c r="L9" s="17" t="str">
        <f t="array" ref="L9">INDEX($A$4:$G$28,MATCH(J8,$A$4:$A$28,FALSE),6)</f>
        <v>F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 t="s">
        <v>38</v>
      </c>
      <c r="B10" s="5" t="s">
        <v>39</v>
      </c>
      <c r="C10" s="5" t="s">
        <v>40</v>
      </c>
      <c r="D10" s="6">
        <v>28212.0</v>
      </c>
      <c r="E10" s="7">
        <v>125000.0</v>
      </c>
      <c r="F10" s="5" t="s">
        <v>28</v>
      </c>
      <c r="G10" s="2"/>
      <c r="I10" s="35" t="s">
        <v>126</v>
      </c>
      <c r="J10" s="17" t="str">
        <f t="array" ref="J10">INDEX($A$4:$G$28,MATCH(J8,$A$4:$A$28,FALSE),3)</f>
        <v>Patricia</v>
      </c>
      <c r="K10" s="35" t="s">
        <v>154</v>
      </c>
      <c r="L10" s="37">
        <f t="array" ref="L10">INDEX($A$4:$G$28,MATCH(J8,$A$4:$A$28,FALSE),5)</f>
        <v>57500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 t="s">
        <v>41</v>
      </c>
      <c r="B11" s="5" t="s">
        <v>42</v>
      </c>
      <c r="C11" s="5" t="s">
        <v>43</v>
      </c>
      <c r="D11" s="6">
        <v>38718.0</v>
      </c>
      <c r="E11" s="7">
        <v>42500.0</v>
      </c>
      <c r="F11" s="5" t="s">
        <v>12</v>
      </c>
      <c r="G11" s="5" t="s">
        <v>13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 t="s">
        <v>44</v>
      </c>
      <c r="B12" s="5" t="s">
        <v>45</v>
      </c>
      <c r="C12" s="5" t="s">
        <v>17</v>
      </c>
      <c r="D12" s="6">
        <v>38505.0</v>
      </c>
      <c r="E12" s="7">
        <v>69000.0</v>
      </c>
      <c r="F12" s="5" t="s">
        <v>12</v>
      </c>
      <c r="G12" s="2"/>
      <c r="H12" s="2"/>
      <c r="I12" s="38" t="s">
        <v>127</v>
      </c>
      <c r="J12" s="39" t="s">
        <v>155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 t="s">
        <v>46</v>
      </c>
      <c r="B13" s="5" t="s">
        <v>47</v>
      </c>
      <c r="C13" s="5" t="s">
        <v>20</v>
      </c>
      <c r="D13" s="6">
        <v>36861.0</v>
      </c>
      <c r="E13" s="7">
        <v>49500.0</v>
      </c>
      <c r="F13" s="5" t="s">
        <v>12</v>
      </c>
      <c r="G13" s="5" t="s">
        <v>13</v>
      </c>
      <c r="H13" s="2"/>
      <c r="I13" s="38" t="s">
        <v>126</v>
      </c>
      <c r="J13" s="39" t="s">
        <v>156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 t="s">
        <v>48</v>
      </c>
      <c r="B14" s="5" t="s">
        <v>42</v>
      </c>
      <c r="C14" s="5" t="s">
        <v>49</v>
      </c>
      <c r="D14" s="6">
        <v>33267.0</v>
      </c>
      <c r="E14" s="7">
        <v>65000.0</v>
      </c>
      <c r="F14" s="5" t="s">
        <v>28</v>
      </c>
      <c r="G14" s="5" t="s">
        <v>22</v>
      </c>
      <c r="H14" s="2"/>
      <c r="I14" s="38" t="s">
        <v>29</v>
      </c>
      <c r="J14" s="39" t="s">
        <v>157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 t="s">
        <v>50</v>
      </c>
      <c r="B15" s="5" t="s">
        <v>51</v>
      </c>
      <c r="C15" s="5" t="s">
        <v>52</v>
      </c>
      <c r="D15" s="6">
        <v>36957.0</v>
      </c>
      <c r="E15" s="7">
        <v>18500.0</v>
      </c>
      <c r="F15" s="5" t="s">
        <v>12</v>
      </c>
      <c r="G15" s="5" t="s">
        <v>53</v>
      </c>
      <c r="H15" s="2"/>
      <c r="I15" s="38" t="s">
        <v>154</v>
      </c>
      <c r="J15" s="39" t="s">
        <v>158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 t="s">
        <v>54</v>
      </c>
      <c r="B16" s="5" t="s">
        <v>55</v>
      </c>
      <c r="C16" s="5" t="s">
        <v>56</v>
      </c>
      <c r="D16" s="6">
        <v>31510.0</v>
      </c>
      <c r="E16" s="7">
        <v>65000.0</v>
      </c>
      <c r="F16" s="5" t="s">
        <v>12</v>
      </c>
      <c r="G16" s="5" t="s">
        <v>22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 t="s">
        <v>57</v>
      </c>
      <c r="B17" s="5" t="s">
        <v>58</v>
      </c>
      <c r="C17" s="5" t="s">
        <v>59</v>
      </c>
      <c r="D17" s="6">
        <v>37945.0</v>
      </c>
      <c r="E17" s="7">
        <v>58000.0</v>
      </c>
      <c r="F17" s="5" t="s">
        <v>28</v>
      </c>
      <c r="G17" s="5" t="s">
        <v>22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 t="s">
        <v>60</v>
      </c>
      <c r="B18" s="5" t="s">
        <v>49</v>
      </c>
      <c r="C18" s="5" t="s">
        <v>61</v>
      </c>
      <c r="D18" s="6">
        <v>31147.0</v>
      </c>
      <c r="E18" s="7">
        <v>75000.0</v>
      </c>
      <c r="F18" s="5" t="s">
        <v>28</v>
      </c>
      <c r="G18" s="5" t="s">
        <v>22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 t="s">
        <v>62</v>
      </c>
      <c r="B19" s="5" t="s">
        <v>63</v>
      </c>
      <c r="C19" s="5" t="s">
        <v>64</v>
      </c>
      <c r="D19" s="6">
        <v>33267.0</v>
      </c>
      <c r="E19" s="7">
        <v>58500.0</v>
      </c>
      <c r="F19" s="5" t="s">
        <v>28</v>
      </c>
      <c r="G19" s="5" t="s">
        <v>53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 t="s">
        <v>65</v>
      </c>
      <c r="B20" s="5" t="s">
        <v>66</v>
      </c>
      <c r="C20" s="5" t="s">
        <v>67</v>
      </c>
      <c r="D20" s="6">
        <v>35992.0</v>
      </c>
      <c r="E20" s="7">
        <v>150000.0</v>
      </c>
      <c r="F20" s="5" t="s">
        <v>28</v>
      </c>
      <c r="G20" s="5" t="s">
        <v>22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5" t="s">
        <v>68</v>
      </c>
      <c r="B21" s="5" t="s">
        <v>69</v>
      </c>
      <c r="C21" s="5" t="s">
        <v>11</v>
      </c>
      <c r="D21" s="6">
        <v>37827.0</v>
      </c>
      <c r="E21" s="7">
        <v>45000.0</v>
      </c>
      <c r="F21" s="5" t="s">
        <v>12</v>
      </c>
      <c r="G21" s="5" t="s">
        <v>13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 t="s">
        <v>70</v>
      </c>
      <c r="B22" s="5" t="s">
        <v>71</v>
      </c>
      <c r="C22" s="5" t="s">
        <v>72</v>
      </c>
      <c r="D22" s="6">
        <v>35964.0</v>
      </c>
      <c r="E22" s="7">
        <v>40000.0</v>
      </c>
      <c r="F22" s="5" t="s">
        <v>28</v>
      </c>
      <c r="G22" s="5" t="s">
        <v>53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 t="s">
        <v>73</v>
      </c>
      <c r="B23" s="5" t="s">
        <v>74</v>
      </c>
      <c r="C23" s="5" t="s">
        <v>75</v>
      </c>
      <c r="D23" s="6">
        <v>30816.0</v>
      </c>
      <c r="E23" s="7">
        <v>79000.0</v>
      </c>
      <c r="F23" s="5" t="s">
        <v>12</v>
      </c>
      <c r="G23" s="5" t="s">
        <v>22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 t="s">
        <v>76</v>
      </c>
      <c r="B24" s="5" t="s">
        <v>77</v>
      </c>
      <c r="C24" s="5" t="s">
        <v>56</v>
      </c>
      <c r="D24" s="6">
        <v>33770.0</v>
      </c>
      <c r="E24" s="7">
        <v>55000.0</v>
      </c>
      <c r="F24" s="5" t="s">
        <v>12</v>
      </c>
      <c r="G24" s="5" t="s">
        <v>13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 t="s">
        <v>79</v>
      </c>
      <c r="B25" s="5" t="s">
        <v>80</v>
      </c>
      <c r="C25" s="5" t="s">
        <v>81</v>
      </c>
      <c r="D25" s="6">
        <v>38955.0</v>
      </c>
      <c r="E25" s="7">
        <v>23000.0</v>
      </c>
      <c r="F25" s="5" t="s">
        <v>28</v>
      </c>
      <c r="G25" s="5" t="s">
        <v>22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 t="s">
        <v>82</v>
      </c>
      <c r="B26" s="5" t="s">
        <v>83</v>
      </c>
      <c r="C26" s="5" t="s">
        <v>64</v>
      </c>
      <c r="D26" s="6">
        <v>37533.0</v>
      </c>
      <c r="E26" s="7">
        <v>52000.0</v>
      </c>
      <c r="F26" s="5" t="s">
        <v>28</v>
      </c>
      <c r="G26" s="5" t="s">
        <v>53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 t="s">
        <v>84</v>
      </c>
      <c r="B27" s="5" t="s">
        <v>85</v>
      </c>
      <c r="C27" s="5" t="s">
        <v>86</v>
      </c>
      <c r="D27" s="6">
        <v>35698.0</v>
      </c>
      <c r="E27" s="7">
        <v>38500.0</v>
      </c>
      <c r="F27" s="5" t="s">
        <v>12</v>
      </c>
      <c r="G27" s="5" t="s">
        <v>13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 t="s">
        <v>87</v>
      </c>
      <c r="B28" s="5" t="s">
        <v>88</v>
      </c>
      <c r="C28" s="5" t="s">
        <v>64</v>
      </c>
      <c r="D28" s="6">
        <v>29427.0</v>
      </c>
      <c r="E28" s="7">
        <v>175000.0</v>
      </c>
      <c r="F28" s="5" t="s">
        <v>28</v>
      </c>
      <c r="G28" s="5" t="s">
        <v>22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ataValidations>
    <dataValidation type="list" allowBlank="1" showErrorMessage="1" sqref="J8">
      <formula1>'Project Simple App'!$A$4:$A$28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21.63"/>
    <col customWidth="1" min="3" max="3" width="30.63"/>
  </cols>
  <sheetData>
    <row r="1">
      <c r="A1" s="1" t="s">
        <v>159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160</v>
      </c>
      <c r="B2" s="40" t="s">
        <v>161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162</v>
      </c>
      <c r="B4" s="1" t="s">
        <v>163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164</v>
      </c>
      <c r="B5" s="2" t="str">
        <f>IFERROR(__xludf.DUMMYFUNCTION("GOOGLETRANSLATE(A5,""auto"", ""th"")"),"ฉันอยากกินพิซซ่า")</f>
        <v>ฉันอยากกินพิซซ่า</v>
      </c>
      <c r="C5" s="26" t="s">
        <v>165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166</v>
      </c>
      <c r="B6" s="2" t="str">
        <f>IFERROR(__xludf.DUMMYFUNCTION("GOOGLETRANSLATE(A6,""auto"", ""th"")"),"ฉันอยากกินพิซซ่า")</f>
        <v>ฉันอยากกินพิซซ่า</v>
      </c>
      <c r="C6" s="26" t="s">
        <v>167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168</v>
      </c>
      <c r="B7" s="2" t="str">
        <f>IFERROR(__xludf.DUMMYFUNCTION("GOOGLETRANSLATE(A7,""auto"", ""th"")"),"ฉันอยากกินพิซซ่า")</f>
        <v>ฉันอยากกินพิซซ่า</v>
      </c>
      <c r="C7" s="26" t="s">
        <v>169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170</v>
      </c>
      <c r="B8" s="2" t="str">
        <f>IFERROR(__xludf.DUMMYFUNCTION("GOOGLETRANSLATE(A8,""auto"", ""th"")"),"ฉันอยากกินพิซซ่า")</f>
        <v>ฉันอยากกินพิซซ่า</v>
      </c>
      <c r="C8" s="26" t="s">
        <v>171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1" t="s">
        <v>172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tr">
        <f>IMAGE(A10)</f>
        <v/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hyperlinks>
    <hyperlink r:id="rId1" ref="B2"/>
    <hyperlink r:id="rId2" ref="A10"/>
  </hyperlinks>
  <drawing r:id="rId3"/>
</worksheet>
</file>