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comments3.xml" ContentType="application/vnd.openxmlformats-officedocument.spreadsheetml.comments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abeledge.sharepoint.com/sites/admin/Shared Documents/General/Joanne/Projet Mathieu/"/>
    </mc:Choice>
  </mc:AlternateContent>
  <xr:revisionPtr revIDLastSave="55" documentId="8_{B15A2516-4F4A-4C7F-89C2-23445FAA6EBA}" xr6:coauthVersionLast="47" xr6:coauthVersionMax="47" xr10:uidLastSave="{5CED980C-1CB4-41FD-BA20-A43236691914}"/>
  <bookViews>
    <workbookView xWindow="25695" yWindow="0" windowWidth="26010" windowHeight="20985" xr2:uid="{F9DD9D5A-58F8-46A6-B2AD-C3116F30854C}"/>
  </bookViews>
  <sheets>
    <sheet name="Papier" sheetId="1" r:id="rId1"/>
    <sheet name="Autres" sheetId="2" r:id="rId2"/>
    <sheet name="Sommaire papier" sheetId="4" r:id="rId3"/>
    <sheet name="Total" sheetId="3" r:id="rId4"/>
    <sheet name="Inv. papier sommaire" sheetId="8" r:id="rId5"/>
    <sheet name="Orders placed not received" sheetId="9" r:id="rId6"/>
    <sheet name="Calcul" sheetId="10" r:id="rId7"/>
  </sheets>
  <externalReferences>
    <externalReference r:id="rId8"/>
  </externalReferences>
  <definedNames>
    <definedName name="Fournisseur" localSheetId="0">#REF!</definedName>
    <definedName name="Fournisseur">#REF!</definedName>
    <definedName name="_xlnm.Print_Area" localSheetId="0">Papier!$A$1:$L$522</definedName>
  </definedNames>
  <calcPr calcId="191029"/>
  <pivotCaches>
    <pivotCache cacheId="9" r:id="rId9"/>
    <pivotCache cacheId="10" r:id="rId10"/>
    <pivotCache cacheId="1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0" i="1" l="1"/>
  <c r="N550" i="1"/>
  <c r="O550" i="1"/>
  <c r="S550" i="1"/>
  <c r="T550" i="1"/>
  <c r="P550" i="1" l="1"/>
  <c r="Q550" i="1"/>
  <c r="O499" i="1" l="1"/>
  <c r="N499" i="1"/>
  <c r="M499" i="1"/>
  <c r="O497" i="1"/>
  <c r="N497" i="1"/>
  <c r="M497" i="1"/>
  <c r="M519" i="1"/>
  <c r="N519" i="1"/>
  <c r="O519" i="1"/>
  <c r="S519" i="1"/>
  <c r="T519" i="1"/>
  <c r="S521" i="1"/>
  <c r="T521" i="1"/>
  <c r="S499" i="1"/>
  <c r="T499" i="1"/>
  <c r="S497" i="1"/>
  <c r="T497" i="1"/>
  <c r="Q499" i="1" l="1"/>
  <c r="Q497" i="1"/>
  <c r="Q519" i="1"/>
  <c r="P519" i="1"/>
  <c r="P497" i="1"/>
  <c r="P499" i="1"/>
  <c r="F412" i="1" l="1"/>
  <c r="M412" i="1" s="1"/>
  <c r="N412" i="1"/>
  <c r="O412" i="1"/>
  <c r="S412" i="1"/>
  <c r="T412" i="1"/>
  <c r="P412" i="1" l="1"/>
  <c r="Q412" i="1"/>
  <c r="N244" i="1" l="1"/>
  <c r="M244" i="1"/>
  <c r="L244" i="1"/>
  <c r="S244" i="1"/>
  <c r="T244" i="1"/>
  <c r="P244" i="1" l="1"/>
  <c r="M489" i="1" l="1"/>
  <c r="S489" i="1"/>
  <c r="T489" i="1"/>
  <c r="M490" i="1"/>
  <c r="S490" i="1"/>
  <c r="T490" i="1"/>
  <c r="M285" i="1"/>
  <c r="L285" i="1"/>
  <c r="S285" i="1"/>
  <c r="T285" i="1"/>
  <c r="L241" i="1" l="1"/>
  <c r="M241" i="1"/>
  <c r="N241" i="1"/>
  <c r="S241" i="1"/>
  <c r="T241" i="1"/>
  <c r="P241" i="1" l="1"/>
  <c r="M538" i="1" l="1"/>
  <c r="S538" i="1"/>
  <c r="T538" i="1"/>
  <c r="M21" i="2" l="1"/>
  <c r="F21" i="2"/>
  <c r="J21" i="2" s="1"/>
  <c r="L21" i="2" s="1"/>
  <c r="M475" i="1" l="1"/>
  <c r="S475" i="1"/>
  <c r="T475" i="1"/>
  <c r="L229" i="1" l="1"/>
  <c r="M232" i="1"/>
  <c r="N232" i="1"/>
  <c r="S232" i="1"/>
  <c r="T232" i="1"/>
  <c r="M229" i="1"/>
  <c r="N229" i="1"/>
  <c r="S229" i="1"/>
  <c r="T229" i="1"/>
  <c r="T527" i="1"/>
  <c r="S527" i="1"/>
  <c r="M527" i="1"/>
  <c r="P232" i="1" l="1"/>
  <c r="P229" i="1"/>
  <c r="T588" i="1" l="1"/>
  <c r="S588" i="1"/>
  <c r="M588" i="1"/>
  <c r="M564" i="1" l="1"/>
  <c r="M562" i="1"/>
  <c r="S564" i="1"/>
  <c r="T564" i="1"/>
  <c r="S562" i="1"/>
  <c r="T562" i="1"/>
  <c r="N234" i="1" l="1"/>
  <c r="M234" i="1"/>
  <c r="L234" i="1"/>
  <c r="S234" i="1"/>
  <c r="T234" i="1"/>
  <c r="P234" i="1" l="1"/>
  <c r="L343" i="1"/>
  <c r="M343" i="1"/>
  <c r="N343" i="1"/>
  <c r="S343" i="1"/>
  <c r="T343" i="1"/>
  <c r="T530" i="1"/>
  <c r="S530" i="1"/>
  <c r="M530" i="1"/>
  <c r="P343" i="1" l="1"/>
  <c r="M560" i="1"/>
  <c r="M558" i="1"/>
  <c r="M556" i="1"/>
  <c r="M554" i="1"/>
  <c r="M552" i="1"/>
  <c r="S560" i="1"/>
  <c r="T560" i="1"/>
  <c r="S558" i="1"/>
  <c r="T558" i="1"/>
  <c r="S556" i="1"/>
  <c r="T556" i="1"/>
  <c r="S554" i="1"/>
  <c r="T554" i="1"/>
  <c r="S552" i="1"/>
  <c r="T552" i="1"/>
  <c r="M547" i="1"/>
  <c r="M548" i="1"/>
  <c r="M549" i="1"/>
  <c r="M551" i="1"/>
  <c r="M553" i="1"/>
  <c r="M555" i="1"/>
  <c r="M557" i="1"/>
  <c r="M559" i="1"/>
  <c r="M561" i="1"/>
  <c r="M563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S547" i="1"/>
  <c r="S548" i="1"/>
  <c r="S549" i="1"/>
  <c r="S551" i="1"/>
  <c r="S553" i="1"/>
  <c r="S555" i="1"/>
  <c r="S557" i="1"/>
  <c r="S559" i="1"/>
  <c r="S561" i="1"/>
  <c r="S563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T547" i="1"/>
  <c r="T548" i="1"/>
  <c r="T549" i="1"/>
  <c r="T551" i="1"/>
  <c r="T553" i="1"/>
  <c r="T555" i="1"/>
  <c r="T557" i="1"/>
  <c r="T559" i="1"/>
  <c r="T561" i="1"/>
  <c r="T563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M411" i="1" l="1"/>
  <c r="N411" i="1"/>
  <c r="S411" i="1"/>
  <c r="T411" i="1"/>
  <c r="P411" i="1" l="1"/>
  <c r="M401" i="1"/>
  <c r="N401" i="1"/>
  <c r="S401" i="1"/>
  <c r="T401" i="1"/>
  <c r="P401" i="1" l="1"/>
  <c r="M525" i="1" l="1"/>
  <c r="M526" i="1"/>
  <c r="S525" i="1"/>
  <c r="S526" i="1"/>
  <c r="T525" i="1"/>
  <c r="T526" i="1"/>
  <c r="M523" i="1"/>
  <c r="S523" i="1"/>
  <c r="T523" i="1"/>
  <c r="M524" i="1"/>
  <c r="S524" i="1"/>
  <c r="T524" i="1"/>
  <c r="M200" i="1"/>
  <c r="S200" i="1"/>
  <c r="T200" i="1"/>
  <c r="M201" i="1"/>
  <c r="S201" i="1"/>
  <c r="T201" i="1"/>
  <c r="N365" i="1" l="1"/>
  <c r="M365" i="1"/>
  <c r="L365" i="1"/>
  <c r="N363" i="1"/>
  <c r="M363" i="1"/>
  <c r="L363" i="1"/>
  <c r="N357" i="1"/>
  <c r="M357" i="1"/>
  <c r="L357" i="1"/>
  <c r="N353" i="1"/>
  <c r="M353" i="1"/>
  <c r="L353" i="1"/>
  <c r="N351" i="1"/>
  <c r="M351" i="1"/>
  <c r="L351" i="1"/>
  <c r="N349" i="1"/>
  <c r="M349" i="1"/>
  <c r="L349" i="1"/>
  <c r="S365" i="1"/>
  <c r="T365" i="1"/>
  <c r="S363" i="1"/>
  <c r="T363" i="1"/>
  <c r="S357" i="1"/>
  <c r="T357" i="1"/>
  <c r="S353" i="1"/>
  <c r="T353" i="1"/>
  <c r="S351" i="1"/>
  <c r="T351" i="1"/>
  <c r="S349" i="1"/>
  <c r="T349" i="1"/>
  <c r="N247" i="1"/>
  <c r="M247" i="1"/>
  <c r="L247" i="1"/>
  <c r="S247" i="1"/>
  <c r="T247" i="1"/>
  <c r="M248" i="1"/>
  <c r="N248" i="1"/>
  <c r="S248" i="1"/>
  <c r="T248" i="1"/>
  <c r="P365" i="1" l="1"/>
  <c r="P363" i="1"/>
  <c r="P357" i="1"/>
  <c r="P353" i="1"/>
  <c r="P351" i="1"/>
  <c r="P349" i="1"/>
  <c r="P247" i="1"/>
  <c r="P248" i="1"/>
  <c r="L219" i="1" l="1"/>
  <c r="M219" i="1"/>
  <c r="N219" i="1"/>
  <c r="S219" i="1"/>
  <c r="T219" i="1"/>
  <c r="T257" i="1"/>
  <c r="S257" i="1"/>
  <c r="L257" i="1"/>
  <c r="M257" i="1"/>
  <c r="N257" i="1"/>
  <c r="M451" i="1"/>
  <c r="S451" i="1"/>
  <c r="T451" i="1"/>
  <c r="L370" i="1"/>
  <c r="M370" i="1"/>
  <c r="N370" i="1"/>
  <c r="S370" i="1"/>
  <c r="T370" i="1"/>
  <c r="P219" i="1" l="1"/>
  <c r="P257" i="1"/>
  <c r="P370" i="1"/>
  <c r="J56" i="2" l="1"/>
  <c r="L56" i="2" s="1"/>
  <c r="M56" i="2"/>
  <c r="I57" i="2"/>
  <c r="J57" i="2" s="1"/>
  <c r="L57" i="2" s="1"/>
  <c r="I55" i="2"/>
  <c r="J55" i="2" s="1"/>
  <c r="L55" i="2" s="1"/>
  <c r="I54" i="2"/>
  <c r="J54" i="2" s="1"/>
  <c r="L54" i="2" s="1"/>
  <c r="M57" i="2"/>
  <c r="M55" i="2"/>
  <c r="M54" i="2"/>
  <c r="I43" i="2"/>
  <c r="M43" i="2"/>
  <c r="J41" i="2"/>
  <c r="L41" i="2" s="1"/>
  <c r="M28" i="2"/>
  <c r="F28" i="2"/>
  <c r="J28" i="2" s="1"/>
  <c r="L28" i="2" s="1"/>
  <c r="M50" i="2"/>
  <c r="J50" i="2"/>
  <c r="L50" i="2" s="1"/>
  <c r="M47" i="2"/>
  <c r="J47" i="2"/>
  <c r="L47" i="2" s="1"/>
  <c r="M53" i="2" l="1"/>
  <c r="L52" i="2"/>
  <c r="M52" i="2"/>
  <c r="M20" i="2"/>
  <c r="F20" i="2"/>
  <c r="J20" i="2" s="1"/>
  <c r="L20" i="2" s="1"/>
  <c r="M514" i="1"/>
  <c r="S514" i="1"/>
  <c r="T514" i="1"/>
  <c r="L311" i="1" l="1"/>
  <c r="F311" i="1"/>
  <c r="M311" i="1" s="1"/>
  <c r="S311" i="1"/>
  <c r="T311" i="1"/>
  <c r="F140" i="1" l="1"/>
  <c r="M140" i="1" s="1"/>
  <c r="F138" i="1"/>
  <c r="M138" i="1" s="1"/>
  <c r="V140" i="1"/>
  <c r="T140" i="1"/>
  <c r="S140" i="1"/>
  <c r="N140" i="1"/>
  <c r="L140" i="1"/>
  <c r="V138" i="1"/>
  <c r="T138" i="1"/>
  <c r="S138" i="1"/>
  <c r="N138" i="1"/>
  <c r="L138" i="1"/>
  <c r="F134" i="1"/>
  <c r="M134" i="1" s="1"/>
  <c r="V134" i="1"/>
  <c r="T134" i="1"/>
  <c r="S134" i="1"/>
  <c r="N134" i="1"/>
  <c r="L134" i="1"/>
  <c r="V132" i="1"/>
  <c r="T132" i="1"/>
  <c r="S132" i="1"/>
  <c r="N132" i="1"/>
  <c r="L132" i="1"/>
  <c r="F132" i="1"/>
  <c r="M132" i="1" s="1"/>
  <c r="P134" i="1" l="1"/>
  <c r="P140" i="1"/>
  <c r="P138" i="1"/>
  <c r="P132" i="1"/>
  <c r="L422" i="1" l="1"/>
  <c r="M422" i="1"/>
  <c r="S422" i="1"/>
  <c r="T422" i="1"/>
  <c r="M522" i="1" l="1"/>
  <c r="M528" i="1"/>
  <c r="M529" i="1"/>
  <c r="M531" i="1"/>
  <c r="M532" i="1"/>
  <c r="M533" i="1"/>
  <c r="M534" i="1"/>
  <c r="M535" i="1"/>
  <c r="M536" i="1"/>
  <c r="M537" i="1"/>
  <c r="M539" i="1"/>
  <c r="M540" i="1"/>
  <c r="M541" i="1"/>
  <c r="M542" i="1"/>
  <c r="M543" i="1"/>
  <c r="M544" i="1"/>
  <c r="M545" i="1"/>
  <c r="M546" i="1"/>
  <c r="S522" i="1"/>
  <c r="S528" i="1"/>
  <c r="S529" i="1"/>
  <c r="S531" i="1"/>
  <c r="S532" i="1"/>
  <c r="S533" i="1"/>
  <c r="S534" i="1"/>
  <c r="S535" i="1"/>
  <c r="S536" i="1"/>
  <c r="S537" i="1"/>
  <c r="S539" i="1"/>
  <c r="S540" i="1"/>
  <c r="S541" i="1"/>
  <c r="S542" i="1"/>
  <c r="S543" i="1"/>
  <c r="S544" i="1"/>
  <c r="S545" i="1"/>
  <c r="S546" i="1"/>
  <c r="T522" i="1"/>
  <c r="T528" i="1"/>
  <c r="T529" i="1"/>
  <c r="T531" i="1"/>
  <c r="T532" i="1"/>
  <c r="T533" i="1"/>
  <c r="T534" i="1"/>
  <c r="T535" i="1"/>
  <c r="T536" i="1"/>
  <c r="T537" i="1"/>
  <c r="T539" i="1"/>
  <c r="T540" i="1"/>
  <c r="T541" i="1"/>
  <c r="T542" i="1"/>
  <c r="T543" i="1"/>
  <c r="T544" i="1"/>
  <c r="T545" i="1"/>
  <c r="T546" i="1"/>
  <c r="M474" i="1" l="1"/>
  <c r="M473" i="1"/>
  <c r="S473" i="1"/>
  <c r="T473" i="1"/>
  <c r="S474" i="1"/>
  <c r="T474" i="1"/>
  <c r="N395" i="1"/>
  <c r="M395" i="1"/>
  <c r="L395" i="1"/>
  <c r="N393" i="1"/>
  <c r="M393" i="1"/>
  <c r="L393" i="1"/>
  <c r="N388" i="1"/>
  <c r="M388" i="1"/>
  <c r="L388" i="1"/>
  <c r="S395" i="1"/>
  <c r="T395" i="1"/>
  <c r="S393" i="1"/>
  <c r="T393" i="1"/>
  <c r="S388" i="1"/>
  <c r="T388" i="1"/>
  <c r="N382" i="1"/>
  <c r="M382" i="1"/>
  <c r="L382" i="1"/>
  <c r="S382" i="1"/>
  <c r="T382" i="1"/>
  <c r="N376" i="1"/>
  <c r="M376" i="1"/>
  <c r="L376" i="1"/>
  <c r="S376" i="1"/>
  <c r="T376" i="1"/>
  <c r="F377" i="1"/>
  <c r="M377" i="1" s="1"/>
  <c r="L377" i="1"/>
  <c r="N377" i="1"/>
  <c r="S377" i="1"/>
  <c r="T377" i="1"/>
  <c r="V377" i="1"/>
  <c r="N380" i="1"/>
  <c r="M380" i="1"/>
  <c r="L380" i="1"/>
  <c r="S380" i="1"/>
  <c r="T380" i="1"/>
  <c r="N355" i="1"/>
  <c r="M355" i="1"/>
  <c r="L355" i="1"/>
  <c r="N347" i="1"/>
  <c r="M347" i="1"/>
  <c r="L347" i="1"/>
  <c r="L345" i="1"/>
  <c r="M345" i="1"/>
  <c r="S355" i="1"/>
  <c r="T355" i="1"/>
  <c r="S347" i="1"/>
  <c r="T347" i="1"/>
  <c r="N345" i="1"/>
  <c r="S345" i="1"/>
  <c r="T345" i="1"/>
  <c r="P393" i="1" l="1"/>
  <c r="P395" i="1"/>
  <c r="P388" i="1"/>
  <c r="P382" i="1"/>
  <c r="P376" i="1"/>
  <c r="P377" i="1"/>
  <c r="P355" i="1"/>
  <c r="P380" i="1"/>
  <c r="P347" i="1"/>
  <c r="P345" i="1"/>
  <c r="Q1" i="1"/>
  <c r="M511" i="1" l="1"/>
  <c r="S511" i="1"/>
  <c r="T511" i="1"/>
  <c r="M512" i="1"/>
  <c r="S512" i="1"/>
  <c r="T512" i="1"/>
  <c r="M508" i="1"/>
  <c r="S508" i="1"/>
  <c r="T508" i="1"/>
  <c r="M503" i="1"/>
  <c r="M504" i="1"/>
  <c r="M505" i="1"/>
  <c r="M506" i="1"/>
  <c r="M507" i="1"/>
  <c r="S503" i="1"/>
  <c r="S504" i="1"/>
  <c r="S505" i="1"/>
  <c r="S506" i="1"/>
  <c r="S507" i="1"/>
  <c r="T503" i="1"/>
  <c r="T504" i="1"/>
  <c r="T505" i="1"/>
  <c r="T506" i="1"/>
  <c r="T507" i="1"/>
  <c r="M457" i="1" l="1"/>
  <c r="S457" i="1"/>
  <c r="T457" i="1"/>
  <c r="M471" i="1" l="1"/>
  <c r="S471" i="1"/>
  <c r="T471" i="1"/>
  <c r="M472" i="1"/>
  <c r="S472" i="1"/>
  <c r="T472" i="1"/>
  <c r="T455" i="1"/>
  <c r="S455" i="1"/>
  <c r="M455" i="1"/>
  <c r="M239" i="1" l="1"/>
  <c r="N239" i="1"/>
  <c r="S239" i="1"/>
  <c r="T239" i="1"/>
  <c r="M335" i="1"/>
  <c r="N335" i="1"/>
  <c r="S335" i="1"/>
  <c r="T335" i="1"/>
  <c r="M184" i="1"/>
  <c r="S184" i="1"/>
  <c r="T184" i="1"/>
  <c r="P239" i="1" l="1"/>
  <c r="P335" i="1"/>
  <c r="M465" i="1" l="1"/>
  <c r="S465" i="1"/>
  <c r="T465" i="1"/>
  <c r="L51" i="2" l="1"/>
  <c r="M51" i="2"/>
  <c r="M17" i="2" l="1"/>
  <c r="J17" i="2"/>
  <c r="L17" i="2" s="1"/>
  <c r="F19" i="2"/>
  <c r="F39" i="2"/>
  <c r="F37" i="2"/>
  <c r="F27" i="2"/>
  <c r="M25" i="2"/>
  <c r="J25" i="2"/>
  <c r="L25" i="2" s="1"/>
  <c r="J24" i="2"/>
  <c r="L24" i="2" s="1"/>
  <c r="M24" i="2"/>
  <c r="I27" i="2"/>
  <c r="J42" i="2"/>
  <c r="G21" i="10"/>
  <c r="G20" i="10"/>
  <c r="D21" i="10"/>
  <c r="D20" i="10"/>
  <c r="B22" i="10"/>
  <c r="B11" i="10"/>
  <c r="B21" i="10" l="1"/>
  <c r="B20" i="10"/>
  <c r="B17" i="10"/>
  <c r="E11" i="10"/>
  <c r="C11" i="10"/>
  <c r="C9" i="10"/>
  <c r="G9" i="10"/>
  <c r="C21" i="10" l="1"/>
  <c r="E21" i="10" s="1"/>
  <c r="C20" i="10"/>
  <c r="E20" i="10"/>
  <c r="D10" i="10"/>
  <c r="D9" i="10"/>
  <c r="B10" i="10"/>
  <c r="B9" i="10"/>
  <c r="E9" i="10" s="1"/>
  <c r="B6" i="10"/>
  <c r="I40" i="2"/>
  <c r="I38" i="2"/>
  <c r="I8" i="2"/>
  <c r="C22" i="10" l="1"/>
  <c r="E22" i="10"/>
  <c r="C10" i="10"/>
  <c r="E10" i="10" s="1"/>
  <c r="G10" i="10" s="1"/>
  <c r="M510" i="1" l="1"/>
  <c r="M513" i="1"/>
  <c r="M515" i="1"/>
  <c r="S510" i="1"/>
  <c r="S513" i="1"/>
  <c r="S515" i="1"/>
  <c r="T510" i="1"/>
  <c r="T513" i="1"/>
  <c r="T515" i="1"/>
  <c r="L160" i="1" l="1"/>
  <c r="M160" i="1"/>
  <c r="M161" i="1"/>
  <c r="N160" i="1"/>
  <c r="N161" i="1"/>
  <c r="S160" i="1"/>
  <c r="S161" i="1"/>
  <c r="T160" i="1"/>
  <c r="T161" i="1"/>
  <c r="M163" i="1"/>
  <c r="M164" i="1"/>
  <c r="N163" i="1"/>
  <c r="N164" i="1"/>
  <c r="S163" i="1"/>
  <c r="S164" i="1"/>
  <c r="T163" i="1"/>
  <c r="T164" i="1"/>
  <c r="M156" i="1"/>
  <c r="M157" i="1"/>
  <c r="N156" i="1"/>
  <c r="N157" i="1"/>
  <c r="S156" i="1"/>
  <c r="S157" i="1"/>
  <c r="T156" i="1"/>
  <c r="T157" i="1"/>
  <c r="P161" i="1" l="1"/>
  <c r="P164" i="1"/>
  <c r="P160" i="1"/>
  <c r="P163" i="1"/>
  <c r="P156" i="1"/>
  <c r="P157" i="1"/>
  <c r="L437" i="1" l="1"/>
  <c r="M437" i="1"/>
  <c r="S437" i="1"/>
  <c r="T437" i="1"/>
  <c r="M438" i="1"/>
  <c r="M439" i="1"/>
  <c r="S438" i="1"/>
  <c r="S439" i="1"/>
  <c r="T438" i="1"/>
  <c r="T439" i="1"/>
  <c r="M254" i="1"/>
  <c r="M255" i="1"/>
  <c r="N254" i="1"/>
  <c r="N255" i="1"/>
  <c r="S254" i="1"/>
  <c r="S255" i="1"/>
  <c r="T254" i="1"/>
  <c r="T255" i="1"/>
  <c r="M227" i="1"/>
  <c r="N227" i="1"/>
  <c r="S227" i="1"/>
  <c r="T227" i="1"/>
  <c r="P255" i="1" l="1"/>
  <c r="P254" i="1"/>
  <c r="P227" i="1"/>
  <c r="M332" i="1" l="1"/>
  <c r="M333" i="1"/>
  <c r="S332" i="1"/>
  <c r="S333" i="1"/>
  <c r="T332" i="1"/>
  <c r="T333" i="1"/>
  <c r="M198" i="1" l="1"/>
  <c r="M199" i="1"/>
  <c r="S198" i="1"/>
  <c r="S199" i="1"/>
  <c r="T198" i="1"/>
  <c r="T199" i="1"/>
  <c r="M449" i="1"/>
  <c r="M450" i="1"/>
  <c r="S449" i="1"/>
  <c r="S450" i="1"/>
  <c r="T449" i="1"/>
  <c r="T450" i="1"/>
  <c r="M454" i="1"/>
  <c r="M453" i="1" l="1"/>
  <c r="S453" i="1"/>
  <c r="S454" i="1"/>
  <c r="T453" i="1"/>
  <c r="T454" i="1"/>
  <c r="M517" i="1"/>
  <c r="S517" i="1"/>
  <c r="T517" i="1"/>
  <c r="M501" i="1" l="1"/>
  <c r="M502" i="1"/>
  <c r="M509" i="1"/>
  <c r="M516" i="1"/>
  <c r="M518" i="1"/>
  <c r="S501" i="1"/>
  <c r="S502" i="1"/>
  <c r="S509" i="1"/>
  <c r="S516" i="1"/>
  <c r="S518" i="1"/>
  <c r="T501" i="1"/>
  <c r="T502" i="1"/>
  <c r="T509" i="1"/>
  <c r="T516" i="1"/>
  <c r="T518" i="1"/>
  <c r="L424" i="1" l="1"/>
  <c r="M424" i="1"/>
  <c r="S424" i="1"/>
  <c r="T424" i="1"/>
  <c r="T21" i="1"/>
  <c r="S21" i="1"/>
  <c r="L21" i="1"/>
  <c r="F21" i="1"/>
  <c r="M21" i="1" s="1"/>
  <c r="T341" i="1" l="1"/>
  <c r="S341" i="1"/>
  <c r="T340" i="1"/>
  <c r="S340" i="1"/>
  <c r="M340" i="1"/>
  <c r="M341" i="1"/>
  <c r="N340" i="1"/>
  <c r="N341" i="1"/>
  <c r="T339" i="1"/>
  <c r="S339" i="1"/>
  <c r="N339" i="1"/>
  <c r="M339" i="1"/>
  <c r="L339" i="1"/>
  <c r="T416" i="1"/>
  <c r="S416" i="1"/>
  <c r="N416" i="1"/>
  <c r="M416" i="1"/>
  <c r="L416" i="1"/>
  <c r="T386" i="1"/>
  <c r="S386" i="1"/>
  <c r="N386" i="1"/>
  <c r="M386" i="1"/>
  <c r="L386" i="1"/>
  <c r="T378" i="1"/>
  <c r="S378" i="1"/>
  <c r="N378" i="1"/>
  <c r="M378" i="1"/>
  <c r="L378" i="1"/>
  <c r="T374" i="1"/>
  <c r="S374" i="1"/>
  <c r="N374" i="1"/>
  <c r="M374" i="1"/>
  <c r="L374" i="1"/>
  <c r="T361" i="1"/>
  <c r="S361" i="1"/>
  <c r="N361" i="1"/>
  <c r="M361" i="1"/>
  <c r="L361" i="1"/>
  <c r="T359" i="1"/>
  <c r="S359" i="1"/>
  <c r="N359" i="1"/>
  <c r="M359" i="1"/>
  <c r="L359" i="1"/>
  <c r="T415" i="1"/>
  <c r="S415" i="1"/>
  <c r="N415" i="1"/>
  <c r="L415" i="1"/>
  <c r="F415" i="1"/>
  <c r="M415" i="1" s="1"/>
  <c r="L91" i="1"/>
  <c r="M113" i="1"/>
  <c r="S113" i="1"/>
  <c r="T113" i="1"/>
  <c r="M95" i="1"/>
  <c r="S95" i="1"/>
  <c r="T95" i="1"/>
  <c r="M91" i="1"/>
  <c r="S91" i="1"/>
  <c r="T91" i="1"/>
  <c r="M83" i="1"/>
  <c r="S83" i="1"/>
  <c r="T83" i="1"/>
  <c r="M79" i="1"/>
  <c r="S79" i="1"/>
  <c r="T79" i="1"/>
  <c r="M77" i="1"/>
  <c r="S77" i="1"/>
  <c r="T77" i="1"/>
  <c r="M73" i="1"/>
  <c r="S73" i="1"/>
  <c r="T73" i="1"/>
  <c r="M69" i="1"/>
  <c r="S69" i="1"/>
  <c r="T69" i="1"/>
  <c r="M65" i="1"/>
  <c r="S65" i="1"/>
  <c r="T65" i="1"/>
  <c r="M63" i="1"/>
  <c r="S63" i="1"/>
  <c r="T63" i="1"/>
  <c r="M59" i="1"/>
  <c r="S59" i="1"/>
  <c r="T59" i="1"/>
  <c r="M57" i="1"/>
  <c r="S57" i="1"/>
  <c r="T57" i="1"/>
  <c r="M53" i="1"/>
  <c r="S53" i="1"/>
  <c r="T53" i="1"/>
  <c r="M49" i="1"/>
  <c r="S49" i="1"/>
  <c r="T49" i="1"/>
  <c r="P374" i="1" l="1"/>
  <c r="P340" i="1"/>
  <c r="P341" i="1"/>
  <c r="P361" i="1"/>
  <c r="P339" i="1"/>
  <c r="P416" i="1"/>
  <c r="P386" i="1"/>
  <c r="P378" i="1"/>
  <c r="P359" i="1"/>
  <c r="P415" i="1"/>
  <c r="J38" i="2" l="1"/>
  <c r="L38" i="2" s="1"/>
  <c r="J40" i="2"/>
  <c r="L40" i="2" s="1"/>
  <c r="J46" i="2"/>
  <c r="L46" i="2" s="1"/>
  <c r="M46" i="2"/>
  <c r="J49" i="2"/>
  <c r="L49" i="2" s="1"/>
  <c r="M49" i="2"/>
  <c r="J48" i="2"/>
  <c r="L48" i="2" s="1"/>
  <c r="J45" i="2"/>
  <c r="L45" i="2" s="1"/>
  <c r="J44" i="2"/>
  <c r="L44" i="2" s="1"/>
  <c r="L42" i="2"/>
  <c r="M48" i="2"/>
  <c r="M45" i="2"/>
  <c r="M44" i="2"/>
  <c r="M42" i="2"/>
  <c r="M469" i="1" l="1"/>
  <c r="M470" i="1"/>
  <c r="S469" i="1"/>
  <c r="S470" i="1"/>
  <c r="T469" i="1"/>
  <c r="T470" i="1"/>
  <c r="W237" i="1" l="1"/>
  <c r="L17" i="1" l="1"/>
  <c r="M17" i="1"/>
  <c r="S17" i="1"/>
  <c r="T17" i="1"/>
  <c r="M18" i="1"/>
  <c r="S18" i="1"/>
  <c r="T18" i="1"/>
  <c r="M196" i="1"/>
  <c r="S196" i="1"/>
  <c r="T196" i="1"/>
  <c r="M479" i="1"/>
  <c r="S479" i="1"/>
  <c r="T479" i="1"/>
  <c r="M477" i="1" l="1"/>
  <c r="M478" i="1"/>
  <c r="S477" i="1"/>
  <c r="S478" i="1"/>
  <c r="T477" i="1"/>
  <c r="T478" i="1"/>
  <c r="N225" i="1" l="1"/>
  <c r="M225" i="1"/>
  <c r="L225" i="1"/>
  <c r="M226" i="1"/>
  <c r="N226" i="1"/>
  <c r="S225" i="1"/>
  <c r="S226" i="1"/>
  <c r="T225" i="1"/>
  <c r="T226" i="1"/>
  <c r="M481" i="1"/>
  <c r="S481" i="1"/>
  <c r="T481" i="1"/>
  <c r="F26" i="2"/>
  <c r="J26" i="2" s="1"/>
  <c r="L26" i="2" s="1"/>
  <c r="M26" i="2"/>
  <c r="M31" i="2"/>
  <c r="J31" i="2"/>
  <c r="L31" i="2" s="1"/>
  <c r="F18" i="2"/>
  <c r="P226" i="1" l="1"/>
  <c r="P225" i="1"/>
  <c r="L367" i="1"/>
  <c r="M367" i="1"/>
  <c r="N367" i="1"/>
  <c r="S367" i="1"/>
  <c r="T367" i="1"/>
  <c r="M368" i="1"/>
  <c r="N368" i="1"/>
  <c r="S368" i="1"/>
  <c r="T368" i="1"/>
  <c r="L216" i="1"/>
  <c r="M216" i="1"/>
  <c r="N216" i="1"/>
  <c r="S216" i="1"/>
  <c r="T216" i="1"/>
  <c r="F445" i="1"/>
  <c r="M445" i="1" s="1"/>
  <c r="L444" i="1"/>
  <c r="F444" i="1"/>
  <c r="M444" i="1" s="1"/>
  <c r="S444" i="1"/>
  <c r="T444" i="1"/>
  <c r="S445" i="1"/>
  <c r="T445" i="1"/>
  <c r="P367" i="1" l="1"/>
  <c r="P368" i="1"/>
  <c r="P216" i="1"/>
  <c r="M182" i="1"/>
  <c r="M183" i="1"/>
  <c r="S182" i="1"/>
  <c r="S183" i="1"/>
  <c r="T182" i="1"/>
  <c r="T183" i="1"/>
  <c r="M330" i="1"/>
  <c r="M331" i="1"/>
  <c r="S330" i="1"/>
  <c r="S331" i="1"/>
  <c r="T330" i="1"/>
  <c r="T331" i="1"/>
  <c r="M434" i="1"/>
  <c r="S434" i="1"/>
  <c r="T434" i="1"/>
  <c r="M435" i="1"/>
  <c r="S435" i="1"/>
  <c r="T435" i="1"/>
  <c r="M181" i="1" l="1"/>
  <c r="S181" i="1"/>
  <c r="T181" i="1"/>
  <c r="M180" i="1"/>
  <c r="S180" i="1"/>
  <c r="T180" i="1"/>
  <c r="M207" i="1" l="1"/>
  <c r="S207" i="1"/>
  <c r="T207" i="1"/>
  <c r="M205" i="1" l="1"/>
  <c r="M206" i="1"/>
  <c r="S205" i="1"/>
  <c r="S206" i="1"/>
  <c r="T205" i="1"/>
  <c r="T206" i="1"/>
  <c r="V287" i="1"/>
  <c r="L287" i="1"/>
  <c r="M287" i="1"/>
  <c r="S287" i="1"/>
  <c r="T287" i="1"/>
  <c r="M223" i="1"/>
  <c r="N223" i="1"/>
  <c r="S223" i="1"/>
  <c r="T223" i="1"/>
  <c r="L221" i="1"/>
  <c r="M221" i="1"/>
  <c r="M222" i="1"/>
  <c r="N221" i="1"/>
  <c r="N222" i="1"/>
  <c r="S221" i="1"/>
  <c r="S222" i="1"/>
  <c r="T221" i="1"/>
  <c r="T222" i="1"/>
  <c r="L337" i="1"/>
  <c r="L372" i="1"/>
  <c r="L390" i="1"/>
  <c r="L399" i="1"/>
  <c r="P222" i="1" l="1"/>
  <c r="P223" i="1"/>
  <c r="P221" i="1"/>
  <c r="M391" i="1"/>
  <c r="S391" i="1"/>
  <c r="T391" i="1"/>
  <c r="M390" i="1"/>
  <c r="S390" i="1"/>
  <c r="T390" i="1"/>
  <c r="M372" i="1"/>
  <c r="S372" i="1"/>
  <c r="T372" i="1"/>
  <c r="M385" i="1"/>
  <c r="S385" i="1"/>
  <c r="T385" i="1"/>
  <c r="M204" i="1"/>
  <c r="S204" i="1"/>
  <c r="T204" i="1"/>
  <c r="V19" i="1" l="1"/>
  <c r="V20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50" i="1"/>
  <c r="V51" i="1"/>
  <c r="V52" i="1"/>
  <c r="V54" i="1"/>
  <c r="V55" i="1"/>
  <c r="V56" i="1"/>
  <c r="V58" i="1"/>
  <c r="V60" i="1"/>
  <c r="V61" i="1"/>
  <c r="V62" i="1"/>
  <c r="V64" i="1"/>
  <c r="V66" i="1"/>
  <c r="V67" i="1"/>
  <c r="V68" i="1"/>
  <c r="V70" i="1"/>
  <c r="V71" i="1"/>
  <c r="V72" i="1"/>
  <c r="V74" i="1"/>
  <c r="V75" i="1"/>
  <c r="V76" i="1"/>
  <c r="V78" i="1"/>
  <c r="V80" i="1"/>
  <c r="V81" i="1"/>
  <c r="V82" i="1"/>
  <c r="V84" i="1"/>
  <c r="V85" i="1"/>
  <c r="V86" i="1"/>
  <c r="V87" i="1"/>
  <c r="V88" i="1"/>
  <c r="V89" i="1"/>
  <c r="V90" i="1"/>
  <c r="V92" i="1"/>
  <c r="V93" i="1"/>
  <c r="V94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3" i="1"/>
  <c r="V135" i="1"/>
  <c r="V136" i="1"/>
  <c r="V137" i="1"/>
  <c r="V139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8" i="1"/>
  <c r="V159" i="1"/>
  <c r="V162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5" i="1"/>
  <c r="V186" i="1"/>
  <c r="V187" i="1"/>
  <c r="V188" i="1"/>
  <c r="V189" i="1"/>
  <c r="V190" i="1"/>
  <c r="V191" i="1"/>
  <c r="V192" i="1"/>
  <c r="V193" i="1"/>
  <c r="V194" i="1"/>
  <c r="V195" i="1"/>
  <c r="V197" i="1"/>
  <c r="V202" i="1"/>
  <c r="V203" i="1"/>
  <c r="V208" i="1"/>
  <c r="V209" i="1"/>
  <c r="V210" i="1"/>
  <c r="V211" i="1"/>
  <c r="V212" i="1"/>
  <c r="V213" i="1"/>
  <c r="V214" i="1"/>
  <c r="V215" i="1"/>
  <c r="V217" i="1"/>
  <c r="V218" i="1"/>
  <c r="V220" i="1"/>
  <c r="V224" i="1"/>
  <c r="V228" i="1"/>
  <c r="V230" i="1"/>
  <c r="V231" i="1"/>
  <c r="V233" i="1"/>
  <c r="V235" i="1"/>
  <c r="V236" i="1"/>
  <c r="V237" i="1"/>
  <c r="V238" i="1"/>
  <c r="V240" i="1"/>
  <c r="V242" i="1"/>
  <c r="V243" i="1"/>
  <c r="V245" i="1"/>
  <c r="V246" i="1"/>
  <c r="V249" i="1"/>
  <c r="V250" i="1"/>
  <c r="V251" i="1"/>
  <c r="V252" i="1"/>
  <c r="V253" i="1"/>
  <c r="V256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6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4" i="1"/>
  <c r="V336" i="1"/>
  <c r="V337" i="1"/>
  <c r="V338" i="1"/>
  <c r="V342" i="1"/>
  <c r="V344" i="1"/>
  <c r="V346" i="1"/>
  <c r="V348" i="1"/>
  <c r="V350" i="1"/>
  <c r="V352" i="1"/>
  <c r="V354" i="1"/>
  <c r="V356" i="1"/>
  <c r="V358" i="1"/>
  <c r="V360" i="1"/>
  <c r="V362" i="1"/>
  <c r="V364" i="1"/>
  <c r="V366" i="1"/>
  <c r="V369" i="1"/>
  <c r="V371" i="1"/>
  <c r="V373" i="1"/>
  <c r="V375" i="1"/>
  <c r="V379" i="1"/>
  <c r="V381" i="1"/>
  <c r="V383" i="1"/>
  <c r="V384" i="1"/>
  <c r="V387" i="1"/>
  <c r="V389" i="1"/>
  <c r="V392" i="1"/>
  <c r="V394" i="1"/>
  <c r="V396" i="1"/>
  <c r="V397" i="1"/>
  <c r="V398" i="1"/>
  <c r="V399" i="1"/>
  <c r="V400" i="1"/>
  <c r="V402" i="1"/>
  <c r="V403" i="1"/>
  <c r="V404" i="1"/>
  <c r="V405" i="1"/>
  <c r="V406" i="1"/>
  <c r="V407" i="1"/>
  <c r="V408" i="1"/>
  <c r="V409" i="1"/>
  <c r="V410" i="1"/>
  <c r="V413" i="1"/>
  <c r="V414" i="1"/>
  <c r="V416" i="1"/>
  <c r="V417" i="1"/>
  <c r="V418" i="1"/>
  <c r="V419" i="1"/>
  <c r="V420" i="1"/>
  <c r="V421" i="1"/>
  <c r="V423" i="1"/>
  <c r="V425" i="1"/>
  <c r="V426" i="1"/>
  <c r="V427" i="1"/>
  <c r="V428" i="1"/>
  <c r="V429" i="1"/>
  <c r="V430" i="1"/>
  <c r="V431" i="1"/>
  <c r="V432" i="1"/>
  <c r="V433" i="1"/>
  <c r="V436" i="1"/>
  <c r="V440" i="1"/>
  <c r="V441" i="1"/>
  <c r="V442" i="1"/>
  <c r="V443" i="1"/>
  <c r="V446" i="1"/>
  <c r="V447" i="1"/>
  <c r="V448" i="1"/>
  <c r="V452" i="1"/>
  <c r="V456" i="1"/>
  <c r="V458" i="1"/>
  <c r="V459" i="1"/>
  <c r="V460" i="1"/>
  <c r="V461" i="1"/>
  <c r="V462" i="1"/>
  <c r="V463" i="1"/>
  <c r="V464" i="1"/>
  <c r="V466" i="1"/>
  <c r="V467" i="1"/>
  <c r="V468" i="1"/>
  <c r="V476" i="1"/>
  <c r="V480" i="1"/>
  <c r="V482" i="1"/>
  <c r="V483" i="1"/>
  <c r="V484" i="1"/>
  <c r="V485" i="1"/>
  <c r="V486" i="1"/>
  <c r="V487" i="1"/>
  <c r="V488" i="1"/>
  <c r="V491" i="1"/>
  <c r="V492" i="1"/>
  <c r="V493" i="1"/>
  <c r="V494" i="1"/>
  <c r="V495" i="1"/>
  <c r="V496" i="1"/>
  <c r="V498" i="1"/>
  <c r="V500" i="1"/>
  <c r="V520" i="1"/>
  <c r="V4" i="1"/>
  <c r="V5" i="1"/>
  <c r="V6" i="1"/>
  <c r="V7" i="1"/>
  <c r="V8" i="1"/>
  <c r="V9" i="1"/>
  <c r="V10" i="1"/>
  <c r="V11" i="1"/>
  <c r="V12" i="1"/>
  <c r="V13" i="1"/>
  <c r="V14" i="1"/>
  <c r="V15" i="1"/>
  <c r="M414" i="1"/>
  <c r="S414" i="1"/>
  <c r="T414" i="1"/>
  <c r="M399" i="1"/>
  <c r="S399" i="1"/>
  <c r="T399" i="1"/>
  <c r="M337" i="1"/>
  <c r="S337" i="1"/>
  <c r="T337" i="1"/>
  <c r="M56" i="1" l="1"/>
  <c r="M58" i="1"/>
  <c r="M60" i="1"/>
  <c r="S56" i="1"/>
  <c r="S58" i="1"/>
  <c r="S60" i="1"/>
  <c r="T56" i="1"/>
  <c r="T58" i="1"/>
  <c r="T60" i="1"/>
  <c r="M62" i="1"/>
  <c r="M64" i="1"/>
  <c r="M66" i="1"/>
  <c r="S62" i="1"/>
  <c r="S64" i="1"/>
  <c r="S66" i="1"/>
  <c r="T62" i="1"/>
  <c r="T64" i="1"/>
  <c r="T66" i="1"/>
  <c r="M76" i="1"/>
  <c r="M78" i="1"/>
  <c r="S76" i="1"/>
  <c r="S78" i="1"/>
  <c r="T76" i="1"/>
  <c r="T78" i="1"/>
  <c r="M74" i="1"/>
  <c r="S74" i="1"/>
  <c r="T74" i="1"/>
  <c r="M80" i="1"/>
  <c r="S80" i="1"/>
  <c r="T80" i="1"/>
  <c r="T72" i="1"/>
  <c r="S72" i="1"/>
  <c r="M72" i="1"/>
  <c r="T203" i="1" l="1"/>
  <c r="S203" i="1"/>
  <c r="L203" i="1"/>
  <c r="F203" i="1"/>
  <c r="M203" i="1" s="1"/>
  <c r="T407" i="1"/>
  <c r="S407" i="1"/>
  <c r="L407" i="1"/>
  <c r="F407" i="1"/>
  <c r="M407" i="1" s="1"/>
  <c r="L42" i="1" l="1"/>
  <c r="F42" i="1"/>
  <c r="M42" i="1" s="1"/>
  <c r="N42" i="1"/>
  <c r="S42" i="1"/>
  <c r="T42" i="1"/>
  <c r="M428" i="1"/>
  <c r="M429" i="1"/>
  <c r="S428" i="1"/>
  <c r="S429" i="1"/>
  <c r="T428" i="1"/>
  <c r="T429" i="1"/>
  <c r="L426" i="1"/>
  <c r="M426" i="1"/>
  <c r="S426" i="1"/>
  <c r="T426" i="1"/>
  <c r="M427" i="1"/>
  <c r="S427" i="1"/>
  <c r="T427" i="1"/>
  <c r="P42" i="1" l="1"/>
  <c r="M19" i="2" l="1"/>
  <c r="J19" i="2"/>
  <c r="L19" i="2" s="1"/>
  <c r="M9" i="2"/>
  <c r="J9" i="2"/>
  <c r="L9" i="2" s="1"/>
  <c r="M27" i="2"/>
  <c r="J27" i="2"/>
  <c r="L27" i="2" s="1"/>
  <c r="M14" i="2"/>
  <c r="J14" i="2"/>
  <c r="L14" i="2" s="1"/>
  <c r="M30" i="2"/>
  <c r="J30" i="2"/>
  <c r="L30" i="2" s="1"/>
  <c r="M12" i="2"/>
  <c r="J12" i="2"/>
  <c r="L12" i="2" s="1"/>
  <c r="M36" i="2" l="1"/>
  <c r="J36" i="2"/>
  <c r="L36" i="2" s="1"/>
  <c r="J18" i="2" l="1"/>
  <c r="L18" i="2" s="1"/>
  <c r="M18" i="2"/>
  <c r="V16" i="1"/>
  <c r="L447" i="1" l="1"/>
  <c r="L446" i="1"/>
  <c r="L443" i="1"/>
  <c r="L442" i="1"/>
  <c r="L441" i="1"/>
  <c r="L440" i="1"/>
  <c r="F447" i="1" l="1"/>
  <c r="M447" i="1" s="1"/>
  <c r="F446" i="1"/>
  <c r="M446" i="1" s="1"/>
  <c r="F443" i="1"/>
  <c r="M443" i="1" s="1"/>
  <c r="F442" i="1"/>
  <c r="M442" i="1" s="1"/>
  <c r="F441" i="1"/>
  <c r="M441" i="1" s="1"/>
  <c r="F440" i="1"/>
  <c r="M440" i="1" s="1"/>
  <c r="S440" i="1"/>
  <c r="S441" i="1"/>
  <c r="S442" i="1"/>
  <c r="S443" i="1"/>
  <c r="S446" i="1"/>
  <c r="S447" i="1"/>
  <c r="T440" i="1"/>
  <c r="T441" i="1"/>
  <c r="T442" i="1"/>
  <c r="T443" i="1"/>
  <c r="T446" i="1"/>
  <c r="T447" i="1"/>
  <c r="L431" i="1"/>
  <c r="M431" i="1"/>
  <c r="M432" i="1"/>
  <c r="M433" i="1"/>
  <c r="S431" i="1"/>
  <c r="S432" i="1"/>
  <c r="S433" i="1"/>
  <c r="T431" i="1"/>
  <c r="T432" i="1"/>
  <c r="T433" i="1"/>
  <c r="M460" i="1"/>
  <c r="M461" i="1"/>
  <c r="M462" i="1"/>
  <c r="S460" i="1"/>
  <c r="S461" i="1"/>
  <c r="S462" i="1"/>
  <c r="T460" i="1"/>
  <c r="T461" i="1"/>
  <c r="T462" i="1"/>
  <c r="M487" i="1"/>
  <c r="M488" i="1"/>
  <c r="M491" i="1"/>
  <c r="S487" i="1"/>
  <c r="S488" i="1"/>
  <c r="S491" i="1"/>
  <c r="T487" i="1"/>
  <c r="T488" i="1"/>
  <c r="T491" i="1"/>
  <c r="M13" i="1"/>
  <c r="M14" i="1"/>
  <c r="S13" i="1"/>
  <c r="S14" i="1"/>
  <c r="T13" i="1"/>
  <c r="T14" i="1"/>
  <c r="M252" i="1"/>
  <c r="M253" i="1"/>
  <c r="N252" i="1"/>
  <c r="N253" i="1"/>
  <c r="S252" i="1"/>
  <c r="S253" i="1"/>
  <c r="T252" i="1"/>
  <c r="T253" i="1"/>
  <c r="M485" i="1"/>
  <c r="M486" i="1"/>
  <c r="S485" i="1"/>
  <c r="S486" i="1"/>
  <c r="T485" i="1"/>
  <c r="T486" i="1"/>
  <c r="M483" i="1"/>
  <c r="M484" i="1"/>
  <c r="S483" i="1"/>
  <c r="S484" i="1"/>
  <c r="T483" i="1"/>
  <c r="T484" i="1"/>
  <c r="M495" i="1"/>
  <c r="S495" i="1"/>
  <c r="T495" i="1"/>
  <c r="M494" i="1"/>
  <c r="S494" i="1"/>
  <c r="T494" i="1"/>
  <c r="M493" i="1"/>
  <c r="S493" i="1"/>
  <c r="T493" i="1"/>
  <c r="M448" i="1"/>
  <c r="M452" i="1"/>
  <c r="M456" i="1"/>
  <c r="M458" i="1"/>
  <c r="M459" i="1"/>
  <c r="M463" i="1"/>
  <c r="M464" i="1"/>
  <c r="M466" i="1"/>
  <c r="M467" i="1"/>
  <c r="M468" i="1"/>
  <c r="M476" i="1"/>
  <c r="M480" i="1"/>
  <c r="M482" i="1"/>
  <c r="M492" i="1"/>
  <c r="M496" i="1"/>
  <c r="M498" i="1"/>
  <c r="M500" i="1"/>
  <c r="M520" i="1"/>
  <c r="S448" i="1"/>
  <c r="S452" i="1"/>
  <c r="S456" i="1"/>
  <c r="S458" i="1"/>
  <c r="S459" i="1"/>
  <c r="S463" i="1"/>
  <c r="S464" i="1"/>
  <c r="S466" i="1"/>
  <c r="S467" i="1"/>
  <c r="S468" i="1"/>
  <c r="S476" i="1"/>
  <c r="S480" i="1"/>
  <c r="S482" i="1"/>
  <c r="S492" i="1"/>
  <c r="S496" i="1"/>
  <c r="S498" i="1"/>
  <c r="S500" i="1"/>
  <c r="S520" i="1"/>
  <c r="T448" i="1"/>
  <c r="T452" i="1"/>
  <c r="T456" i="1"/>
  <c r="T458" i="1"/>
  <c r="T459" i="1"/>
  <c r="T463" i="1"/>
  <c r="T464" i="1"/>
  <c r="T466" i="1"/>
  <c r="T467" i="1"/>
  <c r="T468" i="1"/>
  <c r="T476" i="1"/>
  <c r="T480" i="1"/>
  <c r="T482" i="1"/>
  <c r="T492" i="1"/>
  <c r="T496" i="1"/>
  <c r="T498" i="1"/>
  <c r="T500" i="1"/>
  <c r="T520" i="1"/>
  <c r="P252" i="1" l="1"/>
  <c r="P253" i="1"/>
  <c r="M71" i="1" l="1"/>
  <c r="S71" i="1"/>
  <c r="T71" i="1"/>
  <c r="L112" i="1"/>
  <c r="L68" i="1"/>
  <c r="M68" i="1"/>
  <c r="M70" i="1"/>
  <c r="S68" i="1"/>
  <c r="S70" i="1"/>
  <c r="T68" i="1"/>
  <c r="T70" i="1"/>
  <c r="L52" i="1"/>
  <c r="M52" i="1"/>
  <c r="M54" i="1"/>
  <c r="S52" i="1"/>
  <c r="S54" i="1"/>
  <c r="T52" i="1"/>
  <c r="T54" i="1"/>
  <c r="L82" i="1"/>
  <c r="M82" i="1"/>
  <c r="M84" i="1"/>
  <c r="S82" i="1"/>
  <c r="S84" i="1"/>
  <c r="T82" i="1"/>
  <c r="T84" i="1"/>
  <c r="M48" i="1"/>
  <c r="L48" i="1"/>
  <c r="M50" i="1"/>
  <c r="S48" i="1"/>
  <c r="S50" i="1"/>
  <c r="T48" i="1"/>
  <c r="T50" i="1"/>
  <c r="M112" i="1"/>
  <c r="S112" i="1"/>
  <c r="T112" i="1"/>
  <c r="M114" i="1"/>
  <c r="S114" i="1"/>
  <c r="T114" i="1"/>
  <c r="L94" i="1"/>
  <c r="M94" i="1"/>
  <c r="M96" i="1"/>
  <c r="S94" i="1"/>
  <c r="S96" i="1"/>
  <c r="T94" i="1"/>
  <c r="T96" i="1"/>
  <c r="T92" i="1"/>
  <c r="S92" i="1"/>
  <c r="M92" i="1"/>
  <c r="T90" i="1"/>
  <c r="S90" i="1"/>
  <c r="L90" i="1"/>
  <c r="F90" i="1"/>
  <c r="M90" i="1" s="1"/>
  <c r="T188" i="1" l="1"/>
  <c r="S188" i="1"/>
  <c r="L188" i="1"/>
  <c r="F188" i="1"/>
  <c r="M188" i="1" s="1"/>
  <c r="T410" i="1"/>
  <c r="S410" i="1"/>
  <c r="L410" i="1"/>
  <c r="F410" i="1"/>
  <c r="M410" i="1" s="1"/>
  <c r="T409" i="1"/>
  <c r="S409" i="1"/>
  <c r="L409" i="1"/>
  <c r="F409" i="1"/>
  <c r="M409" i="1" s="1"/>
  <c r="T406" i="1"/>
  <c r="S406" i="1"/>
  <c r="L406" i="1"/>
  <c r="F406" i="1"/>
  <c r="M406" i="1" s="1"/>
  <c r="T405" i="1"/>
  <c r="S405" i="1"/>
  <c r="L405" i="1"/>
  <c r="F405" i="1"/>
  <c r="M405" i="1" s="1"/>
  <c r="T408" i="1" l="1"/>
  <c r="S408" i="1"/>
  <c r="L408" i="1"/>
  <c r="F408" i="1"/>
  <c r="M408" i="1" s="1"/>
  <c r="T404" i="1"/>
  <c r="S404" i="1"/>
  <c r="L404" i="1"/>
  <c r="F404" i="1"/>
  <c r="M404" i="1" s="1"/>
  <c r="T403" i="1"/>
  <c r="S403" i="1"/>
  <c r="L403" i="1"/>
  <c r="F403" i="1"/>
  <c r="M403" i="1" s="1"/>
  <c r="T237" i="1" l="1"/>
  <c r="S237" i="1"/>
  <c r="N237" i="1"/>
  <c r="L237" i="1"/>
  <c r="F237" i="1"/>
  <c r="M237" i="1" s="1"/>
  <c r="T236" i="1"/>
  <c r="S236" i="1"/>
  <c r="N236" i="1"/>
  <c r="L236" i="1"/>
  <c r="F236" i="1"/>
  <c r="M236" i="1" s="1"/>
  <c r="P237" i="1" l="1"/>
  <c r="P236" i="1"/>
  <c r="F328" i="1" l="1"/>
  <c r="M328" i="1" s="1"/>
  <c r="L328" i="1"/>
  <c r="S328" i="1"/>
  <c r="T328" i="1"/>
  <c r="F329" i="1"/>
  <c r="M329" i="1" s="1"/>
  <c r="L329" i="1"/>
  <c r="S329" i="1"/>
  <c r="T329" i="1"/>
  <c r="F325" i="1"/>
  <c r="M325" i="1" s="1"/>
  <c r="L325" i="1"/>
  <c r="S325" i="1"/>
  <c r="T325" i="1"/>
  <c r="F326" i="1"/>
  <c r="M326" i="1" s="1"/>
  <c r="L326" i="1"/>
  <c r="S326" i="1"/>
  <c r="T326" i="1"/>
  <c r="F327" i="1"/>
  <c r="M327" i="1" s="1"/>
  <c r="L327" i="1"/>
  <c r="S327" i="1"/>
  <c r="T327" i="1"/>
  <c r="F46" i="1"/>
  <c r="M46" i="1" s="1"/>
  <c r="L46" i="1"/>
  <c r="N46" i="1"/>
  <c r="S46" i="1"/>
  <c r="T46" i="1"/>
  <c r="G23" i="9"/>
  <c r="G21" i="9"/>
  <c r="G19" i="9"/>
  <c r="K17" i="9"/>
  <c r="J17" i="9"/>
  <c r="G17" i="9"/>
  <c r="G16" i="9"/>
  <c r="G15" i="9"/>
  <c r="G14" i="9"/>
  <c r="K9" i="9"/>
  <c r="J9" i="9"/>
  <c r="G9" i="9"/>
  <c r="T397" i="1"/>
  <c r="S397" i="1"/>
  <c r="L397" i="1"/>
  <c r="F397" i="1"/>
  <c r="M397" i="1" s="1"/>
  <c r="F130" i="1"/>
  <c r="F118" i="1"/>
  <c r="M118" i="1" s="1"/>
  <c r="F110" i="1"/>
  <c r="M110" i="1" s="1"/>
  <c r="F100" i="1"/>
  <c r="M100" i="1" s="1"/>
  <c r="F98" i="1"/>
  <c r="M98" i="1" s="1"/>
  <c r="T118" i="1"/>
  <c r="S118" i="1"/>
  <c r="L118" i="1"/>
  <c r="T110" i="1"/>
  <c r="S110" i="1"/>
  <c r="L110" i="1"/>
  <c r="T100" i="1"/>
  <c r="S100" i="1"/>
  <c r="L100" i="1"/>
  <c r="T86" i="1"/>
  <c r="S86" i="1"/>
  <c r="L86" i="1"/>
  <c r="F86" i="1"/>
  <c r="M86" i="1" s="1"/>
  <c r="T129" i="1"/>
  <c r="S129" i="1"/>
  <c r="L129" i="1"/>
  <c r="F129" i="1"/>
  <c r="M129" i="1" s="1"/>
  <c r="T98" i="1"/>
  <c r="S98" i="1"/>
  <c r="L98" i="1"/>
  <c r="P46" i="1" l="1"/>
  <c r="G22" i="8" l="1"/>
  <c r="M4" i="2" l="1"/>
  <c r="M5" i="2"/>
  <c r="M6" i="2"/>
  <c r="M7" i="2"/>
  <c r="M8" i="2"/>
  <c r="M10" i="2"/>
  <c r="M11" i="2"/>
  <c r="M13" i="2"/>
  <c r="M15" i="2"/>
  <c r="M16" i="2"/>
  <c r="M22" i="2"/>
  <c r="M23" i="2"/>
  <c r="M29" i="2"/>
  <c r="M32" i="2"/>
  <c r="M33" i="2"/>
  <c r="M34" i="2"/>
  <c r="M35" i="2"/>
  <c r="M37" i="2"/>
  <c r="M39" i="2"/>
  <c r="J39" i="2"/>
  <c r="L39" i="2" s="1"/>
  <c r="J37" i="2" l="1"/>
  <c r="L37" i="2" s="1"/>
  <c r="J35" i="2"/>
  <c r="S4" i="1" l="1"/>
  <c r="S5" i="1"/>
  <c r="S6" i="1"/>
  <c r="S7" i="1"/>
  <c r="S8" i="1"/>
  <c r="S9" i="1"/>
  <c r="S10" i="1"/>
  <c r="S11" i="1"/>
  <c r="S12" i="1"/>
  <c r="S15" i="1"/>
  <c r="S16" i="1"/>
  <c r="S19" i="1"/>
  <c r="S20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3" i="1"/>
  <c r="S44" i="1"/>
  <c r="S45" i="1"/>
  <c r="S47" i="1"/>
  <c r="S51" i="1"/>
  <c r="S55" i="1"/>
  <c r="S61" i="1"/>
  <c r="S67" i="1"/>
  <c r="S75" i="1"/>
  <c r="S81" i="1"/>
  <c r="S85" i="1"/>
  <c r="S87" i="1"/>
  <c r="S88" i="1"/>
  <c r="S89" i="1"/>
  <c r="S93" i="1"/>
  <c r="S97" i="1"/>
  <c r="S99" i="1"/>
  <c r="S101" i="1"/>
  <c r="S102" i="1"/>
  <c r="S103" i="1"/>
  <c r="S104" i="1"/>
  <c r="S105" i="1"/>
  <c r="S106" i="1"/>
  <c r="S107" i="1"/>
  <c r="S108" i="1"/>
  <c r="S109" i="1"/>
  <c r="S111" i="1"/>
  <c r="S115" i="1"/>
  <c r="S116" i="1"/>
  <c r="S117" i="1"/>
  <c r="S119" i="1"/>
  <c r="S120" i="1"/>
  <c r="S121" i="1"/>
  <c r="S122" i="1"/>
  <c r="S123" i="1"/>
  <c r="S124" i="1"/>
  <c r="S125" i="1"/>
  <c r="S126" i="1"/>
  <c r="S127" i="1"/>
  <c r="S128" i="1"/>
  <c r="S130" i="1"/>
  <c r="S131" i="1"/>
  <c r="S133" i="1"/>
  <c r="S135" i="1"/>
  <c r="S136" i="1"/>
  <c r="S137" i="1"/>
  <c r="S139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8" i="1"/>
  <c r="S159" i="1"/>
  <c r="S162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5" i="1"/>
  <c r="S186" i="1"/>
  <c r="S187" i="1"/>
  <c r="S189" i="1"/>
  <c r="S190" i="1"/>
  <c r="S191" i="1"/>
  <c r="S192" i="1"/>
  <c r="S193" i="1"/>
  <c r="S194" i="1"/>
  <c r="S195" i="1"/>
  <c r="S197" i="1"/>
  <c r="S202" i="1"/>
  <c r="S208" i="1"/>
  <c r="S209" i="1"/>
  <c r="S210" i="1"/>
  <c r="S211" i="1"/>
  <c r="S212" i="1"/>
  <c r="S213" i="1"/>
  <c r="S214" i="1"/>
  <c r="S215" i="1"/>
  <c r="S217" i="1"/>
  <c r="S218" i="1"/>
  <c r="S220" i="1"/>
  <c r="S224" i="1"/>
  <c r="S228" i="1"/>
  <c r="S230" i="1"/>
  <c r="S231" i="1"/>
  <c r="S233" i="1"/>
  <c r="S235" i="1"/>
  <c r="S238" i="1"/>
  <c r="S240" i="1"/>
  <c r="S242" i="1"/>
  <c r="S243" i="1"/>
  <c r="S245" i="1"/>
  <c r="S246" i="1"/>
  <c r="S249" i="1"/>
  <c r="S250" i="1"/>
  <c r="S251" i="1"/>
  <c r="S256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6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34" i="1"/>
  <c r="S336" i="1"/>
  <c r="S338" i="1"/>
  <c r="S342" i="1"/>
  <c r="S344" i="1"/>
  <c r="S346" i="1"/>
  <c r="S348" i="1"/>
  <c r="S350" i="1"/>
  <c r="S352" i="1"/>
  <c r="S354" i="1"/>
  <c r="S356" i="1"/>
  <c r="S358" i="1"/>
  <c r="S360" i="1"/>
  <c r="S362" i="1"/>
  <c r="S364" i="1"/>
  <c r="S366" i="1"/>
  <c r="S369" i="1"/>
  <c r="S371" i="1"/>
  <c r="S373" i="1"/>
  <c r="S375" i="1"/>
  <c r="S379" i="1"/>
  <c r="S381" i="1"/>
  <c r="S383" i="1"/>
  <c r="S384" i="1"/>
  <c r="S387" i="1"/>
  <c r="S389" i="1"/>
  <c r="S392" i="1"/>
  <c r="S394" i="1"/>
  <c r="S396" i="1"/>
  <c r="S398" i="1"/>
  <c r="S400" i="1"/>
  <c r="S402" i="1"/>
  <c r="S413" i="1"/>
  <c r="S417" i="1"/>
  <c r="S418" i="1"/>
  <c r="S419" i="1"/>
  <c r="S420" i="1"/>
  <c r="S421" i="1"/>
  <c r="S423" i="1"/>
  <c r="S425" i="1"/>
  <c r="S430" i="1"/>
  <c r="S436" i="1"/>
  <c r="T4" i="1"/>
  <c r="T5" i="1"/>
  <c r="T6" i="1"/>
  <c r="T7" i="1"/>
  <c r="T8" i="1"/>
  <c r="T9" i="1"/>
  <c r="T10" i="1"/>
  <c r="T11" i="1"/>
  <c r="T12" i="1"/>
  <c r="T15" i="1"/>
  <c r="T16" i="1"/>
  <c r="T19" i="1"/>
  <c r="T20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3" i="1"/>
  <c r="T44" i="1"/>
  <c r="T45" i="1"/>
  <c r="T47" i="1"/>
  <c r="T51" i="1"/>
  <c r="T55" i="1"/>
  <c r="T61" i="1"/>
  <c r="T67" i="1"/>
  <c r="T75" i="1"/>
  <c r="T81" i="1"/>
  <c r="T85" i="1"/>
  <c r="T87" i="1"/>
  <c r="T88" i="1"/>
  <c r="T89" i="1"/>
  <c r="T93" i="1"/>
  <c r="T97" i="1"/>
  <c r="T99" i="1"/>
  <c r="T101" i="1"/>
  <c r="T102" i="1"/>
  <c r="T103" i="1"/>
  <c r="T104" i="1"/>
  <c r="T105" i="1"/>
  <c r="T106" i="1"/>
  <c r="T107" i="1"/>
  <c r="T108" i="1"/>
  <c r="T109" i="1"/>
  <c r="T111" i="1"/>
  <c r="T115" i="1"/>
  <c r="T116" i="1"/>
  <c r="T117" i="1"/>
  <c r="T119" i="1"/>
  <c r="T120" i="1"/>
  <c r="T121" i="1"/>
  <c r="T122" i="1"/>
  <c r="T123" i="1"/>
  <c r="T124" i="1"/>
  <c r="T125" i="1"/>
  <c r="T126" i="1"/>
  <c r="T127" i="1"/>
  <c r="T128" i="1"/>
  <c r="T130" i="1"/>
  <c r="T131" i="1"/>
  <c r="T133" i="1"/>
  <c r="T135" i="1"/>
  <c r="T136" i="1"/>
  <c r="T137" i="1"/>
  <c r="T139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8" i="1"/>
  <c r="T159" i="1"/>
  <c r="T162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5" i="1"/>
  <c r="T186" i="1"/>
  <c r="T187" i="1"/>
  <c r="T189" i="1"/>
  <c r="T190" i="1"/>
  <c r="T191" i="1"/>
  <c r="T192" i="1"/>
  <c r="T193" i="1"/>
  <c r="T194" i="1"/>
  <c r="T195" i="1"/>
  <c r="T197" i="1"/>
  <c r="T202" i="1"/>
  <c r="T208" i="1"/>
  <c r="T209" i="1"/>
  <c r="T210" i="1"/>
  <c r="T211" i="1"/>
  <c r="T212" i="1"/>
  <c r="T213" i="1"/>
  <c r="T214" i="1"/>
  <c r="T215" i="1"/>
  <c r="T217" i="1"/>
  <c r="T218" i="1"/>
  <c r="T220" i="1"/>
  <c r="T224" i="1"/>
  <c r="T228" i="1"/>
  <c r="T230" i="1"/>
  <c r="T231" i="1"/>
  <c r="T233" i="1"/>
  <c r="T235" i="1"/>
  <c r="T238" i="1"/>
  <c r="T240" i="1"/>
  <c r="T242" i="1"/>
  <c r="T243" i="1"/>
  <c r="T245" i="1"/>
  <c r="T246" i="1"/>
  <c r="T249" i="1"/>
  <c r="T250" i="1"/>
  <c r="T251" i="1"/>
  <c r="T256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6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34" i="1"/>
  <c r="T336" i="1"/>
  <c r="T338" i="1"/>
  <c r="T342" i="1"/>
  <c r="T344" i="1"/>
  <c r="T346" i="1"/>
  <c r="T348" i="1"/>
  <c r="T350" i="1"/>
  <c r="T352" i="1"/>
  <c r="T354" i="1"/>
  <c r="T356" i="1"/>
  <c r="T358" i="1"/>
  <c r="T360" i="1"/>
  <c r="T362" i="1"/>
  <c r="T364" i="1"/>
  <c r="T366" i="1"/>
  <c r="T369" i="1"/>
  <c r="T371" i="1"/>
  <c r="T373" i="1"/>
  <c r="T375" i="1"/>
  <c r="T379" i="1"/>
  <c r="T381" i="1"/>
  <c r="T383" i="1"/>
  <c r="T384" i="1"/>
  <c r="T387" i="1"/>
  <c r="T389" i="1"/>
  <c r="T392" i="1"/>
  <c r="T394" i="1"/>
  <c r="T396" i="1"/>
  <c r="T398" i="1"/>
  <c r="T400" i="1"/>
  <c r="T402" i="1"/>
  <c r="T413" i="1"/>
  <c r="T417" i="1"/>
  <c r="T418" i="1"/>
  <c r="T419" i="1"/>
  <c r="T420" i="1"/>
  <c r="T421" i="1"/>
  <c r="T423" i="1"/>
  <c r="T425" i="1"/>
  <c r="T430" i="1"/>
  <c r="T436" i="1"/>
  <c r="L320" i="1"/>
  <c r="F320" i="1"/>
  <c r="M320" i="1" s="1"/>
  <c r="L317" i="1"/>
  <c r="F317" i="1"/>
  <c r="M317" i="1" s="1"/>
  <c r="L314" i="1"/>
  <c r="F314" i="1"/>
  <c r="M314" i="1" s="1"/>
  <c r="L310" i="1"/>
  <c r="F310" i="1"/>
  <c r="M310" i="1" s="1"/>
  <c r="L319" i="1"/>
  <c r="F319" i="1"/>
  <c r="M319" i="1" s="1"/>
  <c r="L316" i="1"/>
  <c r="F316" i="1"/>
  <c r="M316" i="1" s="1"/>
  <c r="L313" i="1"/>
  <c r="F313" i="1"/>
  <c r="M313" i="1" s="1"/>
  <c r="L309" i="1"/>
  <c r="F309" i="1"/>
  <c r="M309" i="1" s="1"/>
  <c r="L15" i="1"/>
  <c r="F15" i="1"/>
  <c r="M15" i="1" s="1"/>
  <c r="L12" i="1"/>
  <c r="F12" i="1"/>
  <c r="M12" i="1" s="1"/>
  <c r="L11" i="1"/>
  <c r="F11" i="1"/>
  <c r="M11" i="1" s="1"/>
  <c r="T2" i="1" l="1"/>
  <c r="L197" i="1"/>
  <c r="F197" i="1"/>
  <c r="M197" i="1" s="1"/>
  <c r="L195" i="1"/>
  <c r="F195" i="1"/>
  <c r="M195" i="1" s="1"/>
  <c r="L194" i="1"/>
  <c r="F194" i="1"/>
  <c r="M194" i="1" s="1"/>
  <c r="N262" i="1"/>
  <c r="L262" i="1"/>
  <c r="F262" i="1"/>
  <c r="M262" i="1" s="1"/>
  <c r="D3" i="8"/>
  <c r="P262" i="1" l="1"/>
  <c r="F126" i="1" l="1"/>
  <c r="M126" i="1" s="1"/>
  <c r="F125" i="1"/>
  <c r="F124" i="1"/>
  <c r="M124" i="1" s="1"/>
  <c r="F123" i="1"/>
  <c r="F122" i="1"/>
  <c r="M122" i="1" s="1"/>
  <c r="F121" i="1"/>
  <c r="F120" i="1"/>
  <c r="M120" i="1" s="1"/>
  <c r="F119" i="1"/>
  <c r="L126" i="1"/>
  <c r="L124" i="1"/>
  <c r="L122" i="1"/>
  <c r="L120" i="1"/>
  <c r="L104" i="1"/>
  <c r="F104" i="1"/>
  <c r="M104" i="1" s="1"/>
  <c r="L102" i="1"/>
  <c r="F102" i="1"/>
  <c r="M102" i="1" s="1"/>
  <c r="L35" i="2"/>
  <c r="J34" i="2"/>
  <c r="L34" i="2" s="1"/>
  <c r="L436" i="1"/>
  <c r="L430" i="1"/>
  <c r="L425" i="1"/>
  <c r="L423" i="1"/>
  <c r="L421" i="1"/>
  <c r="L420" i="1"/>
  <c r="L419" i="1"/>
  <c r="L418" i="1"/>
  <c r="L417" i="1"/>
  <c r="F417" i="1" l="1"/>
  <c r="M417" i="1" s="1"/>
  <c r="F418" i="1"/>
  <c r="M418" i="1" s="1"/>
  <c r="F419" i="1"/>
  <c r="M419" i="1" s="1"/>
  <c r="F420" i="1"/>
  <c r="M420" i="1" s="1"/>
  <c r="F421" i="1"/>
  <c r="M421" i="1" s="1"/>
  <c r="F423" i="1"/>
  <c r="M423" i="1" s="1"/>
  <c r="F425" i="1"/>
  <c r="M425" i="1" s="1"/>
  <c r="F430" i="1"/>
  <c r="M430" i="1" s="1"/>
  <c r="F436" i="1"/>
  <c r="M436" i="1" s="1"/>
  <c r="F375" i="1"/>
  <c r="M375" i="1" s="1"/>
  <c r="L375" i="1"/>
  <c r="F379" i="1"/>
  <c r="M379" i="1" s="1"/>
  <c r="L379" i="1"/>
  <c r="F381" i="1"/>
  <c r="M381" i="1" s="1"/>
  <c r="L381" i="1"/>
  <c r="F383" i="1"/>
  <c r="M383" i="1" s="1"/>
  <c r="L383" i="1"/>
  <c r="F384" i="1"/>
  <c r="M384" i="1" s="1"/>
  <c r="L384" i="1"/>
  <c r="F387" i="1"/>
  <c r="M387" i="1" s="1"/>
  <c r="L387" i="1"/>
  <c r="F389" i="1"/>
  <c r="M389" i="1" s="1"/>
  <c r="L389" i="1"/>
  <c r="F392" i="1"/>
  <c r="M392" i="1" s="1"/>
  <c r="L392" i="1"/>
  <c r="F394" i="1"/>
  <c r="M394" i="1" s="1"/>
  <c r="L394" i="1"/>
  <c r="F396" i="1"/>
  <c r="M396" i="1" s="1"/>
  <c r="L396" i="1"/>
  <c r="F398" i="1"/>
  <c r="M398" i="1" s="1"/>
  <c r="L398" i="1"/>
  <c r="F400" i="1"/>
  <c r="M400" i="1" s="1"/>
  <c r="L400" i="1"/>
  <c r="F402" i="1"/>
  <c r="M402" i="1" s="1"/>
  <c r="L402" i="1"/>
  <c r="F413" i="1"/>
  <c r="M413" i="1" s="1"/>
  <c r="L413" i="1"/>
  <c r="F344" i="1"/>
  <c r="M344" i="1" s="1"/>
  <c r="L344" i="1"/>
  <c r="F346" i="1"/>
  <c r="M346" i="1" s="1"/>
  <c r="L346" i="1"/>
  <c r="F348" i="1"/>
  <c r="M348" i="1" s="1"/>
  <c r="L348" i="1"/>
  <c r="F350" i="1"/>
  <c r="M350" i="1" s="1"/>
  <c r="L350" i="1"/>
  <c r="F352" i="1"/>
  <c r="M352" i="1" s="1"/>
  <c r="L352" i="1"/>
  <c r="F354" i="1"/>
  <c r="M354" i="1" s="1"/>
  <c r="L354" i="1"/>
  <c r="F356" i="1"/>
  <c r="M356" i="1" s="1"/>
  <c r="L356" i="1"/>
  <c r="F358" i="1"/>
  <c r="M358" i="1" s="1"/>
  <c r="L358" i="1"/>
  <c r="F360" i="1"/>
  <c r="M360" i="1" s="1"/>
  <c r="L360" i="1"/>
  <c r="F362" i="1"/>
  <c r="M362" i="1" s="1"/>
  <c r="L362" i="1"/>
  <c r="F364" i="1"/>
  <c r="M364" i="1" s="1"/>
  <c r="L364" i="1"/>
  <c r="F366" i="1"/>
  <c r="M366" i="1" s="1"/>
  <c r="L366" i="1"/>
  <c r="F369" i="1"/>
  <c r="M369" i="1" s="1"/>
  <c r="L369" i="1"/>
  <c r="F371" i="1"/>
  <c r="M371" i="1" s="1"/>
  <c r="L371" i="1"/>
  <c r="F373" i="1"/>
  <c r="M373" i="1" s="1"/>
  <c r="L373" i="1"/>
  <c r="F338" i="1"/>
  <c r="M338" i="1" s="1"/>
  <c r="L338" i="1"/>
  <c r="F342" i="1"/>
  <c r="M342" i="1" s="1"/>
  <c r="L342" i="1"/>
  <c r="L336" i="1"/>
  <c r="F336" i="1"/>
  <c r="M336" i="1" s="1"/>
  <c r="L334" i="1"/>
  <c r="F334" i="1"/>
  <c r="M334" i="1" s="1"/>
  <c r="N251" i="1"/>
  <c r="L251" i="1"/>
  <c r="F251" i="1"/>
  <c r="M251" i="1" s="1"/>
  <c r="N250" i="1"/>
  <c r="L250" i="1"/>
  <c r="F250" i="1"/>
  <c r="M250" i="1" s="1"/>
  <c r="P251" i="1" l="1"/>
  <c r="P250" i="1"/>
  <c r="L213" i="1" l="1"/>
  <c r="F213" i="1"/>
  <c r="M213" i="1" s="1"/>
  <c r="L186" i="1"/>
  <c r="F186" i="1"/>
  <c r="M186" i="1" s="1"/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131" i="1"/>
  <c r="N133" i="1"/>
  <c r="N135" i="1"/>
  <c r="N136" i="1"/>
  <c r="N137" i="1"/>
  <c r="N139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8" i="1"/>
  <c r="N159" i="1"/>
  <c r="N162" i="1"/>
  <c r="N165" i="1"/>
  <c r="N166" i="1"/>
  <c r="N167" i="1"/>
  <c r="N168" i="1"/>
  <c r="N169" i="1"/>
  <c r="N170" i="1"/>
  <c r="N171" i="1"/>
  <c r="N214" i="1"/>
  <c r="N215" i="1"/>
  <c r="N217" i="1"/>
  <c r="N218" i="1"/>
  <c r="N220" i="1"/>
  <c r="N224" i="1"/>
  <c r="N228" i="1"/>
  <c r="N230" i="1"/>
  <c r="N231" i="1"/>
  <c r="N233" i="1"/>
  <c r="N235" i="1"/>
  <c r="N238" i="1"/>
  <c r="N240" i="1"/>
  <c r="N242" i="1"/>
  <c r="N243" i="1"/>
  <c r="N245" i="1"/>
  <c r="N246" i="1"/>
  <c r="N249" i="1"/>
  <c r="N256" i="1"/>
  <c r="N258" i="1"/>
  <c r="N259" i="1"/>
  <c r="N260" i="1"/>
  <c r="N261" i="1"/>
  <c r="N263" i="1"/>
  <c r="N264" i="1"/>
  <c r="N265" i="1"/>
  <c r="N266" i="1"/>
  <c r="L324" i="1" l="1"/>
  <c r="F324" i="1"/>
  <c r="M324" i="1" s="1"/>
  <c r="L212" i="1" l="1"/>
  <c r="F212" i="1"/>
  <c r="M212" i="1" s="1"/>
  <c r="L211" i="1"/>
  <c r="F211" i="1"/>
  <c r="M211" i="1" s="1"/>
  <c r="L150" i="1" l="1"/>
  <c r="F150" i="1"/>
  <c r="M150" i="1" s="1"/>
  <c r="L154" i="1"/>
  <c r="F154" i="1"/>
  <c r="M154" i="1" s="1"/>
  <c r="L149" i="1"/>
  <c r="F149" i="1"/>
  <c r="M149" i="1" s="1"/>
  <c r="P154" i="1" l="1"/>
  <c r="P150" i="1"/>
  <c r="P149" i="1"/>
  <c r="G17" i="8" l="1"/>
  <c r="G19" i="8" s="1"/>
  <c r="L155" i="1"/>
  <c r="F155" i="1"/>
  <c r="M155" i="1" s="1"/>
  <c r="L153" i="1"/>
  <c r="F153" i="1"/>
  <c r="M153" i="1" s="1"/>
  <c r="L148" i="1"/>
  <c r="F148" i="1"/>
  <c r="M148" i="1" s="1"/>
  <c r="P148" i="1" l="1"/>
  <c r="P155" i="1"/>
  <c r="P153" i="1"/>
  <c r="L136" i="1" l="1"/>
  <c r="F136" i="1"/>
  <c r="M136" i="1" s="1"/>
  <c r="P136" i="1" l="1"/>
  <c r="L10" i="1" l="1"/>
  <c r="F10" i="1"/>
  <c r="M10" i="1" s="1"/>
  <c r="L9" i="1"/>
  <c r="F9" i="1"/>
  <c r="M9" i="1" s="1"/>
  <c r="L7" i="1"/>
  <c r="F7" i="1"/>
  <c r="M7" i="1" s="1"/>
  <c r="L261" i="1" l="1"/>
  <c r="F261" i="1"/>
  <c r="M261" i="1" s="1"/>
  <c r="L260" i="1"/>
  <c r="F260" i="1"/>
  <c r="M260" i="1" s="1"/>
  <c r="L191" i="1"/>
  <c r="F191" i="1"/>
  <c r="M191" i="1" s="1"/>
  <c r="L190" i="1"/>
  <c r="F190" i="1"/>
  <c r="M190" i="1" s="1"/>
  <c r="L8" i="1"/>
  <c r="F8" i="1"/>
  <c r="M8" i="1" s="1"/>
  <c r="L6" i="1"/>
  <c r="F6" i="1"/>
  <c r="M6" i="1" s="1"/>
  <c r="L5" i="1"/>
  <c r="F5" i="1"/>
  <c r="M5" i="1" s="1"/>
  <c r="M22" i="1"/>
  <c r="L20" i="1"/>
  <c r="F20" i="1"/>
  <c r="M20" i="1" s="1"/>
  <c r="L45" i="1"/>
  <c r="F45" i="1"/>
  <c r="M45" i="1" s="1"/>
  <c r="L44" i="1"/>
  <c r="F44" i="1"/>
  <c r="M44" i="1" s="1"/>
  <c r="L210" i="1"/>
  <c r="F210" i="1"/>
  <c r="M210" i="1" s="1"/>
  <c r="L209" i="1"/>
  <c r="F209" i="1"/>
  <c r="M209" i="1" s="1"/>
  <c r="P44" i="1" l="1"/>
  <c r="P260" i="1"/>
  <c r="P45" i="1"/>
  <c r="P261" i="1"/>
  <c r="L306" i="1"/>
  <c r="F306" i="1"/>
  <c r="M306" i="1" s="1"/>
  <c r="L307" i="1"/>
  <c r="F307" i="1"/>
  <c r="M307" i="1" s="1"/>
  <c r="L305" i="1"/>
  <c r="F305" i="1"/>
  <c r="M305" i="1" s="1"/>
  <c r="L322" i="1" l="1"/>
  <c r="F322" i="1"/>
  <c r="M322" i="1" s="1"/>
  <c r="L323" i="1"/>
  <c r="F323" i="1"/>
  <c r="M323" i="1" s="1"/>
  <c r="L128" i="1" l="1"/>
  <c r="F128" i="1"/>
  <c r="M128" i="1" s="1"/>
  <c r="L116" i="1"/>
  <c r="F116" i="1"/>
  <c r="M116" i="1" s="1"/>
  <c r="L108" i="1"/>
  <c r="F108" i="1"/>
  <c r="M108" i="1" s="1"/>
  <c r="L106" i="1"/>
  <c r="F106" i="1"/>
  <c r="M106" i="1" s="1"/>
  <c r="L88" i="1"/>
  <c r="F88" i="1"/>
  <c r="M88" i="1" s="1"/>
  <c r="F145" i="1" l="1"/>
  <c r="M145" i="1" s="1"/>
  <c r="F146" i="1"/>
  <c r="M146" i="1" s="1"/>
  <c r="F147" i="1"/>
  <c r="M147" i="1" s="1"/>
  <c r="F151" i="1"/>
  <c r="M151" i="1" s="1"/>
  <c r="F152" i="1"/>
  <c r="M152" i="1" s="1"/>
  <c r="F158" i="1"/>
  <c r="M158" i="1" s="1"/>
  <c r="F159" i="1"/>
  <c r="M159" i="1" s="1"/>
  <c r="F162" i="1"/>
  <c r="M162" i="1" s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F174" i="1"/>
  <c r="M174" i="1" s="1"/>
  <c r="F175" i="1"/>
  <c r="M175" i="1" s="1"/>
  <c r="F176" i="1"/>
  <c r="M176" i="1" s="1"/>
  <c r="F177" i="1"/>
  <c r="M177" i="1" s="1"/>
  <c r="F178" i="1"/>
  <c r="M178" i="1" s="1"/>
  <c r="F179" i="1"/>
  <c r="M179" i="1" s="1"/>
  <c r="F185" i="1"/>
  <c r="M185" i="1" s="1"/>
  <c r="F187" i="1"/>
  <c r="M187" i="1" s="1"/>
  <c r="F189" i="1"/>
  <c r="M189" i="1" s="1"/>
  <c r="F192" i="1"/>
  <c r="M192" i="1" s="1"/>
  <c r="F193" i="1"/>
  <c r="M193" i="1" s="1"/>
  <c r="F202" i="1"/>
  <c r="M202" i="1" s="1"/>
  <c r="F208" i="1"/>
  <c r="M208" i="1" s="1"/>
  <c r="F214" i="1"/>
  <c r="M214" i="1" s="1"/>
  <c r="F215" i="1"/>
  <c r="M215" i="1" s="1"/>
  <c r="F217" i="1"/>
  <c r="M217" i="1" s="1"/>
  <c r="F218" i="1"/>
  <c r="M218" i="1" s="1"/>
  <c r="F220" i="1"/>
  <c r="M220" i="1" s="1"/>
  <c r="F224" i="1"/>
  <c r="M224" i="1" s="1"/>
  <c r="F228" i="1"/>
  <c r="M228" i="1" s="1"/>
  <c r="F230" i="1"/>
  <c r="M230" i="1" s="1"/>
  <c r="F231" i="1"/>
  <c r="M231" i="1" s="1"/>
  <c r="F233" i="1"/>
  <c r="M233" i="1" s="1"/>
  <c r="F235" i="1"/>
  <c r="M235" i="1" s="1"/>
  <c r="F238" i="1"/>
  <c r="M238" i="1" s="1"/>
  <c r="F240" i="1"/>
  <c r="M240" i="1" s="1"/>
  <c r="F242" i="1"/>
  <c r="M242" i="1" s="1"/>
  <c r="F243" i="1"/>
  <c r="M243" i="1" s="1"/>
  <c r="F245" i="1"/>
  <c r="M245" i="1" s="1"/>
  <c r="F246" i="1"/>
  <c r="M246" i="1" s="1"/>
  <c r="F249" i="1"/>
  <c r="M249" i="1" s="1"/>
  <c r="F256" i="1"/>
  <c r="M256" i="1" s="1"/>
  <c r="F258" i="1"/>
  <c r="M258" i="1" s="1"/>
  <c r="F259" i="1"/>
  <c r="M259" i="1" s="1"/>
  <c r="F263" i="1"/>
  <c r="M263" i="1" s="1"/>
  <c r="F264" i="1"/>
  <c r="M264" i="1" s="1"/>
  <c r="F265" i="1"/>
  <c r="M265" i="1" s="1"/>
  <c r="F266" i="1"/>
  <c r="M266" i="1" s="1"/>
  <c r="F267" i="1"/>
  <c r="M267" i="1" s="1"/>
  <c r="F268" i="1"/>
  <c r="M268" i="1" s="1"/>
  <c r="F269" i="1"/>
  <c r="M269" i="1" s="1"/>
  <c r="F270" i="1"/>
  <c r="M270" i="1" s="1"/>
  <c r="F271" i="1"/>
  <c r="M271" i="1" s="1"/>
  <c r="F272" i="1"/>
  <c r="M272" i="1" s="1"/>
  <c r="F273" i="1"/>
  <c r="M273" i="1" s="1"/>
  <c r="F274" i="1"/>
  <c r="M274" i="1" s="1"/>
  <c r="F275" i="1"/>
  <c r="M275" i="1" s="1"/>
  <c r="F276" i="1"/>
  <c r="M276" i="1" s="1"/>
  <c r="F277" i="1"/>
  <c r="M277" i="1" s="1"/>
  <c r="F278" i="1"/>
  <c r="M278" i="1" s="1"/>
  <c r="F279" i="1"/>
  <c r="M279" i="1" s="1"/>
  <c r="F280" i="1"/>
  <c r="M280" i="1" s="1"/>
  <c r="F281" i="1"/>
  <c r="M281" i="1" s="1"/>
  <c r="F282" i="1"/>
  <c r="M282" i="1" s="1"/>
  <c r="F283" i="1"/>
  <c r="M283" i="1" s="1"/>
  <c r="F284" i="1"/>
  <c r="M284" i="1" s="1"/>
  <c r="F286" i="1"/>
  <c r="M286" i="1" s="1"/>
  <c r="F288" i="1"/>
  <c r="M288" i="1" s="1"/>
  <c r="F289" i="1"/>
  <c r="M289" i="1" s="1"/>
  <c r="F290" i="1"/>
  <c r="M290" i="1" s="1"/>
  <c r="F291" i="1"/>
  <c r="M291" i="1" s="1"/>
  <c r="F292" i="1"/>
  <c r="M292" i="1" s="1"/>
  <c r="F293" i="1"/>
  <c r="M293" i="1" s="1"/>
  <c r="F294" i="1"/>
  <c r="M294" i="1" s="1"/>
  <c r="F295" i="1"/>
  <c r="M295" i="1" s="1"/>
  <c r="F296" i="1"/>
  <c r="M296" i="1" s="1"/>
  <c r="F297" i="1"/>
  <c r="M297" i="1" s="1"/>
  <c r="F298" i="1"/>
  <c r="M298" i="1" s="1"/>
  <c r="F299" i="1"/>
  <c r="M299" i="1" s="1"/>
  <c r="F300" i="1"/>
  <c r="M300" i="1" s="1"/>
  <c r="F301" i="1"/>
  <c r="M301" i="1" s="1"/>
  <c r="F302" i="1"/>
  <c r="M302" i="1" s="1"/>
  <c r="F47" i="1"/>
  <c r="M47" i="1" s="1"/>
  <c r="F51" i="1"/>
  <c r="M51" i="1" s="1"/>
  <c r="F55" i="1"/>
  <c r="M55" i="1" s="1"/>
  <c r="F61" i="1"/>
  <c r="M61" i="1" s="1"/>
  <c r="F67" i="1"/>
  <c r="M67" i="1" s="1"/>
  <c r="F75" i="1"/>
  <c r="M75" i="1" s="1"/>
  <c r="F81" i="1"/>
  <c r="M81" i="1" s="1"/>
  <c r="F85" i="1"/>
  <c r="M85" i="1" s="1"/>
  <c r="F87" i="1"/>
  <c r="M87" i="1" s="1"/>
  <c r="F89" i="1"/>
  <c r="M89" i="1" s="1"/>
  <c r="F93" i="1"/>
  <c r="M93" i="1" s="1"/>
  <c r="F97" i="1"/>
  <c r="M97" i="1" s="1"/>
  <c r="F99" i="1"/>
  <c r="M99" i="1" s="1"/>
  <c r="F101" i="1"/>
  <c r="M101" i="1" s="1"/>
  <c r="F103" i="1"/>
  <c r="M103" i="1" s="1"/>
  <c r="F105" i="1"/>
  <c r="M105" i="1" s="1"/>
  <c r="F107" i="1"/>
  <c r="M107" i="1" s="1"/>
  <c r="F109" i="1"/>
  <c r="M109" i="1" s="1"/>
  <c r="F111" i="1"/>
  <c r="M111" i="1" s="1"/>
  <c r="F115" i="1"/>
  <c r="M115" i="1" s="1"/>
  <c r="F117" i="1"/>
  <c r="M117" i="1" s="1"/>
  <c r="M119" i="1"/>
  <c r="M121" i="1"/>
  <c r="M123" i="1"/>
  <c r="M125" i="1"/>
  <c r="F127" i="1"/>
  <c r="M127" i="1" s="1"/>
  <c r="M130" i="1"/>
  <c r="F308" i="1"/>
  <c r="M308" i="1" s="1"/>
  <c r="F312" i="1"/>
  <c r="M312" i="1" s="1"/>
  <c r="F315" i="1"/>
  <c r="M315" i="1" s="1"/>
  <c r="F318" i="1"/>
  <c r="M318" i="1" s="1"/>
  <c r="F321" i="1"/>
  <c r="M321" i="1" s="1"/>
  <c r="F303" i="1"/>
  <c r="M303" i="1" s="1"/>
  <c r="F304" i="1"/>
  <c r="M304" i="1" s="1"/>
  <c r="F4" i="1"/>
  <c r="M4" i="1" s="1"/>
  <c r="F16" i="1"/>
  <c r="M16" i="1" s="1"/>
  <c r="F19" i="1"/>
  <c r="M19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3" i="1"/>
  <c r="M43" i="1" s="1"/>
  <c r="F131" i="1"/>
  <c r="M131" i="1" s="1"/>
  <c r="F133" i="1"/>
  <c r="M133" i="1" s="1"/>
  <c r="F135" i="1"/>
  <c r="M135" i="1" s="1"/>
  <c r="F137" i="1"/>
  <c r="M137" i="1" s="1"/>
  <c r="F139" i="1"/>
  <c r="M139" i="1" s="1"/>
  <c r="F141" i="1"/>
  <c r="M141" i="1" s="1"/>
  <c r="F142" i="1"/>
  <c r="M142" i="1" s="1"/>
  <c r="F143" i="1"/>
  <c r="M143" i="1" s="1"/>
  <c r="F144" i="1"/>
  <c r="M144" i="1" s="1"/>
  <c r="L167" i="1"/>
  <c r="L166" i="1"/>
  <c r="P158" i="1" l="1"/>
  <c r="P228" i="1"/>
  <c r="P263" i="1"/>
  <c r="P242" i="1"/>
  <c r="P224" i="1"/>
  <c r="P168" i="1"/>
  <c r="P151" i="1"/>
  <c r="P36" i="1"/>
  <c r="P131" i="1"/>
  <c r="P35" i="1"/>
  <c r="P27" i="1"/>
  <c r="P259" i="1"/>
  <c r="P240" i="1"/>
  <c r="P220" i="1"/>
  <c r="P167" i="1"/>
  <c r="P147" i="1"/>
  <c r="P30" i="1"/>
  <c r="P245" i="1"/>
  <c r="P169" i="1"/>
  <c r="P133" i="1"/>
  <c r="P43" i="1"/>
  <c r="P26" i="1"/>
  <c r="P258" i="1"/>
  <c r="P238" i="1"/>
  <c r="P218" i="1"/>
  <c r="P166" i="1"/>
  <c r="P146" i="1"/>
  <c r="P38" i="1"/>
  <c r="P230" i="1"/>
  <c r="P37" i="1"/>
  <c r="P243" i="1"/>
  <c r="P143" i="1"/>
  <c r="P41" i="1"/>
  <c r="P33" i="1"/>
  <c r="P25" i="1"/>
  <c r="P256" i="1"/>
  <c r="P235" i="1"/>
  <c r="P217" i="1"/>
  <c r="P165" i="1"/>
  <c r="P145" i="1"/>
  <c r="P137" i="1"/>
  <c r="P265" i="1"/>
  <c r="P170" i="1"/>
  <c r="P29" i="1"/>
  <c r="P152" i="1"/>
  <c r="P144" i="1"/>
  <c r="P142" i="1"/>
  <c r="P141" i="1"/>
  <c r="P40" i="1"/>
  <c r="P32" i="1"/>
  <c r="P24" i="1"/>
  <c r="P249" i="1"/>
  <c r="P233" i="1"/>
  <c r="P215" i="1"/>
  <c r="P162" i="1"/>
  <c r="P135" i="1"/>
  <c r="P264" i="1"/>
  <c r="P28" i="1"/>
  <c r="P34" i="1"/>
  <c r="P139" i="1"/>
  <c r="P39" i="1"/>
  <c r="P31" i="1"/>
  <c r="P23" i="1"/>
  <c r="P266" i="1"/>
  <c r="P246" i="1"/>
  <c r="P231" i="1"/>
  <c r="P214" i="1"/>
  <c r="P171" i="1"/>
  <c r="P159" i="1"/>
  <c r="J32" i="2"/>
  <c r="L32" i="2" s="1"/>
  <c r="J33" i="2"/>
  <c r="L33" i="2" s="1"/>
  <c r="I2" i="2"/>
  <c r="J23" i="2"/>
  <c r="L23" i="2" s="1"/>
  <c r="J8" i="2"/>
  <c r="L8" i="2" s="1"/>
  <c r="J16" i="2"/>
  <c r="L16" i="2" s="1"/>
  <c r="J15" i="2"/>
  <c r="L15" i="2" s="1"/>
  <c r="L308" i="1"/>
  <c r="L312" i="1"/>
  <c r="L315" i="1"/>
  <c r="L318" i="1"/>
  <c r="L321" i="1"/>
  <c r="L303" i="1"/>
  <c r="L304" i="1"/>
  <c r="L130" i="1"/>
  <c r="L127" i="1"/>
  <c r="L125" i="1"/>
  <c r="L123" i="1"/>
  <c r="L121" i="1"/>
  <c r="L119" i="1"/>
  <c r="L117" i="1"/>
  <c r="L115" i="1"/>
  <c r="L111" i="1"/>
  <c r="L109" i="1"/>
  <c r="L107" i="1"/>
  <c r="L105" i="1"/>
  <c r="L103" i="1"/>
  <c r="L101" i="1"/>
  <c r="L99" i="1"/>
  <c r="L97" i="1"/>
  <c r="L93" i="1"/>
  <c r="L89" i="1"/>
  <c r="L87" i="1"/>
  <c r="L85" i="1"/>
  <c r="L81" i="1"/>
  <c r="L75" i="1"/>
  <c r="L67" i="1"/>
  <c r="L61" i="1"/>
  <c r="L55" i="1"/>
  <c r="L51" i="1"/>
  <c r="L47" i="1"/>
  <c r="L165" i="1" l="1"/>
  <c r="L19" i="1" l="1"/>
  <c r="L187" i="1" l="1"/>
  <c r="L168" i="1" l="1"/>
  <c r="L238" i="1" l="1"/>
  <c r="L235" i="1"/>
  <c r="J7" i="2" l="1"/>
  <c r="L7" i="2" s="1"/>
  <c r="L43" i="1" l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189" i="1" l="1"/>
  <c r="L259" i="1" l="1"/>
  <c r="L4" i="1" l="1"/>
  <c r="L214" i="1" l="1"/>
  <c r="L193" i="1" l="1"/>
  <c r="L162" i="1" l="1"/>
  <c r="J29" i="2" l="1"/>
  <c r="L29" i="2" s="1"/>
  <c r="J22" i="2"/>
  <c r="L22" i="2" s="1"/>
  <c r="J6" i="2" l="1"/>
  <c r="L6" i="2" s="1"/>
  <c r="L258" i="1" l="1"/>
  <c r="L16" i="1" l="1"/>
  <c r="L208" i="1"/>
  <c r="L174" i="1"/>
  <c r="L173" i="1"/>
  <c r="L171" i="1" l="1"/>
  <c r="L170" i="1"/>
  <c r="L169" i="1"/>
  <c r="L144" i="1"/>
  <c r="L143" i="1"/>
  <c r="L142" i="1"/>
  <c r="L141" i="1"/>
  <c r="L139" i="1"/>
  <c r="L137" i="1"/>
  <c r="L135" i="1"/>
  <c r="L133" i="1"/>
  <c r="L159" i="1"/>
  <c r="L158" i="1"/>
  <c r="L152" i="1"/>
  <c r="L151" i="1"/>
  <c r="L147" i="1"/>
  <c r="L146" i="1"/>
  <c r="L145" i="1"/>
  <c r="L256" i="1"/>
  <c r="L249" i="1"/>
  <c r="L246" i="1"/>
  <c r="L245" i="1"/>
  <c r="L243" i="1"/>
  <c r="L242" i="1"/>
  <c r="L240" i="1"/>
  <c r="L233" i="1"/>
  <c r="L231" i="1"/>
  <c r="L230" i="1"/>
  <c r="L228" i="1"/>
  <c r="L224" i="1"/>
  <c r="L220" i="1"/>
  <c r="L218" i="1"/>
  <c r="L217" i="1"/>
  <c r="L215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6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6" i="1"/>
  <c r="L265" i="1"/>
  <c r="L264" i="1"/>
  <c r="J5" i="2" l="1"/>
  <c r="L5" i="2" s="1"/>
  <c r="J11" i="2"/>
  <c r="L11" i="2" s="1"/>
  <c r="L192" i="1" l="1"/>
  <c r="L263" i="1" l="1"/>
  <c r="L267" i="1"/>
  <c r="L131" i="1"/>
  <c r="L172" i="1"/>
  <c r="L175" i="1"/>
  <c r="L176" i="1"/>
  <c r="L177" i="1"/>
  <c r="L178" i="1"/>
  <c r="L179" i="1"/>
  <c r="L185" i="1"/>
  <c r="L202" i="1"/>
  <c r="G3" i="3" l="1"/>
  <c r="I2" i="1"/>
  <c r="I1" i="1"/>
  <c r="D3" i="3" l="1"/>
  <c r="J4" i="2"/>
  <c r="L4" i="2" s="1"/>
  <c r="J10" i="2"/>
  <c r="L10" i="2" s="1"/>
  <c r="J13" i="2"/>
  <c r="L13" i="2" s="1"/>
  <c r="L2" i="2" l="1"/>
  <c r="J2" i="2"/>
  <c r="C14" i="3" l="1"/>
  <c r="C18" i="3"/>
  <c r="C16" i="3"/>
  <c r="C17" i="3"/>
  <c r="C15" i="3"/>
  <c r="D4" i="3" l="1"/>
  <c r="H4" i="3" s="1"/>
  <c r="D5" i="3" l="1"/>
  <c r="G5" i="3" s="1"/>
  <c r="D6" i="3"/>
  <c r="G4" i="3"/>
  <c r="D9" i="3" l="1"/>
  <c r="D8" i="3"/>
  <c r="D7" i="3"/>
  <c r="H7" i="3" s="1"/>
  <c r="D10" i="3"/>
  <c r="G6" i="3"/>
  <c r="H5" i="3"/>
  <c r="H6" i="3"/>
  <c r="G10" i="3" l="1"/>
  <c r="G8" i="3"/>
  <c r="H8" i="3"/>
  <c r="H9" i="3"/>
  <c r="G9" i="3"/>
  <c r="G7" i="3"/>
  <c r="H10" i="3"/>
  <c r="D11" i="3" l="1"/>
  <c r="H11" i="3" l="1"/>
  <c r="G11" i="3"/>
  <c r="N391" i="1" l="1"/>
  <c r="P391" i="1" s="1"/>
  <c r="N385" i="1"/>
  <c r="P385" i="1" s="1"/>
  <c r="N372" i="1"/>
  <c r="P372" i="1" s="1"/>
  <c r="N390" i="1"/>
  <c r="P390" i="1" s="1"/>
  <c r="N399" i="1"/>
  <c r="P399" i="1" s="1"/>
  <c r="N414" i="1"/>
  <c r="P414" i="1" s="1"/>
  <c r="N337" i="1"/>
  <c r="P337" i="1" s="1"/>
  <c r="N407" i="1"/>
  <c r="P407" i="1" s="1"/>
  <c r="N406" i="1"/>
  <c r="P406" i="1" s="1"/>
  <c r="N387" i="1"/>
  <c r="P387" i="1" s="1"/>
  <c r="N364" i="1"/>
  <c r="P364" i="1" s="1"/>
  <c r="N344" i="1"/>
  <c r="P344" i="1" s="1"/>
  <c r="N366" i="1"/>
  <c r="P366" i="1" s="1"/>
  <c r="N346" i="1"/>
  <c r="P346" i="1" s="1"/>
  <c r="N358" i="1"/>
  <c r="P358" i="1" s="1"/>
  <c r="N342" i="1"/>
  <c r="P342" i="1" s="1"/>
  <c r="N334" i="1"/>
  <c r="P334" i="1" s="1"/>
  <c r="N338" i="1"/>
  <c r="P338" i="1" s="1"/>
  <c r="N373" i="1"/>
  <c r="P373" i="1" s="1"/>
  <c r="N398" i="1"/>
  <c r="P398" i="1" s="1"/>
  <c r="N397" i="1"/>
  <c r="P397" i="1" s="1"/>
  <c r="N350" i="1"/>
  <c r="P350" i="1" s="1"/>
  <c r="N409" i="1"/>
  <c r="P409" i="1" s="1"/>
  <c r="N413" i="1"/>
  <c r="P413" i="1" s="1"/>
  <c r="N383" i="1"/>
  <c r="P383" i="1" s="1"/>
  <c r="N360" i="1"/>
  <c r="P360" i="1" s="1"/>
  <c r="N381" i="1"/>
  <c r="P381" i="1" s="1"/>
  <c r="N362" i="1"/>
  <c r="P362" i="1" s="1"/>
  <c r="N405" i="1"/>
  <c r="P405" i="1" s="1"/>
  <c r="N400" i="1"/>
  <c r="P400" i="1" s="1"/>
  <c r="N384" i="1"/>
  <c r="P384" i="1" s="1"/>
  <c r="N410" i="1"/>
  <c r="P410" i="1" s="1"/>
  <c r="N354" i="1"/>
  <c r="P354" i="1" s="1"/>
  <c r="N402" i="1"/>
  <c r="P402" i="1" s="1"/>
  <c r="N375" i="1"/>
  <c r="P375" i="1" s="1"/>
  <c r="N389" i="1"/>
  <c r="P389" i="1" s="1"/>
  <c r="N408" i="1"/>
  <c r="P408" i="1" s="1"/>
  <c r="N348" i="1"/>
  <c r="P348" i="1" s="1"/>
  <c r="N371" i="1"/>
  <c r="P371" i="1" s="1"/>
  <c r="N369" i="1"/>
  <c r="P369" i="1" s="1"/>
  <c r="N356" i="1"/>
  <c r="P356" i="1" s="1"/>
  <c r="N403" i="1"/>
  <c r="P403" i="1" s="1"/>
  <c r="N336" i="1"/>
  <c r="P336" i="1" s="1"/>
  <c r="N379" i="1"/>
  <c r="P379" i="1" s="1"/>
  <c r="N352" i="1"/>
  <c r="P352" i="1" s="1"/>
  <c r="N404" i="1"/>
  <c r="P404" i="1" s="1"/>
  <c r="N396" i="1"/>
  <c r="P396" i="1" s="1"/>
  <c r="N394" i="1"/>
  <c r="P394" i="1" s="1"/>
  <c r="N392" i="1"/>
  <c r="P392" i="1" s="1"/>
  <c r="D12" i="3" l="1"/>
  <c r="H12" i="3" l="1"/>
  <c r="G12" i="3"/>
  <c r="D13" i="3" l="1"/>
  <c r="H13" i="3" l="1"/>
  <c r="G13" i="3"/>
  <c r="O566" i="1" l="1"/>
  <c r="Q566" i="1" s="1"/>
  <c r="O547" i="1"/>
  <c r="Q547" i="1" s="1"/>
  <c r="O555" i="1"/>
  <c r="Q555" i="1" s="1"/>
  <c r="O551" i="1"/>
  <c r="Q551" i="1" s="1"/>
  <c r="O580" i="1"/>
  <c r="Q580" i="1" s="1"/>
  <c r="O567" i="1"/>
  <c r="Q567" i="1" s="1"/>
  <c r="O577" i="1"/>
  <c r="Q577" i="1" s="1"/>
  <c r="O564" i="1"/>
  <c r="Q564" i="1" s="1"/>
  <c r="O584" i="1"/>
  <c r="Q584" i="1" s="1"/>
  <c r="O588" i="1"/>
  <c r="Q588" i="1" s="1"/>
  <c r="O553" i="1"/>
  <c r="Q553" i="1" s="1"/>
  <c r="O556" i="1"/>
  <c r="Q556" i="1" s="1"/>
  <c r="O585" i="1"/>
  <c r="Q585" i="1" s="1"/>
  <c r="O568" i="1"/>
  <c r="Q568" i="1" s="1"/>
  <c r="O569" i="1"/>
  <c r="Q569" i="1" s="1"/>
  <c r="O575" i="1"/>
  <c r="Q575" i="1" s="1"/>
  <c r="O562" i="1"/>
  <c r="Q562" i="1" s="1"/>
  <c r="O563" i="1"/>
  <c r="Q563" i="1" s="1"/>
  <c r="O561" i="1"/>
  <c r="Q561" i="1" s="1"/>
  <c r="O587" i="1"/>
  <c r="Q587" i="1" s="1"/>
  <c r="O554" i="1"/>
  <c r="Q554" i="1" s="1"/>
  <c r="O552" i="1"/>
  <c r="Q552" i="1" s="1"/>
  <c r="O583" i="1"/>
  <c r="Q583" i="1" s="1"/>
  <c r="O557" i="1"/>
  <c r="Q557" i="1" s="1"/>
  <c r="O582" i="1"/>
  <c r="Q582" i="1" s="1"/>
  <c r="O570" i="1"/>
  <c r="Q570" i="1" s="1"/>
  <c r="O559" i="1"/>
  <c r="Q559" i="1" s="1"/>
  <c r="O572" i="1"/>
  <c r="Q572" i="1" s="1"/>
  <c r="O578" i="1"/>
  <c r="Q578" i="1" s="1"/>
  <c r="O571" i="1"/>
  <c r="Q571" i="1" s="1"/>
  <c r="O574" i="1"/>
  <c r="Q574" i="1" s="1"/>
  <c r="O565" i="1"/>
  <c r="Q565" i="1" s="1"/>
  <c r="O560" i="1"/>
  <c r="Q560" i="1" s="1"/>
  <c r="O579" i="1"/>
  <c r="Q579" i="1" s="1"/>
  <c r="O558" i="1"/>
  <c r="Q558" i="1" s="1"/>
  <c r="O586" i="1"/>
  <c r="Q586" i="1" s="1"/>
  <c r="O576" i="1"/>
  <c r="Q576" i="1" s="1"/>
  <c r="O573" i="1"/>
  <c r="Q573" i="1" s="1"/>
  <c r="O581" i="1"/>
  <c r="Q581" i="1" s="1"/>
  <c r="O549" i="1"/>
  <c r="Q549" i="1" s="1"/>
  <c r="O548" i="1"/>
  <c r="Q548" i="1" s="1"/>
  <c r="N588" i="1" l="1"/>
  <c r="P588" i="1" s="1"/>
  <c r="N587" i="1"/>
  <c r="P587" i="1" s="1"/>
  <c r="N575" i="1"/>
  <c r="P575" i="1" s="1"/>
  <c r="N581" i="1"/>
  <c r="P581" i="1" s="1"/>
  <c r="N586" i="1"/>
  <c r="P586" i="1" s="1"/>
  <c r="N580" i="1"/>
  <c r="P580" i="1" s="1"/>
  <c r="N572" i="1"/>
  <c r="P572" i="1" s="1"/>
  <c r="N553" i="1"/>
  <c r="P553" i="1" s="1"/>
  <c r="N564" i="1"/>
  <c r="P564" i="1" s="1"/>
  <c r="N562" i="1"/>
  <c r="P562" i="1" s="1"/>
  <c r="N579" i="1"/>
  <c r="P579" i="1" s="1"/>
  <c r="N548" i="1"/>
  <c r="P548" i="1" s="1"/>
  <c r="N583" i="1"/>
  <c r="P583" i="1" s="1"/>
  <c r="N560" i="1"/>
  <c r="P560" i="1" s="1"/>
  <c r="N556" i="1"/>
  <c r="P556" i="1" s="1"/>
  <c r="N570" i="1"/>
  <c r="P570" i="1" s="1"/>
  <c r="N585" i="1"/>
  <c r="P585" i="1" s="1"/>
  <c r="N563" i="1"/>
  <c r="P563" i="1" s="1"/>
  <c r="N568" i="1"/>
  <c r="P568" i="1" s="1"/>
  <c r="N578" i="1"/>
  <c r="P578" i="1" s="1"/>
  <c r="N561" i="1"/>
  <c r="P561" i="1" s="1"/>
  <c r="N552" i="1"/>
  <c r="P552" i="1" s="1"/>
  <c r="N558" i="1"/>
  <c r="P558" i="1" s="1"/>
  <c r="N559" i="1"/>
  <c r="P559" i="1" s="1"/>
  <c r="N584" i="1"/>
  <c r="P584" i="1" s="1"/>
  <c r="N567" i="1"/>
  <c r="P567" i="1" s="1"/>
  <c r="N577" i="1"/>
  <c r="P577" i="1" s="1"/>
  <c r="N555" i="1"/>
  <c r="P555" i="1" s="1"/>
  <c r="N576" i="1"/>
  <c r="P576" i="1" s="1"/>
  <c r="N569" i="1"/>
  <c r="P569" i="1" s="1"/>
  <c r="N574" i="1"/>
  <c r="P574" i="1" s="1"/>
  <c r="N571" i="1"/>
  <c r="P571" i="1" s="1"/>
  <c r="N549" i="1"/>
  <c r="P549" i="1" s="1"/>
  <c r="N573" i="1"/>
  <c r="P573" i="1" s="1"/>
  <c r="N557" i="1"/>
  <c r="P557" i="1" s="1"/>
  <c r="N582" i="1"/>
  <c r="P582" i="1" s="1"/>
  <c r="N547" i="1"/>
  <c r="P547" i="1" s="1"/>
  <c r="N554" i="1"/>
  <c r="P554" i="1" s="1"/>
  <c r="N566" i="1"/>
  <c r="P566" i="1" s="1"/>
  <c r="N565" i="1"/>
  <c r="P565" i="1" s="1"/>
  <c r="N551" i="1"/>
  <c r="P551" i="1" s="1"/>
  <c r="O445" i="1" l="1"/>
  <c r="Q445" i="1" s="1"/>
  <c r="O444" i="1"/>
  <c r="Q444" i="1" s="1"/>
  <c r="O443" i="1"/>
  <c r="Q443" i="1" s="1"/>
  <c r="O447" i="1"/>
  <c r="Q447" i="1" s="1"/>
  <c r="O446" i="1"/>
  <c r="Q446" i="1" s="1"/>
  <c r="O442" i="1" l="1"/>
  <c r="Q442" i="1" s="1"/>
  <c r="O440" i="1"/>
  <c r="Q440" i="1" s="1"/>
  <c r="O441" i="1"/>
  <c r="Q441" i="1" s="1"/>
  <c r="N441" i="1" l="1"/>
  <c r="P441" i="1" s="1"/>
  <c r="N440" i="1"/>
  <c r="P440" i="1" s="1"/>
  <c r="N442" i="1"/>
  <c r="P442" i="1" s="1"/>
  <c r="O399" i="1" l="1"/>
  <c r="Q399" i="1" s="1"/>
  <c r="O390" i="1"/>
  <c r="Q390" i="1" s="1"/>
  <c r="O361" i="1"/>
  <c r="Q361" i="1" s="1"/>
  <c r="O389" i="1"/>
  <c r="Q389" i="1" s="1"/>
  <c r="O379" i="1"/>
  <c r="Q379" i="1" s="1"/>
  <c r="O382" i="1"/>
  <c r="Q382" i="1" s="1"/>
  <c r="O398" i="1"/>
  <c r="Q398" i="1" s="1"/>
  <c r="O403" i="1"/>
  <c r="Q403" i="1" s="1"/>
  <c r="O351" i="1"/>
  <c r="Q351" i="1" s="1"/>
  <c r="O370" i="1"/>
  <c r="Q370" i="1" s="1"/>
  <c r="O338" i="1"/>
  <c r="Q338" i="1" s="1"/>
  <c r="O396" i="1"/>
  <c r="Q396" i="1" s="1"/>
  <c r="O334" i="1"/>
  <c r="Q334" i="1" s="1"/>
  <c r="O346" i="1"/>
  <c r="Q346" i="1" s="1"/>
  <c r="O406" i="1"/>
  <c r="Q406" i="1" s="1"/>
  <c r="O368" i="1"/>
  <c r="Q368" i="1" s="1"/>
  <c r="O407" i="1"/>
  <c r="Q407" i="1" s="1"/>
  <c r="O358" i="1"/>
  <c r="Q358" i="1" s="1"/>
  <c r="O342" i="1"/>
  <c r="Q342" i="1" s="1"/>
  <c r="O367" i="1"/>
  <c r="Q367" i="1" s="1"/>
  <c r="O392" i="1"/>
  <c r="Q392" i="1" s="1"/>
  <c r="O411" i="1"/>
  <c r="Q411" i="1" s="1"/>
  <c r="O340" i="1"/>
  <c r="Q340" i="1" s="1"/>
  <c r="O356" i="1"/>
  <c r="Q356" i="1" s="1"/>
  <c r="O383" i="1"/>
  <c r="Q383" i="1" s="1"/>
  <c r="O402" i="1"/>
  <c r="Q402" i="1" s="1"/>
  <c r="O380" i="1"/>
  <c r="Q380" i="1" s="1"/>
  <c r="O354" i="1"/>
  <c r="Q354" i="1" s="1"/>
  <c r="O377" i="1"/>
  <c r="Q377" i="1" s="1"/>
  <c r="O350" i="1"/>
  <c r="Q350" i="1" s="1"/>
  <c r="O413" i="1"/>
  <c r="Q413" i="1" s="1"/>
  <c r="O378" i="1"/>
  <c r="Q378" i="1" s="1"/>
  <c r="O365" i="1"/>
  <c r="Q365" i="1" s="1"/>
  <c r="O359" i="1"/>
  <c r="Q359" i="1" s="1"/>
  <c r="O410" i="1"/>
  <c r="Q410" i="1" s="1"/>
  <c r="O394" i="1"/>
  <c r="Q394" i="1" s="1"/>
  <c r="O415" i="1"/>
  <c r="Q415" i="1" s="1"/>
  <c r="O336" i="1"/>
  <c r="Q336" i="1" s="1"/>
  <c r="O414" i="1"/>
  <c r="Q414" i="1" s="1"/>
  <c r="O381" i="1"/>
  <c r="Q381" i="1" s="1"/>
  <c r="O373" i="1"/>
  <c r="Q373" i="1" s="1"/>
  <c r="O337" i="1"/>
  <c r="Q337" i="1" s="1"/>
  <c r="O335" i="1"/>
  <c r="Q335" i="1" s="1"/>
  <c r="O369" i="1"/>
  <c r="Q369" i="1" s="1"/>
  <c r="O391" i="1"/>
  <c r="Q391" i="1" s="1"/>
  <c r="O385" i="1"/>
  <c r="Q385" i="1" s="1"/>
  <c r="O384" i="1"/>
  <c r="Q384" i="1" s="1"/>
  <c r="O348" i="1"/>
  <c r="Q348" i="1" s="1"/>
  <c r="O347" i="1"/>
  <c r="Q347" i="1" s="1"/>
  <c r="O387" i="1"/>
  <c r="Q387" i="1" s="1"/>
  <c r="O404" i="1"/>
  <c r="Q404" i="1" s="1"/>
  <c r="O408" i="1"/>
  <c r="Q408" i="1" s="1"/>
  <c r="O355" i="1"/>
  <c r="Q355" i="1" s="1"/>
  <c r="O375" i="1"/>
  <c r="Q375" i="1" s="1"/>
  <c r="O363" i="1"/>
  <c r="Q363" i="1" s="1"/>
  <c r="O371" i="1"/>
  <c r="Q371" i="1" s="1"/>
  <c r="O374" i="1"/>
  <c r="Q374" i="1" s="1"/>
  <c r="O372" i="1"/>
  <c r="Q372" i="1" s="1"/>
  <c r="O386" i="1"/>
  <c r="Q386" i="1" s="1"/>
  <c r="O349" i="1"/>
  <c r="Q349" i="1" s="1"/>
  <c r="O339" i="1"/>
  <c r="Q339" i="1" s="1"/>
  <c r="O353" i="1"/>
  <c r="Q353" i="1" s="1"/>
  <c r="O416" i="1"/>
  <c r="Q416" i="1" s="1"/>
  <c r="O352" i="1"/>
  <c r="Q352" i="1" s="1"/>
  <c r="O343" i="1"/>
  <c r="Q343" i="1" s="1"/>
  <c r="O395" i="1"/>
  <c r="Q395" i="1" s="1"/>
  <c r="O362" i="1"/>
  <c r="Q362" i="1" s="1"/>
  <c r="O341" i="1"/>
  <c r="Q341" i="1" s="1"/>
  <c r="O388" i="1"/>
  <c r="Q388" i="1" s="1"/>
  <c r="O360" i="1"/>
  <c r="Q360" i="1" s="1"/>
  <c r="O409" i="1"/>
  <c r="Q409" i="1" s="1"/>
  <c r="O366" i="1"/>
  <c r="Q366" i="1" s="1"/>
  <c r="O405" i="1"/>
  <c r="Q405" i="1" s="1"/>
  <c r="O400" i="1"/>
  <c r="Q400" i="1" s="1"/>
  <c r="O401" i="1"/>
  <c r="Q401" i="1" s="1"/>
  <c r="O364" i="1"/>
  <c r="Q364" i="1" s="1"/>
  <c r="O397" i="1"/>
  <c r="Q397" i="1" s="1"/>
  <c r="O344" i="1"/>
  <c r="Q344" i="1" s="1"/>
  <c r="O345" i="1"/>
  <c r="Q345" i="1" s="1"/>
  <c r="O393" i="1"/>
  <c r="Q393" i="1" s="1"/>
  <c r="O357" i="1"/>
  <c r="Q357" i="1" s="1"/>
  <c r="O376" i="1"/>
  <c r="Q376" i="1" s="1"/>
  <c r="O430" i="1"/>
  <c r="Q430" i="1" s="1"/>
  <c r="O427" i="1"/>
  <c r="Q427" i="1" s="1"/>
  <c r="O422" i="1"/>
  <c r="Q422" i="1" s="1"/>
  <c r="O439" i="1"/>
  <c r="Q439" i="1" s="1"/>
  <c r="O429" i="1"/>
  <c r="Q429" i="1" s="1"/>
  <c r="O428" i="1"/>
  <c r="Q428" i="1" s="1"/>
  <c r="O423" i="1"/>
  <c r="Q423" i="1" s="1"/>
  <c r="O425" i="1"/>
  <c r="Q425" i="1" s="1"/>
  <c r="O419" i="1"/>
  <c r="Q419" i="1" s="1"/>
  <c r="O432" i="1"/>
  <c r="Q432" i="1" s="1"/>
  <c r="O421" i="1"/>
  <c r="Q421" i="1" s="1"/>
  <c r="O433" i="1"/>
  <c r="Q433" i="1" s="1"/>
  <c r="O418" i="1"/>
  <c r="Q418" i="1" s="1"/>
  <c r="O424" i="1"/>
  <c r="Q424" i="1" s="1"/>
  <c r="O426" i="1"/>
  <c r="Q426" i="1" s="1"/>
  <c r="O437" i="1"/>
  <c r="Q437" i="1" s="1"/>
  <c r="O438" i="1"/>
  <c r="Q438" i="1" s="1"/>
  <c r="O420" i="1"/>
  <c r="Q420" i="1" s="1"/>
  <c r="O431" i="1"/>
  <c r="Q431" i="1" s="1"/>
  <c r="O417" i="1"/>
  <c r="Q417" i="1" s="1"/>
  <c r="O435" i="1"/>
  <c r="Q435" i="1" s="1"/>
  <c r="O434" i="1"/>
  <c r="Q434" i="1" s="1"/>
  <c r="O436" i="1"/>
  <c r="Q436" i="1" s="1"/>
  <c r="O172" i="1"/>
  <c r="Q172" i="1" s="1"/>
  <c r="O175" i="1"/>
  <c r="Q175" i="1" s="1"/>
  <c r="O177" i="1"/>
  <c r="Q177" i="1" s="1"/>
  <c r="O178" i="1"/>
  <c r="Q178" i="1" s="1"/>
  <c r="O174" i="1"/>
  <c r="Q174" i="1" s="1"/>
  <c r="O176" i="1"/>
  <c r="Q176" i="1" s="1"/>
  <c r="O173" i="1"/>
  <c r="Q173" i="1" s="1"/>
  <c r="N422" i="1" l="1"/>
  <c r="P422" i="1" s="1"/>
  <c r="N431" i="1"/>
  <c r="P431" i="1" s="1"/>
  <c r="N438" i="1"/>
  <c r="P438" i="1" s="1"/>
  <c r="N434" i="1"/>
  <c r="P434" i="1" s="1"/>
  <c r="N424" i="1"/>
  <c r="P424" i="1" s="1"/>
  <c r="N419" i="1"/>
  <c r="P419" i="1" s="1"/>
  <c r="N435" i="1"/>
  <c r="P435" i="1" s="1"/>
  <c r="N420" i="1"/>
  <c r="P420" i="1" s="1"/>
  <c r="N439" i="1"/>
  <c r="P439" i="1" s="1"/>
  <c r="N432" i="1"/>
  <c r="P432" i="1" s="1"/>
  <c r="N436" i="1"/>
  <c r="P436" i="1" s="1"/>
  <c r="N425" i="1"/>
  <c r="P425" i="1" s="1"/>
  <c r="N430" i="1"/>
  <c r="P430" i="1" s="1"/>
  <c r="N428" i="1"/>
  <c r="P428" i="1" s="1"/>
  <c r="N426" i="1"/>
  <c r="P426" i="1" s="1"/>
  <c r="N423" i="1"/>
  <c r="P423" i="1" s="1"/>
  <c r="N433" i="1"/>
  <c r="P433" i="1" s="1"/>
  <c r="N427" i="1"/>
  <c r="P427" i="1" s="1"/>
  <c r="N421" i="1"/>
  <c r="P421" i="1" s="1"/>
  <c r="N437" i="1"/>
  <c r="P437" i="1" s="1"/>
  <c r="N417" i="1"/>
  <c r="P417" i="1" s="1"/>
  <c r="N429" i="1"/>
  <c r="P429" i="1" s="1"/>
  <c r="N418" i="1"/>
  <c r="P418" i="1" s="1"/>
  <c r="O533" i="1" l="1"/>
  <c r="Q533" i="1" s="1"/>
  <c r="O157" i="1" l="1"/>
  <c r="Q157" i="1" s="1"/>
  <c r="O156" i="1"/>
  <c r="Q156" i="1" s="1"/>
  <c r="O155" i="1"/>
  <c r="Q155" i="1" s="1"/>
  <c r="O135" i="1"/>
  <c r="Q135" i="1" s="1"/>
  <c r="O154" i="1"/>
  <c r="Q154" i="1" s="1"/>
  <c r="O139" i="1"/>
  <c r="Q139" i="1" s="1"/>
  <c r="O151" i="1"/>
  <c r="Q151" i="1" s="1"/>
  <c r="O147" i="1"/>
  <c r="Q147" i="1" s="1"/>
  <c r="O167" i="1"/>
  <c r="Q167" i="1" s="1"/>
  <c r="O148" i="1"/>
  <c r="Q148" i="1" s="1"/>
  <c r="O134" i="1"/>
  <c r="Q134" i="1" s="1"/>
  <c r="O146" i="1"/>
  <c r="Q146" i="1" s="1"/>
  <c r="O171" i="1"/>
  <c r="Q171" i="1" s="1"/>
  <c r="O169" i="1"/>
  <c r="Q169" i="1" s="1"/>
  <c r="O166" i="1"/>
  <c r="Q166" i="1" s="1"/>
  <c r="O136" i="1"/>
  <c r="Q136" i="1" s="1"/>
  <c r="O160" i="1"/>
  <c r="Q160" i="1" s="1"/>
  <c r="O153" i="1"/>
  <c r="Q153" i="1" s="1"/>
  <c r="O143" i="1"/>
  <c r="Q143" i="1" s="1"/>
  <c r="O137" i="1"/>
  <c r="Q137" i="1" s="1"/>
  <c r="O168" i="1"/>
  <c r="Q168" i="1" s="1"/>
  <c r="O131" i="1"/>
  <c r="Q131" i="1" s="1"/>
  <c r="O140" i="1"/>
  <c r="Q140" i="1" s="1"/>
  <c r="O145" i="1"/>
  <c r="Q145" i="1" s="1"/>
  <c r="O163" i="1"/>
  <c r="Q163" i="1" s="1"/>
  <c r="O149" i="1"/>
  <c r="Q149" i="1" s="1"/>
  <c r="O170" i="1"/>
  <c r="Q170" i="1" s="1"/>
  <c r="O162" i="1"/>
  <c r="Q162" i="1" s="1"/>
  <c r="O132" i="1"/>
  <c r="Q132" i="1" s="1"/>
  <c r="O159" i="1"/>
  <c r="Q159" i="1" s="1"/>
  <c r="O161" i="1"/>
  <c r="Q161" i="1" s="1"/>
  <c r="O144" i="1"/>
  <c r="Q144" i="1" s="1"/>
  <c r="O141" i="1"/>
  <c r="Q141" i="1" s="1"/>
  <c r="O165" i="1"/>
  <c r="Q165" i="1" s="1"/>
  <c r="O164" i="1"/>
  <c r="Q164" i="1" s="1"/>
  <c r="O142" i="1"/>
  <c r="Q142" i="1" s="1"/>
  <c r="O150" i="1"/>
  <c r="Q150" i="1" s="1"/>
  <c r="O138" i="1"/>
  <c r="Q138" i="1" s="1"/>
  <c r="O133" i="1"/>
  <c r="Q133" i="1" s="1"/>
  <c r="O152" i="1"/>
  <c r="Q152" i="1" s="1"/>
  <c r="O158" i="1"/>
  <c r="Q158" i="1" s="1"/>
  <c r="O35" i="1"/>
  <c r="Q35" i="1" s="1"/>
  <c r="O42" i="1"/>
  <c r="Q42" i="1" s="1"/>
  <c r="O36" i="1"/>
  <c r="Q36" i="1" s="1"/>
  <c r="O45" i="1"/>
  <c r="Q45" i="1" s="1"/>
  <c r="O30" i="1"/>
  <c r="Q30" i="1" s="1"/>
  <c r="O40" i="1"/>
  <c r="Q40" i="1" s="1"/>
  <c r="O43" i="1"/>
  <c r="Q43" i="1" s="1"/>
  <c r="O25" i="1"/>
  <c r="Q25" i="1" s="1"/>
  <c r="O32" i="1"/>
  <c r="Q32" i="1" s="1"/>
  <c r="O46" i="1"/>
  <c r="Q46" i="1" s="1"/>
  <c r="O26" i="1"/>
  <c r="Q26" i="1" s="1"/>
  <c r="O38" i="1"/>
  <c r="Q38" i="1" s="1"/>
  <c r="O34" i="1"/>
  <c r="Q34" i="1" s="1"/>
  <c r="O23" i="1"/>
  <c r="Q23" i="1" s="1"/>
  <c r="O41" i="1"/>
  <c r="Q41" i="1" s="1"/>
  <c r="O31" i="1"/>
  <c r="Q31" i="1" s="1"/>
  <c r="O29" i="1"/>
  <c r="Q29" i="1" s="1"/>
  <c r="O33" i="1"/>
  <c r="Q33" i="1" s="1"/>
  <c r="O28" i="1"/>
  <c r="Q28" i="1" s="1"/>
  <c r="O27" i="1"/>
  <c r="Q27" i="1" s="1"/>
  <c r="O39" i="1"/>
  <c r="Q39" i="1" s="1"/>
  <c r="O24" i="1"/>
  <c r="Q24" i="1" s="1"/>
  <c r="O44" i="1"/>
  <c r="Q44" i="1" s="1"/>
  <c r="O37" i="1"/>
  <c r="Q37" i="1" s="1"/>
  <c r="O244" i="1"/>
  <c r="Q244" i="1" s="1"/>
  <c r="O245" i="1"/>
  <c r="Q245" i="1" s="1"/>
  <c r="O221" i="1"/>
  <c r="Q221" i="1" s="1"/>
  <c r="O229" i="1"/>
  <c r="Q229" i="1" s="1"/>
  <c r="O227" i="1"/>
  <c r="Q227" i="1" s="1"/>
  <c r="O217" i="1"/>
  <c r="Q217" i="1" s="1"/>
  <c r="O233" i="1"/>
  <c r="Q233" i="1" s="1"/>
  <c r="O222" i="1"/>
  <c r="Q222" i="1" s="1"/>
  <c r="O231" i="1"/>
  <c r="Q231" i="1" s="1"/>
  <c r="O247" i="1"/>
  <c r="Q247" i="1" s="1"/>
  <c r="O243" i="1"/>
  <c r="Q243" i="1" s="1"/>
  <c r="O262" i="1"/>
  <c r="Q262" i="1" s="1"/>
  <c r="O232" i="1"/>
  <c r="Q232" i="1" s="1"/>
  <c r="O255" i="1"/>
  <c r="Q255" i="1" s="1"/>
  <c r="O251" i="1"/>
  <c r="Q251" i="1" s="1"/>
  <c r="O260" i="1"/>
  <c r="Q260" i="1" s="1"/>
  <c r="O254" i="1"/>
  <c r="Q254" i="1" s="1"/>
  <c r="O250" i="1"/>
  <c r="Q250" i="1" s="1"/>
  <c r="O264" i="1"/>
  <c r="Q264" i="1" s="1"/>
  <c r="O248" i="1"/>
  <c r="Q248" i="1" s="1"/>
  <c r="O234" i="1"/>
  <c r="Q234" i="1" s="1"/>
  <c r="O215" i="1"/>
  <c r="Q215" i="1" s="1"/>
  <c r="O253" i="1"/>
  <c r="Q253" i="1" s="1"/>
  <c r="O257" i="1"/>
  <c r="Q257" i="1" s="1"/>
  <c r="O220" i="1"/>
  <c r="Q220" i="1" s="1"/>
  <c r="O266" i="1"/>
  <c r="Q266" i="1" s="1"/>
  <c r="O216" i="1"/>
  <c r="Q216" i="1" s="1"/>
  <c r="O228" i="1"/>
  <c r="Q228" i="1" s="1"/>
  <c r="O263" i="1"/>
  <c r="Q263" i="1" s="1"/>
  <c r="O252" i="1"/>
  <c r="Q252" i="1" s="1"/>
  <c r="O261" i="1"/>
  <c r="Q261" i="1" s="1"/>
  <c r="O218" i="1"/>
  <c r="Q218" i="1" s="1"/>
  <c r="O249" i="1"/>
  <c r="Q249" i="1" s="1"/>
  <c r="O256" i="1"/>
  <c r="Q256" i="1" s="1"/>
  <c r="O235" i="1"/>
  <c r="Q235" i="1" s="1"/>
  <c r="O259" i="1"/>
  <c r="Q259" i="1" s="1"/>
  <c r="O246" i="1"/>
  <c r="Q246" i="1" s="1"/>
  <c r="O239" i="1"/>
  <c r="Q239" i="1" s="1"/>
  <c r="O219" i="1"/>
  <c r="Q219" i="1" s="1"/>
  <c r="O226" i="1"/>
  <c r="Q226" i="1" s="1"/>
  <c r="O223" i="1"/>
  <c r="Q223" i="1" s="1"/>
  <c r="O224" i="1"/>
  <c r="Q224" i="1" s="1"/>
  <c r="O265" i="1"/>
  <c r="Q265" i="1" s="1"/>
  <c r="O238" i="1"/>
  <c r="Q238" i="1" s="1"/>
  <c r="O225" i="1"/>
  <c r="Q225" i="1" s="1"/>
  <c r="O258" i="1"/>
  <c r="Q258" i="1" s="1"/>
  <c r="O236" i="1"/>
  <c r="Q236" i="1" s="1"/>
  <c r="O241" i="1"/>
  <c r="Q241" i="1" s="1"/>
  <c r="O230" i="1"/>
  <c r="Q230" i="1" s="1"/>
  <c r="O242" i="1"/>
  <c r="Q242" i="1" s="1"/>
  <c r="O237" i="1"/>
  <c r="Q237" i="1" s="1"/>
  <c r="O214" i="1"/>
  <c r="Q214" i="1" s="1"/>
  <c r="O240" i="1"/>
  <c r="Q240" i="1" s="1"/>
  <c r="O534" i="1"/>
  <c r="Q534" i="1" s="1"/>
  <c r="O535" i="1"/>
  <c r="Q535" i="1" s="1"/>
  <c r="O466" i="1"/>
  <c r="Q466" i="1" s="1"/>
  <c r="O465" i="1"/>
  <c r="Q465" i="1" s="1"/>
  <c r="O464" i="1"/>
  <c r="Q464" i="1" s="1"/>
  <c r="O489" i="1"/>
  <c r="Q489" i="1" s="1"/>
  <c r="O478" i="1"/>
  <c r="Q478" i="1" s="1"/>
  <c r="O492" i="1"/>
  <c r="Q492" i="1" s="1"/>
  <c r="O493" i="1"/>
  <c r="Q493" i="1" s="1"/>
  <c r="O470" i="1"/>
  <c r="Q470" i="1" s="1"/>
  <c r="O490" i="1"/>
  <c r="Q490" i="1" s="1"/>
  <c r="O472" i="1"/>
  <c r="Q472" i="1" s="1"/>
  <c r="O488" i="1"/>
  <c r="Q488" i="1" s="1"/>
  <c r="O482" i="1"/>
  <c r="Q482" i="1" s="1"/>
  <c r="O494" i="1"/>
  <c r="Q494" i="1" s="1"/>
  <c r="O473" i="1"/>
  <c r="Q473" i="1" s="1"/>
  <c r="O477" i="1"/>
  <c r="Q477" i="1" s="1"/>
  <c r="O474" i="1"/>
  <c r="Q474" i="1" s="1"/>
  <c r="O476" i="1"/>
  <c r="Q476" i="1" s="1"/>
  <c r="O495" i="1"/>
  <c r="Q495" i="1" s="1"/>
  <c r="O491" i="1"/>
  <c r="Q491" i="1" s="1"/>
  <c r="O485" i="1"/>
  <c r="Q485" i="1" s="1"/>
  <c r="O480" i="1"/>
  <c r="Q480" i="1" s="1"/>
  <c r="O483" i="1"/>
  <c r="Q483" i="1" s="1"/>
  <c r="O468" i="1"/>
  <c r="Q468" i="1" s="1"/>
  <c r="O484" i="1"/>
  <c r="Q484" i="1" s="1"/>
  <c r="O479" i="1"/>
  <c r="Q479" i="1" s="1"/>
  <c r="O475" i="1"/>
  <c r="Q475" i="1" s="1"/>
  <c r="O487" i="1"/>
  <c r="Q487" i="1" s="1"/>
  <c r="O481" i="1"/>
  <c r="Q481" i="1" s="1"/>
  <c r="O486" i="1"/>
  <c r="Q486" i="1" s="1"/>
  <c r="O471" i="1"/>
  <c r="Q471" i="1" s="1"/>
  <c r="O467" i="1"/>
  <c r="Q467" i="1" s="1"/>
  <c r="O469" i="1"/>
  <c r="Q469" i="1" s="1"/>
  <c r="O458" i="1"/>
  <c r="Q458" i="1" s="1"/>
  <c r="O459" i="1"/>
  <c r="Q459" i="1" s="1"/>
  <c r="O460" i="1"/>
  <c r="Q460" i="1" s="1"/>
  <c r="O463" i="1"/>
  <c r="Q463" i="1" s="1"/>
  <c r="O461" i="1"/>
  <c r="Q461" i="1" s="1"/>
  <c r="O462" i="1"/>
  <c r="Q462" i="1" s="1"/>
  <c r="O512" i="1"/>
  <c r="Q512" i="1" s="1"/>
  <c r="O505" i="1"/>
  <c r="Q505" i="1" s="1"/>
  <c r="O500" i="1"/>
  <c r="Q500" i="1" s="1"/>
  <c r="O507" i="1"/>
  <c r="Q507" i="1" s="1"/>
  <c r="O511" i="1"/>
  <c r="Q511" i="1" s="1"/>
  <c r="O515" i="1"/>
  <c r="Q515" i="1" s="1"/>
  <c r="O517" i="1"/>
  <c r="Q517" i="1" s="1"/>
  <c r="O501" i="1"/>
  <c r="Q501" i="1" s="1"/>
  <c r="O504" i="1"/>
  <c r="Q504" i="1" s="1"/>
  <c r="O502" i="1"/>
  <c r="Q502" i="1" s="1"/>
  <c r="O496" i="1"/>
  <c r="Q496" i="1" s="1"/>
  <c r="O506" i="1"/>
  <c r="Q506" i="1" s="1"/>
  <c r="O520" i="1"/>
  <c r="Q520" i="1" s="1"/>
  <c r="O518" i="1"/>
  <c r="Q518" i="1" s="1"/>
  <c r="O503" i="1"/>
  <c r="Q503" i="1" s="1"/>
  <c r="O513" i="1"/>
  <c r="Q513" i="1" s="1"/>
  <c r="O510" i="1"/>
  <c r="Q510" i="1" s="1"/>
  <c r="O516" i="1"/>
  <c r="Q516" i="1" s="1"/>
  <c r="O514" i="1"/>
  <c r="Q514" i="1" s="1"/>
  <c r="O508" i="1"/>
  <c r="Q508" i="1" s="1"/>
  <c r="O498" i="1"/>
  <c r="Q498" i="1" s="1"/>
  <c r="O509" i="1"/>
  <c r="Q509" i="1" s="1"/>
  <c r="O532" i="1"/>
  <c r="Q532" i="1" s="1"/>
  <c r="O531" i="1"/>
  <c r="Q531" i="1" s="1"/>
  <c r="O524" i="1"/>
  <c r="Q524" i="1" s="1"/>
  <c r="O530" i="1"/>
  <c r="Q530" i="1" s="1"/>
  <c r="O528" i="1"/>
  <c r="Q528" i="1" s="1"/>
  <c r="O529" i="1"/>
  <c r="Q529" i="1" s="1"/>
  <c r="O523" i="1"/>
  <c r="Q523" i="1" s="1"/>
  <c r="O525" i="1"/>
  <c r="Q525" i="1" s="1"/>
  <c r="O522" i="1"/>
  <c r="Q522" i="1" s="1"/>
  <c r="O526" i="1"/>
  <c r="Q526" i="1" s="1"/>
  <c r="O527" i="1"/>
  <c r="Q527" i="1" s="1"/>
  <c r="O454" i="1"/>
  <c r="Q454" i="1" s="1"/>
  <c r="O450" i="1"/>
  <c r="Q450" i="1" s="1"/>
  <c r="O451" i="1"/>
  <c r="Q451" i="1" s="1"/>
  <c r="O452" i="1"/>
  <c r="Q452" i="1" s="1"/>
  <c r="O448" i="1"/>
  <c r="Q448" i="1" s="1"/>
  <c r="O453" i="1"/>
  <c r="Q453" i="1" s="1"/>
  <c r="O456" i="1"/>
  <c r="Q456" i="1" s="1"/>
  <c r="O449" i="1"/>
  <c r="Q449" i="1" s="1"/>
  <c r="O296" i="1"/>
  <c r="Q296" i="1" s="1"/>
  <c r="O299" i="1"/>
  <c r="Q299" i="1" s="1"/>
  <c r="O297" i="1"/>
  <c r="Q297" i="1" s="1"/>
  <c r="O298" i="1"/>
  <c r="Q298" i="1" s="1"/>
  <c r="O291" i="1"/>
  <c r="Q291" i="1" s="1"/>
  <c r="O267" i="1"/>
  <c r="Q267" i="1" s="1"/>
  <c r="O301" i="1"/>
  <c r="Q301" i="1" s="1"/>
  <c r="O282" i="1"/>
  <c r="Q282" i="1" s="1"/>
  <c r="O290" i="1"/>
  <c r="Q290" i="1" s="1"/>
  <c r="O269" i="1"/>
  <c r="Q269" i="1" s="1"/>
  <c r="O275" i="1"/>
  <c r="Q275" i="1" s="1"/>
  <c r="O288" i="1"/>
  <c r="Q288" i="1" s="1"/>
  <c r="O302" i="1"/>
  <c r="Q302" i="1" s="1"/>
  <c r="O279" i="1"/>
  <c r="Q279" i="1" s="1"/>
  <c r="O293" i="1"/>
  <c r="Q293" i="1" s="1"/>
  <c r="O283" i="1"/>
  <c r="Q283" i="1" s="1"/>
  <c r="O281" i="1"/>
  <c r="Q281" i="1" s="1"/>
  <c r="O273" i="1"/>
  <c r="Q273" i="1" s="1"/>
  <c r="O300" i="1"/>
  <c r="Q300" i="1" s="1"/>
  <c r="O268" i="1"/>
  <c r="Q268" i="1" s="1"/>
  <c r="O272" i="1"/>
  <c r="Q272" i="1" s="1"/>
  <c r="O295" i="1"/>
  <c r="Q295" i="1" s="1"/>
  <c r="O284" i="1"/>
  <c r="Q284" i="1" s="1"/>
  <c r="O285" i="1"/>
  <c r="Q285" i="1" s="1"/>
  <c r="O289" i="1"/>
  <c r="Q289" i="1" s="1"/>
  <c r="O294" i="1"/>
  <c r="Q294" i="1" s="1"/>
  <c r="O280" i="1"/>
  <c r="Q280" i="1" s="1"/>
  <c r="O270" i="1"/>
  <c r="Q270" i="1" s="1"/>
  <c r="O292" i="1"/>
  <c r="Q292" i="1" s="1"/>
  <c r="O277" i="1"/>
  <c r="Q277" i="1" s="1"/>
  <c r="O286" i="1"/>
  <c r="Q286" i="1" s="1"/>
  <c r="O287" i="1"/>
  <c r="Q287" i="1" s="1"/>
  <c r="O274" i="1"/>
  <c r="Q274" i="1" s="1"/>
  <c r="O278" i="1"/>
  <c r="Q278" i="1" s="1"/>
  <c r="O271" i="1"/>
  <c r="Q271" i="1" s="1"/>
  <c r="O276" i="1"/>
  <c r="Q276" i="1" s="1"/>
  <c r="O12" i="1"/>
  <c r="Q12" i="1" s="1"/>
  <c r="O5" i="1"/>
  <c r="Q5" i="1" s="1"/>
  <c r="O11" i="1"/>
  <c r="Q11" i="1" s="1"/>
  <c r="O14" i="1"/>
  <c r="Q14" i="1" s="1"/>
  <c r="O13" i="1"/>
  <c r="Q13" i="1" s="1"/>
  <c r="O16" i="1"/>
  <c r="Q16" i="1" s="1"/>
  <c r="O6" i="1"/>
  <c r="Q6" i="1" s="1"/>
  <c r="O7" i="1"/>
  <c r="Q7" i="1" s="1"/>
  <c r="O4" i="1"/>
  <c r="Q4" i="1" s="1"/>
  <c r="O15" i="1"/>
  <c r="Q15" i="1" s="1"/>
  <c r="O9" i="1"/>
  <c r="Q9" i="1" s="1"/>
  <c r="O10" i="1"/>
  <c r="Q10" i="1" s="1"/>
  <c r="O17" i="1"/>
  <c r="Q17" i="1" s="1"/>
  <c r="O18" i="1"/>
  <c r="Q18" i="1" s="1"/>
  <c r="O8" i="1"/>
  <c r="Q8" i="1" s="1"/>
  <c r="O536" i="1"/>
  <c r="Q536" i="1" s="1"/>
  <c r="O538" i="1"/>
  <c r="Q538" i="1" s="1"/>
  <c r="O537" i="1"/>
  <c r="Q537" i="1" s="1"/>
  <c r="O546" i="1"/>
  <c r="Q546" i="1" s="1"/>
  <c r="O544" i="1"/>
  <c r="Q544" i="1" s="1"/>
  <c r="O541" i="1"/>
  <c r="Q541" i="1" s="1"/>
  <c r="O545" i="1"/>
  <c r="Q545" i="1" s="1"/>
  <c r="O543" i="1"/>
  <c r="Q543" i="1" s="1"/>
  <c r="O539" i="1"/>
  <c r="Q539" i="1" s="1"/>
  <c r="O542" i="1"/>
  <c r="Q542" i="1" s="1"/>
  <c r="O540" i="1"/>
  <c r="Q540" i="1" s="1"/>
  <c r="O203" i="1"/>
  <c r="Q203" i="1" s="1"/>
  <c r="O193" i="1"/>
  <c r="Q193" i="1" s="1"/>
  <c r="O198" i="1"/>
  <c r="Q198" i="1" s="1"/>
  <c r="O188" i="1"/>
  <c r="Q188" i="1" s="1"/>
  <c r="O455" i="1"/>
  <c r="Q455" i="1" s="1"/>
  <c r="O206" i="1"/>
  <c r="Q206" i="1" s="1"/>
  <c r="O204" i="1"/>
  <c r="Q204" i="1" s="1"/>
  <c r="O202" i="1"/>
  <c r="Q202" i="1" s="1"/>
  <c r="O209" i="1"/>
  <c r="Q209" i="1" s="1"/>
  <c r="O199" i="1"/>
  <c r="Q199" i="1" s="1"/>
  <c r="O180" i="1"/>
  <c r="Q180" i="1" s="1"/>
  <c r="O196" i="1"/>
  <c r="Q196" i="1" s="1"/>
  <c r="O207" i="1"/>
  <c r="Q207" i="1" s="1"/>
  <c r="O181" i="1"/>
  <c r="Q181" i="1" s="1"/>
  <c r="O195" i="1"/>
  <c r="Q195" i="1" s="1"/>
  <c r="O200" i="1"/>
  <c r="Q200" i="1" s="1"/>
  <c r="O187" i="1"/>
  <c r="Q187" i="1" s="1"/>
  <c r="O191" i="1"/>
  <c r="Q191" i="1" s="1"/>
  <c r="O212" i="1"/>
  <c r="Q212" i="1" s="1"/>
  <c r="O185" i="1"/>
  <c r="Q185" i="1" s="1"/>
  <c r="O213" i="1"/>
  <c r="Q213" i="1" s="1"/>
  <c r="O211" i="1"/>
  <c r="Q211" i="1" s="1"/>
  <c r="O457" i="1"/>
  <c r="Q457" i="1" s="1"/>
  <c r="O182" i="1"/>
  <c r="Q182" i="1" s="1"/>
  <c r="O205" i="1"/>
  <c r="Q205" i="1" s="1"/>
  <c r="O194" i="1"/>
  <c r="Q194" i="1" s="1"/>
  <c r="O197" i="1"/>
  <c r="Q197" i="1" s="1"/>
  <c r="O201" i="1"/>
  <c r="Q201" i="1" s="1"/>
  <c r="O210" i="1"/>
  <c r="Q210" i="1" s="1"/>
  <c r="O192" i="1"/>
  <c r="Q192" i="1" s="1"/>
  <c r="O189" i="1"/>
  <c r="Q189" i="1" s="1"/>
  <c r="O190" i="1"/>
  <c r="Q190" i="1" s="1"/>
  <c r="O183" i="1"/>
  <c r="Q183" i="1" s="1"/>
  <c r="O184" i="1"/>
  <c r="Q184" i="1" s="1"/>
  <c r="O186" i="1"/>
  <c r="Q186" i="1" s="1"/>
  <c r="O208" i="1"/>
  <c r="Q208" i="1" s="1"/>
  <c r="O179" i="1"/>
  <c r="Q179" i="1" s="1"/>
  <c r="O19" i="1"/>
  <c r="Q19" i="1" s="1"/>
  <c r="O20" i="1"/>
  <c r="Q20" i="1" s="1"/>
  <c r="O21" i="1"/>
  <c r="Q21" i="1" s="1"/>
  <c r="O22" i="1"/>
  <c r="Q22" i="1" s="1"/>
  <c r="N533" i="1"/>
  <c r="P533" i="1" s="1"/>
  <c r="N534" i="1" l="1"/>
  <c r="P534" i="1" s="1"/>
  <c r="N535" i="1"/>
  <c r="P535" i="1" s="1"/>
  <c r="N448" i="1"/>
  <c r="P448" i="1" s="1"/>
  <c r="N450" i="1"/>
  <c r="P450" i="1" s="1"/>
  <c r="N452" i="1"/>
  <c r="P452" i="1" s="1"/>
  <c r="N449" i="1"/>
  <c r="P449" i="1" s="1"/>
  <c r="N456" i="1"/>
  <c r="P456" i="1" s="1"/>
  <c r="N454" i="1"/>
  <c r="P454" i="1" s="1"/>
  <c r="N451" i="1"/>
  <c r="P451" i="1" s="1"/>
  <c r="N453" i="1"/>
  <c r="P453" i="1" s="1"/>
  <c r="N540" i="1"/>
  <c r="P540" i="1" s="1"/>
  <c r="N536" i="1"/>
  <c r="P536" i="1" s="1"/>
  <c r="N542" i="1"/>
  <c r="P542" i="1" s="1"/>
  <c r="N538" i="1"/>
  <c r="P538" i="1" s="1"/>
  <c r="N545" i="1"/>
  <c r="P545" i="1" s="1"/>
  <c r="N537" i="1"/>
  <c r="P537" i="1" s="1"/>
  <c r="N543" i="1"/>
  <c r="P543" i="1" s="1"/>
  <c r="N544" i="1"/>
  <c r="P544" i="1" s="1"/>
  <c r="N546" i="1"/>
  <c r="P546" i="1" s="1"/>
  <c r="N539" i="1"/>
  <c r="P539" i="1" s="1"/>
  <c r="N541" i="1"/>
  <c r="P541" i="1" s="1"/>
  <c r="N526" i="1"/>
  <c r="P526" i="1" s="1"/>
  <c r="N525" i="1"/>
  <c r="P525" i="1" s="1"/>
  <c r="N530" i="1"/>
  <c r="P530" i="1" s="1"/>
  <c r="N532" i="1"/>
  <c r="P532" i="1" s="1"/>
  <c r="N528" i="1"/>
  <c r="P528" i="1" s="1"/>
  <c r="N523" i="1"/>
  <c r="P523" i="1" s="1"/>
  <c r="N524" i="1"/>
  <c r="P524" i="1" s="1"/>
  <c r="N529" i="1"/>
  <c r="P529" i="1" s="1"/>
  <c r="N522" i="1"/>
  <c r="P522" i="1" s="1"/>
  <c r="N527" i="1"/>
  <c r="P527" i="1" s="1"/>
  <c r="N531" i="1"/>
  <c r="P531" i="1" s="1"/>
  <c r="O311" i="1" l="1"/>
  <c r="Q311" i="1" s="1"/>
  <c r="O328" i="1"/>
  <c r="Q328" i="1" s="1"/>
  <c r="O317" i="1"/>
  <c r="Q317" i="1" s="1"/>
  <c r="O332" i="1"/>
  <c r="Q332" i="1" s="1"/>
  <c r="O330" i="1"/>
  <c r="Q330" i="1" s="1"/>
  <c r="O308" i="1"/>
  <c r="Q308" i="1" s="1"/>
  <c r="O333" i="1"/>
  <c r="Q333" i="1" s="1"/>
  <c r="O318" i="1"/>
  <c r="Q318" i="1" s="1"/>
  <c r="O320" i="1"/>
  <c r="Q320" i="1" s="1"/>
  <c r="O324" i="1"/>
  <c r="Q324" i="1" s="1"/>
  <c r="O326" i="1"/>
  <c r="Q326" i="1" s="1"/>
  <c r="O327" i="1"/>
  <c r="Q327" i="1" s="1"/>
  <c r="O312" i="1"/>
  <c r="Q312" i="1" s="1"/>
  <c r="O319" i="1"/>
  <c r="Q319" i="1" s="1"/>
  <c r="O309" i="1"/>
  <c r="Q309" i="1" s="1"/>
  <c r="O313" i="1"/>
  <c r="Q313" i="1" s="1"/>
  <c r="O322" i="1"/>
  <c r="Q322" i="1" s="1"/>
  <c r="O321" i="1"/>
  <c r="Q321" i="1" s="1"/>
  <c r="O310" i="1"/>
  <c r="Q310" i="1" s="1"/>
  <c r="O316" i="1"/>
  <c r="Q316" i="1" s="1"/>
  <c r="O323" i="1"/>
  <c r="Q323" i="1" s="1"/>
  <c r="O325" i="1"/>
  <c r="Q325" i="1" s="1"/>
  <c r="O331" i="1"/>
  <c r="Q331" i="1" s="1"/>
  <c r="O314" i="1"/>
  <c r="Q314" i="1" s="1"/>
  <c r="O329" i="1"/>
  <c r="Q329" i="1" s="1"/>
  <c r="O315" i="1"/>
  <c r="Q315" i="1" s="1"/>
  <c r="O305" i="1"/>
  <c r="Q305" i="1" s="1"/>
  <c r="O304" i="1"/>
  <c r="Q304" i="1" s="1"/>
  <c r="O306" i="1"/>
  <c r="Q306" i="1" s="1"/>
  <c r="O303" i="1"/>
  <c r="Q303" i="1" s="1"/>
  <c r="O307" i="1"/>
  <c r="Q307" i="1" s="1"/>
  <c r="N490" i="1" l="1"/>
  <c r="P490" i="1" s="1"/>
  <c r="N482" i="1"/>
  <c r="P482" i="1" s="1"/>
  <c r="N485" i="1"/>
  <c r="P485" i="1" s="1"/>
  <c r="N494" i="1"/>
  <c r="P494" i="1" s="1"/>
  <c r="N483" i="1"/>
  <c r="P483" i="1" s="1"/>
  <c r="N489" i="1"/>
  <c r="P489" i="1" s="1"/>
  <c r="N493" i="1"/>
  <c r="P493" i="1" s="1"/>
  <c r="N486" i="1"/>
  <c r="P486" i="1" s="1"/>
  <c r="N473" i="1"/>
  <c r="P473" i="1" s="1"/>
  <c r="N492" i="1"/>
  <c r="P492" i="1" s="1"/>
  <c r="N475" i="1"/>
  <c r="P475" i="1" s="1"/>
  <c r="N478" i="1"/>
  <c r="P478" i="1" s="1"/>
  <c r="N468" i="1"/>
  <c r="P468" i="1" s="1"/>
  <c r="N481" i="1"/>
  <c r="P481" i="1" s="1"/>
  <c r="N480" i="1"/>
  <c r="P480" i="1" s="1"/>
  <c r="N477" i="1"/>
  <c r="P477" i="1" s="1"/>
  <c r="N467" i="1"/>
  <c r="P467" i="1" s="1"/>
  <c r="N491" i="1"/>
  <c r="P491" i="1" s="1"/>
  <c r="N476" i="1"/>
  <c r="P476" i="1" s="1"/>
  <c r="N484" i="1"/>
  <c r="P484" i="1" s="1"/>
  <c r="N487" i="1"/>
  <c r="P487" i="1" s="1"/>
  <c r="N479" i="1"/>
  <c r="P479" i="1" s="1"/>
  <c r="N470" i="1"/>
  <c r="P470" i="1" s="1"/>
  <c r="N474" i="1"/>
  <c r="P474" i="1" s="1"/>
  <c r="N469" i="1"/>
  <c r="P469" i="1" s="1"/>
  <c r="N488" i="1"/>
  <c r="P488" i="1" s="1"/>
  <c r="N495" i="1"/>
  <c r="P495" i="1" s="1"/>
  <c r="N471" i="1"/>
  <c r="P471" i="1" s="1"/>
  <c r="N472" i="1"/>
  <c r="P472" i="1" s="1"/>
  <c r="N463" i="1"/>
  <c r="P463" i="1" s="1"/>
  <c r="N459" i="1"/>
  <c r="P459" i="1" s="1"/>
  <c r="N458" i="1"/>
  <c r="P458" i="1" s="1"/>
  <c r="N462" i="1"/>
  <c r="P462" i="1" s="1"/>
  <c r="N461" i="1"/>
  <c r="P461" i="1" s="1"/>
  <c r="N460" i="1"/>
  <c r="P460" i="1" s="1"/>
  <c r="N466" i="1"/>
  <c r="P466" i="1" s="1"/>
  <c r="N464" i="1"/>
  <c r="P464" i="1" s="1"/>
  <c r="N465" i="1"/>
  <c r="P465" i="1" s="1"/>
  <c r="N300" i="1"/>
  <c r="P300" i="1" s="1"/>
  <c r="N276" i="1"/>
  <c r="P276" i="1" s="1"/>
  <c r="N277" i="1"/>
  <c r="P277" i="1" s="1"/>
  <c r="N273" i="1"/>
  <c r="P273" i="1" s="1"/>
  <c r="N271" i="1"/>
  <c r="P271" i="1" s="1"/>
  <c r="N282" i="1"/>
  <c r="P282" i="1" s="1"/>
  <c r="N294" i="1"/>
  <c r="P294" i="1" s="1"/>
  <c r="N267" i="1"/>
  <c r="P267" i="1" s="1"/>
  <c r="N283" i="1"/>
  <c r="P283" i="1" s="1"/>
  <c r="N293" i="1"/>
  <c r="P293" i="1" s="1"/>
  <c r="N286" i="1"/>
  <c r="P286" i="1" s="1"/>
  <c r="N274" i="1"/>
  <c r="P274" i="1" s="1"/>
  <c r="N278" i="1"/>
  <c r="P278" i="1" s="1"/>
  <c r="N291" i="1"/>
  <c r="P291" i="1" s="1"/>
  <c r="N288" i="1"/>
  <c r="P288" i="1" s="1"/>
  <c r="N280" i="1"/>
  <c r="P280" i="1" s="1"/>
  <c r="N284" i="1"/>
  <c r="P284" i="1" s="1"/>
  <c r="N295" i="1"/>
  <c r="P295" i="1" s="1"/>
  <c r="N298" i="1"/>
  <c r="P298" i="1" s="1"/>
  <c r="N296" i="1"/>
  <c r="P296" i="1" s="1"/>
  <c r="N268" i="1"/>
  <c r="P268" i="1" s="1"/>
  <c r="N279" i="1"/>
  <c r="P279" i="1" s="1"/>
  <c r="N292" i="1"/>
  <c r="P292" i="1" s="1"/>
  <c r="N299" i="1"/>
  <c r="P299" i="1" s="1"/>
  <c r="N302" i="1"/>
  <c r="P302" i="1" s="1"/>
  <c r="N287" i="1"/>
  <c r="P287" i="1" s="1"/>
  <c r="N285" i="1"/>
  <c r="P285" i="1" s="1"/>
  <c r="N301" i="1"/>
  <c r="P301" i="1" s="1"/>
  <c r="N272" i="1"/>
  <c r="P272" i="1" s="1"/>
  <c r="N297" i="1"/>
  <c r="P297" i="1" s="1"/>
  <c r="N275" i="1"/>
  <c r="P275" i="1" s="1"/>
  <c r="N270" i="1"/>
  <c r="P270" i="1" s="1"/>
  <c r="N269" i="1"/>
  <c r="P269" i="1" s="1"/>
  <c r="N281" i="1"/>
  <c r="P281" i="1" s="1"/>
  <c r="N289" i="1"/>
  <c r="P289" i="1" s="1"/>
  <c r="N290" i="1"/>
  <c r="P290" i="1" s="1"/>
  <c r="O124" i="1"/>
  <c r="Q124" i="1" s="1"/>
  <c r="O74" i="1"/>
  <c r="Q74" i="1" s="1"/>
  <c r="O71" i="1"/>
  <c r="Q71" i="1" s="1"/>
  <c r="O125" i="1"/>
  <c r="Q125" i="1" s="1"/>
  <c r="O101" i="1"/>
  <c r="Q101" i="1" s="1"/>
  <c r="O120" i="1"/>
  <c r="Q120" i="1" s="1"/>
  <c r="O85" i="1"/>
  <c r="Q85" i="1" s="1"/>
  <c r="O130" i="1"/>
  <c r="Q130" i="1" s="1"/>
  <c r="O77" i="1"/>
  <c r="Q77" i="1" s="1"/>
  <c r="O99" i="1"/>
  <c r="Q99" i="1" s="1"/>
  <c r="O73" i="1"/>
  <c r="Q73" i="1" s="1"/>
  <c r="O72" i="1"/>
  <c r="Q72" i="1" s="1"/>
  <c r="O48" i="1"/>
  <c r="Q48" i="1" s="1"/>
  <c r="O100" i="1"/>
  <c r="Q100" i="1" s="1"/>
  <c r="O64" i="1"/>
  <c r="Q64" i="1" s="1"/>
  <c r="O87" i="1"/>
  <c r="Q87" i="1" s="1"/>
  <c r="O94" i="1"/>
  <c r="Q94" i="1" s="1"/>
  <c r="O116" i="1"/>
  <c r="Q116" i="1" s="1"/>
  <c r="O113" i="1"/>
  <c r="Q113" i="1" s="1"/>
  <c r="O110" i="1"/>
  <c r="Q110" i="1" s="1"/>
  <c r="O83" i="1"/>
  <c r="Q83" i="1" s="1"/>
  <c r="O81" i="1"/>
  <c r="Q81" i="1" s="1"/>
  <c r="O56" i="1"/>
  <c r="Q56" i="1" s="1"/>
  <c r="O52" i="1"/>
  <c r="Q52" i="1" s="1"/>
  <c r="O55" i="1"/>
  <c r="Q55" i="1" s="1"/>
  <c r="O49" i="1"/>
  <c r="Q49" i="1" s="1"/>
  <c r="O92" i="1"/>
  <c r="Q92" i="1" s="1"/>
  <c r="O76" i="1"/>
  <c r="Q76" i="1" s="1"/>
  <c r="O84" i="1"/>
  <c r="Q84" i="1" s="1"/>
  <c r="O79" i="1"/>
  <c r="Q79" i="1" s="1"/>
  <c r="O95" i="1"/>
  <c r="Q95" i="1" s="1"/>
  <c r="O96" i="1"/>
  <c r="Q96" i="1" s="1"/>
  <c r="O97" i="1"/>
  <c r="Q97" i="1" s="1"/>
  <c r="O118" i="1"/>
  <c r="Q118" i="1" s="1"/>
  <c r="O53" i="1"/>
  <c r="Q53" i="1" s="1"/>
  <c r="O89" i="1"/>
  <c r="Q89" i="1" s="1"/>
  <c r="O50" i="1"/>
  <c r="Q50" i="1" s="1"/>
  <c r="O58" i="1"/>
  <c r="Q58" i="1" s="1"/>
  <c r="O78" i="1"/>
  <c r="Q78" i="1" s="1"/>
  <c r="O82" i="1"/>
  <c r="Q82" i="1" s="1"/>
  <c r="O102" i="1"/>
  <c r="Q102" i="1" s="1"/>
  <c r="O70" i="1"/>
  <c r="Q70" i="1" s="1"/>
  <c r="O63" i="1"/>
  <c r="Q63" i="1" s="1"/>
  <c r="O126" i="1"/>
  <c r="Q126" i="1" s="1"/>
  <c r="O67" i="1"/>
  <c r="Q67" i="1" s="1"/>
  <c r="O109" i="1"/>
  <c r="Q109" i="1" s="1"/>
  <c r="O127" i="1"/>
  <c r="Q127" i="1" s="1"/>
  <c r="O65" i="1"/>
  <c r="Q65" i="1" s="1"/>
  <c r="O106" i="1"/>
  <c r="Q106" i="1" s="1"/>
  <c r="O105" i="1"/>
  <c r="Q105" i="1" s="1"/>
  <c r="O117" i="1"/>
  <c r="Q117" i="1" s="1"/>
  <c r="O114" i="1"/>
  <c r="Q114" i="1" s="1"/>
  <c r="O80" i="1"/>
  <c r="Q80" i="1" s="1"/>
  <c r="O57" i="1"/>
  <c r="Q57" i="1" s="1"/>
  <c r="O108" i="1"/>
  <c r="Q108" i="1" s="1"/>
  <c r="O112" i="1"/>
  <c r="Q112" i="1" s="1"/>
  <c r="O61" i="1"/>
  <c r="Q61" i="1" s="1"/>
  <c r="O86" i="1"/>
  <c r="Q86" i="1" s="1"/>
  <c r="O60" i="1"/>
  <c r="Q60" i="1" s="1"/>
  <c r="O66" i="1"/>
  <c r="Q66" i="1" s="1"/>
  <c r="O90" i="1"/>
  <c r="Q90" i="1" s="1"/>
  <c r="O93" i="1"/>
  <c r="Q93" i="1" s="1"/>
  <c r="O54" i="1"/>
  <c r="Q54" i="1" s="1"/>
  <c r="O62" i="1"/>
  <c r="Q62" i="1" s="1"/>
  <c r="O123" i="1"/>
  <c r="Q123" i="1" s="1"/>
  <c r="O91" i="1"/>
  <c r="Q91" i="1" s="1"/>
  <c r="O122" i="1"/>
  <c r="Q122" i="1" s="1"/>
  <c r="O128" i="1"/>
  <c r="Q128" i="1" s="1"/>
  <c r="O88" i="1"/>
  <c r="Q88" i="1" s="1"/>
  <c r="O51" i="1"/>
  <c r="Q51" i="1" s="1"/>
  <c r="O47" i="1"/>
  <c r="Q47" i="1" s="1"/>
  <c r="O107" i="1"/>
  <c r="Q107" i="1" s="1"/>
  <c r="O98" i="1"/>
  <c r="Q98" i="1" s="1"/>
  <c r="O115" i="1"/>
  <c r="Q115" i="1" s="1"/>
  <c r="O68" i="1"/>
  <c r="Q68" i="1" s="1"/>
  <c r="O59" i="1"/>
  <c r="Q59" i="1" s="1"/>
  <c r="O104" i="1"/>
  <c r="Q104" i="1" s="1"/>
  <c r="O69" i="1"/>
  <c r="Q69" i="1" s="1"/>
  <c r="O111" i="1"/>
  <c r="Q111" i="1" s="1"/>
  <c r="O103" i="1"/>
  <c r="Q103" i="1" s="1"/>
  <c r="O75" i="1"/>
  <c r="Q75" i="1" s="1"/>
  <c r="O129" i="1"/>
  <c r="Q129" i="1" s="1"/>
  <c r="O119" i="1"/>
  <c r="Q119" i="1" s="1"/>
  <c r="O121" i="1"/>
  <c r="Q121" i="1" s="1"/>
  <c r="N518" i="1"/>
  <c r="P518" i="1" s="1"/>
  <c r="N513" i="1"/>
  <c r="P513" i="1" s="1"/>
  <c r="N496" i="1"/>
  <c r="P496" i="1" s="1"/>
  <c r="N512" i="1"/>
  <c r="P512" i="1" s="1"/>
  <c r="N498" i="1"/>
  <c r="P498" i="1" s="1"/>
  <c r="N514" i="1"/>
  <c r="P514" i="1" s="1"/>
  <c r="N500" i="1"/>
  <c r="P500" i="1" s="1"/>
  <c r="N501" i="1"/>
  <c r="P501" i="1" s="1"/>
  <c r="N510" i="1"/>
  <c r="P510" i="1" s="1"/>
  <c r="N503" i="1"/>
  <c r="P503" i="1" s="1"/>
  <c r="N506" i="1"/>
  <c r="P506" i="1" s="1"/>
  <c r="N504" i="1"/>
  <c r="P504" i="1" s="1"/>
  <c r="N520" i="1"/>
  <c r="P520" i="1" s="1"/>
  <c r="N517" i="1"/>
  <c r="P517" i="1" s="1"/>
  <c r="N511" i="1"/>
  <c r="P511" i="1" s="1"/>
  <c r="N502" i="1"/>
  <c r="P502" i="1" s="1"/>
  <c r="N508" i="1"/>
  <c r="P508" i="1" s="1"/>
  <c r="N516" i="1"/>
  <c r="P516" i="1" s="1"/>
  <c r="N515" i="1"/>
  <c r="P515" i="1" s="1"/>
  <c r="N505" i="1"/>
  <c r="P505" i="1" s="1"/>
  <c r="N509" i="1"/>
  <c r="P509" i="1" s="1"/>
  <c r="N507" i="1"/>
  <c r="P507" i="1" s="1"/>
  <c r="N331" i="1"/>
  <c r="P331" i="1" s="1"/>
  <c r="N326" i="1"/>
  <c r="P326" i="1" s="1"/>
  <c r="N319" i="1"/>
  <c r="P319" i="1" s="1"/>
  <c r="N327" i="1"/>
  <c r="P327" i="1" s="1"/>
  <c r="N332" i="1"/>
  <c r="P332" i="1" s="1"/>
  <c r="N320" i="1"/>
  <c r="P320" i="1" s="1"/>
  <c r="N333" i="1"/>
  <c r="P333" i="1" s="1"/>
  <c r="N328" i="1"/>
  <c r="P328" i="1" s="1"/>
  <c r="N322" i="1"/>
  <c r="P322" i="1" s="1"/>
  <c r="N325" i="1"/>
  <c r="P325" i="1" s="1"/>
  <c r="N321" i="1"/>
  <c r="P321" i="1" s="1"/>
  <c r="N323" i="1"/>
  <c r="P323" i="1" s="1"/>
  <c r="N312" i="1"/>
  <c r="P312" i="1" s="1"/>
  <c r="N330" i="1"/>
  <c r="P330" i="1" s="1"/>
  <c r="N313" i="1"/>
  <c r="P313" i="1" s="1"/>
  <c r="N309" i="1"/>
  <c r="P309" i="1" s="1"/>
  <c r="N316" i="1"/>
  <c r="P316" i="1" s="1"/>
  <c r="N314" i="1"/>
  <c r="P314" i="1" s="1"/>
  <c r="N329" i="1"/>
  <c r="P329" i="1" s="1"/>
  <c r="N308" i="1"/>
  <c r="P308" i="1" s="1"/>
  <c r="N310" i="1"/>
  <c r="P310" i="1" s="1"/>
  <c r="N318" i="1"/>
  <c r="P318" i="1" s="1"/>
  <c r="N311" i="1"/>
  <c r="P311" i="1" s="1"/>
  <c r="N324" i="1"/>
  <c r="P324" i="1" s="1"/>
  <c r="N315" i="1"/>
  <c r="P315" i="1" s="1"/>
  <c r="N317" i="1"/>
  <c r="P317" i="1" s="1"/>
  <c r="N4" i="1" l="1"/>
  <c r="P4" i="1" s="1"/>
  <c r="N11" i="1"/>
  <c r="P11" i="1" s="1"/>
  <c r="N10" i="1"/>
  <c r="P10" i="1" s="1"/>
  <c r="N8" i="1"/>
  <c r="P8" i="1" s="1"/>
  <c r="N18" i="1"/>
  <c r="P18" i="1" s="1"/>
  <c r="N15" i="1"/>
  <c r="P15" i="1" s="1"/>
  <c r="N16" i="1"/>
  <c r="P16" i="1" s="1"/>
  <c r="N13" i="1"/>
  <c r="P13" i="1" s="1"/>
  <c r="N17" i="1"/>
  <c r="P17" i="1" s="1"/>
  <c r="N5" i="1"/>
  <c r="P5" i="1" s="1"/>
  <c r="N12" i="1"/>
  <c r="P12" i="1" s="1"/>
  <c r="N7" i="1"/>
  <c r="P7" i="1" s="1"/>
  <c r="N9" i="1"/>
  <c r="P9" i="1" s="1"/>
  <c r="N14" i="1"/>
  <c r="P14" i="1" s="1"/>
  <c r="N6" i="1"/>
  <c r="P6" i="1" s="1"/>
  <c r="N74" i="1"/>
  <c r="P74" i="1" s="1"/>
  <c r="N88" i="1"/>
  <c r="P88" i="1" s="1"/>
  <c r="N79" i="1"/>
  <c r="P79" i="1" s="1"/>
  <c r="N53" i="1"/>
  <c r="P53" i="1" s="1"/>
  <c r="N119" i="1"/>
  <c r="P119" i="1" s="1"/>
  <c r="N111" i="1"/>
  <c r="P111" i="1" s="1"/>
  <c r="N85" i="1"/>
  <c r="P85" i="1" s="1"/>
  <c r="N105" i="1"/>
  <c r="P105" i="1" s="1"/>
  <c r="N60" i="1"/>
  <c r="P60" i="1" s="1"/>
  <c r="N100" i="1"/>
  <c r="P100" i="1" s="1"/>
  <c r="N77" i="1"/>
  <c r="P77" i="1" s="1"/>
  <c r="N116" i="1"/>
  <c r="P116" i="1" s="1"/>
  <c r="N115" i="1"/>
  <c r="P115" i="1" s="1"/>
  <c r="N68" i="1"/>
  <c r="P68" i="1" s="1"/>
  <c r="N54" i="1"/>
  <c r="P54" i="1" s="1"/>
  <c r="N76" i="1"/>
  <c r="P76" i="1" s="1"/>
  <c r="N80" i="1"/>
  <c r="P80" i="1" s="1"/>
  <c r="N112" i="1"/>
  <c r="P112" i="1" s="1"/>
  <c r="N121" i="1"/>
  <c r="P121" i="1" s="1"/>
  <c r="N56" i="1"/>
  <c r="P56" i="1" s="1"/>
  <c r="N92" i="1"/>
  <c r="P92" i="1" s="1"/>
  <c r="N117" i="1"/>
  <c r="P117" i="1" s="1"/>
  <c r="N130" i="1"/>
  <c r="P130" i="1" s="1"/>
  <c r="N82" i="1"/>
  <c r="P82" i="1" s="1"/>
  <c r="N129" i="1"/>
  <c r="P129" i="1" s="1"/>
  <c r="N66" i="1"/>
  <c r="P66" i="1" s="1"/>
  <c r="N128" i="1"/>
  <c r="P128" i="1" s="1"/>
  <c r="N86" i="1"/>
  <c r="P86" i="1" s="1"/>
  <c r="N67" i="1"/>
  <c r="P67" i="1" s="1"/>
  <c r="N113" i="1"/>
  <c r="P113" i="1" s="1"/>
  <c r="N104" i="1"/>
  <c r="P104" i="1" s="1"/>
  <c r="N89" i="1"/>
  <c r="P89" i="1" s="1"/>
  <c r="N114" i="1"/>
  <c r="P114" i="1" s="1"/>
  <c r="N52" i="1"/>
  <c r="P52" i="1" s="1"/>
  <c r="N101" i="1"/>
  <c r="P101" i="1" s="1"/>
  <c r="N120" i="1"/>
  <c r="P120" i="1" s="1"/>
  <c r="N102" i="1"/>
  <c r="P102" i="1" s="1"/>
  <c r="N91" i="1"/>
  <c r="P91" i="1" s="1"/>
  <c r="N123" i="1"/>
  <c r="P123" i="1" s="1"/>
  <c r="N118" i="1"/>
  <c r="P118" i="1" s="1"/>
  <c r="N71" i="1"/>
  <c r="P71" i="1" s="1"/>
  <c r="N69" i="1"/>
  <c r="P69" i="1" s="1"/>
  <c r="N83" i="1"/>
  <c r="P83" i="1" s="1"/>
  <c r="N61" i="1"/>
  <c r="P61" i="1" s="1"/>
  <c r="N95" i="1"/>
  <c r="P95" i="1" s="1"/>
  <c r="N94" i="1"/>
  <c r="P94" i="1" s="1"/>
  <c r="N126" i="1"/>
  <c r="P126" i="1" s="1"/>
  <c r="N58" i="1"/>
  <c r="P58" i="1" s="1"/>
  <c r="N75" i="1"/>
  <c r="P75" i="1" s="1"/>
  <c r="N78" i="1"/>
  <c r="P78" i="1" s="1"/>
  <c r="N125" i="1"/>
  <c r="P125" i="1" s="1"/>
  <c r="N70" i="1"/>
  <c r="P70" i="1" s="1"/>
  <c r="N72" i="1"/>
  <c r="P72" i="1" s="1"/>
  <c r="N47" i="1"/>
  <c r="P47" i="1" s="1"/>
  <c r="N48" i="1"/>
  <c r="P48" i="1" s="1"/>
  <c r="N107" i="1"/>
  <c r="P107" i="1" s="1"/>
  <c r="N122" i="1"/>
  <c r="P122" i="1" s="1"/>
  <c r="N98" i="1"/>
  <c r="P98" i="1" s="1"/>
  <c r="N49" i="1"/>
  <c r="P49" i="1" s="1"/>
  <c r="N51" i="1"/>
  <c r="P51" i="1" s="1"/>
  <c r="N124" i="1"/>
  <c r="P124" i="1" s="1"/>
  <c r="N64" i="1"/>
  <c r="P64" i="1" s="1"/>
  <c r="N103" i="1"/>
  <c r="P103" i="1" s="1"/>
  <c r="N110" i="1"/>
  <c r="P110" i="1" s="1"/>
  <c r="N63" i="1"/>
  <c r="P63" i="1" s="1"/>
  <c r="N93" i="1"/>
  <c r="P93" i="1" s="1"/>
  <c r="N97" i="1"/>
  <c r="P97" i="1" s="1"/>
  <c r="N81" i="1"/>
  <c r="P81" i="1" s="1"/>
  <c r="N59" i="1"/>
  <c r="P59" i="1" s="1"/>
  <c r="N96" i="1"/>
  <c r="P96" i="1" s="1"/>
  <c r="N109" i="1"/>
  <c r="P109" i="1" s="1"/>
  <c r="N127" i="1"/>
  <c r="P127" i="1" s="1"/>
  <c r="N73" i="1"/>
  <c r="P73" i="1" s="1"/>
  <c r="N106" i="1"/>
  <c r="P106" i="1" s="1"/>
  <c r="N108" i="1"/>
  <c r="P108" i="1" s="1"/>
  <c r="N87" i="1"/>
  <c r="P87" i="1" s="1"/>
  <c r="N55" i="1"/>
  <c r="P55" i="1" s="1"/>
  <c r="N99" i="1"/>
  <c r="P99" i="1" s="1"/>
  <c r="N65" i="1"/>
  <c r="P65" i="1" s="1"/>
  <c r="N57" i="1"/>
  <c r="P57" i="1" s="1"/>
  <c r="N62" i="1"/>
  <c r="P62" i="1" s="1"/>
  <c r="N84" i="1"/>
  <c r="P84" i="1" s="1"/>
  <c r="N90" i="1"/>
  <c r="P90" i="1" s="1"/>
  <c r="N50" i="1"/>
  <c r="P50" i="1" s="1"/>
  <c r="N20" i="1"/>
  <c r="P20" i="1" s="1"/>
  <c r="N19" i="1"/>
  <c r="P19" i="1" s="1"/>
  <c r="N21" i="1"/>
  <c r="P21" i="1" s="1"/>
  <c r="N22" i="1"/>
  <c r="P22" i="1" s="1"/>
  <c r="N447" i="1"/>
  <c r="P447" i="1" s="1"/>
  <c r="N445" i="1"/>
  <c r="P445" i="1" s="1"/>
  <c r="N446" i="1"/>
  <c r="P446" i="1" s="1"/>
  <c r="N443" i="1"/>
  <c r="P443" i="1" s="1"/>
  <c r="N444" i="1"/>
  <c r="P444" i="1" s="1"/>
  <c r="N305" i="1" l="1"/>
  <c r="P305" i="1" s="1"/>
  <c r="N303" i="1"/>
  <c r="P303" i="1" s="1"/>
  <c r="N304" i="1"/>
  <c r="P304" i="1" s="1"/>
  <c r="N307" i="1"/>
  <c r="P307" i="1" s="1"/>
  <c r="N306" i="1"/>
  <c r="P306" i="1" s="1"/>
  <c r="N172" i="1" l="1"/>
  <c r="P172" i="1" s="1"/>
  <c r="N176" i="1"/>
  <c r="P176" i="1" s="1"/>
  <c r="N174" i="1"/>
  <c r="P174" i="1" s="1"/>
  <c r="N175" i="1"/>
  <c r="P175" i="1" s="1"/>
  <c r="N178" i="1"/>
  <c r="P178" i="1" s="1"/>
  <c r="N177" i="1"/>
  <c r="P177" i="1" s="1"/>
  <c r="N173" i="1"/>
  <c r="P173" i="1" s="1"/>
  <c r="N200" i="1" l="1"/>
  <c r="P200" i="1" s="1"/>
  <c r="N186" i="1"/>
  <c r="P186" i="1" s="1"/>
  <c r="N194" i="1"/>
  <c r="P194" i="1" s="1"/>
  <c r="N188" i="1"/>
  <c r="P188" i="1" s="1"/>
  <c r="N202" i="1"/>
  <c r="P202" i="1" s="1"/>
  <c r="N201" i="1"/>
  <c r="P201" i="1" s="1"/>
  <c r="N210" i="1"/>
  <c r="P210" i="1" s="1"/>
  <c r="N183" i="1"/>
  <c r="P183" i="1" s="1"/>
  <c r="N196" i="1"/>
  <c r="P196" i="1" s="1"/>
  <c r="N213" i="1"/>
  <c r="P213" i="1" s="1"/>
  <c r="N184" i="1"/>
  <c r="P184" i="1" s="1"/>
  <c r="N457" i="1"/>
  <c r="P457" i="1" s="1"/>
  <c r="N208" i="1"/>
  <c r="P208" i="1" s="1"/>
  <c r="N198" i="1"/>
  <c r="P198" i="1" s="1"/>
  <c r="N179" i="1"/>
  <c r="P179" i="1" s="1"/>
  <c r="N203" i="1"/>
  <c r="P203" i="1" s="1"/>
  <c r="N205" i="1"/>
  <c r="P205" i="1" s="1"/>
  <c r="N185" i="1"/>
  <c r="P185" i="1" s="1"/>
  <c r="N193" i="1"/>
  <c r="P193" i="1" s="1"/>
  <c r="N211" i="1"/>
  <c r="P211" i="1" s="1"/>
  <c r="N199" i="1"/>
  <c r="P199" i="1" s="1"/>
  <c r="N190" i="1"/>
  <c r="P190" i="1" s="1"/>
  <c r="N212" i="1"/>
  <c r="P212" i="1" s="1"/>
  <c r="N182" i="1"/>
  <c r="P182" i="1" s="1"/>
  <c r="N181" i="1"/>
  <c r="P181" i="1" s="1"/>
  <c r="N187" i="1"/>
  <c r="P187" i="1" s="1"/>
  <c r="N191" i="1"/>
  <c r="P191" i="1" s="1"/>
  <c r="N197" i="1"/>
  <c r="P197" i="1" s="1"/>
  <c r="N207" i="1"/>
  <c r="P207" i="1" s="1"/>
  <c r="N189" i="1"/>
  <c r="P189" i="1" s="1"/>
  <c r="N455" i="1"/>
  <c r="P455" i="1" s="1"/>
  <c r="N195" i="1"/>
  <c r="P195" i="1" s="1"/>
  <c r="N204" i="1"/>
  <c r="P204" i="1" s="1"/>
  <c r="N209" i="1"/>
  <c r="P209" i="1" s="1"/>
  <c r="N206" i="1"/>
  <c r="P206" i="1" s="1"/>
  <c r="N180" i="1"/>
  <c r="P180" i="1" s="1"/>
  <c r="N192" i="1"/>
  <c r="P192" i="1" s="1"/>
  <c r="P2" i="1" l="1"/>
  <c r="B14" i="3" s="1"/>
  <c r="D14" i="3" s="1"/>
  <c r="B17" i="3" l="1"/>
  <c r="D17" i="3" s="1"/>
  <c r="B15" i="3"/>
  <c r="D15" i="3" s="1"/>
  <c r="H15" i="3" s="1"/>
  <c r="B16" i="3"/>
  <c r="D16" i="3" s="1"/>
  <c r="B18" i="3"/>
  <c r="D18" i="3" s="1"/>
  <c r="H14" i="3"/>
  <c r="G14" i="3"/>
  <c r="H18" i="3" l="1"/>
  <c r="G16" i="3"/>
  <c r="H16" i="3"/>
  <c r="G17" i="3"/>
  <c r="H17" i="3"/>
  <c r="G18" i="3"/>
  <c r="G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Pitre</author>
  </authors>
  <commentList>
    <comment ref="C503" authorId="0" shapeId="0" xr:uid="{31A9B8DD-DC37-4B02-B91D-FF6359B0B979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04" authorId="0" shapeId="0" xr:uid="{8032596B-1D97-4BC9-BC83-6DA8EC7DAAFD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05" authorId="0" shapeId="0" xr:uid="{F6AF06D9-D188-43FC-8A47-CBD0ACCFAE87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06" authorId="0" shapeId="0" xr:uid="{EB9E58C3-A87F-4427-ACC9-93FF9E41AD6C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07" authorId="0" shapeId="0" xr:uid="{56AF15D1-5861-4D0B-A920-6A3678E36E3D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08" authorId="0" shapeId="0" xr:uid="{0E857F02-2129-4B2E-A8DE-A7FEA58D217D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11" authorId="0" shapeId="0" xr:uid="{A41F34A0-29F8-401C-B7BE-86635706341E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  <comment ref="C512" authorId="0" shapeId="0" xr:uid="{11C7CE2E-0468-437D-B50E-CB574E431459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Retourné par client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Pitre</author>
  </authors>
  <commentList>
    <comment ref="F18" authorId="0" shapeId="0" xr:uid="{F07C1DE3-FA87-4DC2-8D23-0892FB2D3D11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</t>
        </r>
      </text>
    </comment>
    <comment ref="F19" authorId="0" shapeId="0" xr:uid="{C25A0AFF-3A70-4621-9C50-E3C56DF874ED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</t>
        </r>
      </text>
    </comment>
    <comment ref="F20" authorId="0" shapeId="0" xr:uid="{B9ED1C0A-3508-4D1E-88AF-CF95A72D3EF3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</t>
        </r>
      </text>
    </comment>
    <comment ref="F21" authorId="0" shapeId="0" xr:uid="{6CB9B0A4-AC39-4722-ACE6-69E8DAB2D2F7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</t>
        </r>
      </text>
    </comment>
    <comment ref="F26" authorId="0" shapeId="0" xr:uid="{E505F4EF-F392-440C-B20E-2ED798B5F1EF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included</t>
        </r>
      </text>
    </comment>
    <comment ref="F27" authorId="0" shapeId="0" xr:uid="{2E61333C-080C-4842-942B-97FF1C2DF013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included</t>
        </r>
      </text>
    </comment>
    <comment ref="F28" authorId="0" shapeId="0" xr:uid="{496176A5-833B-4FAB-8ED4-40A8E973D72D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Ship included</t>
        </r>
      </text>
    </comment>
    <comment ref="F37" authorId="0" shapeId="0" xr:uid="{7C8C47BA-5EF5-4100-AEAD-F127F4A39F03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= (prix US+prix palette US) x taux FX + prix shipping CAD / nb cores</t>
        </r>
      </text>
    </comment>
    <comment ref="F38" authorId="0" shapeId="0" xr:uid="{87E9F0BB-E574-4BDA-85F4-DB8338085F72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= (prix US+prix palette US) x taux FX + prix shipping CAD / nb cores</t>
        </r>
      </text>
    </comment>
    <comment ref="F39" authorId="0" shapeId="0" xr:uid="{A7FBA693-F77B-4FA8-8EF5-A77E4DE27120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= (prix US+prix palette US) x taux FX + prix shipping CAD / nb cores</t>
        </r>
      </text>
    </comment>
    <comment ref="I41" authorId="0" shapeId="0" xr:uid="{42A55C10-BA71-41A5-BFB3-6C0B9B093065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Ajustement
</t>
        </r>
      </text>
    </comment>
    <comment ref="L51" authorId="0" shapeId="0" xr:uid="{7E7C3CCE-8BBA-4715-B697-34EE12F1290E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MP + MO
IMPSJ+IMPSJ+3G</t>
        </r>
      </text>
    </comment>
    <comment ref="L52" authorId="0" shapeId="0" xr:uid="{7EF6DC00-BC81-4B93-909F-7D98EE4C262A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MP + MO
IMPSJ+IMPSJ+3G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Pitre</author>
  </authors>
  <commentList>
    <comment ref="B10" authorId="0" shapeId="0" xr:uid="{66BC2370-3329-47DA-A138-D7542F9F0F7A}">
      <text>
        <r>
          <rPr>
            <b/>
            <sz val="9"/>
            <color indexed="81"/>
            <rFont val="Tahoma"/>
            <family val="2"/>
          </rPr>
          <t>Joanne Pitre:</t>
        </r>
        <r>
          <rPr>
            <sz val="9"/>
            <color indexed="81"/>
            <rFont val="Tahoma"/>
            <family val="2"/>
          </rPr>
          <t xml:space="preserve">
Changé en début d'année 2025</t>
        </r>
      </text>
    </comment>
  </commentList>
</comments>
</file>

<file path=xl/sharedStrings.xml><?xml version="1.0" encoding="utf-8"?>
<sst xmlns="http://schemas.openxmlformats.org/spreadsheetml/2006/main" count="4420" uniqueCount="690">
  <si>
    <t>USD</t>
  </si>
  <si>
    <t>m</t>
  </si>
  <si>
    <t>mm</t>
  </si>
  <si>
    <t>Coût total</t>
  </si>
  <si>
    <t>Origine</t>
  </si>
  <si>
    <t>Devise</t>
  </si>
  <si>
    <t>Unité prix</t>
  </si>
  <si>
    <t>Prix unitaire</t>
  </si>
  <si>
    <t>Unit2</t>
  </si>
  <si>
    <t>Unit</t>
  </si>
  <si>
    <t>Article no</t>
  </si>
  <si>
    <t>Valeur (CAD)</t>
  </si>
  <si>
    <t>FX rate</t>
  </si>
  <si>
    <t>Date</t>
  </si>
  <si>
    <t xml:space="preserve"> </t>
  </si>
  <si>
    <t>INVENTAIRE MATIÈRE PREMIÈRE</t>
  </si>
  <si>
    <t>EA</t>
  </si>
  <si>
    <t>CAD</t>
  </si>
  <si>
    <t>Polyrol</t>
  </si>
  <si>
    <t>Qté</t>
  </si>
  <si>
    <t>Forest Palettes</t>
  </si>
  <si>
    <t>VALEUR CAD</t>
  </si>
  <si>
    <t>Qté (roul)</t>
  </si>
  <si>
    <t>Autre</t>
  </si>
  <si>
    <t>Total</t>
  </si>
  <si>
    <t>Code LabelEdge</t>
  </si>
  <si>
    <t>DT</t>
  </si>
  <si>
    <t>CT</t>
  </si>
  <si>
    <t>Mat Prem</t>
  </si>
  <si>
    <t>S21-1</t>
  </si>
  <si>
    <t>T11-1</t>
  </si>
  <si>
    <t>D21-1</t>
  </si>
  <si>
    <t>S11-3</t>
  </si>
  <si>
    <t>S15-3</t>
  </si>
  <si>
    <t>B15-3</t>
  </si>
  <si>
    <t>B25-3</t>
  </si>
  <si>
    <t>po</t>
  </si>
  <si>
    <t>in</t>
  </si>
  <si>
    <t>out</t>
  </si>
  <si>
    <t>IN / OUT</t>
  </si>
  <si>
    <t>Actif / Inactif</t>
  </si>
  <si>
    <t>A</t>
  </si>
  <si>
    <t>I</t>
  </si>
  <si>
    <t>Specifications</t>
  </si>
  <si>
    <t>Plus solides</t>
  </si>
  <si>
    <t>16.75x3</t>
  </si>
  <si>
    <t>palette 46x46</t>
  </si>
  <si>
    <t>palette 92x46</t>
  </si>
  <si>
    <t>Convert (po en mm)</t>
  </si>
  <si>
    <t>Convert (pi en m)</t>
  </si>
  <si>
    <t>$/sqm/1.55 = $/msi</t>
  </si>
  <si>
    <t>Papier</t>
  </si>
  <si>
    <t>SC20240260-4</t>
  </si>
  <si>
    <t>SC20240260-6</t>
  </si>
  <si>
    <t>Roll ID</t>
  </si>
  <si>
    <t>SC20240260-7</t>
  </si>
  <si>
    <t>WO</t>
  </si>
  <si>
    <t>SG 3PC-25</t>
  </si>
  <si>
    <t>SG 3PC-26</t>
  </si>
  <si>
    <t>SG 3PC-27</t>
  </si>
  <si>
    <t>SG 3PC-28</t>
  </si>
  <si>
    <t>AKOLE240220-02-1</t>
  </si>
  <si>
    <t>AKOLE240220-02-2</t>
  </si>
  <si>
    <t>AKOLE240220-02-3</t>
  </si>
  <si>
    <t>AKOLE240220-02-4</t>
  </si>
  <si>
    <t>AKOLE240220-02-5</t>
  </si>
  <si>
    <t>AKOLE240220-02-6</t>
  </si>
  <si>
    <t>AKOLE240220-02-7</t>
  </si>
  <si>
    <t>AKOLE240220-02-8</t>
  </si>
  <si>
    <t>AKOLE240220-02-9</t>
  </si>
  <si>
    <t>AKOLE240220-02-10</t>
  </si>
  <si>
    <t>AKOLE240220-02-11</t>
  </si>
  <si>
    <t>AKOLE240220-02-12</t>
  </si>
  <si>
    <t>AKOLE240220-02-13</t>
  </si>
  <si>
    <t>AKOLE240220-02-14</t>
  </si>
  <si>
    <t>AKOLE240220-02-15</t>
  </si>
  <si>
    <t>AKOLE240220-02-16</t>
  </si>
  <si>
    <t>AKOLE240220-02-17</t>
  </si>
  <si>
    <t>AKOLE240220-02-18</t>
  </si>
  <si>
    <t>AKOLE240220-02-19</t>
  </si>
  <si>
    <t>AKOLE240220-02-20</t>
  </si>
  <si>
    <t>AKOLE240220-02-21</t>
  </si>
  <si>
    <t>AKOLE240220-02-22</t>
  </si>
  <si>
    <t>AKOLE240220-02-23</t>
  </si>
  <si>
    <t>AKOLE240220-02-24</t>
  </si>
  <si>
    <t>AKOLE240220-02-25</t>
  </si>
  <si>
    <t>AKOLE240220-02-26</t>
  </si>
  <si>
    <t>AKOLE240220-02-27</t>
  </si>
  <si>
    <t>AKOLE240220-02-28</t>
  </si>
  <si>
    <t>AKOLE240220-02-29</t>
  </si>
  <si>
    <t>AKOLE240220-02-30</t>
  </si>
  <si>
    <t>AKOLE240220-02-31</t>
  </si>
  <si>
    <t>AKOLE240220-02-32</t>
  </si>
  <si>
    <t>AKOLE240220-02-33</t>
  </si>
  <si>
    <t>AKOLE240220-02-34</t>
  </si>
  <si>
    <t>SG 3PC-3</t>
  </si>
  <si>
    <t>SG 3PC-4</t>
  </si>
  <si>
    <t>SG 3PC-5</t>
  </si>
  <si>
    <t>SG 3PC-6</t>
  </si>
  <si>
    <t>SG 3PC-7</t>
  </si>
  <si>
    <t>SG 3PC-8</t>
  </si>
  <si>
    <t>SG 3PC-9</t>
  </si>
  <si>
    <t>SG 3PC-10</t>
  </si>
  <si>
    <t>SG 3PC-11</t>
  </si>
  <si>
    <t>SG 3PC-13</t>
  </si>
  <si>
    <t>SG 3PC-15</t>
  </si>
  <si>
    <t>SG 3PC-16</t>
  </si>
  <si>
    <t>SG 3PC-17</t>
  </si>
  <si>
    <t>SG 3PC-18</t>
  </si>
  <si>
    <t>SG 3PC-19</t>
  </si>
  <si>
    <t>SG 3PC-21</t>
  </si>
  <si>
    <t>Row Labels</t>
  </si>
  <si>
    <t>Grand Total</t>
  </si>
  <si>
    <t>Sum of Qté (roul)</t>
  </si>
  <si>
    <t>SC20240260-1</t>
  </si>
  <si>
    <t>SC20240260-2</t>
  </si>
  <si>
    <t>SC20240260-3</t>
  </si>
  <si>
    <t>SC20240260-8</t>
  </si>
  <si>
    <t>SC20240260-11</t>
  </si>
  <si>
    <t>SC20240260-12</t>
  </si>
  <si>
    <t>SC20240260-14</t>
  </si>
  <si>
    <t>sqm x 1.55 = msi</t>
  </si>
  <si>
    <t>60x3</t>
  </si>
  <si>
    <t>palette 60x46</t>
  </si>
  <si>
    <t>Valeur CAD Livres</t>
  </si>
  <si>
    <t>Valeur CAD Stock</t>
  </si>
  <si>
    <t>Sum of Valeur CAD Livres</t>
  </si>
  <si>
    <t>Sum of Valeur CAD Stock</t>
  </si>
  <si>
    <t>(contre 5020)</t>
  </si>
  <si>
    <t>2024107-1</t>
  </si>
  <si>
    <t>2024076 &amp; 2024112</t>
  </si>
  <si>
    <t>D11-1 (D16)</t>
  </si>
  <si>
    <t>D16-1</t>
  </si>
  <si>
    <t>10033-1</t>
  </si>
  <si>
    <t>10033-2</t>
  </si>
  <si>
    <t>10033-3</t>
  </si>
  <si>
    <t>10033-4</t>
  </si>
  <si>
    <t>10033-5</t>
  </si>
  <si>
    <t>10033-6</t>
  </si>
  <si>
    <t>10033-7</t>
  </si>
  <si>
    <t>10033-8</t>
  </si>
  <si>
    <t>10033-9</t>
  </si>
  <si>
    <t>10033-10</t>
  </si>
  <si>
    <t>10033-11</t>
  </si>
  <si>
    <t>10033-12</t>
  </si>
  <si>
    <t>10033-13</t>
  </si>
  <si>
    <t>10033-14</t>
  </si>
  <si>
    <t>10033-15</t>
  </si>
  <si>
    <t>10033-16</t>
  </si>
  <si>
    <t>10033-17</t>
  </si>
  <si>
    <t>10033-18</t>
  </si>
  <si>
    <t>10033-19</t>
  </si>
  <si>
    <t>10033-20</t>
  </si>
  <si>
    <t>10033-21</t>
  </si>
  <si>
    <t>10033-22</t>
  </si>
  <si>
    <t>10033-23</t>
  </si>
  <si>
    <t>10033-24</t>
  </si>
  <si>
    <t>10033-25</t>
  </si>
  <si>
    <t>10033-26</t>
  </si>
  <si>
    <t>10033-27</t>
  </si>
  <si>
    <t>10033-28</t>
  </si>
  <si>
    <t>10033-29</t>
  </si>
  <si>
    <t>10033-30</t>
  </si>
  <si>
    <t>10033-31</t>
  </si>
  <si>
    <t>10033-32</t>
  </si>
  <si>
    <t>10033-33</t>
  </si>
  <si>
    <t>10033-34</t>
  </si>
  <si>
    <t>S31-1</t>
  </si>
  <si>
    <t>2024086 + 2024092</t>
  </si>
  <si>
    <t>Sum of Qté</t>
  </si>
  <si>
    <t>Sum of Valeur (CAD)</t>
  </si>
  <si>
    <t>Roll</t>
  </si>
  <si>
    <t>AH2008 Label TC DT 4x6 perf (6.045USD/rl)</t>
  </si>
  <si>
    <t>AH1003 Label 4x6 TT perf (5.446USD/rl)</t>
  </si>
  <si>
    <t>AKO samples</t>
  </si>
  <si>
    <t>2024086 + 2024092 + 2024119</t>
  </si>
  <si>
    <t>Out</t>
  </si>
  <si>
    <t>2024120-6</t>
  </si>
  <si>
    <t>2024121-3</t>
  </si>
  <si>
    <t>2024121-4</t>
  </si>
  <si>
    <t>2024127-8</t>
  </si>
  <si>
    <t>2024099 + 2024126</t>
  </si>
  <si>
    <t>2024126-2</t>
  </si>
  <si>
    <t>2024090 &amp; 2024091 &amp; 2024098 &amp; 2024105 &amp; 2024108 &amp; 2024125</t>
  </si>
  <si>
    <t>2024125-2</t>
  </si>
  <si>
    <t>2024083 + 2024124</t>
  </si>
  <si>
    <t>2024124-2</t>
  </si>
  <si>
    <t>2024124-3</t>
  </si>
  <si>
    <t>2024097 + 2024123</t>
  </si>
  <si>
    <t>2024123-2</t>
  </si>
  <si>
    <t>2024122-3</t>
  </si>
  <si>
    <t>Width (in)</t>
  </si>
  <si>
    <t>Length (ft)</t>
  </si>
  <si>
    <t>Description</t>
  </si>
  <si>
    <t>Sum of Length (ft)</t>
  </si>
  <si>
    <t>TOTAL</t>
  </si>
  <si>
    <t>Material - Width in inches</t>
  </si>
  <si>
    <t>B15 - 2,0 Clear BOPP / ACR / Glassine</t>
  </si>
  <si>
    <t>B25 - 2,4 White BOPP / ACR / Glassine</t>
  </si>
  <si>
    <t>S31 - Semi-gloss / HM / PET</t>
  </si>
  <si>
    <t>S11 - Semi-gloss / HM / Glassine</t>
  </si>
  <si>
    <t>S15 - Semi-gloss / ACR / Glassine</t>
  </si>
  <si>
    <t>S21 - Semi-gloss /HM permanent / Glassine</t>
  </si>
  <si>
    <t>T11 - TT / HM / Glassine</t>
  </si>
  <si>
    <t>2024129-8</t>
  </si>
  <si>
    <t>D21 - TC DT / HM / Glassine (Shipping)</t>
  </si>
  <si>
    <t>D11 - TC DT / HM / Glassine (Supermarket)</t>
  </si>
  <si>
    <t>D16 - TC DT / ACR / Glassine (Supermarket)</t>
  </si>
  <si>
    <t>2024128-1</t>
  </si>
  <si>
    <t>2024128-8</t>
  </si>
  <si>
    <t>2024130-6</t>
  </si>
  <si>
    <t>Longueur</t>
  </si>
  <si>
    <t>2024120-5</t>
  </si>
  <si>
    <t>Code achat</t>
  </si>
  <si>
    <t>MSI</t>
  </si>
  <si>
    <t>Larg.</t>
  </si>
  <si>
    <t>Prix/msi CAD</t>
  </si>
  <si>
    <t>Prix/msi CAD livres</t>
  </si>
  <si>
    <t>2024083-5</t>
  </si>
  <si>
    <t>2024108-2</t>
  </si>
  <si>
    <t>2024099-2</t>
  </si>
  <si>
    <t>2024099-4</t>
  </si>
  <si>
    <t>2024099-6</t>
  </si>
  <si>
    <t>2024099-8</t>
  </si>
  <si>
    <t>2024099-10</t>
  </si>
  <si>
    <t>2024099-12</t>
  </si>
  <si>
    <t>2024099-14</t>
  </si>
  <si>
    <t>2024099-16</t>
  </si>
  <si>
    <t>2024099-18</t>
  </si>
  <si>
    <t>2024099-20</t>
  </si>
  <si>
    <t>2024099-22</t>
  </si>
  <si>
    <t>2024099-24</t>
  </si>
  <si>
    <t>2024099-26</t>
  </si>
  <si>
    <t>2024099-28</t>
  </si>
  <si>
    <t>2024099-30</t>
  </si>
  <si>
    <t>2024099-32</t>
  </si>
  <si>
    <t>2024099-34</t>
  </si>
  <si>
    <t>2024099-36</t>
  </si>
  <si>
    <t>2024099-37</t>
  </si>
  <si>
    <t>2024099-43</t>
  </si>
  <si>
    <t>2024071-6</t>
  </si>
  <si>
    <t>2024092-2</t>
  </si>
  <si>
    <t>2024119-2</t>
  </si>
  <si>
    <t>2024112-4</t>
  </si>
  <si>
    <t>2024055-2</t>
  </si>
  <si>
    <t>2024055-1</t>
  </si>
  <si>
    <t>2024113-6</t>
  </si>
  <si>
    <t>2024097-3</t>
  </si>
  <si>
    <t>2024059-2</t>
  </si>
  <si>
    <t>2024072-2</t>
  </si>
  <si>
    <t>2024077-6</t>
  </si>
  <si>
    <t>2024066-3</t>
  </si>
  <si>
    <t>2024085-2</t>
  </si>
  <si>
    <t>DT shipping labels-1</t>
  </si>
  <si>
    <t>DT shipping labels-2</t>
  </si>
  <si>
    <t>DT shipping labels-3</t>
  </si>
  <si>
    <t>DT shipping labels-4</t>
  </si>
  <si>
    <t>DT shipping labels-5</t>
  </si>
  <si>
    <t>DT shipping labels-6</t>
  </si>
  <si>
    <t>DT shipping labels-7</t>
  </si>
  <si>
    <t>DT shipping labels-8</t>
  </si>
  <si>
    <t>DT shipping labels-9</t>
  </si>
  <si>
    <t>DT shipping labels-16</t>
  </si>
  <si>
    <t>DT shipping labels-18</t>
  </si>
  <si>
    <t>DT shipping labels-24</t>
  </si>
  <si>
    <t>DT shipping labels-27</t>
  </si>
  <si>
    <t>DT shipping labels-31</t>
  </si>
  <si>
    <t>DT shipping labels-32</t>
  </si>
  <si>
    <t>DT shipping labels-35</t>
  </si>
  <si>
    <t>DT shipping labels-11</t>
  </si>
  <si>
    <t>DT shipping labels-12</t>
  </si>
  <si>
    <t>DT shipping labels-13</t>
  </si>
  <si>
    <t>2024128-15</t>
  </si>
  <si>
    <t>2024128-22</t>
  </si>
  <si>
    <t>2024127 + 2024130 + 2024132</t>
  </si>
  <si>
    <t>2024133-7</t>
  </si>
  <si>
    <t>D11-1</t>
  </si>
  <si>
    <t>10036-1</t>
  </si>
  <si>
    <t>10036-2</t>
  </si>
  <si>
    <t>10036-3</t>
  </si>
  <si>
    <t>10036-4</t>
  </si>
  <si>
    <t>10036-5</t>
  </si>
  <si>
    <t>10036-6</t>
  </si>
  <si>
    <t>10036-7</t>
  </si>
  <si>
    <t>10036-8</t>
  </si>
  <si>
    <t>10036-9</t>
  </si>
  <si>
    <t>D11-2</t>
  </si>
  <si>
    <t>10034-1</t>
  </si>
  <si>
    <t>10034-2</t>
  </si>
  <si>
    <t>10034-3</t>
  </si>
  <si>
    <t>10034-4</t>
  </si>
  <si>
    <t>10034-5</t>
  </si>
  <si>
    <t>10034-6</t>
  </si>
  <si>
    <t>10034-7</t>
  </si>
  <si>
    <t>10034-8</t>
  </si>
  <si>
    <t>10034-9</t>
  </si>
  <si>
    <t>10034-10</t>
  </si>
  <si>
    <t>10034-11</t>
  </si>
  <si>
    <t>10034-12</t>
  </si>
  <si>
    <t>10034-13</t>
  </si>
  <si>
    <t>10034-14</t>
  </si>
  <si>
    <t>10034-15</t>
  </si>
  <si>
    <t>10034-16</t>
  </si>
  <si>
    <t>10034-17</t>
  </si>
  <si>
    <t>10034-18</t>
  </si>
  <si>
    <t>10034-19</t>
  </si>
  <si>
    <t>10034-20</t>
  </si>
  <si>
    <t>10034-21</t>
  </si>
  <si>
    <t>10034-22</t>
  </si>
  <si>
    <t>10034-23</t>
  </si>
  <si>
    <t>10034-24</t>
  </si>
  <si>
    <t>10034-25</t>
  </si>
  <si>
    <t>10034-26</t>
  </si>
  <si>
    <t>10034-27</t>
  </si>
  <si>
    <t>10034-28</t>
  </si>
  <si>
    <t>10034-29</t>
  </si>
  <si>
    <t>10034-30</t>
  </si>
  <si>
    <t>10034-31</t>
  </si>
  <si>
    <t>10034-32</t>
  </si>
  <si>
    <t>10034-33</t>
  </si>
  <si>
    <t>10034-34</t>
  </si>
  <si>
    <t>10034-35</t>
  </si>
  <si>
    <t>Cases à remplir</t>
  </si>
  <si>
    <t>Boite</t>
  </si>
  <si>
    <t>4x6</t>
  </si>
  <si>
    <t>ED3049 4x6 (1000/roul; 4/boite)</t>
  </si>
  <si>
    <t>2024085 + 2024122 + 2024134</t>
  </si>
  <si>
    <t>2024072 + 2024135</t>
  </si>
  <si>
    <t>2024135-2</t>
  </si>
  <si>
    <t>2024135-3</t>
  </si>
  <si>
    <t>2024083 + 2024124 + 2024129 + 2024136</t>
  </si>
  <si>
    <t>2024140-6</t>
  </si>
  <si>
    <t>2024140-16</t>
  </si>
  <si>
    <t>2024140-1</t>
  </si>
  <si>
    <t>2024140-11</t>
  </si>
  <si>
    <t>Yazoo</t>
  </si>
  <si>
    <t>1.5x2.362</t>
  </si>
  <si>
    <t>3x4.125</t>
  </si>
  <si>
    <t>Nom</t>
  </si>
  <si>
    <t>2024136-3</t>
  </si>
  <si>
    <t>2024136-4</t>
  </si>
  <si>
    <t>Check</t>
  </si>
  <si>
    <t>Expected ETA</t>
  </si>
  <si>
    <t>B15</t>
  </si>
  <si>
    <t>Week #45</t>
  </si>
  <si>
    <t>B25</t>
  </si>
  <si>
    <t>S15</t>
  </si>
  <si>
    <t>S35</t>
  </si>
  <si>
    <t>D11</t>
  </si>
  <si>
    <t>T11</t>
  </si>
  <si>
    <t>Week #51</t>
  </si>
  <si>
    <t>Product #</t>
  </si>
  <si>
    <t>This week: #43</t>
  </si>
  <si>
    <t>DF52</t>
  </si>
  <si>
    <t>Week #52</t>
  </si>
  <si>
    <t>Week #53</t>
  </si>
  <si>
    <t>Week #54</t>
  </si>
  <si>
    <t>2024099 + 2024126 + 2024147</t>
  </si>
  <si>
    <t>2024137-1</t>
  </si>
  <si>
    <t>2024137-4</t>
  </si>
  <si>
    <t>2024120 + 2024137 + 2024144</t>
  </si>
  <si>
    <t>2024144-1</t>
  </si>
  <si>
    <t>2024138-1</t>
  </si>
  <si>
    <t>2024138-4</t>
  </si>
  <si>
    <t>2024107 + 2024142</t>
  </si>
  <si>
    <t>2024142-1</t>
  </si>
  <si>
    <t>2024138 + 2024141 +2024143</t>
  </si>
  <si>
    <t>2024141-2</t>
  </si>
  <si>
    <t>2024138 + 2024141</t>
  </si>
  <si>
    <t>2024141-4</t>
  </si>
  <si>
    <t>2024104 &amp; 2024113 + 2024148</t>
  </si>
  <si>
    <t>LE-2024150</t>
  </si>
  <si>
    <t>pi</t>
  </si>
  <si>
    <t>IN</t>
  </si>
  <si>
    <t>LE-2024150-37</t>
  </si>
  <si>
    <t>LE-2024150-43</t>
  </si>
  <si>
    <t>LE-2024150-49</t>
  </si>
  <si>
    <t>LE-2024150-55</t>
  </si>
  <si>
    <t>LE-2024150-61</t>
  </si>
  <si>
    <t>LE-2024150-67</t>
  </si>
  <si>
    <t>LE-2024150-73</t>
  </si>
  <si>
    <t>LE-2024150-79</t>
  </si>
  <si>
    <t>10039-1</t>
  </si>
  <si>
    <t>10039-2</t>
  </si>
  <si>
    <t>10039-3</t>
  </si>
  <si>
    <t>S35-3</t>
  </si>
  <si>
    <t>10039-4</t>
  </si>
  <si>
    <t>10039-5</t>
  </si>
  <si>
    <t>10039-6</t>
  </si>
  <si>
    <t>10039-7</t>
  </si>
  <si>
    <t>10039-8</t>
  </si>
  <si>
    <t>10039-9</t>
  </si>
  <si>
    <t>10039-10</t>
  </si>
  <si>
    <t>10039-11</t>
  </si>
  <si>
    <t>10039-12</t>
  </si>
  <si>
    <t>10039-13</t>
  </si>
  <si>
    <t>10039-14</t>
  </si>
  <si>
    <t>D11-3</t>
  </si>
  <si>
    <t>10039-15</t>
  </si>
  <si>
    <t>10039-16</t>
  </si>
  <si>
    <t>10039-17</t>
  </si>
  <si>
    <t>10039-18</t>
  </si>
  <si>
    <t>LE-2024156</t>
  </si>
  <si>
    <t>LE-2024156-19</t>
  </si>
  <si>
    <t>LE-2024149</t>
  </si>
  <si>
    <t>LE-2024149-18</t>
  </si>
  <si>
    <t>LE-2024151</t>
  </si>
  <si>
    <t>LE-2024151-08</t>
  </si>
  <si>
    <t>LE-2024152</t>
  </si>
  <si>
    <t>LE-2024133-7</t>
  </si>
  <si>
    <t>LE-2024152-01</t>
  </si>
  <si>
    <t>LE-2024154</t>
  </si>
  <si>
    <t>LE-2024136-3</t>
  </si>
  <si>
    <t>LE-2024154-01</t>
  </si>
  <si>
    <t>LE-2024155</t>
  </si>
  <si>
    <t>LE-2024155-02</t>
  </si>
  <si>
    <t>LE-2024155-03</t>
  </si>
  <si>
    <t>LE-2024153</t>
  </si>
  <si>
    <t>LE-2024153-01</t>
  </si>
  <si>
    <t>LE-2024153-03</t>
  </si>
  <si>
    <t>LE-2024157</t>
  </si>
  <si>
    <t>LE-2024157-01</t>
  </si>
  <si>
    <t>LE-2024157-05</t>
  </si>
  <si>
    <t>S35 - Semi-gloss / ACR / PET</t>
  </si>
  <si>
    <t>F50-5</t>
  </si>
  <si>
    <t>F60-5</t>
  </si>
  <si>
    <t>F50 - 95µ Clear BOPP</t>
  </si>
  <si>
    <t>F60 - 95µ White BOPP</t>
  </si>
  <si>
    <t>10022-1</t>
  </si>
  <si>
    <t>10022-2</t>
  </si>
  <si>
    <t>10022-3</t>
  </si>
  <si>
    <t>10022-4</t>
  </si>
  <si>
    <t>10022-5</t>
  </si>
  <si>
    <t>10022-6</t>
  </si>
  <si>
    <t>sqm</t>
  </si>
  <si>
    <t>No stock</t>
  </si>
  <si>
    <t>300013 Yazoo 1.5x2.362</t>
  </si>
  <si>
    <t>300014 Yazoo 3x4.125</t>
  </si>
  <si>
    <t>LE-2024158</t>
  </si>
  <si>
    <t>LE-2024158-08</t>
  </si>
  <si>
    <t>LE-2024159</t>
  </si>
  <si>
    <t>LE-2024159-10</t>
  </si>
  <si>
    <t>2024138 + 2024141 +2024143+2024164</t>
  </si>
  <si>
    <t>LE-2024165</t>
  </si>
  <si>
    <t>LE-2024165-01</t>
  </si>
  <si>
    <t>LE-2024165-07</t>
  </si>
  <si>
    <t>LE-2024165-13</t>
  </si>
  <si>
    <t>LE-2024165-19</t>
  </si>
  <si>
    <t>LE-2024165-25</t>
  </si>
  <si>
    <t>LE-2024165-31</t>
  </si>
  <si>
    <t>LE-2024165-37</t>
  </si>
  <si>
    <t>LE-2024166</t>
  </si>
  <si>
    <t>LE-2024168</t>
  </si>
  <si>
    <t>LE-2024168-07</t>
  </si>
  <si>
    <t>LE-2024167</t>
  </si>
  <si>
    <t>LE-2024167-48</t>
  </si>
  <si>
    <t>LE-2024169</t>
  </si>
  <si>
    <t>LE-2024169-09</t>
  </si>
  <si>
    <t>LE-2024170</t>
  </si>
  <si>
    <t>LE-2024171</t>
  </si>
  <si>
    <t>LE-2024171-07</t>
  </si>
  <si>
    <t>LE-2024172</t>
  </si>
  <si>
    <t>LE-2024174</t>
  </si>
  <si>
    <t>PI SC20240260-7</t>
  </si>
  <si>
    <t>LE-2024174-07</t>
  </si>
  <si>
    <t>LE-2024160</t>
  </si>
  <si>
    <t>LE 2024157-05</t>
  </si>
  <si>
    <t>LE-2024160-02</t>
  </si>
  <si>
    <t>LE-2024175</t>
  </si>
  <si>
    <t>LE-2024144-1</t>
  </si>
  <si>
    <t>LE-2024176</t>
  </si>
  <si>
    <t>LE-2024176-06</t>
  </si>
  <si>
    <t>IMPSJ</t>
  </si>
  <si>
    <t>IMPSJ SAMPLE</t>
  </si>
  <si>
    <t>LE-2024177</t>
  </si>
  <si>
    <t>LE-2024178</t>
  </si>
  <si>
    <t>LE-2024178-03</t>
  </si>
  <si>
    <t>LE-2024180</t>
  </si>
  <si>
    <t>LE-2024180-08</t>
  </si>
  <si>
    <t>LE-2024179</t>
  </si>
  <si>
    <t>LE-2024185</t>
  </si>
  <si>
    <t>LE-2024185-07</t>
  </si>
  <si>
    <t>LE-2024181</t>
  </si>
  <si>
    <t>LE-2024184</t>
  </si>
  <si>
    <t>LE-2024135-2</t>
  </si>
  <si>
    <t>LE-2024183</t>
  </si>
  <si>
    <t>PI SC20240260-14</t>
  </si>
  <si>
    <t>LE-2024183-16</t>
  </si>
  <si>
    <t>LE-2024186</t>
  </si>
  <si>
    <t>LE-2024186-06</t>
  </si>
  <si>
    <t>1x4</t>
  </si>
  <si>
    <t>3x4</t>
  </si>
  <si>
    <t>Emballage LM</t>
  </si>
  <si>
    <t>Uline</t>
  </si>
  <si>
    <t>Triangles (528)</t>
  </si>
  <si>
    <t>Carton</t>
  </si>
  <si>
    <t>OUT</t>
  </si>
  <si>
    <t>LE-2024194</t>
  </si>
  <si>
    <t>LE-2024173</t>
  </si>
  <si>
    <t>LE-2024194-01</t>
  </si>
  <si>
    <t>LE-2024194-07</t>
  </si>
  <si>
    <t>LE-2024196</t>
  </si>
  <si>
    <t>LE-2024125-2</t>
  </si>
  <si>
    <t>LE-2024195</t>
  </si>
  <si>
    <t>LE-2024191</t>
  </si>
  <si>
    <t>LE-2024191-01</t>
  </si>
  <si>
    <t>LE-2024191-08</t>
  </si>
  <si>
    <t>LE-2024191-09</t>
  </si>
  <si>
    <t>LE-2024191-13</t>
  </si>
  <si>
    <t>LE-2024187</t>
  </si>
  <si>
    <t>LE-2024190</t>
  </si>
  <si>
    <t>LE-2024190-07</t>
  </si>
  <si>
    <t>LE-2024190-18</t>
  </si>
  <si>
    <t>LE-2024189</t>
  </si>
  <si>
    <t>LE-2024135-3</t>
  </si>
  <si>
    <t>LE-2024189-01</t>
  </si>
  <si>
    <t>LE-2024188</t>
  </si>
  <si>
    <t>LE-2024175-01</t>
  </si>
  <si>
    <t>LE-2024188-01</t>
  </si>
  <si>
    <t>LE-2024193</t>
  </si>
  <si>
    <t>LE-2024192</t>
  </si>
  <si>
    <t>LE-2024192-01</t>
  </si>
  <si>
    <t>LE-2024162</t>
  </si>
  <si>
    <t>LE-2024162-04</t>
  </si>
  <si>
    <t>LE-2024162-05</t>
  </si>
  <si>
    <t>LE-2024163</t>
  </si>
  <si>
    <t>LE-2024128-22</t>
  </si>
  <si>
    <t>LE-2024163-01</t>
  </si>
  <si>
    <t>LE-2024071-6</t>
  </si>
  <si>
    <t>LE-2024163-05</t>
  </si>
  <si>
    <t>DTSHIPPINGLABELS-35</t>
  </si>
  <si>
    <t>LE-2024163-09</t>
  </si>
  <si>
    <t>LE-2024191-14</t>
  </si>
  <si>
    <t>LE-2024191-15</t>
  </si>
  <si>
    <t>Coût US</t>
  </si>
  <si>
    <t>Coût CAD</t>
  </si>
  <si>
    <t>taux</t>
  </si>
  <si>
    <t>Coût 1x4</t>
  </si>
  <si>
    <t>Cout 3x4</t>
  </si>
  <si>
    <t>Total CAD</t>
  </si>
  <si>
    <t>Transport</t>
  </si>
  <si>
    <t>Prix unit</t>
  </si>
  <si>
    <t>YAZOO 2024-11-14</t>
  </si>
  <si>
    <t>Calcul coût unitaire incluant transport</t>
  </si>
  <si>
    <t>YAZOO 2024-10-07</t>
  </si>
  <si>
    <t>Coût 1.5x2.362</t>
  </si>
  <si>
    <t>Cout 3x4.125</t>
  </si>
  <si>
    <t>Soumission</t>
  </si>
  <si>
    <t>300002 Polyrol 16.75x3</t>
  </si>
  <si>
    <t>300005 Polyrol palette 46x46</t>
  </si>
  <si>
    <t>300006 Polyrol palette 92x46</t>
  </si>
  <si>
    <t>300008 Polyrol 60x3</t>
  </si>
  <si>
    <t>300009 Polyrol palette 60x46</t>
  </si>
  <si>
    <t>300010 AKO samples AH2008 Label TC DT 4x6 perf (6.045USD/rl)</t>
  </si>
  <si>
    <t>300011 AKO samples AH1003 Label 4x6 TT perf (5.446USD/rl)</t>
  </si>
  <si>
    <t>300012 4x6 ED3049 4x6 (1000/roul; 4/boite)</t>
  </si>
  <si>
    <t>LE-2024182</t>
  </si>
  <si>
    <t>PL50100+50106+50104</t>
  </si>
  <si>
    <t>LE-2024197</t>
  </si>
  <si>
    <t>LE-2024198</t>
  </si>
  <si>
    <t>LE-2024199</t>
  </si>
  <si>
    <t>LE-2024107-3</t>
  </si>
  <si>
    <t>LE-2024200</t>
  </si>
  <si>
    <t>LE-2024201</t>
  </si>
  <si>
    <t>LE-2024201-06</t>
  </si>
  <si>
    <t>LE-2024202</t>
  </si>
  <si>
    <t>LE-2024191-02</t>
  </si>
  <si>
    <t>LE-2024191-03</t>
  </si>
  <si>
    <t>LE-2024191-04</t>
  </si>
  <si>
    <t>LE-2024191-05</t>
  </si>
  <si>
    <t>LE-2024191-06</t>
  </si>
  <si>
    <t>LE-2024191-07</t>
  </si>
  <si>
    <t>LE-2024191-12</t>
  </si>
  <si>
    <t>LE-2024191-10</t>
  </si>
  <si>
    <t>Convert m en pi</t>
  </si>
  <si>
    <t>LE-2024207</t>
  </si>
  <si>
    <t>LE-2024211</t>
  </si>
  <si>
    <t>LE-2024211-05</t>
  </si>
  <si>
    <t>10045-1</t>
  </si>
  <si>
    <t>10045-2</t>
  </si>
  <si>
    <t>10045-3</t>
  </si>
  <si>
    <t>10045-4</t>
  </si>
  <si>
    <t>10045-5</t>
  </si>
  <si>
    <t>DF-52</t>
  </si>
  <si>
    <t>10045-6</t>
  </si>
  <si>
    <t>10045-7</t>
  </si>
  <si>
    <t>10045-8</t>
  </si>
  <si>
    <t>10045-9</t>
  </si>
  <si>
    <t>10045-10</t>
  </si>
  <si>
    <t>10045-11</t>
  </si>
  <si>
    <t>10045-12</t>
  </si>
  <si>
    <t>10045-13</t>
  </si>
  <si>
    <t>10045-14</t>
  </si>
  <si>
    <t>10045-15</t>
  </si>
  <si>
    <t>10045-16</t>
  </si>
  <si>
    <t>10045-17</t>
  </si>
  <si>
    <t>10045-18</t>
  </si>
  <si>
    <t>LE-2024212</t>
  </si>
  <si>
    <t>LE-2024203</t>
  </si>
  <si>
    <t>2024140-9</t>
  </si>
  <si>
    <t>PL 50125</t>
  </si>
  <si>
    <t>Core 3" 1000/rl</t>
  </si>
  <si>
    <t>Étiquettes 4x6 D11-3</t>
  </si>
  <si>
    <t>Core 1" 250/rl</t>
  </si>
  <si>
    <t>RL</t>
  </si>
  <si>
    <t>Étiquettes 4x6 D11-1</t>
  </si>
  <si>
    <t>Détail</t>
  </si>
  <si>
    <t>48x40</t>
  </si>
  <si>
    <t>300007 Forest Palettes 48x40</t>
  </si>
  <si>
    <t>Produits finis papier</t>
  </si>
  <si>
    <t>Étiquettes 4x6 D21-1</t>
  </si>
  <si>
    <t>300015 Yazoo 1x4</t>
  </si>
  <si>
    <t>300016 Yazoo 3x4</t>
  </si>
  <si>
    <t>300017 Uline Carton</t>
  </si>
  <si>
    <t>300018 Emballage LM Triangles (528)</t>
  </si>
  <si>
    <t xml:space="preserve">400001 Produits finis papier </t>
  </si>
  <si>
    <t>400002 Étiquettes 4x6 D21-1 Core 3" 1000/rl</t>
  </si>
  <si>
    <t>400003 Étiquettes 4x6 D11-1 Core 3" 1000/rl</t>
  </si>
  <si>
    <t>400004 Étiquettes 4x6 D11-3 Core 3" 1000/rl</t>
  </si>
  <si>
    <t>400005 Étiquettes 4x6 D21-1 Core 1" 250/rl</t>
  </si>
  <si>
    <t>LE-2024213</t>
  </si>
  <si>
    <t>LE-2024215</t>
  </si>
  <si>
    <t>LE2024190-18</t>
  </si>
  <si>
    <t>LE-2024214</t>
  </si>
  <si>
    <t>LE-2024216</t>
  </si>
  <si>
    <t>LE-2024216-12</t>
  </si>
  <si>
    <t>LE-2024204</t>
  </si>
  <si>
    <t>LE-2024218</t>
  </si>
  <si>
    <t>LE-2024217</t>
  </si>
  <si>
    <t>LE-2024217-02</t>
  </si>
  <si>
    <t>LE-2024221</t>
  </si>
  <si>
    <t>LE-2024221-07</t>
  </si>
  <si>
    <t>LE-2024222</t>
  </si>
  <si>
    <t>LE-2024222-06</t>
  </si>
  <si>
    <t>LE-2024224</t>
  </si>
  <si>
    <t>LE-2024223</t>
  </si>
  <si>
    <t>LE-2024141-4</t>
  </si>
  <si>
    <t>10051-01</t>
  </si>
  <si>
    <t>10051-02</t>
  </si>
  <si>
    <t>10051-03</t>
  </si>
  <si>
    <t>10051-04</t>
  </si>
  <si>
    <t>10051-05</t>
  </si>
  <si>
    <t>10051-06</t>
  </si>
  <si>
    <t>10051-07</t>
  </si>
  <si>
    <t>10051-08</t>
  </si>
  <si>
    <t>10051-09</t>
  </si>
  <si>
    <t>10051-10</t>
  </si>
  <si>
    <t>10051-11</t>
  </si>
  <si>
    <t>10051-12</t>
  </si>
  <si>
    <t>10051-13</t>
  </si>
  <si>
    <t>10051-14</t>
  </si>
  <si>
    <t>10051-15</t>
  </si>
  <si>
    <t>10051-16</t>
  </si>
  <si>
    <t>10051-17</t>
  </si>
  <si>
    <t>10051-18</t>
  </si>
  <si>
    <t>10051-19</t>
  </si>
  <si>
    <t>10051-20</t>
  </si>
  <si>
    <t>10051-21</t>
  </si>
  <si>
    <t>10051-22</t>
  </si>
  <si>
    <t>10051-23</t>
  </si>
  <si>
    <t>10051-24</t>
  </si>
  <si>
    <t>10051-25</t>
  </si>
  <si>
    <t>10051-26</t>
  </si>
  <si>
    <t>10051-27</t>
  </si>
  <si>
    <t>10051-28</t>
  </si>
  <si>
    <t>10051-29</t>
  </si>
  <si>
    <t>10051-30</t>
  </si>
  <si>
    <t>10051-31</t>
  </si>
  <si>
    <t>10051-32</t>
  </si>
  <si>
    <t>10051-33</t>
  </si>
  <si>
    <t>10051-34</t>
  </si>
  <si>
    <t>LE-2024209</t>
  </si>
  <si>
    <t>LE-2024219</t>
  </si>
  <si>
    <t>LE-2024220</t>
  </si>
  <si>
    <t>LE-2024225</t>
  </si>
  <si>
    <t>LE-2024227</t>
  </si>
  <si>
    <t>LE-2024228</t>
  </si>
  <si>
    <t>LE-2024226</t>
  </si>
  <si>
    <t>LE-2024210</t>
  </si>
  <si>
    <t>LE-2024229</t>
  </si>
  <si>
    <t>LE-2024230</t>
  </si>
  <si>
    <t>LE-2024232</t>
  </si>
  <si>
    <t>LE-2024233</t>
  </si>
  <si>
    <t>LE-2024234</t>
  </si>
  <si>
    <t>LE-2024235</t>
  </si>
  <si>
    <t>LE-2024237</t>
  </si>
  <si>
    <t>LE-2024237-02</t>
  </si>
  <si>
    <t>LE-2024238</t>
  </si>
  <si>
    <t>LE-2024223-02</t>
  </si>
  <si>
    <t>LE-2024241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</si>
</sst>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* #,##0.00_)\ &quot;$&quot;_ ;_ * \(#,##0.00\)\ &quot;$&quot;_ ;_ * &quot;-&quot;??_)\ &quot;$&quot;_ ;_ @_ "/>
    <numFmt numFmtId="43" formatCode="_ * #,##0.00_)_ ;_ * \(#,##0.00\)_ ;_ * &quot;-&quot;??_)_ ;_ @_ "/>
    <numFmt numFmtId="164" formatCode="_ * #,##0.0000_)_ ;_ * \(#,##0.0000\)_ ;_ * &quot;-&quot;??_)_ ;_ @_ "/>
    <numFmt numFmtId="165" formatCode="_ * #,##0_)_ ;_ * \(#,##0\)_ ;_ * &quot;-&quot;??_)_ ;_ @_ "/>
    <numFmt numFmtId="166" formatCode="_ * #,##0_)\ &quot;$&quot;_ ;_ * \(#,##0\)\ &quot;$&quot;_ ;_ * &quot;-&quot;??_)\ &quot;$&quot;_ ;_ @_ "/>
    <numFmt numFmtId="167" formatCode="_ * #,##0.00_)\ _$_ ;_ * \(#,##0.00\)\ _$_ ;_ * &quot;-&quot;??_)\ _$_ ;_ @_ "/>
    <numFmt numFmtId="168" formatCode="_ * #,##0.0000_)\ &quot;$&quot;_ ;_ * \(#,##0.0000\)\ &quot;$&quot;_ ;_ * &quot;-&quot;??_)\ &quot;$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43" fontId="0" fillId="0" borderId="0" xfId="1" applyFont="1"/>
    <xf numFmtId="164" fontId="0" fillId="0" borderId="0" xfId="1" applyNumberFormat="1" applyFont="1"/>
    <xf numFmtId="3" fontId="0" fillId="0" borderId="0" xfId="0" applyNumberForma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1" applyNumberFormat="1" applyFont="1" applyAlignment="1">
      <alignment wrapText="1"/>
    </xf>
    <xf numFmtId="43" fontId="0" fillId="0" borderId="0" xfId="0" applyNumberFormat="1"/>
    <xf numFmtId="165" fontId="0" fillId="0" borderId="0" xfId="0" applyNumberFormat="1"/>
    <xf numFmtId="164" fontId="0" fillId="0" borderId="0" xfId="0" applyNumberFormat="1"/>
    <xf numFmtId="14" fontId="0" fillId="0" borderId="0" xfId="0" applyNumberFormat="1"/>
    <xf numFmtId="43" fontId="0" fillId="0" borderId="0" xfId="1" applyFont="1" applyFill="1"/>
    <xf numFmtId="0" fontId="0" fillId="3" borderId="0" xfId="0" applyFill="1" applyAlignment="1">
      <alignment wrapText="1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44" fontId="0" fillId="0" borderId="1" xfId="0" applyNumberFormat="1" applyBorder="1"/>
    <xf numFmtId="0" fontId="4" fillId="0" borderId="0" xfId="0" applyFont="1"/>
    <xf numFmtId="14" fontId="0" fillId="0" borderId="0" xfId="1" applyNumberFormat="1" applyFont="1"/>
    <xf numFmtId="164" fontId="0" fillId="0" borderId="0" xfId="1" applyNumberFormat="1" applyFont="1" applyFill="1"/>
    <xf numFmtId="0" fontId="2" fillId="0" borderId="0" xfId="0" applyFont="1"/>
    <xf numFmtId="44" fontId="0" fillId="0" borderId="0" xfId="0" applyNumberFormat="1"/>
    <xf numFmtId="14" fontId="2" fillId="0" borderId="0" xfId="0" applyNumberFormat="1" applyFont="1"/>
    <xf numFmtId="0" fontId="2" fillId="0" borderId="0" xfId="0" applyFont="1" applyAlignment="1">
      <alignment horizontal="center"/>
    </xf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4" borderId="0" xfId="0" applyFill="1"/>
    <xf numFmtId="44" fontId="0" fillId="5" borderId="1" xfId="0" applyNumberFormat="1" applyFill="1" applyBorder="1"/>
    <xf numFmtId="43" fontId="0" fillId="5" borderId="1" xfId="0" applyNumberFormat="1" applyFill="1" applyBorder="1"/>
    <xf numFmtId="44" fontId="0" fillId="4" borderId="1" xfId="0" applyNumberFormat="1" applyFill="1" applyBorder="1"/>
    <xf numFmtId="43" fontId="0" fillId="4" borderId="1" xfId="0" applyNumberFormat="1" applyFill="1" applyBorder="1"/>
    <xf numFmtId="165" fontId="0" fillId="0" borderId="0" xfId="1" applyNumberFormat="1" applyFont="1"/>
    <xf numFmtId="0" fontId="0" fillId="4" borderId="0" xfId="0" applyFill="1" applyAlignment="1">
      <alignment horizontal="left"/>
    </xf>
    <xf numFmtId="166" fontId="0" fillId="0" borderId="0" xfId="2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0" xfId="0" pivotButton="1" applyAlignment="1">
      <alignment horizontal="left" wrapText="1"/>
    </xf>
    <xf numFmtId="0" fontId="0" fillId="6" borderId="0" xfId="0" applyFill="1"/>
    <xf numFmtId="165" fontId="0" fillId="6" borderId="0" xfId="1" applyNumberFormat="1" applyFont="1" applyFill="1" applyAlignment="1">
      <alignment horizontal="center"/>
    </xf>
    <xf numFmtId="165" fontId="0" fillId="6" borderId="0" xfId="1" applyNumberFormat="1" applyFont="1" applyFill="1"/>
    <xf numFmtId="165" fontId="0" fillId="0" borderId="0" xfId="1" applyNumberFormat="1" applyFont="1" applyAlignment="1">
      <alignment wrapText="1"/>
    </xf>
    <xf numFmtId="0" fontId="0" fillId="2" borderId="0" xfId="0" applyFill="1" applyAlignment="1">
      <alignment horizontal="center"/>
    </xf>
    <xf numFmtId="14" fontId="0" fillId="4" borderId="0" xfId="0" applyNumberFormat="1" applyFill="1"/>
    <xf numFmtId="0" fontId="0" fillId="4" borderId="0" xfId="0" applyFill="1" applyAlignment="1">
      <alignment horizontal="center"/>
    </xf>
    <xf numFmtId="3" fontId="0" fillId="4" borderId="0" xfId="0" applyNumberFormat="1" applyFill="1"/>
    <xf numFmtId="43" fontId="0" fillId="4" borderId="0" xfId="1" applyFont="1" applyFill="1"/>
    <xf numFmtId="0" fontId="0" fillId="4" borderId="0" xfId="1" applyNumberFormat="1" applyFont="1" applyFill="1" applyAlignment="1">
      <alignment horizontal="left"/>
    </xf>
    <xf numFmtId="43" fontId="0" fillId="0" borderId="0" xfId="1" applyFont="1" applyAlignment="1">
      <alignment horizontal="center" wrapText="1"/>
    </xf>
    <xf numFmtId="165" fontId="0" fillId="4" borderId="0" xfId="1" applyNumberFormat="1" applyFont="1" applyFill="1"/>
    <xf numFmtId="0" fontId="6" fillId="6" borderId="0" xfId="0" applyFont="1" applyFill="1" applyAlignment="1">
      <alignment horizontal="left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 wrapText="1"/>
    </xf>
    <xf numFmtId="1" fontId="0" fillId="7" borderId="0" xfId="0" applyNumberFormat="1" applyFill="1" applyAlignment="1">
      <alignment horizontal="center" wrapText="1"/>
    </xf>
    <xf numFmtId="14" fontId="0" fillId="4" borderId="0" xfId="1" applyNumberFormat="1" applyFont="1" applyFill="1" applyAlignment="1">
      <alignment horizontal="left"/>
    </xf>
    <xf numFmtId="14" fontId="0" fillId="4" borderId="2" xfId="0" applyNumberFormat="1" applyFill="1" applyBorder="1"/>
    <xf numFmtId="49" fontId="0" fillId="4" borderId="0" xfId="0" quotePrefix="1" applyNumberFormat="1" applyFill="1" applyAlignment="1">
      <alignment horizontal="left"/>
    </xf>
    <xf numFmtId="0" fontId="0" fillId="4" borderId="2" xfId="0" applyFill="1" applyBorder="1" applyAlignment="1">
      <alignment horizontal="left"/>
    </xf>
    <xf numFmtId="0" fontId="0" fillId="7" borderId="0" xfId="0" applyFill="1" applyAlignment="1">
      <alignment horizontal="left" wrapText="1"/>
    </xf>
    <xf numFmtId="0" fontId="0" fillId="0" borderId="0" xfId="0" pivotButton="1"/>
    <xf numFmtId="44" fontId="0" fillId="0" borderId="0" xfId="2" applyFont="1"/>
    <xf numFmtId="1" fontId="0" fillId="0" borderId="0" xfId="0" applyNumberFormat="1" applyAlignment="1">
      <alignment horizontal="center"/>
    </xf>
    <xf numFmtId="1" fontId="0" fillId="0" borderId="0" xfId="1" applyNumberFormat="1" applyFont="1" applyFill="1" applyAlignment="1">
      <alignment horizontal="center"/>
    </xf>
    <xf numFmtId="0" fontId="0" fillId="4" borderId="2" xfId="1" applyNumberFormat="1" applyFont="1" applyFill="1" applyBorder="1" applyAlignment="1">
      <alignment horizontal="left"/>
    </xf>
    <xf numFmtId="0" fontId="0" fillId="0" borderId="0" xfId="0" applyAlignment="1">
      <alignment horizontal="left" indent="1"/>
    </xf>
    <xf numFmtId="0" fontId="0" fillId="4" borderId="0" xfId="1" applyNumberFormat="1" applyFont="1" applyFill="1" applyBorder="1" applyAlignment="1">
      <alignment horizontal="left"/>
    </xf>
    <xf numFmtId="49" fontId="0" fillId="4" borderId="2" xfId="0" quotePrefix="1" applyNumberFormat="1" applyFill="1" applyBorder="1" applyAlignment="1">
      <alignment horizontal="left"/>
    </xf>
    <xf numFmtId="167" fontId="0" fillId="0" borderId="0" xfId="0" applyNumberFormat="1"/>
    <xf numFmtId="164" fontId="0" fillId="0" borderId="0" xfId="1" applyNumberFormat="1" applyFont="1" applyAlignment="1">
      <alignment horizontal="center" wrapText="1"/>
    </xf>
    <xf numFmtId="165" fontId="2" fillId="0" borderId="3" xfId="1" applyNumberFormat="1" applyFont="1" applyBorder="1"/>
    <xf numFmtId="0" fontId="9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/>
    <xf numFmtId="14" fontId="0" fillId="7" borderId="0" xfId="0" applyNumberFormat="1" applyFill="1" applyAlignment="1">
      <alignment wrapText="1"/>
    </xf>
    <xf numFmtId="0" fontId="0" fillId="8" borderId="0" xfId="0" applyFill="1" applyAlignment="1">
      <alignment horizontal="center"/>
    </xf>
    <xf numFmtId="14" fontId="0" fillId="8" borderId="0" xfId="0" applyNumberFormat="1" applyFill="1"/>
    <xf numFmtId="0" fontId="0" fillId="8" borderId="0" xfId="0" applyFill="1"/>
    <xf numFmtId="164" fontId="0" fillId="8" borderId="0" xfId="1" applyNumberFormat="1" applyFont="1" applyFill="1"/>
    <xf numFmtId="43" fontId="0" fillId="8" borderId="0" xfId="1" applyFont="1" applyFill="1"/>
    <xf numFmtId="165" fontId="0" fillId="0" borderId="0" xfId="1" applyNumberFormat="1" applyFont="1" applyFill="1"/>
    <xf numFmtId="0" fontId="0" fillId="0" borderId="4" xfId="0" applyBorder="1"/>
    <xf numFmtId="44" fontId="0" fillId="0" borderId="4" xfId="2" applyFont="1" applyBorder="1"/>
    <xf numFmtId="44" fontId="2" fillId="0" borderId="0" xfId="2" applyFont="1" applyAlignment="1">
      <alignment horizontal="center"/>
    </xf>
    <xf numFmtId="168" fontId="0" fillId="0" borderId="0" xfId="0" applyNumberFormat="1"/>
    <xf numFmtId="0" fontId="0" fillId="0" borderId="4" xfId="2" applyNumberFormat="1" applyFont="1" applyBorder="1"/>
    <xf numFmtId="44" fontId="0" fillId="0" borderId="4" xfId="0" applyNumberFormat="1" applyBorder="1"/>
    <xf numFmtId="0" fontId="10" fillId="0" borderId="0" xfId="0" applyFont="1"/>
    <xf numFmtId="14" fontId="0" fillId="10" borderId="0" xfId="0" applyNumberFormat="1" applyFill="1"/>
    <xf numFmtId="0" fontId="0" fillId="10" borderId="0" xfId="0" applyFill="1"/>
    <xf numFmtId="164" fontId="0" fillId="10" borderId="0" xfId="1" applyNumberFormat="1" applyFont="1" applyFill="1"/>
    <xf numFmtId="43" fontId="0" fillId="10" borderId="0" xfId="1" applyFont="1" applyFill="1"/>
    <xf numFmtId="0" fontId="0" fillId="10" borderId="0" xfId="0" applyFill="1" applyAlignment="1">
      <alignment horizontal="center"/>
    </xf>
    <xf numFmtId="44" fontId="0" fillId="9" borderId="1" xfId="0" applyNumberFormat="1" applyFill="1" applyBorder="1"/>
    <xf numFmtId="164" fontId="3" fillId="0" borderId="5" xfId="0" applyNumberFormat="1" applyFont="1" applyBorder="1" applyAlignment="1">
      <alignment horizontal="right"/>
    </xf>
    <xf numFmtId="44" fontId="2" fillId="0" borderId="6" xfId="2" applyFont="1" applyBorder="1"/>
    <xf numFmtId="165" fontId="0" fillId="0" borderId="1" xfId="1" applyNumberFormat="1" applyFont="1" applyBorder="1"/>
    <xf numFmtId="167" fontId="0" fillId="0" borderId="1" xfId="0" applyNumberFormat="1" applyBorder="1"/>
    <xf numFmtId="164" fontId="0" fillId="9" borderId="0" xfId="1" applyNumberFormat="1" applyFont="1" applyFill="1"/>
    <xf numFmtId="43" fontId="0" fillId="9" borderId="0" xfId="1" applyFont="1" applyFill="1"/>
    <xf numFmtId="0" fontId="0" fillId="9" borderId="0" xfId="0" applyFill="1"/>
    <xf numFmtId="14" fontId="0" fillId="0" borderId="0" xfId="1" applyNumberFormat="1" applyFont="1" applyFill="1"/>
    <xf numFmtId="0" fontId="2" fillId="0" borderId="0" xfId="0" applyFont="1" applyAlignment="1">
      <alignment horizontal="center"/>
    </xf>
    <xf numFmtId="0" fontId="0" fillId="0" borderId="0" xfId="0" applyFill="1"/>
  </cellXfs>
  <cellStyles count="3">
    <cellStyle name="Comma" xfId="1" builtinId="3"/>
    <cellStyle name="Currency" xfId="2" builtinId="4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3" formatCode="#,##0"/>
    </dxf>
    <dxf>
      <numFmt numFmtId="165" formatCode="_ * #,##0_)_ ;_ * \(#,##0\)_ ;_ * &quot;-&quot;??_)_ ;_ @_ "/>
      <alignment horizontal="center" wrapText="1"/>
    </dxf>
    <dxf>
      <numFmt numFmtId="165" formatCode="_ * #,##0_)_ ;_ * \(#,##0\)_ ;_ * &quot;-&quot;??_)_ ;_ @_ "/>
      <alignment horizontal="center" wrapText="1"/>
    </dxf>
    <dxf>
      <alignment horizontal="left"/>
    </dxf>
    <dxf>
      <alignment horizontal="center"/>
    </dxf>
    <dxf>
      <alignment wrapText="1"/>
    </dxf>
    <dxf>
      <alignment wrapText="1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000_)_ ;_ * \(#,##0.0000\)_ ;_ * &quot;-&quot;??_)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000_)_ ;_ * \(#,##0.0000\)_ ;_ * &quot;-&quot;??_)_ ;_ @_ "/>
    </dxf>
    <dxf>
      <numFmt numFmtId="19" formatCode="yyyy/mm/dd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5" formatCode="_ * #,##0_)_ ;_ * \(#,##0\)_ ;_ * &quot;-&quot;??_)_ ;_ @_ "/>
    </dxf>
    <dxf>
      <numFmt numFmtId="35" formatCode="_ * #,##0.00_)_ ;_ * \(#,##0.00\)_ ;_ * &quot;-&quot;??_)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)_ ;_ * \(#,##0.00\)_ ;_ * &quot;-&quot;??_)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)_ ;_ * \(#,##0.00\)_ ;_ * &quot;-&quot;??_)_ ;_ @_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000_)_ ;_ * \(#,##0.0000\)_ ;_ * &quot;-&quot;??_)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.0000_)_ ;_ * \(#,##0.0000\)_ ;_ * &quot;-&quot;??_)_ ;_ @_ "/>
    </dxf>
    <dxf>
      <numFmt numFmtId="165" formatCode="_ * #,##0_)_ ;_ * \(#,##0\)_ ;_ * &quot;-&quot;??_)_ ;_ @_ "/>
    </dxf>
    <dxf>
      <numFmt numFmtId="3" formatCode="#,##0"/>
    </dxf>
    <dxf>
      <numFmt numFmtId="3" formatCode="#,##0"/>
      <fill>
        <patternFill>
          <fgColor indexed="64"/>
          <bgColor theme="7" tint="0.79998168889431442"/>
        </patternFill>
      </fill>
    </dxf>
    <dxf>
      <fill>
        <patternFill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numFmt numFmtId="19" formatCode="yyyy/mm/dd"/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yyyy/mm/dd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abeledge.sharepoint.com/sites/production/Shared%20Documents/General/Commandes%20clients/Commande%20Client.xlsm" TargetMode="External"/><Relationship Id="rId1" Type="http://schemas.openxmlformats.org/officeDocument/2006/relationships/externalLinkPath" Target="file:///C:\Users\jpitr\AppData\Local\Microsoft\Windows\INetCache\Content.Outlook\VU80TED7\Commande%20Clie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5FxTIci910uawJurXgUge2IVE3EMaMpAjNvf5xblZ7eWUI1LtxtPQa9cJBFoC_ce" itemId="01WKPWNX54ACVCVOV5QRDIF5YA2GOSLWKJ">
      <xxl21:absoluteUrl r:id="rId2"/>
    </xxl21:alternateUrls>
    <sheetNames>
      <sheetName val="Clients"/>
      <sheetName val="Spec"/>
      <sheetName val="Prix MP"/>
      <sheetName val="Prix vente"/>
      <sheetName val="PO Client"/>
      <sheetName val="Conf Comm"/>
      <sheetName val="Liste WO"/>
      <sheetName val="WO"/>
      <sheetName val="Prix revient"/>
      <sheetName val="TDS"/>
      <sheetName val="Liste de produits"/>
      <sheetName val="Code Couleur"/>
      <sheetName val="Work Order"/>
    </sheetNames>
    <sheetDataSet>
      <sheetData sheetId="0"/>
      <sheetData sheetId="1"/>
      <sheetData sheetId="2">
        <row r="1">
          <cell r="A1" t="str">
            <v>Produits achetés utilisés / discontinués / non acceptable</v>
          </cell>
        </row>
        <row r="2">
          <cell r="A2" t="str">
            <v>Produits achetés et reçus</v>
          </cell>
        </row>
        <row r="3">
          <cell r="A3" t="str">
            <v>Produits achetés non reçus</v>
          </cell>
        </row>
        <row r="5">
          <cell r="A5" t="str">
            <v>Code achat</v>
          </cell>
          <cell r="T5" t="str">
            <v>Prix/msi livres (CAD)</v>
          </cell>
          <cell r="U5" t="str">
            <v>Prix achat/msi (CAD)</v>
          </cell>
        </row>
        <row r="6">
          <cell r="A6">
            <v>30000</v>
          </cell>
          <cell r="T6">
            <v>0.28741935483871001</v>
          </cell>
          <cell r="U6">
            <v>0.28741935483870973</v>
          </cell>
        </row>
        <row r="7">
          <cell r="A7">
            <v>30001</v>
          </cell>
          <cell r="T7">
            <v>0.34838709677419355</v>
          </cell>
          <cell r="U7">
            <v>0.34838709677419355</v>
          </cell>
        </row>
        <row r="8">
          <cell r="A8">
            <v>30002</v>
          </cell>
          <cell r="T8">
            <v>0.25083870967741934</v>
          </cell>
          <cell r="U8">
            <v>0.25083870967741934</v>
          </cell>
        </row>
        <row r="9">
          <cell r="A9">
            <v>30003</v>
          </cell>
          <cell r="T9">
            <v>0.27087096774193553</v>
          </cell>
          <cell r="U9">
            <v>0.27087096774193553</v>
          </cell>
        </row>
        <row r="10">
          <cell r="A10">
            <v>30004</v>
          </cell>
          <cell r="T10">
            <v>0.33183870967741935</v>
          </cell>
          <cell r="U10">
            <v>0.33183870967741935</v>
          </cell>
        </row>
        <row r="11">
          <cell r="A11">
            <v>30005</v>
          </cell>
          <cell r="T11">
            <v>0.23341935483870971</v>
          </cell>
          <cell r="U11">
            <v>0.23341935483870971</v>
          </cell>
        </row>
        <row r="12">
          <cell r="A12">
            <v>30006</v>
          </cell>
          <cell r="T12">
            <v>0.2769677419354839</v>
          </cell>
          <cell r="U12">
            <v>0.2769677419354839</v>
          </cell>
        </row>
        <row r="13">
          <cell r="A13">
            <v>30007</v>
          </cell>
          <cell r="T13">
            <v>0.30483870967741933</v>
          </cell>
          <cell r="U13">
            <v>0.30483870967741933</v>
          </cell>
        </row>
        <row r="14">
          <cell r="A14">
            <v>30008</v>
          </cell>
          <cell r="T14">
            <v>0.2891612903225807</v>
          </cell>
          <cell r="U14">
            <v>0.2891612903225807</v>
          </cell>
        </row>
        <row r="15">
          <cell r="A15">
            <v>30009</v>
          </cell>
          <cell r="T15">
            <v>0.31354838709677418</v>
          </cell>
          <cell r="U15">
            <v>0.31354838709677418</v>
          </cell>
        </row>
        <row r="16">
          <cell r="A16">
            <v>30010</v>
          </cell>
          <cell r="T16">
            <v>0.25954838709677419</v>
          </cell>
          <cell r="U16">
            <v>0.25954838709677419</v>
          </cell>
        </row>
        <row r="17">
          <cell r="A17">
            <v>30011</v>
          </cell>
          <cell r="T17">
            <v>0</v>
          </cell>
          <cell r="U17">
            <v>0.2835786407993599</v>
          </cell>
        </row>
        <row r="18">
          <cell r="A18">
            <v>30012</v>
          </cell>
          <cell r="T18">
            <v>0</v>
          </cell>
          <cell r="U18">
            <v>0.32797457659534618</v>
          </cell>
        </row>
        <row r="19">
          <cell r="A19">
            <v>30013</v>
          </cell>
          <cell r="T19">
            <v>0</v>
          </cell>
          <cell r="U19">
            <v>0.35817393372252498</v>
          </cell>
        </row>
        <row r="20">
          <cell r="A20">
            <v>30014</v>
          </cell>
          <cell r="T20">
            <v>0.26001875721560863</v>
          </cell>
          <cell r="U20">
            <v>0.26001875721560863</v>
          </cell>
        </row>
        <row r="21">
          <cell r="A21">
            <v>30015</v>
          </cell>
          <cell r="T21">
            <v>0.26885424108657641</v>
          </cell>
          <cell r="U21">
            <v>0.26885424108657641</v>
          </cell>
        </row>
        <row r="22">
          <cell r="A22">
            <v>30016</v>
          </cell>
          <cell r="T22">
            <v>0.32628488624786672</v>
          </cell>
          <cell r="U22">
            <v>0.32628488624786672</v>
          </cell>
        </row>
        <row r="23">
          <cell r="A23">
            <v>30017</v>
          </cell>
          <cell r="T23">
            <v>0.32628488624786672</v>
          </cell>
          <cell r="U23">
            <v>0.32628488624786672</v>
          </cell>
        </row>
        <row r="24">
          <cell r="A24">
            <v>30018</v>
          </cell>
          <cell r="T24">
            <v>0.26428560241052407</v>
          </cell>
          <cell r="U24">
            <v>0.26428560241052407</v>
          </cell>
        </row>
        <row r="25">
          <cell r="A25">
            <v>30019</v>
          </cell>
          <cell r="T25">
            <v>0.37814458402377227</v>
          </cell>
          <cell r="U25">
            <v>0.37814458402377227</v>
          </cell>
        </row>
        <row r="26">
          <cell r="A26">
            <v>30020</v>
          </cell>
          <cell r="T26">
            <v>0.52511806784840576</v>
          </cell>
          <cell r="U26">
            <v>0.52511806784840576</v>
          </cell>
        </row>
        <row r="27">
          <cell r="A27">
            <v>30021</v>
          </cell>
          <cell r="T27">
            <v>0.68134346955395519</v>
          </cell>
          <cell r="U27">
            <v>0.68134346955395519</v>
          </cell>
        </row>
        <row r="28">
          <cell r="A28">
            <v>30022</v>
          </cell>
          <cell r="T28">
            <v>0</v>
          </cell>
          <cell r="U28">
            <v>0.68134346955395519</v>
          </cell>
        </row>
        <row r="29">
          <cell r="A29">
            <v>30023</v>
          </cell>
          <cell r="T29">
            <v>0.29511487172670009</v>
          </cell>
          <cell r="U29">
            <v>0.29511487172670009</v>
          </cell>
        </row>
        <row r="30">
          <cell r="A30">
            <v>30024</v>
          </cell>
          <cell r="T30">
            <v>0.28637490201121879</v>
          </cell>
          <cell r="U30">
            <v>0.28637490201121879</v>
          </cell>
        </row>
        <row r="31">
          <cell r="A31">
            <v>30025</v>
          </cell>
          <cell r="T31">
            <v>0.10141226920875877</v>
          </cell>
          <cell r="U31">
            <v>0.36934253244035825</v>
          </cell>
        </row>
        <row r="32">
          <cell r="A32">
            <v>30026</v>
          </cell>
          <cell r="T32">
            <v>0.3169705647156798</v>
          </cell>
          <cell r="U32">
            <v>0.3169705647156798</v>
          </cell>
        </row>
        <row r="33">
          <cell r="A33">
            <v>30027</v>
          </cell>
          <cell r="T33">
            <v>0.30720851418225592</v>
          </cell>
          <cell r="U33">
            <v>0.30720851418225592</v>
          </cell>
        </row>
        <row r="34">
          <cell r="A34">
            <v>30028</v>
          </cell>
          <cell r="T34">
            <v>0.30720851418225592</v>
          </cell>
          <cell r="U34">
            <v>0.30720851418225592</v>
          </cell>
        </row>
        <row r="35">
          <cell r="A35">
            <v>30029</v>
          </cell>
          <cell r="T35">
            <v>0.28523593353709464</v>
          </cell>
          <cell r="U35">
            <v>0.28523593353709464</v>
          </cell>
        </row>
        <row r="36">
          <cell r="A36">
            <v>30030</v>
          </cell>
          <cell r="T36">
            <v>0.2764469012790301</v>
          </cell>
          <cell r="U36">
            <v>0.2764469012790301</v>
          </cell>
        </row>
        <row r="37">
          <cell r="A37">
            <v>30031</v>
          </cell>
          <cell r="T37">
            <v>0.25886883676290107</v>
          </cell>
          <cell r="U37">
            <v>0.25886883676290107</v>
          </cell>
        </row>
        <row r="38">
          <cell r="A38">
            <v>30032</v>
          </cell>
          <cell r="T38">
            <v>1.0771344168905579</v>
          </cell>
          <cell r="U38">
            <v>1.0771344168905579</v>
          </cell>
        </row>
        <row r="39">
          <cell r="A39">
            <v>30033</v>
          </cell>
          <cell r="T39">
            <v>0</v>
          </cell>
          <cell r="U39">
            <v>0</v>
          </cell>
        </row>
        <row r="40">
          <cell r="A40">
            <v>30034</v>
          </cell>
          <cell r="T40">
            <v>0</v>
          </cell>
          <cell r="U40">
            <v>0</v>
          </cell>
        </row>
        <row r="41">
          <cell r="A41">
            <v>30035</v>
          </cell>
          <cell r="T41">
            <v>2.23</v>
          </cell>
          <cell r="U41">
            <v>0</v>
          </cell>
        </row>
        <row r="42">
          <cell r="A42">
            <v>30036</v>
          </cell>
          <cell r="T42">
            <v>0.2582568285373486</v>
          </cell>
          <cell r="U42">
            <v>0.2582568285373486</v>
          </cell>
        </row>
        <row r="43">
          <cell r="A43">
            <v>30037</v>
          </cell>
          <cell r="T43">
            <v>0.475309731763155</v>
          </cell>
          <cell r="U43">
            <v>0.475309731763155</v>
          </cell>
        </row>
        <row r="44">
          <cell r="A44">
            <v>30038</v>
          </cell>
          <cell r="T44">
            <v>0.28991037692444538</v>
          </cell>
          <cell r="U44">
            <v>0.28991037692444538</v>
          </cell>
        </row>
        <row r="45">
          <cell r="A45">
            <v>30039</v>
          </cell>
          <cell r="T45">
            <v>0.28991037692444538</v>
          </cell>
          <cell r="U45">
            <v>0.28991037692444538</v>
          </cell>
        </row>
        <row r="46">
          <cell r="A46">
            <v>30040</v>
          </cell>
          <cell r="T46">
            <v>0.30709677419354836</v>
          </cell>
          <cell r="U46">
            <v>0.30709677419354836</v>
          </cell>
        </row>
        <row r="47">
          <cell r="A47">
            <v>30041</v>
          </cell>
          <cell r="T47">
            <v>0.23483870967741935</v>
          </cell>
          <cell r="U47">
            <v>0.23483870967741935</v>
          </cell>
        </row>
        <row r="48">
          <cell r="A48">
            <v>30042</v>
          </cell>
          <cell r="T48">
            <v>0.2734860931279533</v>
          </cell>
          <cell r="U48">
            <v>0.2734860931279533</v>
          </cell>
        </row>
        <row r="49">
          <cell r="A49">
            <v>30043</v>
          </cell>
          <cell r="T49">
            <v>0</v>
          </cell>
          <cell r="U49">
            <v>0</v>
          </cell>
        </row>
        <row r="50">
          <cell r="A50">
            <v>30044</v>
          </cell>
          <cell r="T50">
            <v>0</v>
          </cell>
          <cell r="U50">
            <v>0</v>
          </cell>
        </row>
        <row r="51">
          <cell r="A51">
            <v>30045</v>
          </cell>
          <cell r="T51">
            <v>0</v>
          </cell>
          <cell r="U51">
            <v>0</v>
          </cell>
        </row>
        <row r="52">
          <cell r="A52">
            <v>30046</v>
          </cell>
          <cell r="T52">
            <v>0</v>
          </cell>
          <cell r="U52">
            <v>0</v>
          </cell>
        </row>
        <row r="53">
          <cell r="A53">
            <v>30047</v>
          </cell>
          <cell r="T53">
            <v>0</v>
          </cell>
          <cell r="U53">
            <v>0</v>
          </cell>
        </row>
        <row r="54">
          <cell r="A54">
            <v>30048</v>
          </cell>
          <cell r="T54">
            <v>0</v>
          </cell>
          <cell r="U54">
            <v>0</v>
          </cell>
        </row>
        <row r="55">
          <cell r="A55">
            <v>30049</v>
          </cell>
          <cell r="T55">
            <v>0</v>
          </cell>
          <cell r="U55">
            <v>0</v>
          </cell>
        </row>
        <row r="56">
          <cell r="A56">
            <v>30050</v>
          </cell>
          <cell r="T56">
            <v>0</v>
          </cell>
          <cell r="U56">
            <v>0</v>
          </cell>
        </row>
        <row r="57">
          <cell r="A57">
            <v>30051</v>
          </cell>
          <cell r="T57">
            <v>0</v>
          </cell>
          <cell r="U57">
            <v>0</v>
          </cell>
        </row>
        <row r="58">
          <cell r="A58">
            <v>30052</v>
          </cell>
          <cell r="T58">
            <v>0</v>
          </cell>
          <cell r="U58">
            <v>0</v>
          </cell>
        </row>
        <row r="59">
          <cell r="A59">
            <v>30053</v>
          </cell>
          <cell r="T59">
            <v>0</v>
          </cell>
          <cell r="U59">
            <v>0</v>
          </cell>
        </row>
        <row r="60">
          <cell r="A60">
            <v>30054</v>
          </cell>
          <cell r="T60">
            <v>0</v>
          </cell>
          <cell r="U60">
            <v>0</v>
          </cell>
        </row>
        <row r="61">
          <cell r="A61">
            <v>30055</v>
          </cell>
          <cell r="T61">
            <v>0</v>
          </cell>
          <cell r="U61">
            <v>0</v>
          </cell>
        </row>
        <row r="62">
          <cell r="A62">
            <v>30056</v>
          </cell>
          <cell r="T62">
            <v>0</v>
          </cell>
          <cell r="U62">
            <v>0</v>
          </cell>
        </row>
        <row r="63">
          <cell r="A63">
            <v>30057</v>
          </cell>
          <cell r="T63">
            <v>0</v>
          </cell>
          <cell r="U63">
            <v>0</v>
          </cell>
        </row>
        <row r="64">
          <cell r="A64">
            <v>30058</v>
          </cell>
          <cell r="T64">
            <v>0</v>
          </cell>
          <cell r="U64">
            <v>0</v>
          </cell>
        </row>
        <row r="65">
          <cell r="A65">
            <v>30059</v>
          </cell>
          <cell r="T65">
            <v>0</v>
          </cell>
          <cell r="U65">
            <v>0</v>
          </cell>
        </row>
        <row r="66">
          <cell r="A66">
            <v>30060</v>
          </cell>
          <cell r="T66">
            <v>0</v>
          </cell>
          <cell r="U66">
            <v>0</v>
          </cell>
        </row>
        <row r="67">
          <cell r="A67">
            <v>30061</v>
          </cell>
          <cell r="T67">
            <v>0</v>
          </cell>
          <cell r="U67">
            <v>0</v>
          </cell>
        </row>
        <row r="68">
          <cell r="A68">
            <v>30062</v>
          </cell>
          <cell r="T68">
            <v>0</v>
          </cell>
          <cell r="U68">
            <v>0</v>
          </cell>
        </row>
        <row r="69">
          <cell r="A69">
            <v>30063</v>
          </cell>
          <cell r="T69">
            <v>0</v>
          </cell>
          <cell r="U69">
            <v>0</v>
          </cell>
        </row>
        <row r="70">
          <cell r="A70">
            <v>30064</v>
          </cell>
          <cell r="T70">
            <v>0</v>
          </cell>
          <cell r="U70">
            <v>0</v>
          </cell>
        </row>
        <row r="71">
          <cell r="A71">
            <v>30065</v>
          </cell>
          <cell r="T71">
            <v>0</v>
          </cell>
          <cell r="U71">
            <v>0</v>
          </cell>
        </row>
        <row r="72">
          <cell r="A72">
            <v>30066</v>
          </cell>
          <cell r="T72">
            <v>0</v>
          </cell>
          <cell r="U72">
            <v>0</v>
          </cell>
        </row>
        <row r="73">
          <cell r="A73">
            <v>30067</v>
          </cell>
          <cell r="T73">
            <v>0</v>
          </cell>
          <cell r="U73">
            <v>0</v>
          </cell>
        </row>
        <row r="74">
          <cell r="A74">
            <v>30068</v>
          </cell>
          <cell r="T74">
            <v>0</v>
          </cell>
          <cell r="U7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e Pitre" refreshedDate="45624.260314699073" createdVersion="8" refreshedVersion="8" minRefreshableVersion="3" recordCount="391" xr:uid="{FA71B75F-04FE-405A-9123-D068E486316D}">
  <cacheSource type="worksheet">
    <worksheetSource name="Table212[[Description]:[Length (ft)]]"/>
  </cacheSource>
  <cacheFields count="3">
    <cacheField name="Description" numFmtId="0">
      <sharedItems count="18">
        <s v="B15 - 2,0 Clear BOPP / ACR / Glassine"/>
        <s v="B25 - 2,4 White BOPP / ACR / Glassine"/>
        <s v="D11 - TC DT / HM / Glassine (Supermarket)"/>
        <s v="D16 - TC DT / ACR / Glassine (Supermarket)"/>
        <s v="D21 - TC DT / HM / Glassine (Shipping)"/>
        <s v="S11 - Semi-gloss / HM / Glassine"/>
        <s v="S15 - Semi-gloss / ACR / Glassine"/>
        <s v="S21 - Semi-gloss /HM permanent / Glassine"/>
        <s v="S31 - Semi-gloss / HM / PET"/>
        <s v="T11 - TT / HM / Glassine"/>
        <s v="F60 - 95µ White BOPP"/>
        <s v="F50 - 95µ Clear BOPP"/>
        <s v="S35 - Semi-gloss / ACR / PET"/>
        <s v="S15-3 - SG / ACR / WG" u="1"/>
        <s v="S35-3 - SG / ACR / PET" u="1"/>
        <s v="B15-3 - CL BOPP / ACR / WG" u="1"/>
        <s v="B25-3 - W BOPP / ACR / WG" u="1"/>
        <s v="D11-3 - DT TC / HM / WG" u="1"/>
      </sharedItems>
    </cacheField>
    <cacheField name="Width (in)" numFmtId="43">
      <sharedItems containsSemiMixedTypes="0" containsString="0" containsNumber="1" minValue="0" maxValue="60.24" count="30">
        <n v="0"/>
        <n v="8"/>
        <n v="60.24"/>
        <n v="9.5"/>
        <n v="4"/>
        <n v="20.079999999999998"/>
        <n v="7.5"/>
        <n v="5.5"/>
        <n v="10.82"/>
        <n v="44.25"/>
        <n v="8.6"/>
        <n v="30.5"/>
        <n v="17.25"/>
        <n v="33.75"/>
        <n v="47"/>
        <n v="10"/>
        <n v="42.52"/>
        <n v="20.5"/>
        <n v="8.5"/>
        <n v="15.5"/>
        <n v="29.5"/>
        <n v="34"/>
        <n v="41.85"/>
        <n v="42.5"/>
        <n v="8.8000000000000007"/>
        <n v="16.54"/>
        <n v="38.58" u="1"/>
        <n v="60.04" u="1"/>
        <n v="12.75" u="1"/>
        <n v="9.4" u="1"/>
      </sharedItems>
    </cacheField>
    <cacheField name="Length (ft)" numFmtId="165">
      <sharedItems containsSemiMixedTypes="0" containsString="0" containsNumber="1" containsInteger="1" minValue="0" maxValue="217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e Pitre" refreshedDate="45663.447071296294" createdVersion="8" refreshedVersion="8" minRefreshableVersion="3" recordCount="505" xr:uid="{B9148DFC-A5BC-40E4-AA48-2CACFD05CD18}">
  <cacheSource type="worksheet">
    <worksheetSource name="Table212"/>
  </cacheSource>
  <cacheFields count="20">
    <cacheField name="Code achat" numFmtId="0">
      <sharedItems containsSemiMixedTypes="0" containsString="0" containsNumber="1" containsInteger="1" minValue="30011" maxValue="30039"/>
    </cacheField>
    <cacheField name="Code LabelEdge" numFmtId="0">
      <sharedItems count="33">
        <s v="B15-3"/>
        <s v="B25-3"/>
        <s v="D11-1 (D16)"/>
        <s v="D16-1"/>
        <s v="D21-1"/>
        <s v="S11-3"/>
        <s v="S15-3"/>
        <s v="S21-1"/>
        <s v="S31-1"/>
        <s v="T11-1"/>
        <s v="D11-1"/>
        <s v="D11-2"/>
        <s v="F60-5"/>
        <s v="F50-5"/>
        <s v="S35-3"/>
        <s v="D11-3"/>
        <s v="DF-52"/>
        <s v="B11-1" u="1"/>
        <s v="B15-1" u="1"/>
        <s v="B21-1" u="1"/>
        <s v="B25-1" u="1"/>
        <s v="D16-2 (OBSOLETE)" u="1"/>
        <s v="D22-1" u="1"/>
        <s v="DT OBSOLETE REPL BY AR316" u="1"/>
        <s v="N11-1" u="1"/>
        <s v="S11-1" u="1"/>
        <s v="T12-1" u="1"/>
        <s v="B50-5" u="1"/>
        <s v="B60-5" u="1"/>
        <s v="B70-6" u="1"/>
        <s v="D11-1 (D16-2)" u="1"/>
        <s v="OBSOLETE REPL AR316" u="1"/>
        <s v="D16-2" u="1"/>
      </sharedItems>
    </cacheField>
    <cacheField name="Date" numFmtId="14">
      <sharedItems containsSemiMixedTypes="0" containsNonDate="0" containsDate="1" containsString="0" minDate="2024-03-05T00:00:00" maxDate="2024-12-21T00:00:00"/>
    </cacheField>
    <cacheField name="IN / OUT" numFmtId="0">
      <sharedItems/>
    </cacheField>
    <cacheField name="Actif / Inactif" numFmtId="0">
      <sharedItems/>
    </cacheField>
    <cacheField name="Qté (roul)" numFmtId="1">
      <sharedItems containsSemiMixedTypes="0" containsString="0" containsNumber="1" containsInteger="1" minValue="-1" maxValue="1"/>
    </cacheField>
    <cacheField name="WO" numFmtId="0">
      <sharedItems containsBlank="1" containsMixedTypes="1" containsNumber="1" containsInteger="1" minValue="2024055" maxValue="2024146"/>
    </cacheField>
    <cacheField name="Roll ID" numFmtId="0">
      <sharedItems/>
    </cacheField>
    <cacheField name="Larg." numFmtId="0">
      <sharedItems containsSemiMixedTypes="0" containsString="0" containsNumber="1" minValue="4" maxValue="1530"/>
    </cacheField>
    <cacheField name="Unit" numFmtId="0">
      <sharedItems/>
    </cacheField>
    <cacheField name="Longueur" numFmtId="3">
      <sharedItems containsSemiMixedTypes="0" containsString="0" containsNumber="1" containsInteger="1" minValue="1450" maxValue="19948"/>
    </cacheField>
    <cacheField name="Unit2" numFmtId="3">
      <sharedItems/>
    </cacheField>
    <cacheField name="MSI" numFmtId="165">
      <sharedItems containsSemiMixedTypes="0" containsString="0" containsNumber="1" minValue="-14608.439999999999" maxValue="15699.330000000002"/>
    </cacheField>
    <cacheField name="Prix/msi CAD livres" numFmtId="164">
      <sharedItems containsSemiMixedTypes="0" containsString="0" containsNumber="1" minValue="0" maxValue="0.68134346955395519"/>
    </cacheField>
    <cacheField name="Prix/msi CAD" numFmtId="164">
      <sharedItems containsSemiMixedTypes="0" containsString="0" containsNumber="1" minValue="0.2215748387096774" maxValue="0.68134346955395519"/>
    </cacheField>
    <cacheField name="Valeur CAD Livres" numFmtId="43">
      <sharedItems containsSemiMixedTypes="0" containsString="0" containsNumber="1" minValue="-4627.2319542661589" maxValue="6200.4417599999988"/>
    </cacheField>
    <cacheField name="Valeur CAD Stock" numFmtId="43">
      <sharedItems containsSemiMixedTypes="0" containsString="0" containsNumber="1" minValue="-4627.2319542661589" maxValue="6200.4417599999988"/>
    </cacheField>
    <cacheField name="Description" numFmtId="0">
      <sharedItems/>
    </cacheField>
    <cacheField name="Width (in)" numFmtId="43">
      <sharedItems containsSemiMixedTypes="0" containsString="0" containsNumber="1" minValue="0" maxValue="60.24"/>
    </cacheField>
    <cacheField name="Length (ft)" numFmtId="165">
      <sharedItems containsSemiMixedTypes="0" containsString="0" containsNumber="1" containsInteger="1" minValue="0" maxValue="217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ne Pitre" refreshedDate="45666.385598958332" createdVersion="8" refreshedVersion="8" minRefreshableVersion="3" recordCount="53" xr:uid="{906811AF-6976-4617-AF2D-BBB17E1A6340}">
  <cacheSource type="worksheet">
    <worksheetSource name="Table2"/>
  </cacheSource>
  <cacheFields count="13">
    <cacheField name="Article no" numFmtId="0">
      <sharedItems containsSemiMixedTypes="0" containsString="0" containsNumber="1" containsInteger="1" minValue="300002" maxValue="400005"/>
    </cacheField>
    <cacheField name="Date" numFmtId="14">
      <sharedItems containsSemiMixedTypes="0" containsNonDate="0" containsDate="1" containsString="0" minDate="2024-03-04T00:00:00" maxDate="2025-01-01T00:00:00"/>
    </cacheField>
    <cacheField name="Origine" numFmtId="0">
      <sharedItems/>
    </cacheField>
    <cacheField name="Specifications" numFmtId="0">
      <sharedItems containsBlank="1"/>
    </cacheField>
    <cacheField name="Détail" numFmtId="0">
      <sharedItems containsBlank="1" containsMixedTypes="1" containsNumber="1" containsInteger="1" minValue="2024205" maxValue="2024206"/>
    </cacheField>
    <cacheField name="Prix unitaire" numFmtId="164">
      <sharedItems containsString="0" containsBlank="1" containsNumber="1" minValue="0" maxValue="60"/>
    </cacheField>
    <cacheField name="Unité prix" numFmtId="0">
      <sharedItems containsBlank="1"/>
    </cacheField>
    <cacheField name="Devise" numFmtId="0">
      <sharedItems containsBlank="1"/>
    </cacheField>
    <cacheField name="Qté" numFmtId="0">
      <sharedItems containsString="0" containsBlank="1" containsNumber="1" containsInteger="1" minValue="-1800" maxValue="16200"/>
    </cacheField>
    <cacheField name="Coût total" numFmtId="43">
      <sharedItems containsString="0" containsBlank="1" containsNumber="1" minValue="-1459.5" maxValue="3550"/>
    </cacheField>
    <cacheField name="FX rate" numFmtId="164">
      <sharedItems containsString="0" containsBlank="1" containsNumber="1" minValue="1" maxValue="4"/>
    </cacheField>
    <cacheField name="Valeur (CAD)" numFmtId="43">
      <sharedItems containsString="0" containsBlank="1" containsNumber="1" minValue="-13347.529999999999" maxValue="13347.529999999999"/>
    </cacheField>
    <cacheField name="Nom" numFmtId="0">
      <sharedItems count="46">
        <s v="300002 Polyrol 16.75x3"/>
        <s v="300005 Polyrol palette 46x46"/>
        <s v="300006 Polyrol palette 92x46"/>
        <s v="300007 Forest Palettes 48x40"/>
        <s v="300008 Polyrol 60x3"/>
        <s v="300009 Polyrol palette 60x46"/>
        <s v="300010 AKO samples AH2008 Label TC DT 4x6 perf (6.045USD/rl)"/>
        <s v="300011 AKO samples AH1003 Label 4x6 TT perf (5.446USD/rl)"/>
        <s v="300012 4x6 ED3049 4x6 (1000/roul; 4/boite)"/>
        <s v="300013 Yazoo 1.5x2.362"/>
        <s v="300014 Yazoo 3x4.125"/>
        <s v="300015 Yazoo 1x4"/>
        <s v="300016 Yazoo 3x4"/>
        <s v="300017 Uline Carton"/>
        <s v="300018 Emballage LM Triangles (528)"/>
        <s v="400001 Produits finis papier "/>
        <s v="400002 Étiquettes 4x6 D21-1 Core 3&quot; 1000/rl"/>
        <s v="400003 Étiquettes 4x6 D11-1 Core 3&quot; 1000/rl"/>
        <s v="400004 Étiquettes 4x6 D11-3 Core 3&quot; 1000/rl"/>
        <s v="400005 Étiquettes 4x6 D21-1 Core 1&quot; 250/rl"/>
        <s v="200001 Produits finis papier " u="1"/>
        <s v="200002 Étiquettes 4x6 D21-1 Core 3&quot; 1000/rl" u="1"/>
        <s v="200003 Étiquettes 4x6 D11-1 Core 3&quot; 1000/rl" u="1"/>
        <s v="200004 Étiquettes 4x6 D11-3 Core 3&quot; 1000/rl" u="1"/>
        <s v="200005 Étiquettes 4x6 D21-1 Core 1&quot; 250/rl" u="1"/>
        <s v="200014 Produits finis papier " u="1"/>
        <s v="200015 Étiquettes 4x6 D21-1 Core 3&quot; 1000/rl" u="1"/>
        <s v="200016 Étiquettes 4x6 D11-1 Core 3&quot; 1000/rl" u="1"/>
        <s v="200017 Étiquettes 4x6 D11-3 Core 3&quot; 1000/rl" u="1"/>
        <s v="200018 Étiquettes 4x6 D21-1 Core 1&quot; 250/rl" u="1"/>
        <s v="300010 Yazoo 1x4" u="1"/>
        <s v="300011 Yazoo 3x4" u="1"/>
        <s v="300012 Uline Carton" u="1"/>
        <s v="300013 Emballage LM Triangles (528)" u="1"/>
        <s v="200014 Produits finis PL50100+50106+50104" u="1"/>
        <s v="200014 Produits finis PL 50125" u="1"/>
        <s v="200015 Étiquettes 4x6 D21 Core 3&quot; 1000/rl" u="1"/>
        <s v="200017 Étiquettes 4x6 D11-3 2024206 2024206 Core 3&quot; 1000/rl" u="1"/>
        <s v="200018 Étiquettes 4x6 D21 2024203 2024203 Core 1&quot; 250/rl" u="1"/>
        <s v="300007 Forest Palettes Plus solides" u="1"/>
        <s v="  " u="1"/>
        <s v="200014 Produits finis PL50100+50106" u="1"/>
        <s v="30008 Polyrol 60x3" u="1"/>
        <s v="200013 Emballage LM Triangles (528)" u="1"/>
        <s v="300008 Polyrol ship incl 60x3" u="1"/>
        <s v="300007 Forest Palettes ship incl Plus solid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0"/>
    <n v="0"/>
  </r>
  <r>
    <x v="0"/>
    <x v="1"/>
    <n v="1450"/>
  </r>
  <r>
    <x v="0"/>
    <x v="2"/>
    <n v="5100"/>
  </r>
  <r>
    <x v="0"/>
    <x v="2"/>
    <n v="19619"/>
  </r>
  <r>
    <x v="1"/>
    <x v="0"/>
    <n v="0"/>
  </r>
  <r>
    <x v="1"/>
    <x v="0"/>
    <n v="0"/>
  </r>
  <r>
    <x v="1"/>
    <x v="3"/>
    <n v="2500"/>
  </r>
  <r>
    <x v="2"/>
    <x v="4"/>
    <n v="5000"/>
  </r>
  <r>
    <x v="2"/>
    <x v="4"/>
    <n v="4750"/>
  </r>
  <r>
    <x v="2"/>
    <x v="4"/>
    <n v="5000"/>
  </r>
  <r>
    <x v="2"/>
    <x v="4"/>
    <n v="4800"/>
  </r>
  <r>
    <x v="2"/>
    <x v="4"/>
    <n v="5000"/>
  </r>
  <r>
    <x v="2"/>
    <x v="4"/>
    <n v="4800"/>
  </r>
  <r>
    <x v="2"/>
    <x v="4"/>
    <n v="5000"/>
  </r>
  <r>
    <x v="2"/>
    <x v="4"/>
    <n v="4550"/>
  </r>
  <r>
    <x v="2"/>
    <x v="4"/>
    <n v="5000"/>
  </r>
  <r>
    <x v="2"/>
    <x v="4"/>
    <n v="4500"/>
  </r>
  <r>
    <x v="2"/>
    <x v="4"/>
    <n v="5000"/>
  </r>
  <r>
    <x v="2"/>
    <x v="4"/>
    <n v="4500"/>
  </r>
  <r>
    <x v="2"/>
    <x v="4"/>
    <n v="5000"/>
  </r>
  <r>
    <x v="2"/>
    <x v="4"/>
    <n v="4850"/>
  </r>
  <r>
    <x v="2"/>
    <x v="4"/>
    <n v="5000"/>
  </r>
  <r>
    <x v="2"/>
    <x v="4"/>
    <n v="4850"/>
  </r>
  <r>
    <x v="2"/>
    <x v="4"/>
    <n v="5000"/>
  </r>
  <r>
    <x v="2"/>
    <x v="4"/>
    <n v="485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3"/>
    <x v="0"/>
    <n v="0"/>
  </r>
  <r>
    <x v="3"/>
    <x v="0"/>
    <n v="0"/>
  </r>
  <r>
    <x v="3"/>
    <x v="3"/>
    <n v="4680"/>
  </r>
  <r>
    <x v="3"/>
    <x v="0"/>
    <n v="0"/>
  </r>
  <r>
    <x v="3"/>
    <x v="0"/>
    <n v="0"/>
  </r>
  <r>
    <x v="3"/>
    <x v="3"/>
    <n v="5000"/>
  </r>
  <r>
    <x v="3"/>
    <x v="0"/>
    <n v="0"/>
  </r>
  <r>
    <x v="3"/>
    <x v="0"/>
    <n v="0"/>
  </r>
  <r>
    <x v="3"/>
    <x v="3"/>
    <n v="4950"/>
  </r>
  <r>
    <x v="3"/>
    <x v="3"/>
    <n v="4750"/>
  </r>
  <r>
    <x v="3"/>
    <x v="0"/>
    <n v="0"/>
  </r>
  <r>
    <x v="3"/>
    <x v="0"/>
    <n v="0"/>
  </r>
  <r>
    <x v="3"/>
    <x v="3"/>
    <n v="4950"/>
  </r>
  <r>
    <x v="3"/>
    <x v="3"/>
    <n v="4750"/>
  </r>
  <r>
    <x v="3"/>
    <x v="0"/>
    <n v="0"/>
  </r>
  <r>
    <x v="3"/>
    <x v="0"/>
    <n v="0"/>
  </r>
  <r>
    <x v="3"/>
    <x v="3"/>
    <n v="4900"/>
  </r>
  <r>
    <x v="3"/>
    <x v="0"/>
    <n v="0"/>
  </r>
  <r>
    <x v="3"/>
    <x v="0"/>
    <n v="0"/>
  </r>
  <r>
    <x v="3"/>
    <x v="3"/>
    <n v="4850"/>
  </r>
  <r>
    <x v="3"/>
    <x v="0"/>
    <n v="0"/>
  </r>
  <r>
    <x v="3"/>
    <x v="0"/>
    <n v="0"/>
  </r>
  <r>
    <x v="3"/>
    <x v="3"/>
    <n v="4950"/>
  </r>
  <r>
    <x v="3"/>
    <x v="3"/>
    <n v="4950"/>
  </r>
  <r>
    <x v="3"/>
    <x v="0"/>
    <n v="0"/>
  </r>
  <r>
    <x v="3"/>
    <x v="0"/>
    <n v="0"/>
  </r>
  <r>
    <x v="3"/>
    <x v="3"/>
    <n v="485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3"/>
    <n v="5200"/>
  </r>
  <r>
    <x v="3"/>
    <x v="0"/>
    <n v="0"/>
  </r>
  <r>
    <x v="3"/>
    <x v="0"/>
    <n v="0"/>
  </r>
  <r>
    <x v="3"/>
    <x v="3"/>
    <n v="468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3"/>
    <n v="485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3"/>
    <x v="0"/>
    <n v="0"/>
  </r>
  <r>
    <x v="4"/>
    <x v="5"/>
    <n v="9843"/>
  </r>
  <r>
    <x v="4"/>
    <x v="5"/>
    <n v="9843"/>
  </r>
  <r>
    <x v="4"/>
    <x v="0"/>
    <n v="0"/>
  </r>
  <r>
    <x v="4"/>
    <x v="0"/>
    <n v="0"/>
  </r>
  <r>
    <x v="4"/>
    <x v="5"/>
    <n v="9843"/>
  </r>
  <r>
    <x v="4"/>
    <x v="5"/>
    <n v="9843"/>
  </r>
  <r>
    <x v="4"/>
    <x v="5"/>
    <n v="9843"/>
  </r>
  <r>
    <x v="4"/>
    <x v="5"/>
    <n v="9843"/>
  </r>
  <r>
    <x v="4"/>
    <x v="5"/>
    <n v="9843"/>
  </r>
  <r>
    <x v="4"/>
    <x v="5"/>
    <n v="9843"/>
  </r>
  <r>
    <x v="4"/>
    <x v="2"/>
    <n v="9843"/>
  </r>
  <r>
    <x v="4"/>
    <x v="2"/>
    <n v="9843"/>
  </r>
  <r>
    <x v="4"/>
    <x v="0"/>
    <n v="0"/>
  </r>
  <r>
    <x v="4"/>
    <x v="0"/>
    <n v="0"/>
  </r>
  <r>
    <x v="4"/>
    <x v="6"/>
    <n v="4800"/>
  </r>
  <r>
    <x v="4"/>
    <x v="6"/>
    <n v="4900"/>
  </r>
  <r>
    <x v="4"/>
    <x v="2"/>
    <n v="9843"/>
  </r>
  <r>
    <x v="4"/>
    <x v="0"/>
    <n v="0"/>
  </r>
  <r>
    <x v="4"/>
    <x v="0"/>
    <n v="0"/>
  </r>
  <r>
    <x v="4"/>
    <x v="6"/>
    <n v="4800"/>
  </r>
  <r>
    <x v="4"/>
    <x v="2"/>
    <n v="4900"/>
  </r>
  <r>
    <x v="4"/>
    <x v="2"/>
    <n v="9843"/>
  </r>
  <r>
    <x v="4"/>
    <x v="2"/>
    <n v="9843"/>
  </r>
  <r>
    <x v="4"/>
    <x v="2"/>
    <n v="4643"/>
  </r>
  <r>
    <x v="4"/>
    <x v="0"/>
    <n v="0"/>
  </r>
  <r>
    <x v="4"/>
    <x v="0"/>
    <n v="0"/>
  </r>
  <r>
    <x v="4"/>
    <x v="7"/>
    <n v="3100"/>
  </r>
  <r>
    <x v="4"/>
    <x v="8"/>
    <n v="9200"/>
  </r>
  <r>
    <x v="4"/>
    <x v="2"/>
    <n v="19685"/>
  </r>
  <r>
    <x v="4"/>
    <x v="2"/>
    <n v="19685"/>
  </r>
  <r>
    <x v="4"/>
    <x v="2"/>
    <n v="19685"/>
  </r>
  <r>
    <x v="5"/>
    <x v="2"/>
    <n v="19685"/>
  </r>
  <r>
    <x v="5"/>
    <x v="2"/>
    <n v="19685"/>
  </r>
  <r>
    <x v="5"/>
    <x v="2"/>
    <n v="19685"/>
  </r>
  <r>
    <x v="5"/>
    <x v="2"/>
    <n v="19849"/>
  </r>
  <r>
    <x v="5"/>
    <x v="2"/>
    <n v="8999"/>
  </r>
  <r>
    <x v="5"/>
    <x v="9"/>
    <n v="9000"/>
  </r>
  <r>
    <x v="5"/>
    <x v="2"/>
    <n v="19554"/>
  </r>
  <r>
    <x v="6"/>
    <x v="0"/>
    <n v="0"/>
  </r>
  <r>
    <x v="6"/>
    <x v="0"/>
    <n v="0"/>
  </r>
  <r>
    <x v="6"/>
    <x v="0"/>
    <n v="0"/>
  </r>
  <r>
    <x v="6"/>
    <x v="0"/>
    <n v="0"/>
  </r>
  <r>
    <x v="6"/>
    <x v="2"/>
    <n v="500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10"/>
    <n v="2550"/>
  </r>
  <r>
    <x v="6"/>
    <x v="11"/>
    <n v="5000"/>
  </r>
  <r>
    <x v="6"/>
    <x v="0"/>
    <n v="0"/>
  </r>
  <r>
    <x v="6"/>
    <x v="0"/>
    <n v="0"/>
  </r>
  <r>
    <x v="6"/>
    <x v="12"/>
    <n v="2250"/>
  </r>
  <r>
    <x v="6"/>
    <x v="11"/>
    <n v="235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6"/>
    <x v="0"/>
    <n v="0"/>
  </r>
  <r>
    <x v="7"/>
    <x v="2"/>
    <n v="4643"/>
  </r>
  <r>
    <x v="7"/>
    <x v="0"/>
    <n v="0"/>
  </r>
  <r>
    <x v="7"/>
    <x v="0"/>
    <n v="0"/>
  </r>
  <r>
    <x v="7"/>
    <x v="2"/>
    <n v="9843"/>
  </r>
  <r>
    <x v="7"/>
    <x v="2"/>
    <n v="9843"/>
  </r>
  <r>
    <x v="7"/>
    <x v="0"/>
    <n v="0"/>
  </r>
  <r>
    <x v="7"/>
    <x v="0"/>
    <n v="0"/>
  </r>
  <r>
    <x v="7"/>
    <x v="0"/>
    <n v="0"/>
  </r>
  <r>
    <x v="7"/>
    <x v="0"/>
    <n v="0"/>
  </r>
  <r>
    <x v="7"/>
    <x v="0"/>
    <n v="0"/>
  </r>
  <r>
    <x v="7"/>
    <x v="0"/>
    <n v="0"/>
  </r>
  <r>
    <x v="7"/>
    <x v="2"/>
    <n v="4750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0"/>
    <n v="0"/>
  </r>
  <r>
    <x v="7"/>
    <x v="0"/>
    <n v="0"/>
  </r>
  <r>
    <x v="7"/>
    <x v="13"/>
    <n v="4950"/>
  </r>
  <r>
    <x v="7"/>
    <x v="2"/>
    <n v="4600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0"/>
    <n v="0"/>
  </r>
  <r>
    <x v="7"/>
    <x v="0"/>
    <n v="0"/>
  </r>
  <r>
    <x v="7"/>
    <x v="0"/>
    <n v="0"/>
  </r>
  <r>
    <x v="7"/>
    <x v="0"/>
    <n v="0"/>
  </r>
  <r>
    <x v="7"/>
    <x v="14"/>
    <n v="4780"/>
  </r>
  <r>
    <x v="7"/>
    <x v="2"/>
    <n v="9843"/>
  </r>
  <r>
    <x v="7"/>
    <x v="15"/>
    <n v="4990"/>
  </r>
  <r>
    <x v="7"/>
    <x v="0"/>
    <n v="0"/>
  </r>
  <r>
    <x v="7"/>
    <x v="0"/>
    <n v="0"/>
  </r>
  <r>
    <x v="7"/>
    <x v="0"/>
    <n v="0"/>
  </r>
  <r>
    <x v="7"/>
    <x v="0"/>
    <n v="0"/>
  </r>
  <r>
    <x v="7"/>
    <x v="2"/>
    <n v="19685"/>
  </r>
  <r>
    <x v="7"/>
    <x v="2"/>
    <n v="19685"/>
  </r>
  <r>
    <x v="7"/>
    <x v="2"/>
    <n v="19685"/>
  </r>
  <r>
    <x v="7"/>
    <x v="2"/>
    <n v="19685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0"/>
    <n v="0"/>
  </r>
  <r>
    <x v="7"/>
    <x v="0"/>
    <n v="0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7"/>
    <x v="2"/>
    <n v="9843"/>
  </r>
  <r>
    <x v="8"/>
    <x v="16"/>
    <n v="9843"/>
  </r>
  <r>
    <x v="8"/>
    <x v="0"/>
    <n v="0"/>
  </r>
  <r>
    <x v="8"/>
    <x v="0"/>
    <n v="0"/>
  </r>
  <r>
    <x v="8"/>
    <x v="17"/>
    <n v="2400"/>
  </r>
  <r>
    <x v="8"/>
    <x v="16"/>
    <n v="7244"/>
  </r>
  <r>
    <x v="9"/>
    <x v="0"/>
    <n v="0"/>
  </r>
  <r>
    <x v="9"/>
    <x v="0"/>
    <n v="0"/>
  </r>
  <r>
    <x v="9"/>
    <x v="18"/>
    <n v="9650"/>
  </r>
  <r>
    <x v="9"/>
    <x v="0"/>
    <n v="0"/>
  </r>
  <r>
    <x v="9"/>
    <x v="0"/>
    <n v="0"/>
  </r>
  <r>
    <x v="9"/>
    <x v="18"/>
    <n v="9750"/>
  </r>
  <r>
    <x v="9"/>
    <x v="0"/>
    <n v="0"/>
  </r>
  <r>
    <x v="9"/>
    <x v="0"/>
    <n v="0"/>
  </r>
  <r>
    <x v="9"/>
    <x v="18"/>
    <n v="9750"/>
  </r>
  <r>
    <x v="9"/>
    <x v="0"/>
    <n v="0"/>
  </r>
  <r>
    <x v="9"/>
    <x v="0"/>
    <n v="0"/>
  </r>
  <r>
    <x v="9"/>
    <x v="18"/>
    <n v="9700"/>
  </r>
  <r>
    <x v="9"/>
    <x v="0"/>
    <n v="0"/>
  </r>
  <r>
    <x v="9"/>
    <x v="0"/>
    <n v="0"/>
  </r>
  <r>
    <x v="9"/>
    <x v="19"/>
    <n v="2400"/>
  </r>
  <r>
    <x v="9"/>
    <x v="0"/>
    <n v="0"/>
  </r>
  <r>
    <x v="9"/>
    <x v="0"/>
    <n v="0"/>
  </r>
  <r>
    <x v="9"/>
    <x v="20"/>
    <n v="4800"/>
  </r>
  <r>
    <x v="9"/>
    <x v="0"/>
    <n v="0"/>
  </r>
  <r>
    <x v="9"/>
    <x v="0"/>
    <n v="0"/>
  </r>
  <r>
    <x v="9"/>
    <x v="0"/>
    <n v="0"/>
  </r>
  <r>
    <x v="9"/>
    <x v="0"/>
    <n v="0"/>
  </r>
  <r>
    <x v="9"/>
    <x v="21"/>
    <n v="2350"/>
  </r>
  <r>
    <x v="2"/>
    <x v="2"/>
    <n v="10499"/>
  </r>
  <r>
    <x v="2"/>
    <x v="0"/>
    <n v="0"/>
  </r>
  <r>
    <x v="2"/>
    <x v="0"/>
    <n v="0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0"/>
    <n v="0"/>
  </r>
  <r>
    <x v="2"/>
    <x v="0"/>
    <n v="0"/>
  </r>
  <r>
    <x v="2"/>
    <x v="22"/>
    <n v="10450"/>
  </r>
  <r>
    <x v="2"/>
    <x v="2"/>
    <n v="10499"/>
  </r>
  <r>
    <x v="2"/>
    <x v="0"/>
    <n v="0"/>
  </r>
  <r>
    <x v="2"/>
    <x v="0"/>
    <n v="0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2"/>
    <n v="10499"/>
  </r>
  <r>
    <x v="2"/>
    <x v="0"/>
    <n v="0"/>
  </r>
  <r>
    <x v="2"/>
    <x v="0"/>
    <n v="0"/>
  </r>
  <r>
    <x v="2"/>
    <x v="2"/>
    <n v="10499"/>
  </r>
  <r>
    <x v="2"/>
    <x v="0"/>
    <n v="0"/>
  </r>
  <r>
    <x v="2"/>
    <x v="0"/>
    <n v="0"/>
  </r>
  <r>
    <x v="2"/>
    <x v="2"/>
    <n v="5200"/>
  </r>
  <r>
    <x v="2"/>
    <x v="2"/>
    <n v="10499"/>
  </r>
  <r>
    <x v="2"/>
    <x v="2"/>
    <n v="10499"/>
  </r>
  <r>
    <x v="2"/>
    <x v="0"/>
    <n v="0"/>
  </r>
  <r>
    <x v="2"/>
    <x v="0"/>
    <n v="0"/>
  </r>
  <r>
    <x v="2"/>
    <x v="0"/>
    <n v="0"/>
  </r>
  <r>
    <x v="2"/>
    <x v="0"/>
    <n v="0"/>
  </r>
  <r>
    <x v="2"/>
    <x v="2"/>
    <n v="10499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0"/>
    <n v="0"/>
  </r>
  <r>
    <x v="2"/>
    <x v="23"/>
    <n v="5170"/>
  </r>
  <r>
    <x v="2"/>
    <x v="0"/>
    <n v="0"/>
  </r>
  <r>
    <x v="2"/>
    <x v="0"/>
    <n v="0"/>
  </r>
  <r>
    <x v="2"/>
    <x v="2"/>
    <n v="10499"/>
  </r>
  <r>
    <x v="2"/>
    <x v="2"/>
    <n v="19685"/>
  </r>
  <r>
    <x v="2"/>
    <x v="2"/>
    <n v="17618"/>
  </r>
  <r>
    <x v="2"/>
    <x v="2"/>
    <n v="21719"/>
  </r>
  <r>
    <x v="2"/>
    <x v="2"/>
    <n v="19554"/>
  </r>
  <r>
    <x v="2"/>
    <x v="2"/>
    <n v="18241"/>
  </r>
  <r>
    <x v="2"/>
    <x v="2"/>
    <n v="19685"/>
  </r>
  <r>
    <x v="2"/>
    <x v="0"/>
    <n v="0"/>
  </r>
  <r>
    <x v="2"/>
    <x v="0"/>
    <n v="0"/>
  </r>
  <r>
    <x v="2"/>
    <x v="0"/>
    <n v="0"/>
  </r>
  <r>
    <x v="2"/>
    <x v="0"/>
    <n v="0"/>
  </r>
  <r>
    <x v="2"/>
    <x v="2"/>
    <n v="4100"/>
  </r>
  <r>
    <x v="2"/>
    <x v="0"/>
    <n v="0"/>
  </r>
  <r>
    <x v="2"/>
    <x v="0"/>
    <n v="0"/>
  </r>
  <r>
    <x v="2"/>
    <x v="24"/>
    <n v="10000"/>
  </r>
  <r>
    <x v="2"/>
    <x v="0"/>
    <n v="0"/>
  </r>
  <r>
    <x v="2"/>
    <x v="0"/>
    <n v="0"/>
  </r>
  <r>
    <x v="2"/>
    <x v="24"/>
    <n v="6200"/>
  </r>
  <r>
    <x v="2"/>
    <x v="2"/>
    <n v="19029"/>
  </r>
  <r>
    <x v="10"/>
    <x v="25"/>
    <n v="7283"/>
  </r>
  <r>
    <x v="10"/>
    <x v="25"/>
    <n v="7283"/>
  </r>
  <r>
    <x v="10"/>
    <x v="25"/>
    <n v="7349"/>
  </r>
  <r>
    <x v="11"/>
    <x v="0"/>
    <n v="0"/>
  </r>
  <r>
    <x v="11"/>
    <x v="0"/>
    <n v="0"/>
  </r>
  <r>
    <x v="11"/>
    <x v="25"/>
    <n v="7300"/>
  </r>
  <r>
    <x v="11"/>
    <x v="25"/>
    <n v="9843"/>
  </r>
  <r>
    <x v="11"/>
    <x v="25"/>
    <n v="9843"/>
  </r>
  <r>
    <x v="6"/>
    <x v="2"/>
    <n v="19849"/>
  </r>
  <r>
    <x v="6"/>
    <x v="2"/>
    <n v="19685"/>
  </r>
  <r>
    <x v="6"/>
    <x v="2"/>
    <n v="19882"/>
  </r>
  <r>
    <x v="12"/>
    <x v="2"/>
    <n v="19619"/>
  </r>
  <r>
    <x v="12"/>
    <x v="0"/>
    <n v="0"/>
  </r>
  <r>
    <x v="12"/>
    <x v="0"/>
    <n v="0"/>
  </r>
  <r>
    <x v="12"/>
    <x v="14"/>
    <n v="2000"/>
  </r>
  <r>
    <x v="12"/>
    <x v="2"/>
    <n v="17585"/>
  </r>
  <r>
    <x v="12"/>
    <x v="2"/>
    <n v="19226"/>
  </r>
  <r>
    <x v="0"/>
    <x v="2"/>
    <n v="19685"/>
  </r>
  <r>
    <x v="0"/>
    <x v="2"/>
    <n v="19882"/>
  </r>
  <r>
    <x v="1"/>
    <x v="2"/>
    <n v="19685"/>
  </r>
  <r>
    <x v="1"/>
    <x v="2"/>
    <n v="19685"/>
  </r>
  <r>
    <x v="1"/>
    <x v="2"/>
    <n v="2021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0"/>
    <n v="0"/>
  </r>
  <r>
    <x v="1"/>
    <x v="14"/>
    <n v="2000"/>
  </r>
  <r>
    <x v="1"/>
    <x v="2"/>
    <n v="2750"/>
  </r>
  <r>
    <x v="1"/>
    <x v="0"/>
    <n v="0"/>
  </r>
  <r>
    <x v="1"/>
    <x v="0"/>
    <n v="0"/>
  </r>
  <r>
    <x v="1"/>
    <x v="0"/>
    <n v="0"/>
  </r>
  <r>
    <x v="1"/>
    <x v="0"/>
    <n v="0"/>
  </r>
  <r>
    <x v="2"/>
    <x v="2"/>
    <n v="11811"/>
  </r>
  <r>
    <x v="2"/>
    <x v="2"/>
    <n v="19521"/>
  </r>
  <r>
    <x v="2"/>
    <x v="2"/>
    <n v="19587"/>
  </r>
  <r>
    <x v="2"/>
    <x v="2"/>
    <n v="196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n v="30016"/>
    <x v="0"/>
    <d v="2024-07-30T00:00:00"/>
    <s v="in"/>
    <s v="I"/>
    <n v="1"/>
    <s v="2024083 + 2024124"/>
    <s v="2024083-5"/>
    <n v="60.24"/>
    <s v="po"/>
    <n v="14300"/>
    <s v="pi"/>
    <n v="10337.183999999999"/>
    <n v="0.32628488624786672"/>
    <n v="0.32628488624786672"/>
    <n v="3372.8669055632677"/>
    <n v="3372.8669055632677"/>
    <s v="B15 - 2,0 Clear BOPP / ACR / Glassine"/>
    <n v="0"/>
    <n v="0"/>
  </r>
  <r>
    <n v="30016"/>
    <x v="0"/>
    <d v="2024-10-03T00:00:00"/>
    <s v="out"/>
    <s v="I"/>
    <n v="-1"/>
    <s v="2024083 + 2024124"/>
    <s v="2024083-5"/>
    <n v="60.24"/>
    <s v="po"/>
    <n v="14300"/>
    <s v="pi"/>
    <n v="-10337.183999999999"/>
    <n v="0.32628488624786672"/>
    <n v="0.32628488624786672"/>
    <n v="-3372.8669055632677"/>
    <n v="-3372.8669055632677"/>
    <s v="B15 - 2,0 Clear BOPP / ACR / Glassine"/>
    <n v="0"/>
    <n v="0"/>
  </r>
  <r>
    <n v="30016"/>
    <x v="0"/>
    <d v="2024-10-03T00:00:00"/>
    <s v="in"/>
    <s v="I"/>
    <n v="1"/>
    <s v="2024083 + 2024124 + 2024129 + 2024136"/>
    <s v="2024124-2"/>
    <n v="50.5"/>
    <s v="po"/>
    <n v="2400"/>
    <s v="pi"/>
    <n v="1454.4"/>
    <n v="0.32628488624786672"/>
    <n v="0.32628488624786672"/>
    <n v="474.54873855889741"/>
    <n v="474.54873855889741"/>
    <s v="B15 - 2,0 Clear BOPP / ACR / Glassine"/>
    <n v="0"/>
    <n v="0"/>
  </r>
  <r>
    <n v="30016"/>
    <x v="0"/>
    <d v="2024-10-09T00:00:00"/>
    <s v="out"/>
    <s v="I"/>
    <n v="-1"/>
    <s v="2024083 + 2024124 + 2024129 + 2024136"/>
    <s v="2024124-2"/>
    <n v="50.5"/>
    <s v="po"/>
    <n v="2400"/>
    <s v="pi"/>
    <n v="-1454.4"/>
    <n v="0.32628488624786672"/>
    <n v="0.32628488624786672"/>
    <n v="-474.54873855889741"/>
    <n v="-474.54873855889741"/>
    <s v="B15 - 2,0 Clear BOPP / ACR / Glassine"/>
    <n v="0"/>
    <n v="0"/>
  </r>
  <r>
    <n v="30016"/>
    <x v="0"/>
    <d v="2024-10-09T00:00:00"/>
    <s v="in"/>
    <s v="I"/>
    <n v="1"/>
    <s v="2024083 + 2024124 + 2024129 + 2024136"/>
    <s v="2024124-3"/>
    <n v="60.24"/>
    <s v="po"/>
    <n v="11800"/>
    <s v="pi"/>
    <n v="8529.9840000000004"/>
    <n v="0.32628488624786672"/>
    <n v="0.32628488624786672"/>
    <n v="2783.2048591361231"/>
    <n v="2783.2048591361231"/>
    <s v="B15 - 2,0 Clear BOPP / ACR / Glassine"/>
    <n v="0"/>
    <n v="0"/>
  </r>
  <r>
    <n v="30016"/>
    <x v="0"/>
    <d v="2024-10-09T00:00:00"/>
    <s v="out"/>
    <s v="I"/>
    <n v="-1"/>
    <s v="2024083 + 2024124 + 2024129 + 2024136"/>
    <s v="2024124-3"/>
    <n v="60.24"/>
    <s v="po"/>
    <n v="11800"/>
    <s v="pi"/>
    <n v="-8529.9840000000004"/>
    <n v="0.32628488624786672"/>
    <n v="0.32628488624786672"/>
    <n v="-2783.2048591361231"/>
    <n v="-2783.2048591361231"/>
    <s v="B15 - 2,0 Clear BOPP / ACR / Glassine"/>
    <n v="0"/>
    <n v="0"/>
  </r>
  <r>
    <n v="30016"/>
    <x v="0"/>
    <d v="2024-10-09T00:00:00"/>
    <s v="in"/>
    <s v="I"/>
    <n v="1"/>
    <s v="2024083 + 2024124 + 2024129 + 2024136"/>
    <s v="2024129-8"/>
    <n v="60.24"/>
    <s v="po"/>
    <n v="6700"/>
    <s v="pi"/>
    <n v="4843.2960000000003"/>
    <n v="0.32628488624786672"/>
    <n v="0.32628488624786672"/>
    <n v="1580.294284424748"/>
    <n v="1580.294284424748"/>
    <s v="B15 - 2,0 Clear BOPP / ACR / Glassine"/>
    <n v="0"/>
    <n v="0"/>
  </r>
  <r>
    <n v="30016"/>
    <x v="0"/>
    <d v="2024-10-17T00:00:00"/>
    <s v="out"/>
    <s v="I"/>
    <n v="-1"/>
    <s v="2024083 + 2024124 + 2024129 + 2024136"/>
    <s v="2024129-8"/>
    <n v="60.24"/>
    <s v="po"/>
    <n v="6700"/>
    <s v="pi"/>
    <n v="-4843.2960000000003"/>
    <n v="0.32628488624786672"/>
    <n v="0.32628488624786672"/>
    <n v="-1580.294284424748"/>
    <n v="-1580.294284424748"/>
    <s v="B15 - 2,0 Clear BOPP / ACR / Glassine"/>
    <n v="0"/>
    <n v="0"/>
  </r>
  <r>
    <n v="30016"/>
    <x v="0"/>
    <d v="2024-10-17T00:00:00"/>
    <s v="in"/>
    <s v="I"/>
    <n v="1"/>
    <s v="2024083 + 2024124 + 2024129 + 2024136"/>
    <s v="2024136-3"/>
    <n v="34"/>
    <s v="po"/>
    <n v="1500"/>
    <s v="pi"/>
    <n v="612"/>
    <n v="0.32628488624786672"/>
    <n v="0.32628488624786672"/>
    <n v="199.68635038369445"/>
    <n v="199.68635038369445"/>
    <s v="B15 - 2,0 Clear BOPP / ACR / Glassine"/>
    <n v="0"/>
    <n v="0"/>
  </r>
  <r>
    <n v="30016"/>
    <x v="0"/>
    <d v="2024-10-31T00:00:00"/>
    <s v="out"/>
    <s v="I"/>
    <n v="-1"/>
    <s v="LE-2024154"/>
    <s v="LE-2024136-3"/>
    <n v="34"/>
    <s v="po"/>
    <n v="1500"/>
    <s v="pi"/>
    <n v="-612"/>
    <n v="0.32628488624786672"/>
    <n v="0.32628488624786672"/>
    <n v="-199.68635038369445"/>
    <n v="-199.68635038369445"/>
    <s v="B15 - 2,0 Clear BOPP / ACR / Glassine"/>
    <n v="0"/>
    <n v="0"/>
  </r>
  <r>
    <n v="30016"/>
    <x v="0"/>
    <d v="2024-10-31T00:00:00"/>
    <s v="in"/>
    <s v="A"/>
    <n v="1"/>
    <s v="LE-2024154"/>
    <s v="LE-2024154-01"/>
    <n v="8"/>
    <s v="po"/>
    <n v="1450"/>
    <s v="pi"/>
    <n v="139.19999999999999"/>
    <n v="0.32628488624786672"/>
    <n v="0.32628488624786672"/>
    <n v="45.418856165703048"/>
    <n v="45.418856165703048"/>
    <s v="B15 - 2,0 Clear BOPP / ACR / Glassine"/>
    <n v="8"/>
    <n v="1450"/>
  </r>
  <r>
    <n v="30016"/>
    <x v="0"/>
    <d v="2024-10-17T00:00:00"/>
    <s v="in"/>
    <s v="A"/>
    <n v="1"/>
    <s v="2024083 + 2024124 + 2024129 + 2024136"/>
    <s v="2024136-4"/>
    <n v="60.24"/>
    <s v="po"/>
    <n v="5100"/>
    <s v="pi"/>
    <n v="3686.6880000000001"/>
    <n v="0.32628488624786672"/>
    <n v="0.32628488624786672"/>
    <n v="1202.9105747113754"/>
    <n v="1202.9105747113754"/>
    <s v="B15 - 2,0 Clear BOPP / ACR / Glassine"/>
    <n v="60.24"/>
    <n v="5100"/>
  </r>
  <r>
    <n v="30016"/>
    <x v="0"/>
    <d v="2024-05-09T00:00:00"/>
    <s v="in"/>
    <s v="I"/>
    <n v="1"/>
    <m/>
    <s v="SC20240260-14"/>
    <n v="1530"/>
    <s v="mm"/>
    <n v="5980"/>
    <s v="m"/>
    <n v="14181.57"/>
    <n v="0.32628488624786672"/>
    <n v="0.32628488624786672"/>
    <n v="4627.2319542661589"/>
    <n v="4627.2319542661589"/>
    <s v="B15 - 2,0 Clear BOPP / ACR / Glassine"/>
    <n v="0"/>
    <n v="0"/>
  </r>
  <r>
    <n v="30016"/>
    <x v="0"/>
    <d v="2024-11-28T00:00:00"/>
    <s v="out"/>
    <s v="I"/>
    <n v="-1"/>
    <s v="LE-2024183"/>
    <s v="PI SC20240260-14"/>
    <n v="1530"/>
    <s v="mm"/>
    <n v="5980"/>
    <s v="m"/>
    <n v="-14181.57"/>
    <n v="0.32628488624786672"/>
    <n v="0.32628488624786672"/>
    <n v="-4627.2319542661589"/>
    <n v="-4627.2319542661589"/>
    <s v="B15 - 2,0 Clear BOPP / ACR / Glassine"/>
    <n v="0"/>
    <n v="0"/>
  </r>
  <r>
    <n v="30016"/>
    <x v="0"/>
    <d v="2024-11-28T00:00:00"/>
    <s v="in"/>
    <s v="A"/>
    <n v="1"/>
    <s v="LE-2024183"/>
    <s v="LE-2024183-16"/>
    <n v="60.24"/>
    <s v="po"/>
    <n v="9450"/>
    <s v="pi"/>
    <n v="6831.2160000000003"/>
    <n v="0.32628488624786672"/>
    <n v="0.32628488624786672"/>
    <n v="2228.922535494607"/>
    <n v="2228.922535494607"/>
    <s v="B15 - 2,0 Clear BOPP / ACR / Glassine"/>
    <n v="60.24"/>
    <n v="9450"/>
  </r>
  <r>
    <n v="30017"/>
    <x v="1"/>
    <d v="2024-09-06T00:00:00"/>
    <s v="in"/>
    <s v="I"/>
    <n v="1"/>
    <s v="2024090 &amp; 2024091 &amp; 2024098 &amp; 2024105 &amp; 2024108 &amp; 2024125"/>
    <s v="2024108-2"/>
    <n v="9.5"/>
    <s v="po"/>
    <n v="4850"/>
    <s v="pi"/>
    <n v="552.9"/>
    <n v="0.32628488624786672"/>
    <n v="0.32628488624786672"/>
    <n v="180.40291360644551"/>
    <n v="180.40291360644551"/>
    <s v="B25 - 2,4 White BOPP / ACR / Glassine"/>
    <n v="0"/>
    <n v="0"/>
  </r>
  <r>
    <n v="30017"/>
    <x v="1"/>
    <d v="2024-10-03T00:00:00"/>
    <s v="out"/>
    <s v="I"/>
    <n v="-1"/>
    <s v="2024090 &amp; 2024091 &amp; 2024098 &amp; 2024105 &amp; 2024108 &amp; 2024125"/>
    <s v="2024108-2"/>
    <n v="9.5"/>
    <s v="po"/>
    <n v="4850"/>
    <s v="pi"/>
    <n v="-552.9"/>
    <n v="0.32628488624786672"/>
    <n v="0.32628488624786672"/>
    <n v="-180.40291360644551"/>
    <n v="-180.40291360644551"/>
    <s v="B25 - 2,4 White BOPP / ACR / Glassine"/>
    <n v="0"/>
    <n v="0"/>
  </r>
  <r>
    <n v="30017"/>
    <x v="1"/>
    <d v="2024-10-03T00:00:00"/>
    <s v="in"/>
    <s v="I"/>
    <n v="1"/>
    <s v="2024090 &amp; 2024091 &amp; 2024098 &amp; 2024105 &amp; 2024108 &amp; 2024125"/>
    <s v="2024125-2"/>
    <n v="9.5"/>
    <s v="po"/>
    <n v="2500"/>
    <s v="pi"/>
    <n v="285"/>
    <n v="0.32628488624786672"/>
    <n v="0.32628488624786672"/>
    <n v="92.991192580642021"/>
    <n v="92.991192580642021"/>
    <s v="B25 - 2,4 White BOPP / ACR / Glassine"/>
    <n v="0"/>
    <n v="0"/>
  </r>
  <r>
    <n v="30017"/>
    <x v="1"/>
    <d v="2024-12-06T00:00:00"/>
    <s v="out"/>
    <s v="I"/>
    <n v="-1"/>
    <s v="LE-2024196"/>
    <s v="LE-2024125-2"/>
    <n v="9.5"/>
    <s v="po"/>
    <n v="2500"/>
    <s v="pi"/>
    <n v="-285"/>
    <n v="0.32628488624786672"/>
    <n v="0.32628488624786672"/>
    <n v="-92.991192580642021"/>
    <n v="-92.991192580642021"/>
    <s v="B25 - 2,4 White BOPP / ACR / Glassine"/>
    <n v="0"/>
    <n v="0"/>
  </r>
  <r>
    <n v="30013"/>
    <x v="2"/>
    <d v="2024-08-28T00:00:00"/>
    <s v="in"/>
    <s v="A"/>
    <n v="1"/>
    <n v="2024099"/>
    <s v="2024099-2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4"/>
    <n v="4"/>
    <s v="po"/>
    <n v="4750"/>
    <s v="pi"/>
    <n v="228"/>
    <n v="0"/>
    <n v="0.35817393372252498"/>
    <n v="0"/>
    <n v="81.663656888735702"/>
    <s v="D11 - TC DT / HM / Glassine (Supermarket)"/>
    <n v="4"/>
    <n v="4750"/>
  </r>
  <r>
    <n v="30013"/>
    <x v="2"/>
    <d v="2024-08-28T00:00:00"/>
    <s v="in"/>
    <s v="A"/>
    <n v="1"/>
    <n v="2024099"/>
    <s v="2024099-6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8"/>
    <n v="4"/>
    <s v="po"/>
    <n v="4800"/>
    <s v="pi"/>
    <n v="230.4"/>
    <n v="0"/>
    <n v="0.35817393372252498"/>
    <n v="0"/>
    <n v="82.523274329669761"/>
    <s v="D11 - TC DT / HM / Glassine (Supermarket)"/>
    <n v="4"/>
    <n v="4800"/>
  </r>
  <r>
    <n v="30013"/>
    <x v="2"/>
    <d v="2024-08-28T00:00:00"/>
    <s v="in"/>
    <s v="A"/>
    <n v="1"/>
    <n v="2024099"/>
    <s v="2024099-10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12"/>
    <n v="4"/>
    <s v="po"/>
    <n v="4800"/>
    <s v="pi"/>
    <n v="230.4"/>
    <n v="0"/>
    <n v="0.35817393372252498"/>
    <n v="0"/>
    <n v="82.523274329669761"/>
    <s v="D11 - TC DT / HM / Glassine (Supermarket)"/>
    <n v="4"/>
    <n v="4800"/>
  </r>
  <r>
    <n v="30013"/>
    <x v="2"/>
    <d v="2024-08-28T00:00:00"/>
    <s v="in"/>
    <s v="A"/>
    <n v="1"/>
    <n v="2024099"/>
    <s v="2024099-14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16"/>
    <n v="4"/>
    <s v="po"/>
    <n v="4550"/>
    <s v="pi"/>
    <n v="218.4"/>
    <n v="0"/>
    <n v="0.35817393372252498"/>
    <n v="0"/>
    <n v="78.225187124999465"/>
    <s v="D11 - TC DT / HM / Glassine (Supermarket)"/>
    <n v="4"/>
    <n v="4550"/>
  </r>
  <r>
    <n v="30013"/>
    <x v="2"/>
    <d v="2024-08-28T00:00:00"/>
    <s v="in"/>
    <s v="A"/>
    <n v="1"/>
    <n v="2024099"/>
    <s v="2024099-18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20"/>
    <n v="4"/>
    <s v="po"/>
    <n v="4500"/>
    <s v="pi"/>
    <n v="216"/>
    <n v="0"/>
    <n v="0.35817393372252498"/>
    <n v="0"/>
    <n v="77.365569684065392"/>
    <s v="D11 - TC DT / HM / Glassine (Supermarket)"/>
    <n v="4"/>
    <n v="4500"/>
  </r>
  <r>
    <n v="30013"/>
    <x v="2"/>
    <d v="2024-08-28T00:00:00"/>
    <s v="in"/>
    <s v="A"/>
    <n v="1"/>
    <n v="2024099"/>
    <s v="2024099-22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24"/>
    <n v="4"/>
    <s v="po"/>
    <n v="4500"/>
    <s v="pi"/>
    <n v="216"/>
    <n v="0"/>
    <n v="0.35817393372252498"/>
    <n v="0"/>
    <n v="77.365569684065392"/>
    <s v="D11 - TC DT / HM / Glassine (Supermarket)"/>
    <n v="4"/>
    <n v="4500"/>
  </r>
  <r>
    <n v="30013"/>
    <x v="2"/>
    <d v="2024-08-28T00:00:00"/>
    <s v="in"/>
    <s v="A"/>
    <n v="1"/>
    <n v="2024099"/>
    <s v="2024099-26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28"/>
    <n v="4"/>
    <s v="po"/>
    <n v="4850"/>
    <s v="pi"/>
    <n v="232.8"/>
    <n v="0"/>
    <n v="0.35817393372252498"/>
    <n v="0"/>
    <n v="83.38289177060382"/>
    <s v="D11 - TC DT / HM / Glassine (Supermarket)"/>
    <n v="4"/>
    <n v="4850"/>
  </r>
  <r>
    <n v="30013"/>
    <x v="2"/>
    <d v="2024-08-28T00:00:00"/>
    <s v="in"/>
    <s v="A"/>
    <n v="1"/>
    <n v="2024099"/>
    <s v="2024099-30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32"/>
    <n v="4"/>
    <s v="po"/>
    <n v="4850"/>
    <s v="pi"/>
    <n v="232.8"/>
    <n v="0"/>
    <n v="0.35817393372252498"/>
    <n v="0"/>
    <n v="83.38289177060382"/>
    <s v="D11 - TC DT / HM / Glassine (Supermarket)"/>
    <n v="4"/>
    <n v="4850"/>
  </r>
  <r>
    <n v="30013"/>
    <x v="2"/>
    <d v="2024-08-28T00:00:00"/>
    <s v="in"/>
    <s v="A"/>
    <n v="1"/>
    <n v="2024099"/>
    <s v="2024099-34"/>
    <n v="4"/>
    <s v="po"/>
    <n v="5000"/>
    <s v="pi"/>
    <n v="240"/>
    <n v="0"/>
    <n v="0.35817393372252498"/>
    <n v="0"/>
    <n v="85.961744093405997"/>
    <s v="D11 - TC DT / HM / Glassine (Supermarket)"/>
    <n v="4"/>
    <n v="5000"/>
  </r>
  <r>
    <n v="30013"/>
    <x v="2"/>
    <d v="2024-08-28T00:00:00"/>
    <s v="in"/>
    <s v="A"/>
    <n v="1"/>
    <n v="2024099"/>
    <s v="2024099-36"/>
    <n v="4"/>
    <s v="po"/>
    <n v="4850"/>
    <s v="pi"/>
    <n v="232.8"/>
    <n v="0"/>
    <n v="0.35817393372252498"/>
    <n v="0"/>
    <n v="83.38289177060382"/>
    <s v="D11 - TC DT / HM / Glassine (Supermarket)"/>
    <n v="4"/>
    <n v="4850"/>
  </r>
  <r>
    <n v="30013"/>
    <x v="2"/>
    <d v="2024-08-28T00:00:00"/>
    <s v="in"/>
    <s v="I"/>
    <n v="1"/>
    <n v="2024099"/>
    <s v="2024099-37"/>
    <n v="9.4"/>
    <s v="po"/>
    <n v="5000"/>
    <s v="pi"/>
    <n v="564"/>
    <n v="0"/>
    <n v="0.35817393372252498"/>
    <n v="0"/>
    <n v="202.01009861950408"/>
    <s v="D11 - TC DT / HM / Glassine (Supermarket)"/>
    <n v="0"/>
    <n v="0"/>
  </r>
  <r>
    <n v="30013"/>
    <x v="2"/>
    <d v="2024-11-01T00:00:00"/>
    <s v="out"/>
    <s v="I"/>
    <n v="-1"/>
    <n v="2024131"/>
    <s v="2024099-37"/>
    <n v="9.4"/>
    <s v="po"/>
    <n v="5000"/>
    <s v="pi"/>
    <n v="-564"/>
    <n v="0"/>
    <n v="0.35817393372252498"/>
    <n v="0"/>
    <n v="-202.01009861950408"/>
    <s v="D11 - TC DT / HM / Glassine (Supermarket)"/>
    <n v="0"/>
    <n v="0"/>
  </r>
  <r>
    <n v="30013"/>
    <x v="2"/>
    <d v="2024-08-28T00:00:00"/>
    <s v="in"/>
    <s v="I"/>
    <n v="1"/>
    <s v="2024099 + 2024126"/>
    <s v="2024099-43"/>
    <n v="9.4"/>
    <s v="po"/>
    <n v="4500"/>
    <s v="pi"/>
    <n v="507.60000000000008"/>
    <n v="0"/>
    <n v="0.35817393372252498"/>
    <n v="0"/>
    <n v="181.80908875755372"/>
    <s v="D11 - TC DT / HM / Glassine (Supermarket)"/>
    <n v="0"/>
    <n v="0"/>
  </r>
  <r>
    <n v="30013"/>
    <x v="2"/>
    <d v="2024-10-04T00:00:00"/>
    <s v="out"/>
    <s v="I"/>
    <n v="-1"/>
    <s v="2024099 + 2024126"/>
    <s v="2024099-43"/>
    <n v="9.4"/>
    <s v="po"/>
    <n v="4500"/>
    <s v="pi"/>
    <n v="-507.60000000000008"/>
    <n v="0"/>
    <n v="0.35817393372252498"/>
    <n v="0"/>
    <n v="-181.80908875755372"/>
    <s v="D11 - TC DT / HM / Glassine (Supermarket)"/>
    <n v="0"/>
    <n v="0"/>
  </r>
  <r>
    <n v="30013"/>
    <x v="2"/>
    <d v="2024-10-04T00:00:00"/>
    <s v="in"/>
    <s v="I"/>
    <n v="1"/>
    <s v="2024099 + 2024126 + 2024147"/>
    <s v="2024126-2"/>
    <n v="9.4"/>
    <s v="po"/>
    <n v="2000"/>
    <s v="pi"/>
    <n v="225.60000000000002"/>
    <n v="0"/>
    <n v="0.35817393372252498"/>
    <n v="0"/>
    <n v="80.804039447801642"/>
    <s v="D11 - TC DT / HM / Glassine (Supermarket)"/>
    <n v="0"/>
    <n v="0"/>
  </r>
  <r>
    <n v="30013"/>
    <x v="2"/>
    <d v="2024-10-24T00:00:00"/>
    <s v="out"/>
    <s v="I"/>
    <n v="-1"/>
    <s v="2024099 + 2024126 + 2024147"/>
    <s v="2024126-2"/>
    <n v="9.4"/>
    <s v="po"/>
    <n v="2000"/>
    <s v="pi"/>
    <n v="-225.60000000000002"/>
    <n v="0"/>
    <n v="0.35817393372252498"/>
    <n v="0"/>
    <n v="-80.804039447801642"/>
    <s v="D11 - TC DT / HM / Glassine (Supermarket)"/>
    <n v="0"/>
    <n v="0"/>
  </r>
  <r>
    <n v="30019"/>
    <x v="3"/>
    <d v="2024-09-30T00:00:00"/>
    <s v="in"/>
    <s v="I"/>
    <n v="1"/>
    <m/>
    <s v="10033-1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01T00:00:00"/>
    <s v="out"/>
    <s v="I"/>
    <n v="-1"/>
    <s v="LE-2024150"/>
    <s v="10033-1"/>
    <n v="1525"/>
    <s v="mm"/>
    <n v="3000"/>
    <s v="m"/>
    <n v="-7091.25"/>
    <n v="0.37814458402377227"/>
    <n v="0.37814458402377227"/>
    <n v="-2681.517781458575"/>
    <n v="-2681.517781458575"/>
    <s v="D16 - TC DT / ACR / Glassine (Supermarket)"/>
    <n v="0"/>
    <n v="0"/>
  </r>
  <r>
    <n v="30019"/>
    <x v="3"/>
    <d v="2024-11-01T00:00:00"/>
    <s v="in"/>
    <s v="I"/>
    <n v="1"/>
    <s v="LE-2024150"/>
    <s v="LE-2024150-55"/>
    <n v="9.5"/>
    <s v="po"/>
    <n v="4680"/>
    <s v="pi"/>
    <n v="533.52"/>
    <n v="0.37814458402377227"/>
    <n v="0.37814458402377227"/>
    <n v="201.74769846836298"/>
    <n v="201.74769846836298"/>
    <s v="D16 - TC DT / ACR / Glassine (Supermarket)"/>
    <n v="0"/>
    <n v="0"/>
  </r>
  <r>
    <n v="30019"/>
    <x v="3"/>
    <d v="2024-12-05T00:00:00"/>
    <s v="out"/>
    <s v="I"/>
    <n v="-1"/>
    <s v="LE-2024194"/>
    <s v="LE-2024150-55"/>
    <n v="9.5"/>
    <s v="po"/>
    <n v="4680"/>
    <s v="pi"/>
    <n v="-533.52"/>
    <n v="0.37814458402377227"/>
    <n v="0.37814458402377227"/>
    <n v="-201.74769846836298"/>
    <n v="-201.74769846836298"/>
    <s v="D16 - TC DT / ACR / Glassine (Supermarket)"/>
    <n v="0"/>
    <n v="0"/>
  </r>
  <r>
    <n v="30019"/>
    <x v="3"/>
    <d v="2024-09-30T00:00:00"/>
    <s v="in"/>
    <s v="I"/>
    <n v="1"/>
    <m/>
    <s v="10033-2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01T00:00:00"/>
    <s v="out"/>
    <s v="I"/>
    <n v="-1"/>
    <s v="LE-2024150"/>
    <s v="10033-2"/>
    <n v="1525"/>
    <s v="mm"/>
    <n v="3000"/>
    <s v="m"/>
    <n v="-7091.25"/>
    <n v="0.37814458402377227"/>
    <n v="0.37814458402377227"/>
    <n v="-2681.517781458575"/>
    <n v="-2681.517781458575"/>
    <s v="D16 - TC DT / ACR / Glassine (Supermarket)"/>
    <n v="0"/>
    <n v="0"/>
  </r>
  <r>
    <n v="30019"/>
    <x v="3"/>
    <d v="2024-11-01T00:00:00"/>
    <s v="in"/>
    <s v="I"/>
    <n v="1"/>
    <s v="LE-2024150"/>
    <s v="LE-2024150-67"/>
    <n v="9.5"/>
    <s v="po"/>
    <n v="5000"/>
    <s v="pi"/>
    <n v="570"/>
    <n v="0.37814458402377227"/>
    <n v="0.37814458402377227"/>
    <n v="215.54241289355019"/>
    <n v="215.54241289355019"/>
    <s v="D16 - TC DT / ACR / Glassine (Supermarket)"/>
    <n v="0"/>
    <n v="0"/>
  </r>
  <r>
    <n v="30019"/>
    <x v="3"/>
    <d v="2024-12-05T00:00:00"/>
    <s v="out"/>
    <s v="I"/>
    <n v="-1"/>
    <s v="LE-2024194"/>
    <s v="LE-2024150-67"/>
    <n v="9.5"/>
    <s v="po"/>
    <n v="5000"/>
    <s v="pi"/>
    <n v="-570"/>
    <n v="0.37814458402377227"/>
    <n v="0.37814458402377227"/>
    <n v="-215.54241289355019"/>
    <n v="-215.54241289355019"/>
    <s v="D16 - TC DT / ACR / Glassine (Supermarket)"/>
    <n v="0"/>
    <n v="0"/>
  </r>
  <r>
    <n v="30019"/>
    <x v="3"/>
    <d v="2024-09-30T00:00:00"/>
    <s v="in"/>
    <s v="I"/>
    <n v="1"/>
    <m/>
    <s v="10033-3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12T00:00:00"/>
    <s v="out"/>
    <s v="I"/>
    <n v="-1"/>
    <s v="LE-2024165"/>
    <s v="10033-3"/>
    <n v="60.039000000000001"/>
    <s v="po"/>
    <n v="9843"/>
    <s v="pi"/>
    <n v="-7091.5665240000008"/>
    <n v="0.37814458402377227"/>
    <n v="0.37814458402377227"/>
    <n v="-2681.6374732948889"/>
    <n v="-2681.6374732948889"/>
    <s v="D16 - TC DT / ACR / Glassine (Supermarket)"/>
    <n v="0"/>
    <n v="0"/>
  </r>
  <r>
    <n v="30019"/>
    <x v="3"/>
    <d v="2024-11-12T00:00:00"/>
    <s v="in"/>
    <s v="I"/>
    <n v="1"/>
    <s v="LE-2024165"/>
    <s v="LE-2024165-31"/>
    <n v="9.5"/>
    <s v="po"/>
    <n v="4950"/>
    <s v="pi"/>
    <n v="564.29999999999995"/>
    <n v="0.37814458402377227"/>
    <n v="0.37814458402377227"/>
    <n v="213.38698876461467"/>
    <n v="213.38698876461467"/>
    <s v="D16 - TC DT / ACR / Glassine (Supermarket)"/>
    <n v="0"/>
    <n v="0"/>
  </r>
  <r>
    <n v="30019"/>
    <x v="3"/>
    <d v="2024-12-05T00:00:00"/>
    <s v="out"/>
    <s v="I"/>
    <n v="-1"/>
    <s v="LE-2024194"/>
    <s v="LE-2024165-31"/>
    <n v="9.5"/>
    <s v="po"/>
    <n v="4950"/>
    <s v="pi"/>
    <n v="-564.29999999999995"/>
    <n v="0.37814458402377227"/>
    <n v="0.37814458402377227"/>
    <n v="-213.38698876461467"/>
    <n v="-213.38698876461467"/>
    <s v="D16 - TC DT / ACR / Glassine (Supermarket)"/>
    <n v="0"/>
    <n v="0"/>
  </r>
  <r>
    <n v="30019"/>
    <x v="3"/>
    <d v="2024-11-12T00:00:00"/>
    <s v="in"/>
    <s v="I"/>
    <n v="1"/>
    <s v="LE-2024165"/>
    <s v="LE-2024165-37"/>
    <n v="9.5"/>
    <s v="po"/>
    <n v="4750"/>
    <s v="pi"/>
    <n v="541.5"/>
    <n v="0.37814458402377227"/>
    <n v="0.37814458402377227"/>
    <n v="204.7652922488727"/>
    <n v="204.7652922488727"/>
    <s v="D16 - TC DT / ACR / Glassine (Supermarket)"/>
    <n v="0"/>
    <n v="0"/>
  </r>
  <r>
    <n v="30019"/>
    <x v="3"/>
    <d v="2024-12-05T00:00:00"/>
    <s v="out"/>
    <s v="I"/>
    <n v="-1"/>
    <s v="LE-2024194"/>
    <s v="LE-2024165-37"/>
    <n v="9.5"/>
    <s v="po"/>
    <n v="4750"/>
    <s v="pi"/>
    <n v="-541.5"/>
    <n v="0.37814458402377227"/>
    <n v="0.37814458402377227"/>
    <n v="-204.7652922488727"/>
    <n v="-204.7652922488727"/>
    <s v="D16 - TC DT / ACR / Glassine (Supermarket)"/>
    <n v="0"/>
    <n v="0"/>
  </r>
  <r>
    <n v="30019"/>
    <x v="3"/>
    <d v="2024-09-30T00:00:00"/>
    <s v="in"/>
    <s v="I"/>
    <n v="1"/>
    <m/>
    <s v="10033-4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12T00:00:00"/>
    <s v="out"/>
    <s v="I"/>
    <n v="-1"/>
    <s v="LE-2024165"/>
    <s v="10033-4"/>
    <n v="60.039000000000001"/>
    <s v="po"/>
    <n v="9843"/>
    <s v="pi"/>
    <n v="-7091.5665240000008"/>
    <n v="0.37814458402377227"/>
    <n v="0.37814458402377227"/>
    <n v="-2681.6374732948889"/>
    <n v="-2681.6374732948889"/>
    <s v="D16 - TC DT / ACR / Glassine (Supermarket)"/>
    <n v="0"/>
    <n v="0"/>
  </r>
  <r>
    <n v="30019"/>
    <x v="3"/>
    <d v="2024-11-12T00:00:00"/>
    <s v="in"/>
    <s v="I"/>
    <n v="1"/>
    <s v="LE-2024165"/>
    <s v="LE-2024165-19"/>
    <n v="9.5"/>
    <s v="po"/>
    <n v="4950"/>
    <s v="pi"/>
    <n v="564.29999999999995"/>
    <n v="0.37814458402377227"/>
    <n v="0.37814458402377227"/>
    <n v="213.38698876461467"/>
    <n v="213.38698876461467"/>
    <s v="D16 - TC DT / ACR / Glassine (Supermarket)"/>
    <n v="0"/>
    <n v="0"/>
  </r>
  <r>
    <n v="30019"/>
    <x v="3"/>
    <d v="2024-12-05T00:00:00"/>
    <s v="out"/>
    <s v="I"/>
    <n v="-1"/>
    <s v="LE-2024194"/>
    <s v="LE-2024165-19"/>
    <n v="9.5"/>
    <s v="po"/>
    <n v="4950"/>
    <s v="pi"/>
    <n v="-564.29999999999995"/>
    <n v="0.37814458402377227"/>
    <n v="0.37814458402377227"/>
    <n v="-213.38698876461467"/>
    <n v="-213.38698876461467"/>
    <s v="D16 - TC DT / ACR / Glassine (Supermarket)"/>
    <n v="0"/>
    <n v="0"/>
  </r>
  <r>
    <n v="30019"/>
    <x v="3"/>
    <d v="2024-11-12T00:00:00"/>
    <s v="in"/>
    <s v="I"/>
    <n v="1"/>
    <s v="LE-2024165"/>
    <s v="LE-2024165-25"/>
    <n v="9.5"/>
    <s v="po"/>
    <n v="4750"/>
    <s v="pi"/>
    <n v="541.5"/>
    <n v="0.37814458402377227"/>
    <n v="0.37814458402377227"/>
    <n v="204.7652922488727"/>
    <n v="204.7652922488727"/>
    <s v="D16 - TC DT / ACR / Glassine (Supermarket)"/>
    <n v="0"/>
    <n v="0"/>
  </r>
  <r>
    <n v="30019"/>
    <x v="3"/>
    <d v="2024-12-05T00:00:00"/>
    <s v="out"/>
    <s v="I"/>
    <n v="-1"/>
    <s v="LE-2024194"/>
    <s v="LE-2024165-25"/>
    <n v="9.5"/>
    <s v="po"/>
    <n v="4750"/>
    <s v="pi"/>
    <n v="-541.5"/>
    <n v="0.37814458402377227"/>
    <n v="0.37814458402377227"/>
    <n v="-204.7652922488727"/>
    <n v="-204.7652922488727"/>
    <s v="D16 - TC DT / ACR / Glassine (Supermarket)"/>
    <n v="0"/>
    <n v="0"/>
  </r>
  <r>
    <n v="30019"/>
    <x v="3"/>
    <d v="2024-09-30T00:00:00"/>
    <s v="in"/>
    <s v="I"/>
    <n v="1"/>
    <m/>
    <s v="10033-5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01T00:00:00"/>
    <s v="out"/>
    <s v="I"/>
    <n v="-1"/>
    <s v="LE-2024150"/>
    <s v="10033-5"/>
    <n v="1525"/>
    <s v="mm"/>
    <n v="3000"/>
    <s v="m"/>
    <n v="-7091.25"/>
    <n v="0.37814458402377227"/>
    <n v="0.37814458402377227"/>
    <n v="-2681.517781458575"/>
    <n v="-2681.517781458575"/>
    <s v="D16 - TC DT / ACR / Glassine (Supermarket)"/>
    <n v="0"/>
    <n v="0"/>
  </r>
  <r>
    <n v="30019"/>
    <x v="3"/>
    <d v="2024-11-01T00:00:00"/>
    <s v="in"/>
    <s v="I"/>
    <n v="1"/>
    <s v="LE-2024150"/>
    <s v="LE-2024150-73"/>
    <n v="9.5"/>
    <s v="po"/>
    <n v="4900"/>
    <s v="pi"/>
    <n v="558.6"/>
    <n v="0.37814458402377227"/>
    <n v="0.37814458402377227"/>
    <n v="211.23156463567921"/>
    <n v="211.23156463567921"/>
    <s v="D16 - TC DT / ACR / Glassine (Supermarket)"/>
    <n v="0"/>
    <n v="0"/>
  </r>
  <r>
    <n v="30019"/>
    <x v="3"/>
    <d v="2024-12-05T00:00:00"/>
    <s v="out"/>
    <s v="I"/>
    <n v="-1"/>
    <s v="LE-2024194"/>
    <s v="LE-2024150-73"/>
    <n v="9.5"/>
    <s v="po"/>
    <n v="4900"/>
    <s v="pi"/>
    <n v="-558.6"/>
    <n v="0.37814458402377227"/>
    <n v="0.37814458402377227"/>
    <n v="-211.23156463567921"/>
    <n v="-211.23156463567921"/>
    <s v="D16 - TC DT / ACR / Glassine (Supermarket)"/>
    <n v="0"/>
    <n v="0"/>
  </r>
  <r>
    <n v="30019"/>
    <x v="3"/>
    <d v="2024-11-01T00:00:00"/>
    <s v="in"/>
    <s v="I"/>
    <n v="1"/>
    <s v="LE-2024150"/>
    <s v="LE-2024150-79"/>
    <n v="60.039000000000001"/>
    <s v="po"/>
    <n v="4900"/>
    <s v="pi"/>
    <n v="3530.2932000000001"/>
    <n v="0.37814458402377227"/>
    <n v="0.37814458402377227"/>
    <n v="1334.9612535959518"/>
    <n v="1334.9612535959518"/>
    <s v="D16 - TC DT / ACR / Glassine (Supermarket)"/>
    <n v="0"/>
    <n v="0"/>
  </r>
  <r>
    <n v="30019"/>
    <x v="3"/>
    <d v="2024-11-12T00:00:00"/>
    <s v="out"/>
    <s v="I"/>
    <n v="-1"/>
    <s v="LE-2024165"/>
    <s v="LE-2024150-79"/>
    <n v="60.039000000000001"/>
    <s v="po"/>
    <n v="4900"/>
    <s v="pi"/>
    <n v="-3530.2932000000001"/>
    <n v="0.37814458402377227"/>
    <n v="0.37814458402377227"/>
    <n v="-1334.9612535959518"/>
    <n v="-1334.9612535959518"/>
    <s v="D16 - TC DT / ACR / Glassine (Supermarket)"/>
    <n v="0"/>
    <n v="0"/>
  </r>
  <r>
    <n v="30019"/>
    <x v="3"/>
    <d v="2024-11-12T00:00:00"/>
    <s v="in"/>
    <s v="I"/>
    <n v="1"/>
    <s v="LE-2024165"/>
    <s v="LE-2024165-01"/>
    <n v="9.5"/>
    <s v="po"/>
    <n v="4850"/>
    <s v="pi"/>
    <n v="552.9"/>
    <n v="0.37814458402377227"/>
    <n v="0.37814458402377227"/>
    <n v="209.07614050674368"/>
    <n v="209.07614050674368"/>
    <s v="D16 - TC DT / ACR / Glassine (Supermarket)"/>
    <n v="0"/>
    <n v="0"/>
  </r>
  <r>
    <n v="30019"/>
    <x v="3"/>
    <d v="2024-12-05T00:00:00"/>
    <s v="out"/>
    <s v="I"/>
    <n v="-1"/>
    <s v="LE-2024194"/>
    <s v="LE-2024165-01"/>
    <n v="9.5"/>
    <s v="po"/>
    <n v="4850"/>
    <s v="pi"/>
    <n v="-552.9"/>
    <n v="0.37814458402377227"/>
    <n v="0.37814458402377227"/>
    <n v="-209.07614050674368"/>
    <n v="-209.07614050674368"/>
    <s v="D16 - TC DT / ACR / Glassine (Supermarket)"/>
    <n v="0"/>
    <n v="0"/>
  </r>
  <r>
    <n v="30019"/>
    <x v="3"/>
    <d v="2024-09-30T00:00:00"/>
    <s v="in"/>
    <s v="I"/>
    <n v="1"/>
    <m/>
    <s v="10033-6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12T00:00:00"/>
    <s v="out"/>
    <s v="I"/>
    <n v="-1"/>
    <s v="LE-2024165"/>
    <s v="10033-6"/>
    <n v="60.039000000000001"/>
    <s v="po"/>
    <n v="9843"/>
    <s v="pi"/>
    <n v="-7091.5665240000008"/>
    <n v="0.37814458402377227"/>
    <n v="0.37814458402377227"/>
    <n v="-2681.6374732948889"/>
    <n v="-2681.6374732948889"/>
    <s v="D16 - TC DT / ACR / Glassine (Supermarket)"/>
    <n v="0"/>
    <n v="0"/>
  </r>
  <r>
    <n v="30019"/>
    <x v="3"/>
    <d v="2024-11-12T00:00:00"/>
    <s v="in"/>
    <s v="I"/>
    <n v="1"/>
    <s v="LE-2024165"/>
    <s v="LE-2024165-07"/>
    <n v="9.5"/>
    <s v="po"/>
    <n v="4950"/>
    <s v="pi"/>
    <n v="564.29999999999995"/>
    <n v="0.37814458402377227"/>
    <n v="0.37814458402377227"/>
    <n v="213.38698876461467"/>
    <n v="213.38698876461467"/>
    <s v="D16 - TC DT / ACR / Glassine (Supermarket)"/>
    <n v="0"/>
    <n v="0"/>
  </r>
  <r>
    <n v="30019"/>
    <x v="3"/>
    <d v="2024-12-05T00:00:00"/>
    <s v="out"/>
    <s v="I"/>
    <n v="-1"/>
    <s v="LE-2024194"/>
    <s v="LE-2024165-07"/>
    <n v="9.5"/>
    <s v="po"/>
    <n v="4950"/>
    <s v="pi"/>
    <n v="-564.29999999999995"/>
    <n v="0.37814458402377227"/>
    <n v="0.37814458402377227"/>
    <n v="-213.38698876461467"/>
    <n v="-213.38698876461467"/>
    <s v="D16 - TC DT / ACR / Glassine (Supermarket)"/>
    <n v="0"/>
    <n v="0"/>
  </r>
  <r>
    <n v="30019"/>
    <x v="3"/>
    <d v="2024-11-12T00:00:00"/>
    <s v="in"/>
    <s v="I"/>
    <n v="1"/>
    <s v="LE-2024165"/>
    <s v="LE-2024165-13"/>
    <n v="9.5"/>
    <s v="po"/>
    <n v="4950"/>
    <s v="pi"/>
    <n v="564.29999999999995"/>
    <n v="0.37814458402377227"/>
    <n v="0.37814458402377227"/>
    <n v="213.38698876461467"/>
    <n v="213.38698876461467"/>
    <s v="D16 - TC DT / ACR / Glassine (Supermarket)"/>
    <n v="0"/>
    <n v="0"/>
  </r>
  <r>
    <n v="30019"/>
    <x v="3"/>
    <d v="2024-12-05T00:00:00"/>
    <s v="out"/>
    <s v="I"/>
    <n v="-1"/>
    <s v="LE-2024194"/>
    <s v="LE-2024165-13"/>
    <n v="9.5"/>
    <s v="po"/>
    <n v="4950"/>
    <s v="pi"/>
    <n v="-564.29999999999995"/>
    <n v="0.37814458402377227"/>
    <n v="0.37814458402377227"/>
    <n v="-213.38698876461467"/>
    <n v="-213.38698876461467"/>
    <s v="D16 - TC DT / ACR / Glassine (Supermarket)"/>
    <n v="0"/>
    <n v="0"/>
  </r>
  <r>
    <n v="30019"/>
    <x v="3"/>
    <d v="2024-09-30T00:00:00"/>
    <s v="in"/>
    <s v="I"/>
    <n v="1"/>
    <m/>
    <s v="10033-7"/>
    <n v="1525"/>
    <s v="mm"/>
    <n v="3000"/>
    <s v="m"/>
    <n v="7091.25"/>
    <n v="0.37814458402377227"/>
    <n v="0.37814458402377227"/>
    <n v="2681.517781458575"/>
    <n v="2681.517781458575"/>
    <s v="D16 - TC DT / ACR / Glassine (Supermarket)"/>
    <n v="0"/>
    <n v="0"/>
  </r>
  <r>
    <n v="30019"/>
    <x v="3"/>
    <d v="2024-11-01T00:00:00"/>
    <s v="out"/>
    <s v="I"/>
    <n v="-1"/>
    <s v="LE-2024150"/>
    <s v="10033-7"/>
    <n v="1525"/>
    <s v="mm"/>
    <n v="3000"/>
    <s v="m"/>
    <n v="-7091.25"/>
    <n v="0.37814458402377227"/>
    <n v="0.37814458402377227"/>
    <n v="-2681.517781458575"/>
    <n v="-2681.517781458575"/>
    <s v="D16 - TC DT / ACR / Glassine (Supermarket)"/>
    <n v="0"/>
    <n v="0"/>
  </r>
  <r>
    <n v="30019"/>
    <x v="3"/>
    <d v="2024-11-01T00:00:00"/>
    <s v="in"/>
    <s v="I"/>
    <n v="1"/>
    <s v="LE-2024150"/>
    <s v="LE-2024150-61"/>
    <n v="9.5"/>
    <s v="po"/>
    <n v="4850"/>
    <s v="pi"/>
    <n v="552.9"/>
    <n v="0.37814458402377227"/>
    <n v="0.37814458402377227"/>
    <n v="209.07614050674368"/>
    <n v="209.07614050674368"/>
    <s v="D16 - TC DT / ACR / Glassine (Supermarket)"/>
    <n v="0"/>
    <n v="0"/>
  </r>
  <r>
    <n v="30019"/>
    <x v="3"/>
    <d v="2024-12-05T00:00:00"/>
    <s v="out"/>
    <s v="I"/>
    <n v="-1"/>
    <s v="LE-2024194"/>
    <s v="LE-2024150-61"/>
    <n v="9.5"/>
    <s v="po"/>
    <n v="4850"/>
    <s v="pi"/>
    <n v="-552.9"/>
    <n v="0.37814458402377227"/>
    <n v="0.37814458402377227"/>
    <n v="-209.07614050674368"/>
    <n v="-209.07614050674368"/>
    <s v="D16 - TC DT / ACR / Glassine (Supermarket)"/>
    <n v="0"/>
    <n v="0"/>
  </r>
  <r>
    <n v="30019"/>
    <x v="3"/>
    <d v="2024-09-30T00:00:00"/>
    <s v="in"/>
    <s v="I"/>
    <n v="1"/>
    <n v="2024146"/>
    <s v="10033-8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23T00:00:00"/>
    <s v="out"/>
    <s v="I"/>
    <n v="-1"/>
    <n v="2024146"/>
    <s v="10033-8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18"/>
    <s v="10033-9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02T00:00:00"/>
    <s v="out"/>
    <s v="I"/>
    <n v="-1"/>
    <n v="2024118"/>
    <s v="10033-9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m/>
    <s v="10033-10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1-01T00:00:00"/>
    <s v="out"/>
    <s v="I"/>
    <n v="-1"/>
    <s v="LE-2024150"/>
    <s v="10033-10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11-01T00:00:00"/>
    <s v="in"/>
    <s v="I"/>
    <n v="1"/>
    <s v="LE-2024150"/>
    <s v="LE-2024150-37"/>
    <n v="9.5"/>
    <s v="po"/>
    <n v="5200"/>
    <s v="pi"/>
    <n v="592.79999999999995"/>
    <n v="0.37814458402377227"/>
    <n v="0.37814458402377227"/>
    <n v="224.16410940929219"/>
    <n v="224.16410940929219"/>
    <s v="D16 - TC DT / ACR / Glassine (Supermarket)"/>
    <n v="0"/>
    <n v="0"/>
  </r>
  <r>
    <n v="30019"/>
    <x v="3"/>
    <d v="2024-12-05T00:00:00"/>
    <s v="out"/>
    <s v="I"/>
    <n v="-1"/>
    <s v="LE-2024194"/>
    <s v="LE-2024150-37"/>
    <n v="9.5"/>
    <s v="po"/>
    <n v="5200"/>
    <s v="pi"/>
    <n v="-592.79999999999995"/>
    <n v="0.37814458402377227"/>
    <n v="0.37814458402377227"/>
    <n v="-224.16410940929219"/>
    <n v="-224.16410940929219"/>
    <s v="D16 - TC DT / ACR / Glassine (Supermarket)"/>
    <n v="0"/>
    <n v="0"/>
  </r>
  <r>
    <n v="30019"/>
    <x v="3"/>
    <d v="2024-09-30T00:00:00"/>
    <s v="in"/>
    <s v="I"/>
    <n v="1"/>
    <m/>
    <s v="10033-11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1-01T00:00:00"/>
    <s v="out"/>
    <s v="I"/>
    <n v="-1"/>
    <s v="LE-2024150"/>
    <s v="10033-11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11-01T00:00:00"/>
    <s v="in"/>
    <s v="I"/>
    <n v="1"/>
    <s v="LE-2024150"/>
    <s v="LE-2024150-43"/>
    <n v="9.5"/>
    <s v="po"/>
    <n v="4680"/>
    <s v="pi"/>
    <n v="533.52"/>
    <n v="0.37814458402377227"/>
    <n v="0.37814458402377227"/>
    <n v="201.74769846836298"/>
    <n v="201.74769846836298"/>
    <s v="D16 - TC DT / ACR / Glassine (Supermarket)"/>
    <n v="0"/>
    <n v="0"/>
  </r>
  <r>
    <n v="30019"/>
    <x v="3"/>
    <d v="2024-12-05T00:00:00"/>
    <s v="out"/>
    <s v="I"/>
    <n v="-1"/>
    <s v="LE-2024194"/>
    <s v="LE-2024150-43"/>
    <n v="9.5"/>
    <s v="po"/>
    <n v="4680"/>
    <s v="pi"/>
    <n v="-533.52"/>
    <n v="0.37814458402377227"/>
    <n v="0.37814458402377227"/>
    <n v="-201.74769846836298"/>
    <n v="-201.74769846836298"/>
    <s v="D16 - TC DT / ACR / Glassine (Supermarket)"/>
    <n v="0"/>
    <n v="0"/>
  </r>
  <r>
    <n v="30019"/>
    <x v="3"/>
    <d v="2024-09-30T00:00:00"/>
    <s v="in"/>
    <s v="I"/>
    <n v="1"/>
    <n v="2024146"/>
    <s v="10033-12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23T00:00:00"/>
    <s v="out"/>
    <s v="I"/>
    <n v="-1"/>
    <n v="2024146"/>
    <s v="10033-12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46"/>
    <s v="10033-13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23T00:00:00"/>
    <s v="out"/>
    <s v="I"/>
    <n v="-1"/>
    <n v="2024146"/>
    <s v="10033-13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39"/>
    <s v="10033-14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15T00:00:00"/>
    <s v="out"/>
    <s v="I"/>
    <n v="-1"/>
    <n v="2024139"/>
    <s v="10033-14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39"/>
    <s v="10033-15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15T00:00:00"/>
    <s v="out"/>
    <s v="I"/>
    <n v="-1"/>
    <n v="2024139"/>
    <s v="10033-15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18"/>
    <s v="10033-16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02T00:00:00"/>
    <s v="out"/>
    <s v="I"/>
    <n v="-1"/>
    <n v="2024118"/>
    <s v="10033-16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18"/>
    <s v="10033-17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02T00:00:00"/>
    <s v="out"/>
    <s v="I"/>
    <n v="-1"/>
    <n v="2024118"/>
    <s v="10033-17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n v="2024146"/>
    <s v="10033-18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0-23T00:00:00"/>
    <s v="out"/>
    <s v="I"/>
    <n v="-1"/>
    <n v="2024146"/>
    <s v="10033-18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09-30T00:00:00"/>
    <s v="in"/>
    <s v="I"/>
    <n v="1"/>
    <m/>
    <s v="10033-19"/>
    <n v="1530"/>
    <s v="mm"/>
    <n v="3000"/>
    <s v="m"/>
    <n v="7114.5"/>
    <n v="0.37814458402377227"/>
    <n v="0.37814458402377227"/>
    <n v="2690.3096430371279"/>
    <n v="2690.3096430371279"/>
    <s v="D16 - TC DT / ACR / Glassine (Supermarket)"/>
    <n v="0"/>
    <n v="0"/>
  </r>
  <r>
    <n v="30019"/>
    <x v="3"/>
    <d v="2024-11-01T00:00:00"/>
    <s v="out"/>
    <s v="I"/>
    <n v="-1"/>
    <s v="LE-2024150"/>
    <s v="10033-19"/>
    <n v="1530"/>
    <s v="mm"/>
    <n v="3000"/>
    <s v="m"/>
    <n v="-7114.5"/>
    <n v="0.37814458402377227"/>
    <n v="0.37814458402377227"/>
    <n v="-2690.3096430371279"/>
    <n v="-2690.3096430371279"/>
    <s v="D16 - TC DT / ACR / Glassine (Supermarket)"/>
    <n v="0"/>
    <n v="0"/>
  </r>
  <r>
    <n v="30019"/>
    <x v="3"/>
    <d v="2024-11-01T00:00:00"/>
    <s v="in"/>
    <s v="I"/>
    <n v="1"/>
    <s v="LE-2024150"/>
    <s v="LE-2024150-49"/>
    <n v="9.5"/>
    <s v="po"/>
    <n v="4850"/>
    <s v="pi"/>
    <n v="552.9"/>
    <n v="0.37814458402377227"/>
    <n v="0.37814458402377227"/>
    <n v="209.07614050674368"/>
    <n v="209.07614050674368"/>
    <s v="D16 - TC DT / ACR / Glassine (Supermarket)"/>
    <n v="0"/>
    <n v="0"/>
  </r>
  <r>
    <n v="30019"/>
    <x v="3"/>
    <d v="2024-12-05T00:00:00"/>
    <s v="out"/>
    <s v="I"/>
    <n v="-1"/>
    <s v="LE-2024194"/>
    <s v="LE-2024150-49"/>
    <n v="9.5"/>
    <s v="po"/>
    <n v="4850"/>
    <s v="pi"/>
    <n v="-552.9"/>
    <n v="0.37814458402377227"/>
    <n v="0.37814458402377227"/>
    <n v="-209.07614050674368"/>
    <n v="-209.07614050674368"/>
    <s v="D16 - TC DT / ACR / Glassine (Supermarket)"/>
    <n v="0"/>
    <n v="0"/>
  </r>
  <r>
    <n v="30019"/>
    <x v="3"/>
    <d v="2024-09-30T00:00:00"/>
    <s v="in"/>
    <s v="I"/>
    <n v="1"/>
    <n v="2024118"/>
    <s v="10033-20"/>
    <n v="1530"/>
    <s v="mm"/>
    <n v="3100"/>
    <s v="m"/>
    <n v="7351.6500000000005"/>
    <n v="0.37814458402377227"/>
    <n v="0.37814458402377227"/>
    <n v="2779.9866311383657"/>
    <n v="2779.9866311383657"/>
    <s v="D16 - TC DT / ACR / Glassine (Supermarket)"/>
    <n v="0"/>
    <n v="0"/>
  </r>
  <r>
    <n v="30019"/>
    <x v="3"/>
    <d v="2024-10-02T00:00:00"/>
    <s v="out"/>
    <s v="I"/>
    <n v="-1"/>
    <n v="2024118"/>
    <s v="10033-20"/>
    <n v="1530"/>
    <s v="mm"/>
    <n v="3100"/>
    <s v="m"/>
    <n v="-7351.6500000000005"/>
    <n v="0.37814458402377227"/>
    <n v="0.37814458402377227"/>
    <n v="-2779.9866311383657"/>
    <n v="-2779.9866311383657"/>
    <s v="D16 - TC DT / ACR / Glassine (Supermarket)"/>
    <n v="0"/>
    <n v="0"/>
  </r>
  <r>
    <n v="30019"/>
    <x v="3"/>
    <d v="2024-09-30T00:00:00"/>
    <s v="in"/>
    <s v="I"/>
    <n v="1"/>
    <n v="2024146"/>
    <s v="10033-21"/>
    <n v="1530"/>
    <s v="mm"/>
    <n v="3100"/>
    <s v="m"/>
    <n v="7351.6500000000005"/>
    <n v="0.37814458402377227"/>
    <n v="0.37814458402377227"/>
    <n v="2779.9866311383657"/>
    <n v="2779.9866311383657"/>
    <s v="D16 - TC DT / ACR / Glassine (Supermarket)"/>
    <n v="0"/>
    <n v="0"/>
  </r>
  <r>
    <n v="30019"/>
    <x v="3"/>
    <d v="2024-10-23T00:00:00"/>
    <s v="out"/>
    <s v="I"/>
    <n v="-1"/>
    <n v="2024146"/>
    <s v="10033-21"/>
    <n v="1530"/>
    <s v="mm"/>
    <n v="3100"/>
    <s v="m"/>
    <n v="-7351.6500000000005"/>
    <n v="0.37814458402377227"/>
    <n v="0.37814458402377227"/>
    <n v="-2779.9866311383657"/>
    <n v="-2779.9866311383657"/>
    <s v="D16 - TC DT / ACR / Glassine (Supermarket)"/>
    <n v="0"/>
    <n v="0"/>
  </r>
  <r>
    <n v="30019"/>
    <x v="3"/>
    <d v="2024-09-30T00:00:00"/>
    <s v="in"/>
    <s v="I"/>
    <n v="1"/>
    <n v="2024139"/>
    <s v="10033-22"/>
    <n v="1530"/>
    <s v="mm"/>
    <n v="3100"/>
    <s v="m"/>
    <n v="7351.6500000000005"/>
    <n v="0.37814458402377227"/>
    <n v="0.37814458402377227"/>
    <n v="2779.9866311383657"/>
    <n v="2779.9866311383657"/>
    <s v="D16 - TC DT / ACR / Glassine (Supermarket)"/>
    <n v="0"/>
    <n v="0"/>
  </r>
  <r>
    <n v="30019"/>
    <x v="3"/>
    <d v="2024-10-15T00:00:00"/>
    <s v="out"/>
    <s v="I"/>
    <n v="-1"/>
    <n v="2024139"/>
    <s v="10033-22"/>
    <n v="1530"/>
    <s v="mm"/>
    <n v="3100"/>
    <s v="m"/>
    <n v="-7351.6500000000005"/>
    <n v="0.37814458402377227"/>
    <n v="0.37814458402377227"/>
    <n v="-2779.9866311383657"/>
    <n v="-2779.9866311383657"/>
    <s v="D16 - TC DT / ACR / Glassine (Supermarket)"/>
    <n v="0"/>
    <n v="0"/>
  </r>
  <r>
    <n v="30019"/>
    <x v="3"/>
    <d v="2024-09-30T00:00:00"/>
    <s v="in"/>
    <s v="I"/>
    <n v="1"/>
    <n v="2024139"/>
    <s v="10033-23"/>
    <n v="1530"/>
    <s v="mm"/>
    <n v="3100"/>
    <s v="m"/>
    <n v="7351.6500000000005"/>
    <n v="0.37814458402377227"/>
    <n v="0.37814458402377227"/>
    <n v="2779.9866311383657"/>
    <n v="2779.9866311383657"/>
    <s v="D16 - TC DT / ACR / Glassine (Supermarket)"/>
    <n v="0"/>
    <n v="0"/>
  </r>
  <r>
    <n v="30019"/>
    <x v="3"/>
    <d v="2024-10-15T00:00:00"/>
    <s v="out"/>
    <s v="I"/>
    <n v="-1"/>
    <n v="2024139"/>
    <s v="10033-23"/>
    <n v="1530"/>
    <s v="mm"/>
    <n v="3100"/>
    <s v="m"/>
    <n v="-7351.6500000000005"/>
    <n v="0.37814458402377227"/>
    <n v="0.37814458402377227"/>
    <n v="-2779.9866311383657"/>
    <n v="-2779.9866311383657"/>
    <s v="D16 - TC DT / ACR / Glassine (Supermarket)"/>
    <n v="0"/>
    <n v="0"/>
  </r>
  <r>
    <n v="30019"/>
    <x v="3"/>
    <d v="2024-09-30T00:00:00"/>
    <s v="in"/>
    <s v="I"/>
    <n v="1"/>
    <n v="2024139"/>
    <s v="10033-24"/>
    <n v="1530"/>
    <s v="mm"/>
    <n v="3100"/>
    <s v="m"/>
    <n v="7351.6500000000005"/>
    <n v="0.37814458402377227"/>
    <n v="0.37814458402377227"/>
    <n v="2779.9866311383657"/>
    <n v="2779.9866311383657"/>
    <s v="D16 - TC DT / ACR / Glassine (Supermarket)"/>
    <n v="0"/>
    <n v="0"/>
  </r>
  <r>
    <n v="30019"/>
    <x v="3"/>
    <d v="2024-10-15T00:00:00"/>
    <s v="out"/>
    <s v="I"/>
    <n v="-1"/>
    <n v="2024139"/>
    <s v="10033-24"/>
    <n v="1530"/>
    <s v="mm"/>
    <n v="3100"/>
    <s v="m"/>
    <n v="-7351.6500000000005"/>
    <n v="0.37814458402377227"/>
    <n v="0.37814458402377227"/>
    <n v="-2779.9866311383657"/>
    <n v="-2779.9866311383657"/>
    <s v="D16 - TC DT / ACR / Glassine (Supermarket)"/>
    <n v="0"/>
    <n v="0"/>
  </r>
  <r>
    <n v="30019"/>
    <x v="3"/>
    <d v="2024-09-30T00:00:00"/>
    <s v="in"/>
    <s v="I"/>
    <n v="1"/>
    <n v="2024139"/>
    <s v="10033-25"/>
    <n v="1530"/>
    <s v="mm"/>
    <n v="2970"/>
    <s v="m"/>
    <n v="7043.3550000000005"/>
    <n v="0.37814458402377227"/>
    <n v="0.37814458402377227"/>
    <n v="2663.4065466067568"/>
    <n v="2663.4065466067568"/>
    <s v="D16 - TC DT / ACR / Glassine (Supermarket)"/>
    <n v="0"/>
    <n v="0"/>
  </r>
  <r>
    <n v="30019"/>
    <x v="3"/>
    <d v="2024-10-15T00:00:00"/>
    <s v="out"/>
    <s v="I"/>
    <n v="-1"/>
    <n v="2024139"/>
    <s v="10033-25"/>
    <n v="1530"/>
    <s v="mm"/>
    <n v="2970"/>
    <s v="m"/>
    <n v="-7043.3550000000005"/>
    <n v="0.37814458402377227"/>
    <n v="0.37814458402377227"/>
    <n v="-2663.4065466067568"/>
    <n v="-2663.4065466067568"/>
    <s v="D16 - TC DT / ACR / Glassine (Supermarket)"/>
    <n v="0"/>
    <n v="0"/>
  </r>
  <r>
    <n v="30019"/>
    <x v="3"/>
    <d v="2024-09-30T00:00:00"/>
    <s v="in"/>
    <s v="I"/>
    <n v="1"/>
    <n v="2024118"/>
    <s v="10033-26"/>
    <n v="1530"/>
    <s v="mm"/>
    <n v="2900"/>
    <s v="m"/>
    <n v="6877.35"/>
    <n v="0.37814458402377227"/>
    <n v="0.37814458402377227"/>
    <n v="2600.6326549358905"/>
    <n v="2600.6326549358905"/>
    <s v="D16 - TC DT / ACR / Glassine (Supermarket)"/>
    <n v="0"/>
    <n v="0"/>
  </r>
  <r>
    <n v="30019"/>
    <x v="3"/>
    <d v="2024-10-02T00:00:00"/>
    <s v="out"/>
    <s v="I"/>
    <n v="-1"/>
    <n v="2024118"/>
    <s v="10033-26"/>
    <n v="1530"/>
    <s v="mm"/>
    <n v="2900"/>
    <s v="m"/>
    <n v="-6877.35"/>
    <n v="0.37814458402377227"/>
    <n v="0.37814458402377227"/>
    <n v="-2600.6326549358905"/>
    <n v="-2600.6326549358905"/>
    <s v="D16 - TC DT / ACR / Glassine (Supermarket)"/>
    <n v="0"/>
    <n v="0"/>
  </r>
  <r>
    <n v="30019"/>
    <x v="3"/>
    <d v="2024-09-30T00:00:00"/>
    <s v="in"/>
    <s v="I"/>
    <n v="1"/>
    <n v="2024146"/>
    <s v="10033-27"/>
    <n v="1530"/>
    <s v="mm"/>
    <n v="2850"/>
    <s v="m"/>
    <n v="6758.7750000000005"/>
    <n v="0.37814458402377227"/>
    <n v="0.37814458402377227"/>
    <n v="2555.7941608852716"/>
    <n v="2555.7941608852716"/>
    <s v="D16 - TC DT / ACR / Glassine (Supermarket)"/>
    <n v="0"/>
    <n v="0"/>
  </r>
  <r>
    <n v="30019"/>
    <x v="3"/>
    <d v="2024-10-23T00:00:00"/>
    <s v="out"/>
    <s v="I"/>
    <n v="-1"/>
    <n v="2024146"/>
    <s v="10033-27"/>
    <n v="1530"/>
    <s v="mm"/>
    <n v="2850"/>
    <s v="m"/>
    <n v="-6758.7750000000005"/>
    <n v="0.37814458402377227"/>
    <n v="0.37814458402377227"/>
    <n v="-2555.7941608852716"/>
    <n v="-2555.7941608852716"/>
    <s v="D16 - TC DT / ACR / Glassine (Supermarket)"/>
    <n v="0"/>
    <n v="0"/>
  </r>
  <r>
    <n v="30012"/>
    <x v="4"/>
    <d v="2024-05-02T00:00:00"/>
    <s v="in"/>
    <s v="I"/>
    <n v="1"/>
    <m/>
    <s v="DT shipping labels-1"/>
    <n v="510"/>
    <s v="mm"/>
    <n v="3000"/>
    <s v="m"/>
    <n v="2371.5"/>
    <n v="0"/>
    <n v="0.32797457659534618"/>
    <n v="0"/>
    <n v="777.79170839586345"/>
    <s v="D21 - TC DT / HM / Glassine (Shipping)"/>
    <n v="0"/>
    <n v="0"/>
  </r>
  <r>
    <n v="30012"/>
    <x v="4"/>
    <d v="2024-12-17T00:00:00"/>
    <s v="out"/>
    <s v="I"/>
    <n v="-1"/>
    <s v="LE-2024203"/>
    <s v="DT shipping labels-1"/>
    <n v="510"/>
    <s v="mm"/>
    <n v="3000"/>
    <s v="m"/>
    <n v="-2371.5"/>
    <n v="0"/>
    <n v="0.32797457659534618"/>
    <n v="0"/>
    <n v="-777.79170839586345"/>
    <s v="D21 - TC DT / HM / Glassine (Shipping)"/>
    <n v="0"/>
    <n v="0"/>
  </r>
  <r>
    <n v="30012"/>
    <x v="4"/>
    <d v="2024-05-02T00:00:00"/>
    <s v="in"/>
    <s v="I"/>
    <n v="1"/>
    <m/>
    <s v="DT shipping labels-2"/>
    <n v="510"/>
    <s v="mm"/>
    <n v="3000"/>
    <s v="m"/>
    <n v="2371.5"/>
    <n v="0"/>
    <n v="0.32797457659534618"/>
    <n v="0"/>
    <n v="777.79170839586345"/>
    <s v="D21 - TC DT / HM / Glassine (Shipping)"/>
    <n v="0"/>
    <n v="0"/>
  </r>
  <r>
    <n v="30012"/>
    <x v="4"/>
    <d v="2024-12-17T00:00:00"/>
    <s v="out"/>
    <s v="I"/>
    <n v="-1"/>
    <s v="LE-2024203"/>
    <s v="DT shipping labels-2"/>
    <n v="510"/>
    <s v="mm"/>
    <n v="3000"/>
    <s v="m"/>
    <n v="-2371.5"/>
    <n v="0"/>
    <n v="0.32797457659534618"/>
    <n v="0"/>
    <n v="-777.79170839586345"/>
    <s v="D21 - TC DT / HM / Glassine (Shipping)"/>
    <n v="0"/>
    <n v="0"/>
  </r>
  <r>
    <n v="30012"/>
    <x v="4"/>
    <d v="2024-05-02T00:00:00"/>
    <s v="in"/>
    <s v="I"/>
    <n v="1"/>
    <m/>
    <s v="DT shipping labels-3"/>
    <n v="510"/>
    <s v="mm"/>
    <n v="3000"/>
    <s v="m"/>
    <n v="2371.5"/>
    <n v="0"/>
    <n v="0.32797457659534618"/>
    <n v="0"/>
    <n v="777.79170839586345"/>
    <s v="D21 - TC DT / HM / Glassine (Shipping)"/>
    <n v="0"/>
    <n v="0"/>
  </r>
  <r>
    <n v="30012"/>
    <x v="4"/>
    <d v="2024-10-08T00:00:00"/>
    <s v="out"/>
    <s v="I"/>
    <n v="-1"/>
    <n v="2024131"/>
    <s v="DT shipping labels-3"/>
    <n v="510"/>
    <s v="mm"/>
    <n v="3000"/>
    <s v="m"/>
    <n v="-2371.5"/>
    <n v="0"/>
    <n v="0.32797457659534618"/>
    <n v="0"/>
    <n v="-777.79170839586345"/>
    <s v="D21 - TC DT / HM / Glassine (Shipping)"/>
    <n v="0"/>
    <n v="0"/>
  </r>
  <r>
    <n v="30012"/>
    <x v="4"/>
    <d v="2024-05-02T00:00:00"/>
    <s v="in"/>
    <s v="I"/>
    <n v="1"/>
    <m/>
    <s v="DT shipping labels-4"/>
    <n v="510"/>
    <s v="mm"/>
    <n v="3000"/>
    <s v="m"/>
    <n v="2371.5"/>
    <n v="0"/>
    <n v="0.32797457659534618"/>
    <n v="0"/>
    <n v="777.79170839586345"/>
    <s v="D21 - TC DT / HM / Glassine (Shipping)"/>
    <n v="0"/>
    <n v="0"/>
  </r>
  <r>
    <n v="30012"/>
    <x v="4"/>
    <d v="2024-12-17T00:00:00"/>
    <s v="out"/>
    <s v="I"/>
    <n v="-1"/>
    <s v="LE-2024203"/>
    <s v="DT shipping labels-4"/>
    <n v="510"/>
    <s v="mm"/>
    <n v="3000"/>
    <s v="m"/>
    <n v="-2371.5"/>
    <n v="0"/>
    <n v="0.32797457659534618"/>
    <n v="0"/>
    <n v="-777.79170839586345"/>
    <s v="D21 - TC DT / HM / Glassine (Shipping)"/>
    <n v="0"/>
    <n v="0"/>
  </r>
  <r>
    <n v="30012"/>
    <x v="4"/>
    <d v="2024-05-02T00:00:00"/>
    <s v="in"/>
    <s v="I"/>
    <n v="1"/>
    <m/>
    <s v="DT shipping labels-5"/>
    <n v="510"/>
    <s v="mm"/>
    <n v="3000"/>
    <s v="m"/>
    <n v="2371.5"/>
    <n v="0"/>
    <n v="0.32797457659534618"/>
    <n v="0"/>
    <n v="777.79170839586345"/>
    <s v="D21 - TC DT / HM / Glassine (Shipping)"/>
    <n v="0"/>
    <n v="0"/>
  </r>
  <r>
    <n v="30012"/>
    <x v="4"/>
    <d v="2024-12-17T00:00:00"/>
    <s v="out"/>
    <s v="I"/>
    <n v="-1"/>
    <s v="LE-2024203"/>
    <s v="DT shipping labels-5"/>
    <n v="510"/>
    <s v="mm"/>
    <n v="3000"/>
    <s v="m"/>
    <n v="-2371.5"/>
    <n v="0"/>
    <n v="0.32797457659534618"/>
    <n v="0"/>
    <n v="-777.79170839586345"/>
    <s v="D21 - TC DT / HM / Glassine (Shipping)"/>
    <n v="0"/>
    <n v="0"/>
  </r>
  <r>
    <n v="30012"/>
    <x v="4"/>
    <d v="2024-05-02T00:00:00"/>
    <s v="in"/>
    <s v="A"/>
    <n v="1"/>
    <m/>
    <s v="DT shipping labels-6"/>
    <n v="510"/>
    <s v="mm"/>
    <n v="3000"/>
    <s v="m"/>
    <n v="2371.5"/>
    <n v="0"/>
    <n v="0.32797457659534618"/>
    <n v="0"/>
    <n v="777.79170839586345"/>
    <s v="D21 - TC DT / HM / Glassine (Shipping)"/>
    <n v="20.079999999999998"/>
    <n v="9843"/>
  </r>
  <r>
    <n v="30012"/>
    <x v="4"/>
    <d v="2024-05-02T00:00:00"/>
    <s v="in"/>
    <s v="A"/>
    <n v="1"/>
    <m/>
    <s v="DT shipping labels-7"/>
    <n v="510"/>
    <s v="mm"/>
    <n v="3000"/>
    <s v="m"/>
    <n v="2371.5"/>
    <n v="0"/>
    <n v="0.32797457659534618"/>
    <n v="0"/>
    <n v="777.79170839586345"/>
    <s v="D21 - TC DT / HM / Glassine (Shipping)"/>
    <n v="20.079999999999998"/>
    <n v="9843"/>
  </r>
  <r>
    <n v="30012"/>
    <x v="4"/>
    <d v="2024-05-02T00:00:00"/>
    <s v="in"/>
    <s v="A"/>
    <n v="1"/>
    <m/>
    <s v="DT shipping labels-8"/>
    <n v="510"/>
    <s v="mm"/>
    <n v="3000"/>
    <s v="m"/>
    <n v="2371.5"/>
    <n v="0"/>
    <n v="0.32797457659534618"/>
    <n v="0"/>
    <n v="777.79170839586345"/>
    <s v="D21 - TC DT / HM / Glassine (Shipping)"/>
    <n v="20.079999999999998"/>
    <n v="9843"/>
  </r>
  <r>
    <n v="30012"/>
    <x v="4"/>
    <d v="2024-05-02T00:00:00"/>
    <s v="in"/>
    <s v="A"/>
    <n v="1"/>
    <m/>
    <s v="DT shipping labels-9"/>
    <n v="510"/>
    <s v="mm"/>
    <n v="3000"/>
    <s v="m"/>
    <n v="2371.5"/>
    <n v="0"/>
    <n v="0.32797457659534618"/>
    <n v="0"/>
    <n v="777.79170839586345"/>
    <s v="D21 - TC DT / HM / Glassine (Shipping)"/>
    <n v="20.079999999999998"/>
    <n v="9843"/>
  </r>
  <r>
    <n v="30012"/>
    <x v="4"/>
    <d v="2024-05-02T00:00:00"/>
    <s v="in"/>
    <s v="A"/>
    <n v="1"/>
    <m/>
    <s v="DT shipping labels-16"/>
    <n v="1530"/>
    <s v="mm"/>
    <n v="3000"/>
    <s v="m"/>
    <n v="7114.5"/>
    <n v="0"/>
    <n v="0.32797457659534618"/>
    <n v="0"/>
    <n v="2333.3751251875906"/>
    <s v="D21 - TC DT / HM / Glassine (Shipping)"/>
    <n v="60.24"/>
    <n v="9843"/>
  </r>
  <r>
    <n v="30012"/>
    <x v="4"/>
    <d v="2024-05-02T00:00:00"/>
    <s v="in"/>
    <s v="A"/>
    <n v="1"/>
    <m/>
    <s v="DT shipping labels-18"/>
    <n v="1530"/>
    <s v="mm"/>
    <n v="3000"/>
    <s v="m"/>
    <n v="7114.5"/>
    <n v="0"/>
    <n v="0.32797457659534618"/>
    <n v="0"/>
    <n v="2333.3751251875906"/>
    <s v="D21 - TC DT / HM / Glassine (Shipping)"/>
    <n v="60.24"/>
    <n v="9843"/>
  </r>
  <r>
    <n v="30012"/>
    <x v="4"/>
    <d v="2024-05-02T00:00:00"/>
    <s v="in"/>
    <s v="I"/>
    <n v="1"/>
    <n v="2024128"/>
    <s v="DT shipping labels-24"/>
    <n v="1530"/>
    <s v="mm"/>
    <n v="3000"/>
    <s v="m"/>
    <n v="7114.5"/>
    <n v="0"/>
    <n v="0.32797457659534618"/>
    <n v="0"/>
    <n v="2333.3751251875906"/>
    <s v="D21 - TC DT / HM / Glassine (Shipping)"/>
    <n v="0"/>
    <n v="0"/>
  </r>
  <r>
    <n v="30012"/>
    <x v="4"/>
    <d v="2024-10-10T00:00:00"/>
    <s v="out"/>
    <s v="I"/>
    <n v="-1"/>
    <n v="2024128"/>
    <s v="DT shipping labels-24"/>
    <n v="1530"/>
    <s v="mm"/>
    <n v="3000"/>
    <s v="m"/>
    <n v="-7114.5"/>
    <n v="0"/>
    <n v="0.32797457659534618"/>
    <n v="0"/>
    <n v="-2333.3751251875906"/>
    <s v="D21 - TC DT / HM / Glassine (Shipping)"/>
    <n v="0"/>
    <n v="0"/>
  </r>
  <r>
    <n v="30012"/>
    <x v="4"/>
    <d v="2024-05-02T00:00:00"/>
    <s v="in"/>
    <s v="A"/>
    <n v="1"/>
    <n v="2024128"/>
    <s v="2024128-1"/>
    <n v="7.5"/>
    <s v="po"/>
    <n v="4800"/>
    <s v="pi"/>
    <n v="432"/>
    <n v="0"/>
    <n v="0.32797457659534618"/>
    <n v="0"/>
    <n v="141.68501708918956"/>
    <s v="D21 - TC DT / HM / Glassine (Shipping)"/>
    <n v="7.5"/>
    <n v="4800"/>
  </r>
  <r>
    <n v="30012"/>
    <x v="4"/>
    <d v="2024-05-02T00:00:00"/>
    <s v="in"/>
    <s v="A"/>
    <n v="1"/>
    <n v="2024128"/>
    <s v="2024128-8"/>
    <n v="7.5"/>
    <s v="po"/>
    <n v="4900"/>
    <s v="pi"/>
    <n v="441"/>
    <n v="0"/>
    <n v="0.32797457659534618"/>
    <n v="0"/>
    <n v="144.63678827854767"/>
    <s v="D21 - TC DT / HM / Glassine (Shipping)"/>
    <n v="7.5"/>
    <n v="4900"/>
  </r>
  <r>
    <n v="30012"/>
    <x v="4"/>
    <d v="2024-05-02T00:00:00"/>
    <s v="in"/>
    <s v="A"/>
    <n v="1"/>
    <m/>
    <s v="DT shipping labels-27"/>
    <n v="1530"/>
    <s v="mm"/>
    <n v="3000"/>
    <s v="m"/>
    <n v="7114.5"/>
    <n v="0"/>
    <n v="0.32797457659534618"/>
    <n v="0"/>
    <n v="2333.3751251875906"/>
    <s v="D21 - TC DT / HM / Glassine (Shipping)"/>
    <n v="60.24"/>
    <n v="9843"/>
  </r>
  <r>
    <n v="30012"/>
    <x v="4"/>
    <d v="2024-05-02T00:00:00"/>
    <s v="in"/>
    <s v="I"/>
    <n v="1"/>
    <n v="2024128"/>
    <s v="DT shipping labels-31"/>
    <n v="1530"/>
    <s v="mm"/>
    <n v="3000"/>
    <s v="m"/>
    <n v="7114.5"/>
    <n v="0"/>
    <n v="0.32797457659534618"/>
    <n v="0"/>
    <n v="2333.3751251875906"/>
    <s v="D21 - TC DT / HM / Glassine (Shipping)"/>
    <n v="0"/>
    <n v="0"/>
  </r>
  <r>
    <n v="30012"/>
    <x v="4"/>
    <d v="2024-10-10T00:00:00"/>
    <s v="out"/>
    <s v="I"/>
    <n v="-1"/>
    <n v="2024128"/>
    <s v="DT shipping labels-31"/>
    <n v="1530"/>
    <s v="mm"/>
    <n v="3000"/>
    <s v="m"/>
    <n v="-7114.5"/>
    <n v="0"/>
    <n v="0.32797457659534618"/>
    <n v="0"/>
    <n v="-2333.3751251875906"/>
    <s v="D21 - TC DT / HM / Glassine (Shipping)"/>
    <n v="0"/>
    <n v="0"/>
  </r>
  <r>
    <n v="30012"/>
    <x v="4"/>
    <d v="2024-10-10T00:00:00"/>
    <s v="in"/>
    <s v="A"/>
    <n v="1"/>
    <n v="2024128"/>
    <s v="2024128-15"/>
    <n v="7.5"/>
    <s v="po"/>
    <n v="4800"/>
    <s v="pi"/>
    <n v="432"/>
    <n v="0"/>
    <n v="0.32797457659534618"/>
    <n v="0"/>
    <n v="141.68501708918956"/>
    <s v="D21 - TC DT / HM / Glassine (Shipping)"/>
    <n v="7.5"/>
    <n v="4800"/>
  </r>
  <r>
    <n v="30012"/>
    <x v="4"/>
    <d v="2024-10-10T00:00:00"/>
    <s v="in"/>
    <s v="I"/>
    <n v="1"/>
    <n v="2024128"/>
    <s v="2024128-22"/>
    <n v="60.24"/>
    <s v="po"/>
    <n v="4900"/>
    <s v="pi"/>
    <n v="3542.1120000000001"/>
    <n v="0"/>
    <n v="0.32797457659534618"/>
    <n v="0"/>
    <n v="1161.7226834532948"/>
    <s v="D21 - TC DT / HM / Glassine (Shipping)"/>
    <n v="0"/>
    <n v="0"/>
  </r>
  <r>
    <n v="30012"/>
    <x v="4"/>
    <d v="2024-11-12T00:00:00"/>
    <s v="out"/>
    <s v="I"/>
    <n v="-1"/>
    <s v="LE-2024163"/>
    <s v="LE-2024128-22"/>
    <n v="60.24"/>
    <s v="po"/>
    <n v="4900"/>
    <s v="pi"/>
    <n v="-3542.1120000000001"/>
    <n v="0"/>
    <n v="0.32797457659534618"/>
    <n v="0"/>
    <n v="-1161.7226834532948"/>
    <s v="D21 - TC DT / HM / Glassine (Shipping)"/>
    <n v="0"/>
    <n v="0"/>
  </r>
  <r>
    <n v="30012"/>
    <x v="4"/>
    <d v="2024-11-12T00:00:00"/>
    <s v="in"/>
    <s v="A"/>
    <n v="1"/>
    <s v="LE-2024163"/>
    <s v="LE-2024163-01"/>
    <n v="8.8000000000000007"/>
    <s v="po"/>
    <n v="4850"/>
    <s v="pi"/>
    <n v="512.16000000000008"/>
    <n v="0"/>
    <n v="0.32797457659534618"/>
    <n v="0"/>
    <n v="167.97545914907252"/>
    <s v="D21 - TC DT / HM / Glassine (Shipping)"/>
    <n v="8.8000000000000007"/>
    <n v="4850"/>
  </r>
  <r>
    <n v="30012"/>
    <x v="4"/>
    <d v="2024-05-02T00:00:00"/>
    <s v="in"/>
    <s v="A"/>
    <n v="1"/>
    <m/>
    <s v="DT shipping labels-32"/>
    <n v="1530"/>
    <s v="mm"/>
    <n v="3000"/>
    <s v="m"/>
    <n v="7114.5"/>
    <n v="0"/>
    <n v="0.32797457659534618"/>
    <n v="0"/>
    <n v="2333.3751251875906"/>
    <s v="D21 - TC DT / HM / Glassine (Shipping)"/>
    <n v="60.24"/>
    <n v="9843"/>
  </r>
  <r>
    <n v="30012"/>
    <x v="4"/>
    <d v="2024-05-02T00:00:00"/>
    <s v="in"/>
    <s v="I"/>
    <n v="1"/>
    <m/>
    <s v="DT shipping labels-35"/>
    <n v="1530"/>
    <s v="mm"/>
    <n v="3000"/>
    <s v="m"/>
    <n v="7114.5"/>
    <n v="0"/>
    <n v="0.32797457659534618"/>
    <n v="0"/>
    <n v="2333.3751251875906"/>
    <s v="D21 - TC DT / HM / Glassine (Shipping)"/>
    <n v="0"/>
    <n v="0"/>
  </r>
  <r>
    <n v="30012"/>
    <x v="4"/>
    <d v="2024-11-12T00:00:00"/>
    <s v="out"/>
    <s v="I"/>
    <n v="-1"/>
    <s v="LE-2024163"/>
    <s v="DTSHIPPINGLABELS-35"/>
    <n v="1530"/>
    <s v="mm"/>
    <n v="3000"/>
    <s v="m"/>
    <n v="-7114.5"/>
    <n v="0"/>
    <n v="0.32797457659534618"/>
    <n v="0"/>
    <n v="-2333.3751251875906"/>
    <s v="D21 - TC DT / HM / Glassine (Shipping)"/>
    <n v="0"/>
    <n v="0"/>
  </r>
  <r>
    <n v="30012"/>
    <x v="4"/>
    <d v="2024-11-12T00:00:00"/>
    <s v="in"/>
    <s v="A"/>
    <n v="1"/>
    <s v="LE-2024163"/>
    <s v="LE-2024163-09"/>
    <n v="8.8000000000000007"/>
    <s v="po"/>
    <n v="9640"/>
    <s v="pi"/>
    <n v="1017.9840000000002"/>
    <n v="0"/>
    <n v="0.32797457659534618"/>
    <n v="0"/>
    <n v="333.87287138083695"/>
    <s v="D21 - TC DT / HM / Glassine (Shipping)"/>
    <n v="8.8000000000000007"/>
    <n v="9640"/>
  </r>
  <r>
    <n v="30012"/>
    <x v="4"/>
    <d v="2024-07-08T00:00:00"/>
    <s v="in"/>
    <s v="I"/>
    <n v="1"/>
    <n v="2024071"/>
    <s v="2024071-6"/>
    <n v="60.24"/>
    <s v="po"/>
    <n v="4643"/>
    <s v="pi"/>
    <n v="3356.3318399999998"/>
    <n v="0"/>
    <n v="0.32797457659534618"/>
    <n v="0"/>
    <n v="1100.7915141374792"/>
    <s v="D21 - TC DT / HM / Glassine (Shipping)"/>
    <n v="0"/>
    <n v="0"/>
  </r>
  <r>
    <n v="30012"/>
    <x v="4"/>
    <d v="2024-11-12T00:00:00"/>
    <s v="out"/>
    <s v="I"/>
    <n v="-1"/>
    <s v="LE-2024163"/>
    <s v="LE-2024071-6"/>
    <n v="60.24"/>
    <s v="po"/>
    <n v="4643"/>
    <s v="pi"/>
    <n v="-3356.3318399999998"/>
    <n v="0"/>
    <n v="0.32797457659534618"/>
    <n v="0"/>
    <n v="-1100.7915141374792"/>
    <s v="D21 - TC DT / HM / Glassine (Shipping)"/>
    <n v="0"/>
    <n v="0"/>
  </r>
  <r>
    <n v="30012"/>
    <x v="4"/>
    <d v="2024-11-12T00:00:00"/>
    <s v="in"/>
    <s v="A"/>
    <n v="1"/>
    <s v="LE-2024163"/>
    <s v="LE-2024163-05"/>
    <n v="8.4"/>
    <s v="po"/>
    <n v="4500"/>
    <s v="pi"/>
    <n v="453.60000000000008"/>
    <n v="0"/>
    <n v="0.32797457659534618"/>
    <n v="0"/>
    <n v="148.76926794364906"/>
    <s v="D21 - TC DT / HM / Glassine (Shipping)"/>
    <n v="8.4"/>
    <n v="4500"/>
  </r>
  <r>
    <n v="30012"/>
    <x v="4"/>
    <d v="2024-08-16T00:00:00"/>
    <s v="in"/>
    <s v="I"/>
    <n v="1"/>
    <s v="2024086 + 2024092"/>
    <s v="2024092-2"/>
    <n v="13"/>
    <s v="po"/>
    <n v="4300"/>
    <s v="pi"/>
    <n v="670.8"/>
    <n v="0"/>
    <n v="0.32797457659534618"/>
    <n v="0"/>
    <n v="220.00534598015821"/>
    <s v="D21 - TC DT / HM / Glassine (Shipping)"/>
    <n v="0"/>
    <n v="0"/>
  </r>
  <r>
    <n v="30012"/>
    <x v="4"/>
    <d v="2024-10-01T00:00:00"/>
    <s v="out"/>
    <s v="I"/>
    <n v="-1"/>
    <s v="2024086 + 2024092 + 2024119"/>
    <s v="2024092-2"/>
    <n v="13"/>
    <s v="po"/>
    <n v="4300"/>
    <s v="pi"/>
    <n v="-670.8"/>
    <n v="0"/>
    <n v="0.32797457659534618"/>
    <n v="0"/>
    <n v="-220.00534598015821"/>
    <s v="D21 - TC DT / HM / Glassine (Shipping)"/>
    <n v="0"/>
    <n v="0"/>
  </r>
  <r>
    <n v="30012"/>
    <x v="4"/>
    <d v="2024-10-01T00:00:00"/>
    <s v="in"/>
    <s v="A"/>
    <n v="1"/>
    <s v="2024086 + 2024092 + 2024119"/>
    <s v="2024119-2"/>
    <n v="5.5"/>
    <s v="po"/>
    <n v="3100"/>
    <s v="pi"/>
    <n v="204.6"/>
    <n v="0"/>
    <n v="0.32797457659534618"/>
    <n v="0"/>
    <n v="67.103598371407827"/>
    <s v="D21 - TC DT / HM / Glassine (Shipping)"/>
    <n v="5.5"/>
    <n v="3100"/>
  </r>
  <r>
    <n v="30012"/>
    <x v="4"/>
    <d v="2024-09-19T00:00:00"/>
    <s v="in"/>
    <s v="A"/>
    <n v="1"/>
    <s v="2024076 &amp; 2024112"/>
    <s v="2024112-4"/>
    <n v="10.82"/>
    <s v="po"/>
    <n v="9200"/>
    <s v="pi"/>
    <n v="1194.528"/>
    <n v="0"/>
    <n v="0.32797457659534618"/>
    <n v="0"/>
    <n v="391.7748150312857"/>
    <s v="D21 - TC DT / HM / Glassine (Shipping)"/>
    <n v="10.82"/>
    <n v="9200"/>
  </r>
  <r>
    <n v="30012"/>
    <x v="4"/>
    <d v="2024-05-02T00:00:00"/>
    <s v="in"/>
    <s v="A"/>
    <n v="1"/>
    <m/>
    <s v="DT shipping labels-11"/>
    <n v="1530"/>
    <s v="mm"/>
    <n v="6000"/>
    <s v="m"/>
    <n v="14229"/>
    <n v="0"/>
    <n v="0.32797457659534618"/>
    <n v="0"/>
    <n v="4666.7502503751812"/>
    <s v="D21 - TC DT / HM / Glassine (Shipping)"/>
    <n v="60.24"/>
    <n v="19685"/>
  </r>
  <r>
    <n v="30012"/>
    <x v="4"/>
    <d v="2024-05-02T00:00:00"/>
    <s v="in"/>
    <s v="A"/>
    <n v="1"/>
    <m/>
    <s v="DT shipping labels-12"/>
    <n v="1530"/>
    <s v="mm"/>
    <n v="6000"/>
    <s v="m"/>
    <n v="14229"/>
    <n v="0"/>
    <n v="0.32797457659534618"/>
    <n v="0"/>
    <n v="4666.7502503751812"/>
    <s v="D21 - TC DT / HM / Glassine (Shipping)"/>
    <n v="60.24"/>
    <n v="19685"/>
  </r>
  <r>
    <n v="30012"/>
    <x v="4"/>
    <d v="2024-05-02T00:00:00"/>
    <s v="in"/>
    <s v="A"/>
    <n v="1"/>
    <m/>
    <s v="DT shipping labels-13"/>
    <n v="1530"/>
    <s v="mm"/>
    <n v="6000"/>
    <s v="m"/>
    <n v="14229"/>
    <n v="0"/>
    <n v="0.32797457659534618"/>
    <n v="0"/>
    <n v="4666.7502503751812"/>
    <s v="D21 - TC DT / HM / Glassine (Shipping)"/>
    <n v="60.24"/>
    <n v="19685"/>
  </r>
  <r>
    <n v="30014"/>
    <x v="5"/>
    <d v="2024-05-09T00:00:00"/>
    <s v="in"/>
    <s v="A"/>
    <n v="1"/>
    <m/>
    <s v="SC20240260-1"/>
    <n v="1530"/>
    <s v="mm"/>
    <n v="6000"/>
    <s v="m"/>
    <n v="14229"/>
    <n v="0.26001875721560863"/>
    <n v="0.26001875721560863"/>
    <n v="3699.8068964208951"/>
    <n v="3699.8068964208951"/>
    <s v="S11 - Semi-gloss / HM / Glassine"/>
    <n v="60.24"/>
    <n v="19685"/>
  </r>
  <r>
    <n v="30014"/>
    <x v="5"/>
    <d v="2024-05-09T00:00:00"/>
    <s v="in"/>
    <s v="A"/>
    <n v="1"/>
    <m/>
    <s v="SC20240260-2"/>
    <n v="1530"/>
    <s v="mm"/>
    <n v="6000"/>
    <s v="m"/>
    <n v="14229"/>
    <n v="0.26001875721560863"/>
    <n v="0.26001875721560863"/>
    <n v="3699.8068964208951"/>
    <n v="3699.8068964208951"/>
    <s v="S11 - Semi-gloss / HM / Glassine"/>
    <n v="60.24"/>
    <n v="19685"/>
  </r>
  <r>
    <n v="30014"/>
    <x v="5"/>
    <d v="2024-05-09T00:00:00"/>
    <s v="in"/>
    <s v="A"/>
    <n v="1"/>
    <m/>
    <s v="SC20240260-3"/>
    <n v="1530"/>
    <s v="mm"/>
    <n v="6000"/>
    <s v="m"/>
    <n v="14229"/>
    <n v="0.26001875721560863"/>
    <n v="0.26001875721560863"/>
    <n v="3699.8068964208951"/>
    <n v="3699.8068964208951"/>
    <s v="S11 - Semi-gloss / HM / Glassine"/>
    <n v="60.24"/>
    <n v="19685"/>
  </r>
  <r>
    <n v="30014"/>
    <x v="5"/>
    <d v="2024-05-09T00:00:00"/>
    <s v="in"/>
    <s v="A"/>
    <n v="1"/>
    <m/>
    <s v="SC20240260-4"/>
    <n v="1530"/>
    <s v="mm"/>
    <n v="6050"/>
    <s v="m"/>
    <n v="14347.575000000001"/>
    <n v="0.26001875721560863"/>
    <n v="0.26001875721560863"/>
    <n v="3730.638620557736"/>
    <n v="3730.638620557736"/>
    <s v="S11 - Semi-gloss / HM / Glassine"/>
    <n v="60.24"/>
    <n v="19849"/>
  </r>
  <r>
    <n v="30014"/>
    <x v="5"/>
    <d v="2024-05-13T00:00:00"/>
    <s v="in"/>
    <s v="A"/>
    <n v="1"/>
    <n v="2024055"/>
    <s v="2024055-2"/>
    <n v="1530"/>
    <s v="mm"/>
    <n v="2743"/>
    <s v="m"/>
    <n v="6505.0245000000004"/>
    <n v="0.26001875721560863"/>
    <n v="0.26001875721560863"/>
    <n v="1691.428386147086"/>
    <n v="1691.428386147086"/>
    <s v="S11 - Semi-gloss / HM / Glassine"/>
    <n v="60.24"/>
    <n v="8999"/>
  </r>
  <r>
    <n v="30014"/>
    <x v="5"/>
    <d v="2024-05-13T00:00:00"/>
    <s v="in"/>
    <s v="A"/>
    <n v="1"/>
    <n v="2024055"/>
    <s v="2024055-1"/>
    <n v="44.25"/>
    <s v="po"/>
    <n v="9000"/>
    <s v="pi"/>
    <n v="4779"/>
    <n v="0.26001875721560863"/>
    <n v="0.26001875721560863"/>
    <n v="1242.6296407333937"/>
    <n v="1242.6296407333937"/>
    <s v="S11 - Semi-gloss / HM / Glassine"/>
    <n v="44.25"/>
    <n v="9000"/>
  </r>
  <r>
    <n v="30014"/>
    <x v="5"/>
    <d v="2024-05-09T00:00:00"/>
    <s v="in"/>
    <s v="A"/>
    <n v="1"/>
    <m/>
    <s v="SC20240260-6"/>
    <n v="1530"/>
    <s v="mm"/>
    <n v="5960"/>
    <s v="m"/>
    <n v="14134.14"/>
    <n v="0.26001875721560863"/>
    <n v="0.26001875721560863"/>
    <n v="3675.1415171114222"/>
    <n v="3675.1415171114222"/>
    <s v="S11 - Semi-gloss / HM / Glassine"/>
    <n v="60.24"/>
    <n v="19554"/>
  </r>
  <r>
    <n v="30015"/>
    <x v="6"/>
    <d v="2024-05-09T00:00:00"/>
    <s v="in"/>
    <s v="I"/>
    <n v="1"/>
    <m/>
    <s v="SC20240260-7"/>
    <n v="1530"/>
    <s v="mm"/>
    <n v="6080"/>
    <s v="m"/>
    <n v="14418.72"/>
    <n v="0.26885424108657641"/>
    <n v="0.26885424108657641"/>
    <n v="3876.5340230398406"/>
    <n v="3876.5340230398406"/>
    <s v="S15 - Semi-gloss / ACR / Glassine"/>
    <n v="0"/>
    <n v="0"/>
  </r>
  <r>
    <n v="30015"/>
    <x v="6"/>
    <d v="2024-11-22T00:00:00"/>
    <s v="out"/>
    <s v="I"/>
    <n v="-1"/>
    <s v="LE-2024174"/>
    <s v="PI SC20240260-7"/>
    <n v="60.24"/>
    <s v="po"/>
    <n v="19948"/>
    <s v="pi"/>
    <n v="-14420.01024"/>
    <n v="0.26885424108657641"/>
    <n v="0.26885424108657641"/>
    <n v="-3876.8809095358606"/>
    <n v="-3876.8809095358606"/>
    <s v="S15 - Semi-gloss / ACR / Glassine"/>
    <n v="0"/>
    <n v="0"/>
  </r>
  <r>
    <n v="30015"/>
    <x v="6"/>
    <d v="2024-11-22T00:00:00"/>
    <s v="in"/>
    <s v="I"/>
    <n v="1"/>
    <s v="LE-2024174"/>
    <s v="LE-2024174-07"/>
    <n v="60.24"/>
    <s v="po"/>
    <n v="14800"/>
    <s v="pi"/>
    <n v="10698.624"/>
    <n v="0.26885424108657641"/>
    <n v="0.26885424108657641"/>
    <n v="2876.3704361906325"/>
    <n v="2876.3704361906325"/>
    <s v="S15 - Semi-gloss / ACR / Glassine"/>
    <n v="0"/>
    <n v="0"/>
  </r>
  <r>
    <n v="30015"/>
    <x v="6"/>
    <d v="2024-11-25T00:00:00"/>
    <s v="out"/>
    <s v="I"/>
    <n v="-1"/>
    <s v="LE-2024176"/>
    <s v="LE-2024174-07"/>
    <n v="60.24"/>
    <s v="po"/>
    <n v="14800"/>
    <s v="pi"/>
    <n v="-10698.624"/>
    <n v="0.26885424108657641"/>
    <n v="0.26885424108657641"/>
    <n v="-2876.3704361906325"/>
    <n v="-2876.3704361906325"/>
    <s v="S15 - Semi-gloss / ACR / Glassine"/>
    <n v="0"/>
    <n v="0"/>
  </r>
  <r>
    <n v="30015"/>
    <x v="6"/>
    <d v="2024-11-25T00:00:00"/>
    <s v="in"/>
    <s v="I"/>
    <n v="1"/>
    <s v="LE-2024176"/>
    <s v="LE-2024176-06"/>
    <n v="60.24"/>
    <s v="po"/>
    <n v="5000"/>
    <s v="pi"/>
    <n v="3614.4"/>
    <n v="0.26885424108657641"/>
    <n v="0.26885424108657641"/>
    <n v="971.74676898332177"/>
    <n v="971.74676898332177"/>
    <s v="S15 - Semi-gloss / ACR / Glassine"/>
    <n v="0"/>
    <n v="0"/>
  </r>
  <r>
    <n v="30015"/>
    <x v="6"/>
    <d v="2024-12-10T00:00:00"/>
    <s v="out"/>
    <s v="I"/>
    <n v="-1"/>
    <s v="LE-2024197"/>
    <s v="LE-2024176-06"/>
    <n v="60.24"/>
    <s v="po"/>
    <n v="5000"/>
    <s v="pi"/>
    <n v="-3614.4"/>
    <n v="0.26885424108657641"/>
    <n v="0.26885424108657641"/>
    <n v="-971.74676898332177"/>
    <n v="-971.74676898332177"/>
    <s v="S15 - Semi-gloss / ACR / Glassine"/>
    <n v="0"/>
    <n v="0"/>
  </r>
  <r>
    <n v="30015"/>
    <x v="6"/>
    <d v="2024-05-09T00:00:00"/>
    <s v="in"/>
    <s v="I"/>
    <n v="1"/>
    <n v="2024132"/>
    <s v="SC20240260-8"/>
    <n v="1530"/>
    <s v="mm"/>
    <n v="6000"/>
    <s v="m"/>
    <n v="14229"/>
    <n v="0.26885424108657641"/>
    <n v="0.26885424108657641"/>
    <n v="3825.5269964208956"/>
    <n v="3825.5269964208956"/>
    <s v="S15 - Semi-gloss / ACR / Glassine"/>
    <n v="0"/>
    <n v="0"/>
  </r>
  <r>
    <n v="30015"/>
    <x v="6"/>
    <d v="2024-10-11T00:00:00"/>
    <s v="out"/>
    <s v="I"/>
    <n v="-1"/>
    <n v="2024132"/>
    <s v="SC20240260-8"/>
    <n v="1530"/>
    <s v="mm"/>
    <n v="6000"/>
    <s v="m"/>
    <n v="-14229"/>
    <n v="0.26885424108657641"/>
    <n v="0.26885424108657641"/>
    <n v="-3825.5269964208956"/>
    <n v="-3825.5269964208956"/>
    <s v="S15 - Semi-gloss / ACR / Glassine"/>
    <n v="0"/>
    <n v="0"/>
  </r>
  <r>
    <n v="30015"/>
    <x v="6"/>
    <d v="2024-09-20T00:00:00"/>
    <s v="in"/>
    <s v="I"/>
    <n v="1"/>
    <s v="2024104 &amp; 2024113 + 2024148"/>
    <s v="2024113-6"/>
    <n v="60.24"/>
    <s v="po"/>
    <n v="4200"/>
    <s v="pi"/>
    <n v="3036.096"/>
    <n v="0.26885424108657641"/>
    <n v="0.26885424108657641"/>
    <n v="816.26728594599024"/>
    <n v="816.26728594599024"/>
    <s v="S15 - Semi-gloss / ACR / Glassine"/>
    <n v="0"/>
    <n v="0"/>
  </r>
  <r>
    <n v="30015"/>
    <x v="6"/>
    <d v="2024-10-29T00:00:00"/>
    <s v="out"/>
    <s v="I"/>
    <n v="-1"/>
    <s v="2024104 &amp; 2024113 + 2024148"/>
    <s v="2024113-6"/>
    <n v="60.24"/>
    <s v="po"/>
    <n v="4200"/>
    <s v="pi"/>
    <n v="-3036.096"/>
    <n v="0.26885424108657641"/>
    <n v="0.26885424108657641"/>
    <n v="-816.26728594599024"/>
    <n v="-816.26728594599024"/>
    <s v="S15 - Semi-gloss / ACR / Glassine"/>
    <n v="0"/>
    <n v="0"/>
  </r>
  <r>
    <n v="30015"/>
    <x v="6"/>
    <d v="2024-08-26T00:00:00"/>
    <s v="in"/>
    <s v="I"/>
    <n v="1"/>
    <s v="2024097 + 2024123"/>
    <s v="2024097-3"/>
    <n v="15.75"/>
    <s v="po"/>
    <n v="2600"/>
    <s v="pi"/>
    <n v="491.4"/>
    <n v="0.26885424108657641"/>
    <n v="0.26885424108657641"/>
    <n v="132.11497406994363"/>
    <n v="132.11497406994363"/>
    <s v="S15 - Semi-gloss / ACR / Glassine"/>
    <n v="0"/>
    <n v="0"/>
  </r>
  <r>
    <n v="30015"/>
    <x v="6"/>
    <d v="2024-10-04T00:00:00"/>
    <s v="out"/>
    <s v="I"/>
    <n v="-1"/>
    <s v="2024097 + 2024123"/>
    <s v="2024097-3"/>
    <n v="15.75"/>
    <s v="po"/>
    <n v="2600"/>
    <s v="pi"/>
    <n v="-491.4"/>
    <n v="0.26885424108657641"/>
    <n v="0.26885424108657641"/>
    <n v="-132.11497406994363"/>
    <n v="-132.11497406994363"/>
    <s v="S15 - Semi-gloss / ACR / Glassine"/>
    <n v="0"/>
    <n v="0"/>
  </r>
  <r>
    <n v="30015"/>
    <x v="6"/>
    <d v="2024-10-04T00:00:00"/>
    <s v="in"/>
    <s v="A"/>
    <n v="1"/>
    <s v="2024097 + 2024123"/>
    <s v="2024123-2"/>
    <n v="8.6"/>
    <s v="po"/>
    <n v="2550"/>
    <s v="pi"/>
    <n v="263.16000000000003"/>
    <n v="0.26885424108657641"/>
    <n v="0.26885424108657641"/>
    <n v="70.751682084343457"/>
    <n v="70.751682084343457"/>
    <s v="S15 - Semi-gloss / ACR / Glassine"/>
    <n v="8.6"/>
    <n v="2550"/>
  </r>
  <r>
    <n v="30015"/>
    <x v="6"/>
    <d v="2024-05-17T00:00:00"/>
    <s v="in"/>
    <s v="A"/>
    <n v="1"/>
    <n v="2024059"/>
    <s v="2024059-2"/>
    <n v="30.5"/>
    <s v="po"/>
    <n v="5000"/>
    <s v="pi"/>
    <n v="1830"/>
    <n v="0.26885424108657641"/>
    <n v="0.26885424108657641"/>
    <n v="492.00326118843481"/>
    <n v="492.00326118843481"/>
    <s v="S15 - Semi-gloss / ACR / Glassine"/>
    <n v="30.5"/>
    <n v="5000"/>
  </r>
  <r>
    <n v="30015"/>
    <x v="6"/>
    <d v="2024-07-08T00:00:00"/>
    <s v="in"/>
    <s v="I"/>
    <n v="1"/>
    <s v="2024072 + 2024135"/>
    <s v="2024072-2"/>
    <n v="30.5"/>
    <s v="po"/>
    <n v="4685"/>
    <s v="pi"/>
    <n v="1714.71"/>
    <n v="0.26885424108657641"/>
    <n v="0.26885424108657641"/>
    <n v="461.00705573356345"/>
    <n v="461.00705573356345"/>
    <s v="S15 - Semi-gloss / ACR / Glassine"/>
    <n v="0"/>
    <n v="0"/>
  </r>
  <r>
    <n v="30015"/>
    <x v="6"/>
    <d v="2024-10-17T00:00:00"/>
    <s v="out"/>
    <s v="I"/>
    <n v="-1"/>
    <s v="2024072 + 2024135"/>
    <s v="2024072-2"/>
    <n v="30.5"/>
    <s v="po"/>
    <n v="4685"/>
    <s v="pi"/>
    <n v="-1714.71"/>
    <n v="0.26885424108657641"/>
    <n v="0.26885424108657641"/>
    <n v="-461.00705573356345"/>
    <n v="-461.00705573356345"/>
    <s v="S15 - Semi-gloss / ACR / Glassine"/>
    <n v="0"/>
    <n v="0"/>
  </r>
  <r>
    <n v="30015"/>
    <x v="6"/>
    <d v="2024-10-17T00:00:00"/>
    <s v="in"/>
    <s v="I"/>
    <n v="1"/>
    <s v="2024072 + 2024135"/>
    <s v="2024135-2"/>
    <n v="17.25"/>
    <s v="po"/>
    <n v="2250"/>
    <s v="pi"/>
    <n v="465.75"/>
    <n v="0.26885424108657641"/>
    <n v="0.26885424108657641"/>
    <n v="125.21886278607296"/>
    <n v="125.21886278607296"/>
    <s v="S15 - Semi-gloss / ACR / Glassine"/>
    <n v="0"/>
    <n v="0"/>
  </r>
  <r>
    <n v="30015"/>
    <x v="6"/>
    <d v="2024-11-28T00:00:00"/>
    <s v="out"/>
    <s v="I"/>
    <n v="-1"/>
    <s v="LE-2024184"/>
    <s v="LE-2024135-2"/>
    <n v="17.25"/>
    <s v="po"/>
    <n v="2250"/>
    <s v="pi"/>
    <n v="-465.75"/>
    <n v="0.26885424108657641"/>
    <n v="0.26885424108657641"/>
    <n v="-125.21886278607296"/>
    <n v="-125.21886278607296"/>
    <s v="S15 - Semi-gloss / ACR / Glassine"/>
    <n v="0"/>
    <n v="0"/>
  </r>
  <r>
    <n v="30015"/>
    <x v="6"/>
    <d v="2024-10-17T00:00:00"/>
    <s v="in"/>
    <s v="I"/>
    <n v="1"/>
    <s v="2024072 + 2024135"/>
    <s v="2024135-3"/>
    <n v="30.5"/>
    <s v="po"/>
    <n v="2350"/>
    <s v="pi"/>
    <n v="860.1"/>
    <n v="0.26885424108657641"/>
    <n v="0.26885424108657641"/>
    <n v="231.24153275856438"/>
    <n v="231.24153275856438"/>
    <s v="S15 - Semi-gloss / ACR / Glassine"/>
    <n v="0"/>
    <n v="0"/>
  </r>
  <r>
    <n v="30015"/>
    <x v="6"/>
    <d v="2024-12-03T00:00:00"/>
    <s v="out"/>
    <s v="I"/>
    <n v="-1"/>
    <s v="LE-2024189"/>
    <s v="LE-2024135-3"/>
    <n v="30.5"/>
    <s v="po"/>
    <n v="2350"/>
    <s v="pi"/>
    <n v="-860.1"/>
    <n v="0.26885424108657641"/>
    <n v="0.26885424108657641"/>
    <n v="-231.24153275856438"/>
    <n v="-231.24153275856438"/>
    <s v="S15 - Semi-gloss / ACR / Glassine"/>
    <n v="0"/>
    <n v="0"/>
  </r>
  <r>
    <n v="30015"/>
    <x v="6"/>
    <d v="2024-12-03T00:00:00"/>
    <s v="in"/>
    <s v="A"/>
    <n v="1"/>
    <s v="LE-2024189"/>
    <s v="LE-2024189-01"/>
    <n v="20.25"/>
    <s v="po"/>
    <n v="2300"/>
    <s v="pi"/>
    <n v="558.9"/>
    <n v="0.26885424108657641"/>
    <n v="0.26885424108657641"/>
    <n v="150.26263534328754"/>
    <n v="150.26263534328754"/>
    <s v="S15 - Semi-gloss / ACR / Glassine"/>
    <n v="20.25"/>
    <n v="2300"/>
  </r>
  <r>
    <n v="30015"/>
    <x v="6"/>
    <d v="2024-05-09T00:00:00"/>
    <s v="in"/>
    <s v="I"/>
    <n v="1"/>
    <m/>
    <s v="SC20240260-11"/>
    <n v="1530"/>
    <s v="mm"/>
    <n v="6060"/>
    <s v="m"/>
    <n v="14371.289999999999"/>
    <n v="0.26885424108657641"/>
    <n v="0.26885424108657641"/>
    <n v="3863.7822663851043"/>
    <n v="3863.7822663851043"/>
    <s v="S15 - Semi-gloss / ACR / Glassine"/>
    <n v="0"/>
    <n v="0"/>
  </r>
  <r>
    <n v="30015"/>
    <x v="6"/>
    <d v="2024-11-14T00:00:00"/>
    <s v="out"/>
    <s v="I"/>
    <n v="-1"/>
    <s v="LE-2024168"/>
    <s v="SC20240260-11"/>
    <n v="1530"/>
    <s v="mm"/>
    <n v="6060"/>
    <s v="m"/>
    <n v="-14371.289999999999"/>
    <n v="0.26885424108657641"/>
    <n v="0.26885424108657641"/>
    <n v="-3863.7822663851043"/>
    <n v="-3863.7822663851043"/>
    <s v="S15 - Semi-gloss / ACR / Glassine"/>
    <n v="0"/>
    <n v="0"/>
  </r>
  <r>
    <n v="30015"/>
    <x v="6"/>
    <d v="2024-11-14T00:00:00"/>
    <s v="in"/>
    <s v="I"/>
    <n v="1"/>
    <s v="LE-2024168"/>
    <s v="LE-2024168-07"/>
    <n v="60.24"/>
    <s v="po"/>
    <n v="9700"/>
    <s v="pi"/>
    <n v="7011.9359999999997"/>
    <n v="0.26885424108657641"/>
    <n v="0.26885424108657641"/>
    <n v="1885.1887318276442"/>
    <n v="1885.1887318276442"/>
    <s v="S15 - Semi-gloss / ACR / Glassine"/>
    <n v="0"/>
    <n v="0"/>
  </r>
  <r>
    <n v="30015"/>
    <x v="6"/>
    <d v="2024-11-19T00:00:00"/>
    <s v="out"/>
    <s v="I"/>
    <n v="-1"/>
    <s v="LE-2024171"/>
    <s v="LE-2024168-07"/>
    <n v="60.24"/>
    <s v="po"/>
    <n v="9700"/>
    <s v="pi"/>
    <n v="-7011.9359999999997"/>
    <n v="0.26885424108657641"/>
    <n v="0.26885424108657641"/>
    <n v="-1885.1887318276442"/>
    <n v="-1885.1887318276442"/>
    <s v="S15 - Semi-gloss / ACR / Glassine"/>
    <n v="0"/>
    <n v="0"/>
  </r>
  <r>
    <n v="30015"/>
    <x v="6"/>
    <d v="2024-11-19T00:00:00"/>
    <s v="in"/>
    <s v="I"/>
    <n v="1"/>
    <s v="LE-2024171"/>
    <s v="LE-2024171-07"/>
    <n v="60.24"/>
    <s v="po"/>
    <n v="4750"/>
    <s v="pi"/>
    <n v="3433.68"/>
    <n v="0.26885424108657641"/>
    <n v="0.26885424108657641"/>
    <n v="923.1594305341556"/>
    <n v="923.1594305341556"/>
    <s v="S15 - Semi-gloss / ACR / Glassine"/>
    <n v="0"/>
    <n v="0"/>
  </r>
  <r>
    <n v="30015"/>
    <x v="6"/>
    <d v="2024-11-21T00:00:00"/>
    <s v="out"/>
    <s v="I"/>
    <n v="-1"/>
    <s v="LE-2024172"/>
    <s v="LE-2024171-07"/>
    <n v="60.24"/>
    <s v="po"/>
    <n v="4750"/>
    <s v="pi"/>
    <n v="-3433.68"/>
    <n v="0.26885424108657641"/>
    <n v="0.26885424108657641"/>
    <n v="-923.1594305341556"/>
    <n v="-923.1594305341556"/>
    <s v="S15 - Semi-gloss / ACR / Glassine"/>
    <n v="0"/>
    <n v="0"/>
  </r>
  <r>
    <n v="30015"/>
    <x v="6"/>
    <d v="2024-05-09T00:00:00"/>
    <s v="in"/>
    <s v="I"/>
    <n v="1"/>
    <s v="2024127 + 2024130 + 2024132"/>
    <s v="SC20240260-12"/>
    <n v="1530"/>
    <s v="mm"/>
    <n v="6060"/>
    <s v="m"/>
    <n v="14371.289999999999"/>
    <n v="0.26885424108657641"/>
    <n v="0.26885424108657641"/>
    <n v="3863.7822663851043"/>
    <n v="3863.7822663851043"/>
    <s v="S15 - Semi-gloss / ACR / Glassine"/>
    <n v="0"/>
    <n v="0"/>
  </r>
  <r>
    <n v="30015"/>
    <x v="6"/>
    <d v="2024-10-11T00:00:00"/>
    <s v="out"/>
    <s v="I"/>
    <n v="-1"/>
    <s v="2024127 + 2024130 + 2024132"/>
    <s v="SC20240260-12"/>
    <n v="1530"/>
    <s v="mm"/>
    <n v="6060"/>
    <s v="m"/>
    <n v="-14371.289999999999"/>
    <n v="0.26885424108657641"/>
    <n v="0.26885424108657641"/>
    <n v="-3863.7822663851043"/>
    <n v="-3863.7822663851043"/>
    <s v="S15 - Semi-gloss / ACR / Glassine"/>
    <n v="0"/>
    <n v="0"/>
  </r>
  <r>
    <n v="30015"/>
    <x v="6"/>
    <d v="2024-10-07T00:00:00"/>
    <s v="in"/>
    <s v="I"/>
    <n v="1"/>
    <s v="2024127 + 2024130 + 2024132"/>
    <s v="2024127-8"/>
    <n v="60.24"/>
    <s v="po"/>
    <n v="14900"/>
    <s v="pi"/>
    <n v="10770.912"/>
    <n v="0.26885424108657641"/>
    <n v="0.26885424108657641"/>
    <n v="2895.805371570299"/>
    <n v="2895.805371570299"/>
    <s v="S15 - Semi-gloss / ACR / Glassine"/>
    <n v="0"/>
    <n v="0"/>
  </r>
  <r>
    <n v="30015"/>
    <x v="6"/>
    <d v="2024-10-11T00:00:00"/>
    <s v="out"/>
    <s v="I"/>
    <n v="-1"/>
    <s v="2024127 + 2024130 + 2024132"/>
    <s v="2024127-8"/>
    <n v="60.24"/>
    <s v="po"/>
    <n v="14900"/>
    <s v="pi"/>
    <n v="-10770.912"/>
    <n v="0.26885424108657641"/>
    <n v="0.26885424108657641"/>
    <n v="-2895.805371570299"/>
    <n v="-2895.805371570299"/>
    <s v="S15 - Semi-gloss / ACR / Glassine"/>
    <n v="0"/>
    <n v="0"/>
  </r>
  <r>
    <n v="30015"/>
    <x v="6"/>
    <d v="2024-10-11T00:00:00"/>
    <s v="in"/>
    <s v="I"/>
    <n v="1"/>
    <s v="2024127 + 2024130 + 2024132"/>
    <s v="2024130-6"/>
    <n v="60.24"/>
    <s v="po"/>
    <n v="10000"/>
    <s v="pi"/>
    <n v="7228.8"/>
    <n v="0.26885424108657641"/>
    <n v="0.26885424108657641"/>
    <n v="1943.4935379666435"/>
    <n v="1943.4935379666435"/>
    <s v="S15 - Semi-gloss / ACR / Glassine"/>
    <n v="0"/>
    <n v="0"/>
  </r>
  <r>
    <n v="30015"/>
    <x v="6"/>
    <d v="2024-10-11T00:00:00"/>
    <s v="out"/>
    <s v="I"/>
    <n v="-1"/>
    <s v="2024127 + 2024130 + 2024132"/>
    <s v="2024130-6"/>
    <n v="60.24"/>
    <s v="po"/>
    <n v="10000"/>
    <s v="pi"/>
    <n v="-7228.8"/>
    <n v="0.26885424108657641"/>
    <n v="0.26885424108657641"/>
    <n v="-1943.4935379666435"/>
    <n v="-1943.4935379666435"/>
    <s v="S15 - Semi-gloss / ACR / Glassine"/>
    <n v="0"/>
    <n v="0"/>
  </r>
  <r>
    <n v="30011"/>
    <x v="7"/>
    <d v="2024-07-11T00:00:00"/>
    <s v="in"/>
    <s v="A"/>
    <n v="1"/>
    <n v="2024077"/>
    <s v="2024077-6"/>
    <n v="60.24"/>
    <s v="po"/>
    <n v="4643"/>
    <s v="pi"/>
    <n v="3356.3318399999998"/>
    <n v="0"/>
    <n v="0.2835786407993599"/>
    <n v="0"/>
    <n v="951.78402125881462"/>
    <s v="S21 - Semi-gloss /HM permanent / Glassine"/>
    <n v="60.24"/>
    <n v="4643"/>
  </r>
  <r>
    <n v="30011"/>
    <x v="7"/>
    <d v="2024-03-05T00:00:00"/>
    <s v="in"/>
    <s v="I"/>
    <n v="1"/>
    <m/>
    <s v="SG 3PC-3"/>
    <n v="1530"/>
    <s v="mm"/>
    <n v="3000"/>
    <s v="m"/>
    <n v="7114.5"/>
    <n v="0"/>
    <n v="0.2835786407993599"/>
    <n v="0"/>
    <n v="2017.5202399670461"/>
    <s v="S21 - Semi-gloss /HM permanent / Glassine"/>
    <n v="0"/>
    <n v="0"/>
  </r>
  <r>
    <n v="30011"/>
    <x v="7"/>
    <d v="2024-11-25T00:00:00"/>
    <s v="out"/>
    <s v="I"/>
    <n v="-1"/>
    <s v="LE-2024177"/>
    <s v="SG 3PC-3"/>
    <n v="1530"/>
    <s v="mm"/>
    <n v="3000"/>
    <s v="m"/>
    <n v="-7114.5"/>
    <n v="0"/>
    <n v="0.2835786407993599"/>
    <n v="0"/>
    <n v="-2017.5202399670461"/>
    <s v="S21 - Semi-gloss /HM permanent / Glassine"/>
    <n v="0"/>
    <n v="0"/>
  </r>
  <r>
    <n v="30011"/>
    <x v="7"/>
    <d v="2024-03-05T00:00:00"/>
    <s v="in"/>
    <s v="A"/>
    <n v="1"/>
    <m/>
    <s v="SG 3PC-4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5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I"/>
    <n v="1"/>
    <m/>
    <s v="SG 3PC-6"/>
    <n v="1530"/>
    <s v="mm"/>
    <n v="3000"/>
    <s v="m"/>
    <n v="7114.5"/>
    <n v="0"/>
    <n v="0.2835786407993599"/>
    <n v="0"/>
    <n v="2017.5202399670461"/>
    <s v="S21 - Semi-gloss /HM permanent / Glassine"/>
    <n v="0"/>
    <n v="0"/>
  </r>
  <r>
    <n v="30011"/>
    <x v="7"/>
    <d v="2024-11-19T00:00:00"/>
    <s v="out"/>
    <s v="I"/>
    <n v="-1"/>
    <s v="LE-2024169"/>
    <s v="SG 3PC-6"/>
    <n v="1530"/>
    <s v="mm"/>
    <n v="3000"/>
    <s v="m"/>
    <n v="-7114.5"/>
    <n v="0"/>
    <n v="0.2835786407993599"/>
    <n v="0"/>
    <n v="-2017.5202399670461"/>
    <s v="S21 - Semi-gloss /HM permanent / Glassine"/>
    <n v="0"/>
    <n v="0"/>
  </r>
  <r>
    <n v="30011"/>
    <x v="7"/>
    <d v="2024-11-19T00:00:00"/>
    <s v="in"/>
    <s v="I"/>
    <n v="1"/>
    <s v="LE-2024169"/>
    <s v="LE-2024169-09"/>
    <n v="60.24"/>
    <s v="po"/>
    <n v="4850"/>
    <s v="pi"/>
    <n v="3505.9679999999998"/>
    <n v="0"/>
    <n v="0.2835786407993599"/>
    <n v="0"/>
    <n v="994.21764012605024"/>
    <s v="S21 - Semi-gloss /HM permanent / Glassine"/>
    <n v="0"/>
    <n v="0"/>
  </r>
  <r>
    <n v="30011"/>
    <x v="7"/>
    <d v="2024-11-19T00:00:00"/>
    <s v="out"/>
    <s v="I"/>
    <n v="-1"/>
    <s v="LE-2024170"/>
    <s v="LE-2024169-09"/>
    <n v="60.24"/>
    <s v="po"/>
    <n v="4850"/>
    <s v="pi"/>
    <n v="-3505.9679999999998"/>
    <n v="0"/>
    <n v="0.2835786407993599"/>
    <n v="0"/>
    <n v="-994.21764012605024"/>
    <s v="S21 - Semi-gloss /HM permanent / Glassine"/>
    <n v="0"/>
    <n v="0"/>
  </r>
  <r>
    <n v="30011"/>
    <x v="7"/>
    <d v="2024-03-05T00:00:00"/>
    <s v="in"/>
    <s v="I"/>
    <n v="1"/>
    <m/>
    <s v="SG 3PC-7"/>
    <n v="1530"/>
    <s v="mm"/>
    <n v="3000"/>
    <s v="m"/>
    <n v="7114.5"/>
    <n v="0"/>
    <n v="0.2835786407993599"/>
    <n v="0"/>
    <n v="2017.5202399670461"/>
    <s v="S21 - Semi-gloss /HM permanent / Glassine"/>
    <n v="0"/>
    <n v="0"/>
  </r>
  <r>
    <n v="30011"/>
    <x v="7"/>
    <d v="2024-11-27T00:00:00"/>
    <s v="out"/>
    <s v="I"/>
    <n v="-1"/>
    <s v="LE-2024180"/>
    <s v="SG 3PC-7"/>
    <n v="1530"/>
    <s v="mm"/>
    <n v="3000"/>
    <s v="m"/>
    <n v="-7114.5"/>
    <n v="0"/>
    <n v="0.2835786407993599"/>
    <n v="0"/>
    <n v="-2017.5202399670461"/>
    <s v="S21 - Semi-gloss /HM permanent / Glassine"/>
    <n v="0"/>
    <n v="0"/>
  </r>
  <r>
    <n v="30011"/>
    <x v="7"/>
    <d v="2024-11-27T00:00:00"/>
    <s v="in"/>
    <s v="I"/>
    <n v="1"/>
    <s v="LE-2024180"/>
    <s v="LE-2024180-08"/>
    <n v="60.24"/>
    <s v="po"/>
    <n v="4750"/>
    <s v="pi"/>
    <n v="3433.68"/>
    <n v="0"/>
    <n v="0.2835786407993599"/>
    <n v="0"/>
    <n v="973.71830733994602"/>
    <s v="S21 - Semi-gloss /HM permanent / Glassine"/>
    <n v="0"/>
    <n v="0"/>
  </r>
  <r>
    <n v="30011"/>
    <x v="7"/>
    <d v="2024-12-03T00:00:00"/>
    <s v="out"/>
    <s v="I"/>
    <n v="-1"/>
    <s v="LE-2024193"/>
    <s v="LE-2024180-08"/>
    <n v="60.24"/>
    <s v="po"/>
    <n v="4750"/>
    <s v="pi"/>
    <n v="-3433.68"/>
    <n v="0"/>
    <n v="0.2835786407993599"/>
    <n v="0"/>
    <n v="-973.71830733994602"/>
    <s v="S21 - Semi-gloss /HM permanent / Glassine"/>
    <n v="0"/>
    <n v="0"/>
  </r>
  <r>
    <n v="30011"/>
    <x v="7"/>
    <d v="2024-03-05T00:00:00"/>
    <s v="in"/>
    <s v="A"/>
    <n v="1"/>
    <m/>
    <s v="SG 3PC-8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9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0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1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9-06T00:00:00"/>
    <s v="in"/>
    <s v="I"/>
    <n v="1"/>
    <s v="2024107 + 2024142"/>
    <s v="2024107-1"/>
    <n v="47"/>
    <s v="po"/>
    <n v="5000"/>
    <s v="pi"/>
    <n v="2820"/>
    <n v="0"/>
    <n v="0.2835786407993599"/>
    <n v="0"/>
    <n v="799.69176705419488"/>
    <s v="S21 - Semi-gloss /HM permanent / Glassine"/>
    <n v="0"/>
    <n v="0"/>
  </r>
  <r>
    <n v="30011"/>
    <x v="7"/>
    <d v="2024-10-25T00:00:00"/>
    <s v="out"/>
    <s v="I"/>
    <n v="-1"/>
    <s v="2024107 + 2024142"/>
    <s v="2024107-1"/>
    <n v="47"/>
    <s v="po"/>
    <n v="5000"/>
    <s v="pi"/>
    <n v="-2820"/>
    <n v="0"/>
    <n v="0.2835786407993599"/>
    <n v="0"/>
    <n v="-799.69176705419488"/>
    <s v="S21 - Semi-gloss /HM permanent / Glassine"/>
    <n v="0"/>
    <n v="0"/>
  </r>
  <r>
    <n v="30011"/>
    <x v="7"/>
    <d v="2024-10-25T00:00:00"/>
    <s v="in"/>
    <s v="A"/>
    <n v="1"/>
    <s v="2024107 + 2024142"/>
    <s v="2024142-1"/>
    <n v="33.75"/>
    <s v="po"/>
    <n v="4950"/>
    <s v="pi"/>
    <n v="2004.75"/>
    <n v="0"/>
    <n v="0.2835786407993599"/>
    <n v="0"/>
    <n v="568.50428014251679"/>
    <s v="S21 - Semi-gloss /HM permanent / Glassine"/>
    <n v="33.75"/>
    <n v="4950"/>
  </r>
  <r>
    <n v="30011"/>
    <x v="7"/>
    <d v="2024-09-06T00:00:00"/>
    <s v="in"/>
    <s v="I"/>
    <n v="1"/>
    <n v="2024107"/>
    <s v="LE-2024107-3"/>
    <n v="60.24"/>
    <s v="po"/>
    <n v="4600"/>
    <s v="pi"/>
    <n v="3325.248"/>
    <n v="0"/>
    <n v="0.2835786407993599"/>
    <n v="0"/>
    <n v="942.96930816078998"/>
    <s v="S21 - Semi-gloss /HM permanent / Glassine"/>
    <n v="0"/>
    <n v="0"/>
  </r>
  <r>
    <n v="30011"/>
    <x v="7"/>
    <d v="2024-12-10T00:00:00"/>
    <s v="out"/>
    <s v="I"/>
    <n v="-1"/>
    <s v="LE-2024199"/>
    <s v="LE-2024107-3"/>
    <n v="60.24"/>
    <s v="po"/>
    <n v="4600"/>
    <s v="pi"/>
    <n v="-3325.248"/>
    <n v="0"/>
    <n v="0.2835786407993599"/>
    <n v="0"/>
    <n v="-942.96930816078998"/>
    <s v="S21 - Semi-gloss /HM permanent / Glassine"/>
    <n v="0"/>
    <n v="0"/>
  </r>
  <r>
    <n v="30011"/>
    <x v="7"/>
    <d v="2024-03-05T00:00:00"/>
    <s v="in"/>
    <s v="A"/>
    <n v="1"/>
    <m/>
    <s v="SG 3PC-13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5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6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7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A"/>
    <n v="1"/>
    <m/>
    <s v="SG 3PC-18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3-05T00:00:00"/>
    <s v="in"/>
    <s v="I"/>
    <n v="1"/>
    <n v="2024133"/>
    <s v="SG 3PC-19"/>
    <n v="1530"/>
    <s v="mm"/>
    <n v="3000"/>
    <s v="m"/>
    <n v="7114.5"/>
    <n v="0"/>
    <n v="0.2835786407993599"/>
    <n v="0"/>
    <n v="2017.5202399670461"/>
    <s v="S21 - Semi-gloss /HM permanent / Glassine"/>
    <n v="0"/>
    <n v="0"/>
  </r>
  <r>
    <n v="30011"/>
    <x v="7"/>
    <d v="2024-03-05T00:00:00"/>
    <s v="out"/>
    <s v="I"/>
    <n v="-1"/>
    <n v="2024133"/>
    <s v="SG 3PC-19"/>
    <n v="1530"/>
    <s v="mm"/>
    <n v="3000"/>
    <s v="m"/>
    <n v="-7114.5"/>
    <n v="0"/>
    <n v="0.2835786407993599"/>
    <n v="0"/>
    <n v="-2017.5202399670461"/>
    <s v="S21 - Semi-gloss /HM permanent / Glassine"/>
    <n v="0"/>
    <n v="0"/>
  </r>
  <r>
    <n v="30011"/>
    <x v="7"/>
    <d v="2024-03-05T00:00:00"/>
    <s v="in"/>
    <s v="I"/>
    <n v="1"/>
    <n v="2024133"/>
    <s v="2024133-7"/>
    <n v="60.24"/>
    <s v="po"/>
    <n v="4900"/>
    <s v="pi"/>
    <n v="3542.1120000000001"/>
    <n v="0"/>
    <n v="0.2835786407993599"/>
    <n v="0"/>
    <n v="1004.4673065191023"/>
    <s v="S21 - Semi-gloss /HM permanent / Glassine"/>
    <n v="0"/>
    <n v="0"/>
  </r>
  <r>
    <n v="30011"/>
    <x v="7"/>
    <d v="2024-10-31T00:00:00"/>
    <s v="out"/>
    <s v="I"/>
    <n v="-1"/>
    <s v="LE-2024152"/>
    <s v="LE-2024133-7"/>
    <n v="60.24"/>
    <s v="po"/>
    <n v="4900"/>
    <s v="pi"/>
    <n v="-3542.1120000000001"/>
    <n v="0"/>
    <n v="0.2835786407993599"/>
    <n v="0"/>
    <n v="-1004.4673065191023"/>
    <s v="S21 - Semi-gloss /HM permanent / Glassine"/>
    <n v="0"/>
    <n v="0"/>
  </r>
  <r>
    <n v="30011"/>
    <x v="7"/>
    <d v="2024-10-31T00:00:00"/>
    <s v="in"/>
    <s v="I"/>
    <n v="1"/>
    <s v="LE-2024152"/>
    <s v="LE-2024152-01"/>
    <n v="47"/>
    <s v="po"/>
    <n v="4780"/>
    <s v="pi"/>
    <n v="2695.92"/>
    <n v="0"/>
    <n v="0.2835786407993599"/>
    <n v="0"/>
    <n v="764.50532930381041"/>
    <s v="S21 - Semi-gloss /HM permanent / Glassine"/>
    <n v="0"/>
    <n v="0"/>
  </r>
  <r>
    <n v="30011"/>
    <x v="7"/>
    <d v="2024-12-03T00:00:00"/>
    <s v="out"/>
    <s v="I"/>
    <n v="-1"/>
    <s v="LE-2024192"/>
    <s v="LE-2024152-01"/>
    <n v="47"/>
    <s v="po"/>
    <n v="4780"/>
    <s v="pi"/>
    <n v="-2695.92"/>
    <n v="0"/>
    <n v="0.2835786407993599"/>
    <n v="0"/>
    <n v="-764.50532930381041"/>
    <s v="S21 - Semi-gloss /HM permanent / Glassine"/>
    <n v="0"/>
    <n v="0"/>
  </r>
  <r>
    <n v="30011"/>
    <x v="7"/>
    <d v="2024-12-03T00:00:00"/>
    <s v="in"/>
    <s v="A"/>
    <n v="1"/>
    <s v="LE-2024192"/>
    <s v="LE-2024192-01"/>
    <n v="33.75"/>
    <s v="po"/>
    <n v="4700"/>
    <s v="pi"/>
    <n v="1903.5"/>
    <n v="0"/>
    <n v="0.2835786407993599"/>
    <n v="0"/>
    <n v="539.79194276158159"/>
    <s v="S21 - Semi-gloss /HM permanent / Glassine"/>
    <n v="33.75"/>
    <n v="4700"/>
  </r>
  <r>
    <n v="30011"/>
    <x v="7"/>
    <d v="2024-03-05T00:00:00"/>
    <s v="in"/>
    <s v="A"/>
    <n v="1"/>
    <m/>
    <s v="SG 3PC-21"/>
    <n v="1530"/>
    <s v="mm"/>
    <n v="3000"/>
    <s v="m"/>
    <n v="7114.5"/>
    <n v="0"/>
    <n v="0.2835786407993599"/>
    <n v="0"/>
    <n v="2017.5202399670461"/>
    <s v="S21 - Semi-gloss /HM permanent / Glassine"/>
    <n v="60.24"/>
    <n v="9843"/>
  </r>
  <r>
    <n v="30011"/>
    <x v="7"/>
    <d v="2024-06-14T00:00:00"/>
    <s v="in"/>
    <s v="A"/>
    <n v="1"/>
    <n v="2024066"/>
    <s v="2024066-3"/>
    <n v="10"/>
    <s v="po"/>
    <n v="4990"/>
    <s v="pi"/>
    <n v="598.79999999999995"/>
    <n v="0"/>
    <n v="0.2835786407993599"/>
    <n v="0"/>
    <n v="169.8068901106567"/>
    <s v="S21 - Semi-gloss /HM permanent / Glassine"/>
    <n v="10"/>
    <n v="4990"/>
  </r>
  <r>
    <n v="30011"/>
    <x v="7"/>
    <d v="2024-06-10T00:00:00"/>
    <s v="in"/>
    <s v="I"/>
    <n v="1"/>
    <s v="2024085 + 2024122 + 2024134"/>
    <s v="2024085-2"/>
    <n v="34"/>
    <s v="po"/>
    <n v="2400"/>
    <s v="pi"/>
    <n v="979.2"/>
    <n v="0"/>
    <n v="0.2835786407993599"/>
    <n v="0"/>
    <n v="277.68020507073322"/>
    <s v="S21 - Semi-gloss /HM permanent / Glassine"/>
    <n v="0"/>
    <n v="0"/>
  </r>
  <r>
    <n v="30011"/>
    <x v="7"/>
    <d v="2024-10-03T00:00:00"/>
    <s v="out"/>
    <s v="I"/>
    <n v="-1"/>
    <s v="2024085 + 2024122 + 2024134"/>
    <s v="2024085-2"/>
    <n v="34"/>
    <s v="po"/>
    <n v="2400"/>
    <s v="pi"/>
    <n v="-979.2"/>
    <n v="0"/>
    <n v="0.2835786407993599"/>
    <n v="0"/>
    <n v="-277.68020507073322"/>
    <s v="S21 - Semi-gloss /HM permanent / Glassine"/>
    <n v="0"/>
    <n v="0"/>
  </r>
  <r>
    <n v="30011"/>
    <x v="7"/>
    <d v="2024-10-03T00:00:00"/>
    <s v="in"/>
    <s v="I"/>
    <n v="1"/>
    <s v="2024085 + 2024122 + 2024134"/>
    <s v="2024122-3"/>
    <n v="14"/>
    <s v="po"/>
    <n v="2250"/>
    <s v="pi"/>
    <n v="378"/>
    <n v="0"/>
    <n v="0.2835786407993599"/>
    <n v="0"/>
    <n v="107.19272622215804"/>
    <s v="S21 - Semi-gloss /HM permanent / Glassine"/>
    <n v="0"/>
    <n v="0"/>
  </r>
  <r>
    <n v="30011"/>
    <x v="7"/>
    <d v="2024-10-17T00:00:00"/>
    <s v="out"/>
    <s v="I"/>
    <n v="-1"/>
    <s v="2024085 + 2024122 + 2024134"/>
    <s v="2024122-3"/>
    <n v="14"/>
    <s v="po"/>
    <n v="2250"/>
    <s v="pi"/>
    <n v="-378"/>
    <n v="0"/>
    <n v="0.2835786407993599"/>
    <n v="0"/>
    <n v="-107.19272622215804"/>
    <s v="S21 - Semi-gloss /HM permanent / Glassine"/>
    <n v="0"/>
    <n v="0"/>
  </r>
  <r>
    <n v="30011"/>
    <x v="7"/>
    <d v="2024-03-05T00:00:00"/>
    <s v="in"/>
    <s v="A"/>
    <n v="1"/>
    <m/>
    <s v="SG 3PC-25"/>
    <n v="1530"/>
    <s v="mm"/>
    <n v="6000"/>
    <s v="m"/>
    <n v="14229"/>
    <n v="0"/>
    <n v="0.2835786407993599"/>
    <n v="0"/>
    <n v="4035.0404799340922"/>
    <s v="S21 - Semi-gloss /HM permanent / Glassine"/>
    <n v="60.24"/>
    <n v="19685"/>
  </r>
  <r>
    <n v="30011"/>
    <x v="7"/>
    <d v="2024-03-05T00:00:00"/>
    <s v="in"/>
    <s v="A"/>
    <n v="1"/>
    <m/>
    <s v="SG 3PC-26"/>
    <n v="1530"/>
    <s v="mm"/>
    <n v="6000"/>
    <s v="m"/>
    <n v="14229"/>
    <n v="0"/>
    <n v="0.2835786407993599"/>
    <n v="0"/>
    <n v="4035.0404799340922"/>
    <s v="S21 - Semi-gloss /HM permanent / Glassine"/>
    <n v="60.24"/>
    <n v="19685"/>
  </r>
  <r>
    <n v="30011"/>
    <x v="7"/>
    <d v="2024-03-05T00:00:00"/>
    <s v="in"/>
    <s v="A"/>
    <n v="1"/>
    <m/>
    <s v="SG 3PC-27"/>
    <n v="1530"/>
    <s v="mm"/>
    <n v="6000"/>
    <s v="m"/>
    <n v="14229"/>
    <n v="0"/>
    <n v="0.2835786407993599"/>
    <n v="0"/>
    <n v="4035.0404799340922"/>
    <s v="S21 - Semi-gloss /HM permanent / Glassine"/>
    <n v="60.24"/>
    <n v="19685"/>
  </r>
  <r>
    <n v="30011"/>
    <x v="7"/>
    <d v="2024-03-05T00:00:00"/>
    <s v="in"/>
    <s v="A"/>
    <n v="1"/>
    <m/>
    <s v="SG 3PC-28"/>
    <n v="1530"/>
    <s v="mm"/>
    <n v="6000"/>
    <s v="m"/>
    <n v="14229"/>
    <n v="0"/>
    <n v="0.2835786407993599"/>
    <n v="0"/>
    <n v="4035.0404799340922"/>
    <s v="S21 - Semi-gloss /HM permanent / Glassine"/>
    <n v="60.24"/>
    <n v="19685"/>
  </r>
  <r>
    <n v="30018"/>
    <x v="7"/>
    <d v="2024-04-23T00:00:00"/>
    <s v="in"/>
    <s v="A"/>
    <n v="1"/>
    <m/>
    <s v="AKOLE240220-02-1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4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5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6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7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8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9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0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1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2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3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4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5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6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7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18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I"/>
    <n v="1"/>
    <m/>
    <s v="AKOLE240220-02-19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0"/>
    <n v="0"/>
  </r>
  <r>
    <n v="30018"/>
    <x v="7"/>
    <d v="2024-11-19T00:00:00"/>
    <s v="out"/>
    <s v="I"/>
    <n v="-1"/>
    <s v="LE-2024170"/>
    <s v="AKOLE240220-02-19"/>
    <n v="1530"/>
    <s v="mm"/>
    <n v="3000"/>
    <s v="m"/>
    <n v="-7114.5"/>
    <n v="0.26428560241052407"/>
    <n v="0.26428560241052407"/>
    <n v="-1880.2599183496734"/>
    <n v="-1880.2599183496734"/>
    <s v="S21 - Semi-gloss /HM permanent / Glassine"/>
    <n v="0"/>
    <n v="0"/>
  </r>
  <r>
    <n v="30018"/>
    <x v="7"/>
    <d v="2024-04-23T00:00:00"/>
    <s v="in"/>
    <s v="A"/>
    <n v="1"/>
    <m/>
    <s v="AKOLE240220-02-20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1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2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3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4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5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6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7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8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29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0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1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2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3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18"/>
    <x v="7"/>
    <d v="2024-04-23T00:00:00"/>
    <s v="in"/>
    <s v="A"/>
    <n v="1"/>
    <m/>
    <s v="AKOLE240220-02-34"/>
    <n v="1530"/>
    <s v="mm"/>
    <n v="3000"/>
    <s v="m"/>
    <n v="7114.5"/>
    <n v="0.26428560241052407"/>
    <n v="0.26428560241052407"/>
    <n v="1880.2599183496734"/>
    <n v="1880.2599183496734"/>
    <s v="S21 - Semi-gloss /HM permanent / Glassine"/>
    <n v="60.24"/>
    <n v="9843"/>
  </r>
  <r>
    <n v="30024"/>
    <x v="8"/>
    <d v="2024-09-30T00:00:00"/>
    <s v="in"/>
    <s v="A"/>
    <n v="1"/>
    <m/>
    <s v="10033-33"/>
    <n v="1080"/>
    <s v="mm"/>
    <n v="3000"/>
    <s v="m"/>
    <n v="5022"/>
    <n v="0.28637490201121879"/>
    <n v="0.28637490201121879"/>
    <n v="1438.1747579003409"/>
    <n v="1438.1747579003409"/>
    <s v="S31 - Semi-gloss / HM / PET"/>
    <n v="42.52"/>
    <n v="9843"/>
  </r>
  <r>
    <n v="30024"/>
    <x v="8"/>
    <d v="2024-09-30T00:00:00"/>
    <s v="in"/>
    <s v="I"/>
    <n v="1"/>
    <n v="2024121"/>
    <s v="10033-34"/>
    <n v="1080"/>
    <s v="mm"/>
    <n v="3000"/>
    <s v="m"/>
    <n v="5022"/>
    <n v="0.28637490201121879"/>
    <n v="0.28637490201121879"/>
    <n v="1438.1747579003409"/>
    <n v="1438.1747579003409"/>
    <s v="S31 - Semi-gloss / HM / PET"/>
    <n v="0"/>
    <n v="0"/>
  </r>
  <r>
    <n v="30024"/>
    <x v="8"/>
    <d v="2024-10-04T00:00:00"/>
    <s v="out"/>
    <s v="I"/>
    <n v="-1"/>
    <n v="2024121"/>
    <s v="10033-34"/>
    <n v="1080"/>
    <s v="mm"/>
    <n v="3000"/>
    <s v="m"/>
    <n v="-5022"/>
    <n v="0.28637490201121879"/>
    <n v="0.28637490201121879"/>
    <n v="-1438.1747579003409"/>
    <n v="-1438.1747579003409"/>
    <s v="S31 - Semi-gloss / HM / PET"/>
    <n v="0"/>
    <n v="0"/>
  </r>
  <r>
    <n v="30024"/>
    <x v="8"/>
    <d v="2024-10-04T00:00:00"/>
    <s v="in"/>
    <s v="A"/>
    <n v="1"/>
    <n v="2024121"/>
    <s v="2024121-3"/>
    <n v="20.5"/>
    <s v="po"/>
    <n v="2400"/>
    <s v="pi"/>
    <n v="590.4"/>
    <n v="0.28637490201121879"/>
    <n v="0.28637490201121879"/>
    <n v="169.07574214742357"/>
    <n v="169.07574214742357"/>
    <s v="S31 - Semi-gloss / HM / PET"/>
    <n v="20.5"/>
    <n v="2400"/>
  </r>
  <r>
    <n v="30024"/>
    <x v="8"/>
    <d v="2024-10-04T00:00:00"/>
    <s v="in"/>
    <s v="A"/>
    <n v="1"/>
    <n v="2024121"/>
    <s v="2024121-4"/>
    <n v="42.52"/>
    <s v="po"/>
    <n v="7244"/>
    <s v="pi"/>
    <n v="3696.1785599999998"/>
    <n v="0.28637490201121879"/>
    <n v="0.28637490201121879"/>
    <n v="1058.4927729359677"/>
    <n v="1058.4927729359677"/>
    <s v="S31 - Semi-gloss / HM / PET"/>
    <n v="42.52"/>
    <n v="7244"/>
  </r>
  <r>
    <n v="30023"/>
    <x v="9"/>
    <d v="2024-09-30T00:00:00"/>
    <s v="in"/>
    <s v="I"/>
    <n v="1"/>
    <n v="2024140"/>
    <s v="10033-28"/>
    <n v="1530"/>
    <s v="mm"/>
    <n v="3000"/>
    <s v="m"/>
    <n v="7114.5"/>
    <n v="0.29511487172670009"/>
    <n v="0.29511487172670009"/>
    <n v="2099.5947548996078"/>
    <n v="2099.5947548996078"/>
    <s v="T11 - TT / HM / Glassine"/>
    <n v="0"/>
    <n v="0"/>
  </r>
  <r>
    <n v="30023"/>
    <x v="9"/>
    <d v="2024-10-18T00:00:00"/>
    <s v="out"/>
    <s v="I"/>
    <n v="-1"/>
    <n v="2024140"/>
    <s v="10033-28"/>
    <n v="1530"/>
    <s v="mm"/>
    <n v="3000"/>
    <s v="m"/>
    <n v="-7114.5"/>
    <n v="0.29511487172670009"/>
    <n v="0.29511487172670009"/>
    <n v="-2099.5947548996078"/>
    <n v="-2099.5947548996078"/>
    <s v="T11 - TT / HM / Glassine"/>
    <n v="0"/>
    <n v="0"/>
  </r>
  <r>
    <n v="30023"/>
    <x v="9"/>
    <d v="2024-10-18T00:00:00"/>
    <s v="in"/>
    <s v="A"/>
    <n v="1"/>
    <n v="2024140"/>
    <s v="2024140-6"/>
    <n v="8.5"/>
    <s v="po"/>
    <n v="9650"/>
    <s v="pi"/>
    <n v="984.3"/>
    <n v="0.29511487172670009"/>
    <n v="0.29511487172670009"/>
    <n v="290.48156824059089"/>
    <n v="290.48156824059089"/>
    <s v="T11 - TT / HM / Glassine"/>
    <n v="8.5"/>
    <n v="9650"/>
  </r>
  <r>
    <n v="30023"/>
    <x v="9"/>
    <d v="2024-10-18T00:00:00"/>
    <s v="in"/>
    <s v="A"/>
    <n v="1"/>
    <n v="2024140"/>
    <s v="2024140-9"/>
    <n v="12.875"/>
    <s v="po"/>
    <n v="4500"/>
    <s v="pi"/>
    <n v="695.25"/>
    <n v="0.29511487172670009"/>
    <n v="0.29511487172670009"/>
    <n v="205.17861456798823"/>
    <n v="205.17861456798823"/>
    <s v="T11 - TT / HM / Glassine"/>
    <n v="12.88"/>
    <n v="4500"/>
  </r>
  <r>
    <n v="30023"/>
    <x v="9"/>
    <d v="2024-09-30T00:00:00"/>
    <s v="in"/>
    <s v="I"/>
    <n v="1"/>
    <n v="2024140"/>
    <s v="10033-29"/>
    <n v="1530"/>
    <s v="mm"/>
    <n v="3000"/>
    <s v="m"/>
    <n v="7114.5"/>
    <n v="0.29511487172670009"/>
    <n v="0.29511487172670009"/>
    <n v="2099.5947548996078"/>
    <n v="2099.5947548996078"/>
    <s v="T11 - TT / HM / Glassine"/>
    <n v="0"/>
    <n v="0"/>
  </r>
  <r>
    <n v="30023"/>
    <x v="9"/>
    <d v="2024-10-18T00:00:00"/>
    <s v="out"/>
    <s v="I"/>
    <n v="-1"/>
    <n v="2024140"/>
    <s v="10033-29"/>
    <n v="1530"/>
    <s v="mm"/>
    <n v="3000"/>
    <s v="m"/>
    <n v="-7114.5"/>
    <n v="0.29511487172670009"/>
    <n v="0.29511487172670009"/>
    <n v="-2099.5947548996078"/>
    <n v="-2099.5947548996078"/>
    <s v="T11 - TT / HM / Glassine"/>
    <n v="0"/>
    <n v="0"/>
  </r>
  <r>
    <n v="30023"/>
    <x v="9"/>
    <d v="2024-10-18T00:00:00"/>
    <s v="in"/>
    <s v="A"/>
    <n v="1"/>
    <n v="2024140"/>
    <s v="2024140-16"/>
    <n v="8.5"/>
    <s v="po"/>
    <n v="9750"/>
    <s v="pi"/>
    <n v="994.5"/>
    <n v="0.29511487172670009"/>
    <n v="0.29511487172670009"/>
    <n v="293.49173993220325"/>
    <n v="293.49173993220325"/>
    <s v="T11 - TT / HM / Glassine"/>
    <n v="8.5"/>
    <n v="9750"/>
  </r>
  <r>
    <n v="30023"/>
    <x v="9"/>
    <d v="2024-09-30T00:00:00"/>
    <s v="in"/>
    <s v="I"/>
    <n v="1"/>
    <n v="2024140"/>
    <s v="10033-30"/>
    <n v="1530"/>
    <s v="mm"/>
    <n v="3000"/>
    <s v="m"/>
    <n v="7114.5"/>
    <n v="0.29511487172670009"/>
    <n v="0.29511487172670009"/>
    <n v="2099.5947548996078"/>
    <n v="2099.5947548996078"/>
    <s v="T11 - TT / HM / Glassine"/>
    <n v="0"/>
    <n v="0"/>
  </r>
  <r>
    <n v="30023"/>
    <x v="9"/>
    <d v="2024-10-18T00:00:00"/>
    <s v="out"/>
    <s v="I"/>
    <n v="-1"/>
    <n v="2024140"/>
    <s v="10033-30"/>
    <n v="1530"/>
    <s v="mm"/>
    <n v="3000"/>
    <s v="m"/>
    <n v="-7114.5"/>
    <n v="0.29511487172670009"/>
    <n v="0.29511487172670009"/>
    <n v="-2099.5947548996078"/>
    <n v="-2099.5947548996078"/>
    <s v="T11 - TT / HM / Glassine"/>
    <n v="0"/>
    <n v="0"/>
  </r>
  <r>
    <n v="30023"/>
    <x v="9"/>
    <d v="2024-10-18T00:00:00"/>
    <s v="in"/>
    <s v="A"/>
    <n v="1"/>
    <n v="2024140"/>
    <s v="2024140-1"/>
    <n v="8.5"/>
    <s v="po"/>
    <n v="9750"/>
    <s v="pi"/>
    <n v="994.5"/>
    <n v="0.29511487172670009"/>
    <n v="0.29511487172670009"/>
    <n v="293.49173993220325"/>
    <n v="293.49173993220325"/>
    <s v="T11 - TT / HM / Glassine"/>
    <n v="8.5"/>
    <n v="9750"/>
  </r>
  <r>
    <n v="30023"/>
    <x v="9"/>
    <d v="2024-09-30T00:00:00"/>
    <s v="in"/>
    <s v="I"/>
    <n v="1"/>
    <n v="2024140"/>
    <s v="10033-31"/>
    <n v="1530"/>
    <s v="mm"/>
    <n v="3000"/>
    <s v="m"/>
    <n v="7114.5"/>
    <n v="0.29511487172670009"/>
    <n v="0.29511487172670009"/>
    <n v="2099.5947548996078"/>
    <n v="2099.5947548996078"/>
    <s v="T11 - TT / HM / Glassine"/>
    <n v="0"/>
    <n v="0"/>
  </r>
  <r>
    <n v="30023"/>
    <x v="9"/>
    <d v="2024-10-18T00:00:00"/>
    <s v="out"/>
    <s v="I"/>
    <n v="-1"/>
    <n v="2024140"/>
    <s v="10033-31"/>
    <n v="1530"/>
    <s v="mm"/>
    <n v="3000"/>
    <s v="m"/>
    <n v="-7114.5"/>
    <n v="0.29511487172670009"/>
    <n v="0.29511487172670009"/>
    <n v="-2099.5947548996078"/>
    <n v="-2099.5947548996078"/>
    <s v="T11 - TT / HM / Glassine"/>
    <n v="0"/>
    <n v="0"/>
  </r>
  <r>
    <n v="30023"/>
    <x v="9"/>
    <d v="2024-10-18T00:00:00"/>
    <s v="in"/>
    <s v="A"/>
    <n v="1"/>
    <n v="2024140"/>
    <s v="2024140-11"/>
    <n v="8.5"/>
    <s v="po"/>
    <n v="9700"/>
    <s v="pi"/>
    <n v="989.4"/>
    <n v="0.29511487172670009"/>
    <n v="0.29511487172670009"/>
    <n v="291.98665408639704"/>
    <n v="291.98665408639704"/>
    <s v="T11 - TT / HM / Glassine"/>
    <n v="8.5"/>
    <n v="9700"/>
  </r>
  <r>
    <n v="30023"/>
    <x v="9"/>
    <d v="2024-09-30T00:00:00"/>
    <s v="in"/>
    <s v="I"/>
    <n v="1"/>
    <n v="2024120"/>
    <s v="10033-32"/>
    <n v="1530"/>
    <s v="mm"/>
    <n v="3000"/>
    <s v="m"/>
    <n v="7114.5"/>
    <n v="0.29511487172670009"/>
    <n v="0.29511487172670009"/>
    <n v="2099.5947548996078"/>
    <n v="2099.5947548996078"/>
    <s v="T11 - TT / HM / Glassine"/>
    <n v="0"/>
    <n v="0"/>
  </r>
  <r>
    <n v="30023"/>
    <x v="9"/>
    <d v="2024-10-04T00:00:00"/>
    <s v="out"/>
    <s v="I"/>
    <n v="-1"/>
    <n v="2024120"/>
    <s v="10033-32"/>
    <n v="1530"/>
    <s v="mm"/>
    <n v="3000"/>
    <s v="m"/>
    <n v="-7114.5"/>
    <n v="0.29511487172670009"/>
    <n v="0.29511487172670009"/>
    <n v="-2099.5947548996078"/>
    <n v="-2099.5947548996078"/>
    <s v="T11 - TT / HM / Glassine"/>
    <n v="0"/>
    <n v="0"/>
  </r>
  <r>
    <n v="30023"/>
    <x v="9"/>
    <d v="2024-10-04T00:00:00"/>
    <s v="in"/>
    <s v="A"/>
    <n v="1"/>
    <n v="2024120"/>
    <s v="2024120-5"/>
    <n v="15.5"/>
    <s v="po"/>
    <n v="2400"/>
    <s v="pi"/>
    <n v="446.4"/>
    <n v="0.29511487172670009"/>
    <n v="0.29511487172670009"/>
    <n v="131.7392787387989"/>
    <n v="131.7392787387989"/>
    <s v="T11 - TT / HM / Glassine"/>
    <n v="15.5"/>
    <n v="2400"/>
  </r>
  <r>
    <n v="30023"/>
    <x v="9"/>
    <d v="2024-10-04T00:00:00"/>
    <s v="in"/>
    <s v="I"/>
    <n v="1"/>
    <s v="2024120 + 2024137 + 2024144"/>
    <s v="2024120-6"/>
    <n v="60.24"/>
    <s v="po"/>
    <n v="7243"/>
    <s v="pi"/>
    <n v="5235.8198400000001"/>
    <n v="0.29511487172670009"/>
    <n v="0.29511487172670009"/>
    <n v="1545.1683004657114"/>
    <n v="1545.1683004657114"/>
    <s v="T11 - TT / HM / Glassine"/>
    <n v="0"/>
    <n v="0"/>
  </r>
  <r>
    <n v="30023"/>
    <x v="9"/>
    <d v="2024-10-24T00:00:00"/>
    <s v="out"/>
    <s v="I"/>
    <n v="-1"/>
    <s v="2024120 + 2024137 + 2024144"/>
    <s v="2024120-6"/>
    <n v="60.24"/>
    <s v="po"/>
    <n v="7243"/>
    <s v="pi"/>
    <n v="-5235.8198400000001"/>
    <n v="0.29511487172670009"/>
    <n v="0.29511487172670009"/>
    <n v="-1545.1683004657114"/>
    <n v="-1545.1683004657114"/>
    <s v="T11 - TT / HM / Glassine"/>
    <n v="0"/>
    <n v="0"/>
  </r>
  <r>
    <n v="30023"/>
    <x v="9"/>
    <d v="2024-10-24T00:00:00"/>
    <s v="in"/>
    <s v="A"/>
    <n v="1"/>
    <s v="2024120 + 2024137 + 2024144"/>
    <s v="2024137-1"/>
    <n v="29.5"/>
    <s v="po"/>
    <n v="4800"/>
    <s v="pi"/>
    <n v="1699.2"/>
    <n v="0.29511487172670009"/>
    <n v="0.29511487172670009"/>
    <n v="501.45919003800878"/>
    <n v="501.45919003800878"/>
    <s v="T11 - TT / HM / Glassine"/>
    <n v="29.5"/>
    <n v="4800"/>
  </r>
  <r>
    <n v="30023"/>
    <x v="9"/>
    <d v="2024-10-24T00:00:00"/>
    <s v="in"/>
    <s v="I"/>
    <n v="1"/>
    <s v="2024120 + 2024137 + 2024144"/>
    <s v="2024137-4"/>
    <n v="60.24"/>
    <s v="po"/>
    <n v="2430"/>
    <s v="pi"/>
    <n v="1756.5983999999999"/>
    <n v="0.29511487172670009"/>
    <n v="0.29511487172670009"/>
    <n v="518.39831149132658"/>
    <n v="518.39831149132658"/>
    <s v="T11 - TT / HM / Glassine"/>
    <n v="0"/>
    <n v="0"/>
  </r>
  <r>
    <n v="30023"/>
    <x v="9"/>
    <d v="2024-10-25T00:00:00"/>
    <s v="out"/>
    <s v="I"/>
    <n v="-1"/>
    <s v="2024120 + 2024137 + 2024144"/>
    <s v="2024137-4"/>
    <n v="60.24"/>
    <s v="po"/>
    <n v="2430"/>
    <s v="pi"/>
    <n v="-1756.5983999999999"/>
    <n v="0.29511487172670009"/>
    <n v="0.29511487172670009"/>
    <n v="-518.39831149132658"/>
    <n v="-518.39831149132658"/>
    <s v="T11 - TT / HM / Glassine"/>
    <n v="0"/>
    <n v="0"/>
  </r>
  <r>
    <n v="30023"/>
    <x v="9"/>
    <d v="2024-10-24T00:00:00"/>
    <s v="in"/>
    <s v="I"/>
    <n v="1"/>
    <s v="2024120 + 2024137 + 2024144"/>
    <s v="2024144-1"/>
    <n v="38.58"/>
    <s v="po"/>
    <n v="2400"/>
    <s v="pi"/>
    <n v="1111.104"/>
    <n v="0.29511487172670009"/>
    <n v="0.29511487172670009"/>
    <n v="327.90331443502339"/>
    <n v="327.90331443502339"/>
    <s v="T11 - TT / HM / Glassine"/>
    <n v="0"/>
    <n v="0"/>
  </r>
  <r>
    <n v="30023"/>
    <x v="9"/>
    <d v="2024-11-22T00:00:00"/>
    <s v="out"/>
    <s v="I"/>
    <n v="-1"/>
    <s v="LE-2024175"/>
    <s v="LE-2024144-1"/>
    <n v="38.58"/>
    <s v="po"/>
    <n v="2400"/>
    <s v="pi"/>
    <n v="-1111.104"/>
    <n v="0.29511487172670009"/>
    <n v="0.29511487172670009"/>
    <n v="-327.90331443502339"/>
    <n v="-327.90331443502339"/>
    <s v="T11 - TT / HM / Glassine"/>
    <n v="0"/>
    <n v="0"/>
  </r>
  <r>
    <n v="30023"/>
    <x v="9"/>
    <d v="2024-11-22T00:00:00"/>
    <s v="in"/>
    <s v="I"/>
    <n v="1"/>
    <s v="LE-2024175"/>
    <s v="LE-2024175-01"/>
    <n v="34"/>
    <s v="po"/>
    <n v="2350"/>
    <s v="pi"/>
    <n v="958.8"/>
    <n v="0.29511487172670009"/>
    <n v="0.29511487172670009"/>
    <n v="282.95613901156003"/>
    <n v="282.95613901156003"/>
    <s v="T11 - TT / HM / Glassine"/>
    <n v="0"/>
    <n v="0"/>
  </r>
  <r>
    <n v="30023"/>
    <x v="9"/>
    <d v="2024-12-03T00:00:00"/>
    <s v="out"/>
    <s v="I"/>
    <n v="-1"/>
    <s v="LE-2024188"/>
    <s v="LE-2024175-01"/>
    <n v="34"/>
    <s v="po"/>
    <n v="2350"/>
    <s v="pi"/>
    <n v="-958.8"/>
    <n v="0.29511487172670009"/>
    <n v="0.29511487172670009"/>
    <n v="-282.95613901156003"/>
    <n v="-282.95613901156003"/>
    <s v="T11 - TT / HM / Glassine"/>
    <n v="0"/>
    <n v="0"/>
  </r>
  <r>
    <n v="30023"/>
    <x v="9"/>
    <d v="2024-12-03T00:00:00"/>
    <s v="in"/>
    <s v="A"/>
    <n v="1"/>
    <s v="LE-2024188"/>
    <s v="LE-2024188-01"/>
    <n v="23.75"/>
    <s v="po"/>
    <n v="2300"/>
    <s v="pi"/>
    <n v="655.5"/>
    <n v="0.29511487172670009"/>
    <n v="0.29511487172670009"/>
    <n v="193.4477984168519"/>
    <n v="193.4477984168519"/>
    <s v="T11 - TT / HM / Glassine"/>
    <n v="23.75"/>
    <n v="2300"/>
  </r>
  <r>
    <n v="30025"/>
    <x v="10"/>
    <d v="2024-10-15T00:00:00"/>
    <s v="in"/>
    <s v="I"/>
    <n v="1"/>
    <m/>
    <s v="10034-1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0T00:00:00"/>
    <s v="out"/>
    <s v="I"/>
    <n v="-1"/>
    <s v="LE-2024198"/>
    <s v="10034-1"/>
    <n v="60.235999999999997"/>
    <s v="po"/>
    <n v="10499"/>
    <s v="pi"/>
    <n v="-7589.0131679999995"/>
    <n v="0.10141226920875877"/>
    <n v="0.36934253244035825"/>
    <n v="-769.61904642203126"/>
    <n v="-2802.9453421923458"/>
    <s v="D11 - TC DT / HM / Glassine (Supermarket)"/>
    <n v="0"/>
    <n v="0"/>
  </r>
  <r>
    <n v="30025"/>
    <x v="10"/>
    <d v="2024-10-15T00:00:00"/>
    <s v="in"/>
    <s v="I"/>
    <n v="1"/>
    <m/>
    <s v="10034-2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3T00:00:00"/>
    <s v="out"/>
    <s v="I"/>
    <n v="-1"/>
    <s v="LE-2024166"/>
    <s v="10034-2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3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5T00:00:00"/>
    <s v="out"/>
    <s v="I"/>
    <n v="-1"/>
    <s v="LE-2024194"/>
    <s v="10034-3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2-05T00:00:00"/>
    <s v="in"/>
    <s v="A"/>
    <n v="1"/>
    <s v="LE-2024194"/>
    <s v="LE-2024194-01"/>
    <n v="12.5"/>
    <s v="po"/>
    <n v="4800"/>
    <s v="pi"/>
    <n v="720"/>
    <n v="0.10141226920875877"/>
    <n v="0.36934253244035825"/>
    <n v="73.016833830306311"/>
    <n v="265.92662335705796"/>
    <s v="D11 - TC DT / HM / Glassine (Supermarket)"/>
    <n v="12.5"/>
    <n v="4800"/>
  </r>
  <r>
    <n v="30025"/>
    <x v="10"/>
    <d v="2024-12-05T00:00:00"/>
    <s v="in"/>
    <s v="A"/>
    <n v="1"/>
    <s v="LE-2024194"/>
    <s v="LE-2024194-07"/>
    <n v="12.5"/>
    <s v="po"/>
    <n v="5500"/>
    <s v="pi"/>
    <n v="825"/>
    <n v="0.10141226920875877"/>
    <n v="0.36934253244035825"/>
    <n v="83.665122097225989"/>
    <n v="304.70758926329557"/>
    <s v="D11 - TC DT / HM / Glassine (Supermarket)"/>
    <n v="12.5"/>
    <n v="5500"/>
  </r>
  <r>
    <n v="30025"/>
    <x v="10"/>
    <d v="2024-10-15T00:00:00"/>
    <s v="in"/>
    <s v="A"/>
    <n v="1"/>
    <m/>
    <s v="10034-4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m/>
    <s v="10034-5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5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6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6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A"/>
    <n v="1"/>
    <m/>
    <s v="10034-7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A"/>
    <n v="1"/>
    <m/>
    <s v="10034-8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A"/>
    <n v="1"/>
    <m/>
    <s v="10034-9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m/>
    <s v="10034-10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10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A"/>
    <n v="1"/>
    <m/>
    <s v="10034-11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m/>
    <s v="10034-12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3T00:00:00"/>
    <s v="out"/>
    <s v="I"/>
    <n v="-1"/>
    <s v="LE-2024173"/>
    <s v="10034-12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13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3T00:00:00"/>
    <s v="out"/>
    <s v="I"/>
    <n v="-1"/>
    <s v="LE-2024173"/>
    <s v="10034-13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A"/>
    <n v="1"/>
    <m/>
    <s v="10034-14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A"/>
    <n v="1"/>
    <m/>
    <s v="10034-15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m/>
    <s v="10034-16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26T00:00:00"/>
    <s v="out"/>
    <s v="I"/>
    <n v="-1"/>
    <s v="LE-2024178"/>
    <s v="10034-16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1-26T00:00:00"/>
    <s v="in"/>
    <s v="A"/>
    <n v="1"/>
    <s v="LE-2024178"/>
    <s v="LE-2024178-03"/>
    <n v="41.85"/>
    <s v="po"/>
    <n v="10450"/>
    <s v="pi"/>
    <n v="5247.9900000000007"/>
    <n v="0.10141226920875877"/>
    <n v="0.36934253244035825"/>
    <n v="532.21057468487402"/>
    <n v="1938.305916821676"/>
    <s v="D11 - TC DT / HM / Glassine (Supermarket)"/>
    <n v="41.85"/>
    <n v="10450"/>
  </r>
  <r>
    <n v="30025"/>
    <x v="10"/>
    <d v="2024-10-15T00:00:00"/>
    <s v="in"/>
    <s v="A"/>
    <n v="1"/>
    <m/>
    <s v="10034-17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m/>
    <s v="10034-18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4T00:00:00"/>
    <s v="out"/>
    <s v="I"/>
    <n v="-1"/>
    <s v="LE-2024167"/>
    <s v="10034-18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19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3T00:00:00"/>
    <s v="out"/>
    <s v="I"/>
    <n v="-1"/>
    <s v="LE-2024173"/>
    <s v="10034-19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0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0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1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3T00:00:00"/>
    <s v="out"/>
    <s v="I"/>
    <n v="-1"/>
    <s v="LE-2024173"/>
    <s v="10034-21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2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2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3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3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4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0-15T00:00:00"/>
    <s v="in"/>
    <s v="I"/>
    <n v="1"/>
    <m/>
    <s v="10034-25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4T00:00:00"/>
    <s v="out"/>
    <s v="I"/>
    <n v="-1"/>
    <s v="LE-2024167"/>
    <s v="10034-25"/>
    <n v="1530"/>
    <s v="mm"/>
    <n v="3200"/>
    <s v="pi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2-03T00:00:00"/>
    <s v="out"/>
    <s v="I"/>
    <n v="-1"/>
    <s v="LE-2024173"/>
    <s v="10034-24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6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6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7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4T00:00:00"/>
    <s v="out"/>
    <s v="I"/>
    <n v="-1"/>
    <s v="LE-2024167"/>
    <s v="10034-27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1-14T00:00:00"/>
    <s v="in"/>
    <s v="A"/>
    <n v="1"/>
    <s v="LE-2024167"/>
    <s v="LE-2024167-48"/>
    <n v="60.235999999999997"/>
    <s v="po"/>
    <n v="5200"/>
    <s v="pi"/>
    <n v="3758.7264"/>
    <n v="0.10141226920875877"/>
    <n v="0.36934253244035825"/>
    <n v="381.18097355886869"/>
    <n v="1388.257527326431"/>
    <s v="D11 - TC DT / HM / Glassine (Supermarket)"/>
    <n v="60.24"/>
    <n v="5200"/>
  </r>
  <r>
    <n v="30025"/>
    <x v="10"/>
    <d v="2024-10-15T00:00:00"/>
    <s v="in"/>
    <s v="I"/>
    <n v="1"/>
    <m/>
    <s v="10034-28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8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29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17T00:00:00"/>
    <s v="out"/>
    <s v="I"/>
    <n v="-1"/>
    <s v="LE-2024207"/>
    <s v="10034-29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n v="2024145"/>
    <s v="10034-30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0-24T00:00:00"/>
    <s v="out"/>
    <s v="I"/>
    <n v="-1"/>
    <n v="2024145"/>
    <s v="10034-30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31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3T00:00:00"/>
    <s v="out"/>
    <s v="I"/>
    <n v="-1"/>
    <s v="LE-2024166"/>
    <s v="10034-31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A"/>
    <n v="1"/>
    <m/>
    <s v="10034-32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60.24"/>
    <n v="10499"/>
  </r>
  <r>
    <n v="30025"/>
    <x v="10"/>
    <d v="2024-10-15T00:00:00"/>
    <s v="in"/>
    <s v="I"/>
    <n v="1"/>
    <n v="2024138"/>
    <s v="10034-33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0-25T00:00:00"/>
    <s v="out"/>
    <s v="I"/>
    <n v="-1"/>
    <n v="2024138"/>
    <s v="10034-33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25T00:00:00"/>
    <s v="in"/>
    <s v="I"/>
    <n v="1"/>
    <s v="2024138 + 2024141 +2024143"/>
    <s v="2024138-1"/>
    <n v="26"/>
    <s v="po"/>
    <n v="5000"/>
    <s v="pi"/>
    <n v="1560"/>
    <n v="0.10141226920875877"/>
    <n v="0.36934253244035825"/>
    <n v="158.20313996566369"/>
    <n v="576.17435060695891"/>
    <s v="D11 - TC DT / HM / Glassine (Supermarket)"/>
    <n v="0"/>
    <n v="0"/>
  </r>
  <r>
    <n v="30025"/>
    <x v="10"/>
    <d v="2024-10-28T00:00:00"/>
    <s v="out"/>
    <s v="I"/>
    <n v="-1"/>
    <s v="2024138 + 2024141 +2024143"/>
    <s v="2024138-1"/>
    <n v="26"/>
    <s v="po"/>
    <n v="5000"/>
    <s v="pi"/>
    <n v="-1560"/>
    <n v="0.10141226920875877"/>
    <n v="0.36934253244035825"/>
    <n v="-158.20313996566369"/>
    <n v="-576.17435060695891"/>
    <s v="D11 - TC DT / HM / Glassine (Supermarket)"/>
    <n v="0"/>
    <n v="0"/>
  </r>
  <r>
    <n v="30025"/>
    <x v="10"/>
    <d v="2024-10-28T00:00:00"/>
    <s v="in"/>
    <s v="I"/>
    <n v="1"/>
    <s v="2024138 + 2024141 +2024143"/>
    <s v="2024141-2"/>
    <n v="12.75"/>
    <s v="po"/>
    <n v="2500"/>
    <s v="pi"/>
    <n v="382.5"/>
    <n v="0.10141226920875877"/>
    <n v="0.36934253244035825"/>
    <n v="38.790192972350233"/>
    <n v="141.27351865843704"/>
    <s v="D11 - TC DT / HM / Glassine (Supermarket)"/>
    <n v="0"/>
    <n v="0"/>
  </r>
  <r>
    <n v="30025"/>
    <x v="10"/>
    <d v="2024-10-28T00:00:00"/>
    <s v="out"/>
    <s v="I"/>
    <n v="-1"/>
    <s v="2024138 + 2024141 +2024143+2024164"/>
    <s v="2024141-2"/>
    <n v="12.75"/>
    <s v="po"/>
    <n v="2500"/>
    <s v="pi"/>
    <n v="-382.5"/>
    <n v="0.10141226920875877"/>
    <n v="0.36934253244035825"/>
    <n v="-38.790192972350233"/>
    <n v="-141.27351865843704"/>
    <s v="D11 - TC DT / HM / Glassine (Supermarket)"/>
    <n v="0"/>
    <n v="0"/>
  </r>
  <r>
    <n v="30025"/>
    <x v="10"/>
    <d v="2024-10-25T00:00:00"/>
    <s v="in"/>
    <s v="I"/>
    <n v="1"/>
    <s v="2024138 + 2024141"/>
    <s v="2024138-4"/>
    <n v="60.24"/>
    <s v="po"/>
    <n v="5300"/>
    <s v="pi"/>
    <n v="3831.2640000000001"/>
    <n v="0.10141226920875877"/>
    <n v="0.36934253244035825"/>
    <n v="388.53717617782598"/>
    <n v="1415.0487482075769"/>
    <s v="D11 - TC DT / HM / Glassine (Supermarket)"/>
    <n v="0"/>
    <n v="0"/>
  </r>
  <r>
    <n v="30025"/>
    <x v="10"/>
    <d v="2024-10-28T00:00:00"/>
    <s v="out"/>
    <s v="I"/>
    <n v="-1"/>
    <s v="2024138 + 2024141"/>
    <s v="2024138-4"/>
    <n v="60.24"/>
    <s v="po"/>
    <n v="5300"/>
    <s v="pi"/>
    <n v="-3831.2640000000001"/>
    <n v="0.10141226920875877"/>
    <n v="0.36934253244035825"/>
    <n v="-388.53717617782598"/>
    <n v="-1415.0487482075769"/>
    <s v="D11 - TC DT / HM / Glassine (Supermarket)"/>
    <n v="0"/>
    <n v="0"/>
  </r>
  <r>
    <n v="30025"/>
    <x v="10"/>
    <d v="2024-10-28T00:00:00"/>
    <s v="in"/>
    <s v="A"/>
    <n v="1"/>
    <s v="2024138 + 2024141"/>
    <s v="2024141-4"/>
    <n v="42.5"/>
    <s v="po"/>
    <n v="5170"/>
    <s v="pi"/>
    <n v="2636.7"/>
    <n v="0.10141226920875877"/>
    <n v="0.36934253244035825"/>
    <n v="267.39373022273423"/>
    <n v="973.84545528549256"/>
    <s v="D11 - TC DT / HM / Glassine (Supermarket)"/>
    <n v="42.5"/>
    <n v="5170"/>
  </r>
  <r>
    <n v="30025"/>
    <x v="10"/>
    <d v="2024-10-15T00:00:00"/>
    <s v="in"/>
    <s v="I"/>
    <n v="1"/>
    <m/>
    <s v="10034-34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1-13T00:00:00"/>
    <s v="out"/>
    <s v="I"/>
    <n v="-1"/>
    <s v="LE-2024166"/>
    <s v="10034-34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5"/>
    <x v="10"/>
    <d v="2024-10-15T00:00:00"/>
    <s v="in"/>
    <s v="I"/>
    <n v="1"/>
    <m/>
    <s v="10034-35"/>
    <n v="1530"/>
    <s v="mm"/>
    <n v="3200"/>
    <s v="m"/>
    <n v="7588.8"/>
    <n v="0.10141226920875877"/>
    <n v="0.36934253244035825"/>
    <n v="769.59742857142862"/>
    <n v="2802.8666101833905"/>
    <s v="D11 - TC DT / HM / Glassine (Supermarket)"/>
    <n v="0"/>
    <n v="0"/>
  </r>
  <r>
    <n v="30025"/>
    <x v="10"/>
    <d v="2024-12-03T00:00:00"/>
    <s v="out"/>
    <s v="I"/>
    <n v="-1"/>
    <s v="LE-2024173"/>
    <s v="10034-35"/>
    <n v="1530"/>
    <s v="mm"/>
    <n v="3200"/>
    <s v="m"/>
    <n v="-7588.8"/>
    <n v="0.10141226920875877"/>
    <n v="0.36934253244035825"/>
    <n v="-769.59742857142862"/>
    <n v="-2802.8666101833905"/>
    <s v="D11 - TC DT / HM / Glassine (Supermarket)"/>
    <n v="0"/>
    <n v="0"/>
  </r>
  <r>
    <n v="30026"/>
    <x v="11"/>
    <d v="2024-10-15T00:00:00"/>
    <s v="in"/>
    <s v="A"/>
    <n v="1"/>
    <m/>
    <s v="10036-1"/>
    <n v="1530"/>
    <s v="mm"/>
    <n v="6000"/>
    <s v="m"/>
    <n v="14229"/>
    <n v="0.3169705647156798"/>
    <n v="0.3169705647156798"/>
    <n v="4510.1741653394083"/>
    <n v="4510.1741653394083"/>
    <s v="D11 - TC DT / HM / Glassine (Supermarket)"/>
    <n v="60.24"/>
    <n v="19685"/>
  </r>
  <r>
    <n v="30026"/>
    <x v="11"/>
    <d v="2024-10-15T00:00:00"/>
    <s v="in"/>
    <s v="A"/>
    <n v="1"/>
    <m/>
    <s v="10036-2"/>
    <n v="1530"/>
    <s v="mm"/>
    <n v="5370"/>
    <s v="m"/>
    <n v="12734.955000000002"/>
    <n v="0.3169705647156798"/>
    <n v="0.3169705647156798"/>
    <n v="4036.6058779787704"/>
    <n v="4036.6058779787704"/>
    <s v="D11 - TC DT / HM / Glassine (Supermarket)"/>
    <n v="60.24"/>
    <n v="17618"/>
  </r>
  <r>
    <n v="30026"/>
    <x v="11"/>
    <d v="2024-10-15T00:00:00"/>
    <s v="in"/>
    <s v="A"/>
    <n v="1"/>
    <m/>
    <s v="10036-3"/>
    <n v="1530"/>
    <s v="mm"/>
    <n v="6620"/>
    <s v="m"/>
    <n v="15699.330000000002"/>
    <n v="0.3169705647156798"/>
    <n v="0.3169705647156798"/>
    <n v="4976.2254957578143"/>
    <n v="4976.2254957578143"/>
    <s v="D11 - TC DT / HM / Glassine (Supermarket)"/>
    <n v="60.24"/>
    <n v="21719"/>
  </r>
  <r>
    <n v="30026"/>
    <x v="11"/>
    <d v="2024-10-15T00:00:00"/>
    <s v="in"/>
    <s v="A"/>
    <n v="1"/>
    <m/>
    <s v="10036-4"/>
    <n v="1530"/>
    <s v="mm"/>
    <n v="5960"/>
    <s v="m"/>
    <n v="14134.14"/>
    <n v="0.3169705647156798"/>
    <n v="0.3169705647156798"/>
    <n v="4480.106337570478"/>
    <n v="4480.106337570478"/>
    <s v="D11 - TC DT / HM / Glassine (Supermarket)"/>
    <n v="60.24"/>
    <n v="19554"/>
  </r>
  <r>
    <n v="30026"/>
    <x v="11"/>
    <d v="2024-10-15T00:00:00"/>
    <s v="in"/>
    <s v="I"/>
    <n v="1"/>
    <m/>
    <s v="10036-5"/>
    <n v="1530"/>
    <s v="mm"/>
    <n v="5560"/>
    <s v="m"/>
    <n v="13185.539999999999"/>
    <n v="0.3169705647156798"/>
    <n v="0.3169705647156798"/>
    <n v="4179.4280598811847"/>
    <n v="4179.4280598811847"/>
    <s v="D11 - TC DT / HM / Glassine (Supermarket)"/>
    <n v="0"/>
    <n v="0"/>
  </r>
  <r>
    <n v="30026"/>
    <x v="11"/>
    <d v="2024-12-20T00:00:00"/>
    <s v="out"/>
    <s v="I"/>
    <n v="-1"/>
    <s v="LE-2024212"/>
    <s v="10036-5"/>
    <n v="1530"/>
    <s v="mm"/>
    <n v="5560"/>
    <s v="m"/>
    <n v="-13185.539999999999"/>
    <n v="0.3169705647156798"/>
    <n v="0.3169705647156798"/>
    <n v="-4179.4280598811847"/>
    <n v="-4179.4280598811847"/>
    <s v="D11 - TC DT / HM / Glassine (Supermarket)"/>
    <n v="0"/>
    <n v="0"/>
  </r>
  <r>
    <n v="30026"/>
    <x v="11"/>
    <d v="2024-10-15T00:00:00"/>
    <s v="in"/>
    <s v="I"/>
    <n v="1"/>
    <m/>
    <s v="10036-6"/>
    <n v="1530"/>
    <s v="mm"/>
    <n v="6000"/>
    <s v="m"/>
    <n v="14229"/>
    <n v="0.3169705647156798"/>
    <n v="0.3169705647156798"/>
    <n v="4510.1741653394083"/>
    <n v="4510.1741653394083"/>
    <s v="D11 - TC DT / HM / Glassine (Supermarket)"/>
    <n v="0"/>
    <n v="0"/>
  </r>
  <r>
    <n v="30026"/>
    <x v="11"/>
    <d v="2024-12-06T00:00:00"/>
    <s v="out"/>
    <s v="I"/>
    <n v="-1"/>
    <s v="LE-2024195"/>
    <s v="10036-6"/>
    <n v="1530"/>
    <s v="mm"/>
    <n v="6000"/>
    <s v="m"/>
    <n v="-14229"/>
    <n v="0.3169705647156798"/>
    <n v="0.3169705647156798"/>
    <n v="-4510.1741653394083"/>
    <n v="-4510.1741653394083"/>
    <s v="D11 - TC DT / HM / Glassine (Supermarket)"/>
    <n v="0"/>
    <n v="0"/>
  </r>
  <r>
    <n v="30026"/>
    <x v="11"/>
    <d v="2024-10-15T00:00:00"/>
    <s v="in"/>
    <s v="I"/>
    <n v="1"/>
    <m/>
    <s v="10036-7"/>
    <n v="1530"/>
    <s v="mm"/>
    <n v="5830"/>
    <s v="m"/>
    <n v="13825.844999999999"/>
    <n v="0.3169705647156798"/>
    <n v="0.3169705647156798"/>
    <n v="4382.3858973214574"/>
    <n v="4382.3858973214574"/>
    <s v="D11 - TC DT / HM / Glassine (Supermarket)"/>
    <n v="0"/>
    <n v="0"/>
  </r>
  <r>
    <n v="30026"/>
    <x v="11"/>
    <d v="2024-11-08T00:00:00"/>
    <s v="out"/>
    <s v="I"/>
    <n v="-1"/>
    <s v="LE-2024158"/>
    <s v="10036-7"/>
    <n v="1530"/>
    <s v="mm"/>
    <n v="5830"/>
    <s v="m"/>
    <n v="-13825.844999999999"/>
    <n v="0.3169705647156798"/>
    <n v="0.3169705647156798"/>
    <n v="-4382.3858973214574"/>
    <n v="-4382.3858973214574"/>
    <s v="D11 - TC DT / HM / Glassine (Supermarket)"/>
    <n v="0"/>
    <n v="0"/>
  </r>
  <r>
    <n v="30026"/>
    <x v="11"/>
    <d v="2024-11-08T00:00:00"/>
    <s v="in"/>
    <s v="I"/>
    <n v="1"/>
    <s v="LE-2024158"/>
    <s v="LE-2024158-08"/>
    <n v="60.235999999999997"/>
    <s v="po"/>
    <n v="9000"/>
    <s v="pi"/>
    <n v="6505.4880000000003"/>
    <n v="0.3169705647156798"/>
    <n v="0.3169705647156798"/>
    <n v="2062.0482051110785"/>
    <n v="2062.0482051110785"/>
    <s v="D11 - TC DT / HM / Glassine (Supermarket)"/>
    <n v="0"/>
    <n v="0"/>
  </r>
  <r>
    <n v="30026"/>
    <x v="11"/>
    <d v="2024-11-08T00:00:00"/>
    <s v="out"/>
    <s v="I"/>
    <n v="-1"/>
    <s v="LE-2024159"/>
    <s v="LE-2024158-08"/>
    <n v="60.235999999999997"/>
    <s v="po"/>
    <n v="9000"/>
    <s v="pi"/>
    <n v="-6505.4880000000003"/>
    <n v="0.3169705647156798"/>
    <n v="0.3169705647156798"/>
    <n v="-2062.0482051110785"/>
    <n v="-2062.0482051110785"/>
    <s v="D11 - TC DT / HM / Glassine (Supermarket)"/>
    <n v="0"/>
    <n v="0"/>
  </r>
  <r>
    <n v="30026"/>
    <x v="11"/>
    <d v="2024-11-08T00:00:00"/>
    <s v="in"/>
    <s v="A"/>
    <n v="1"/>
    <s v="LE-2024159"/>
    <s v="LE-2024159-10"/>
    <n v="60.235999999999997"/>
    <s v="po"/>
    <n v="4100"/>
    <s v="pi"/>
    <n v="2963.6112000000003"/>
    <n v="0.3169705647156798"/>
    <n v="0.3169705647156798"/>
    <n v="939.37751566171357"/>
    <n v="939.37751566171357"/>
    <s v="D11 - TC DT / HM / Glassine (Supermarket)"/>
    <n v="60.24"/>
    <n v="4100"/>
  </r>
  <r>
    <n v="30026"/>
    <x v="11"/>
    <d v="2024-10-15T00:00:00"/>
    <s v="in"/>
    <s v="I"/>
    <n v="1"/>
    <m/>
    <s v="10036-8"/>
    <n v="1530"/>
    <s v="mm"/>
    <n v="5950"/>
    <s v="m"/>
    <n v="14110.425000000001"/>
    <n v="0.3169705647156798"/>
    <n v="0.3169705647156798"/>
    <n v="4472.5893806282465"/>
    <n v="4472.5893806282465"/>
    <s v="D11 - TC DT / HM / Glassine (Supermarket)"/>
    <n v="0"/>
    <n v="0"/>
  </r>
  <r>
    <n v="30026"/>
    <x v="11"/>
    <d v="2024-11-05T00:00:00"/>
    <s v="out"/>
    <s v="I"/>
    <n v="-1"/>
    <s v="LE-2024157"/>
    <s v="10036-8"/>
    <n v="1530"/>
    <s v="mm"/>
    <n v="5950"/>
    <s v="m"/>
    <n v="-14110.425000000001"/>
    <n v="0.3169705647156798"/>
    <n v="0.3169705647156798"/>
    <n v="-4472.5893806282465"/>
    <n v="-4472.5893806282465"/>
    <s v="D11 - TC DT / HM / Glassine (Supermarket)"/>
    <n v="0"/>
    <n v="0"/>
  </r>
  <r>
    <n v="30026"/>
    <x v="11"/>
    <d v="2024-11-05T00:00:00"/>
    <s v="in"/>
    <s v="A"/>
    <n v="1"/>
    <s v="LE-2024157"/>
    <s v="LE-2024157-01"/>
    <n v="8.8000000000000007"/>
    <s v="po"/>
    <n v="10000"/>
    <s v="pi"/>
    <n v="1056"/>
    <n v="0.3169705647156798"/>
    <n v="0.3169705647156798"/>
    <n v="334.72091633975788"/>
    <n v="334.72091633975788"/>
    <s v="D11 - TC DT / HM / Glassine (Supermarket)"/>
    <n v="8.8000000000000007"/>
    <n v="10000"/>
  </r>
  <r>
    <n v="30026"/>
    <x v="11"/>
    <d v="2024-11-05T00:00:00"/>
    <s v="in"/>
    <s v="I"/>
    <n v="1"/>
    <s v="LE-2024157"/>
    <s v="LE-2024157-05"/>
    <n v="8.8000000000000007"/>
    <s v="po"/>
    <n v="8800"/>
    <s v="pi"/>
    <n v="929.28000000000009"/>
    <n v="0.3169705647156798"/>
    <n v="0.3169705647156798"/>
    <n v="294.55440637898698"/>
    <n v="294.55440637898698"/>
    <s v="D11 - TC DT / HM / Glassine (Supermarket)"/>
    <n v="0"/>
    <n v="0"/>
  </r>
  <r>
    <n v="30026"/>
    <x v="11"/>
    <d v="2024-11-22T00:00:00"/>
    <s v="out"/>
    <s v="I"/>
    <n v="-1"/>
    <s v="LE-2024160"/>
    <s v="LE 2024157-05"/>
    <n v="8.8000000000000007"/>
    <s v="po"/>
    <n v="8800"/>
    <s v="pi"/>
    <n v="-929.28000000000009"/>
    <n v="0.3169705647156798"/>
    <n v="0.3169705647156798"/>
    <n v="-294.55440637898698"/>
    <n v="-294.55440637898698"/>
    <s v="D11 - TC DT / HM / Glassine (Supermarket)"/>
    <n v="0"/>
    <n v="0"/>
  </r>
  <r>
    <n v="30026"/>
    <x v="11"/>
    <d v="2024-11-22T00:00:00"/>
    <s v="in"/>
    <s v="A"/>
    <n v="1"/>
    <s v="LE-2024160"/>
    <s v="LE-2024160-02"/>
    <n v="8.8000000000000007"/>
    <s v="po"/>
    <n v="6200"/>
    <s v="pi"/>
    <n v="654.72"/>
    <n v="0.3169705647156798"/>
    <n v="0.3169705647156798"/>
    <n v="207.52696813064989"/>
    <n v="207.52696813064989"/>
    <s v="D11 - TC DT / HM / Glassine (Supermarket)"/>
    <n v="8.8000000000000007"/>
    <n v="6200"/>
  </r>
  <r>
    <n v="30026"/>
    <x v="11"/>
    <d v="2024-10-15T00:00:00"/>
    <s v="in"/>
    <s v="I"/>
    <n v="1"/>
    <m/>
    <s v="10036-9"/>
    <n v="1530"/>
    <s v="mm"/>
    <n v="5800"/>
    <s v="m"/>
    <n v="13754.7"/>
    <n v="0.3169705647156798"/>
    <n v="0.3169705647156798"/>
    <n v="4359.8350264947612"/>
    <n v="4359.8350264947612"/>
    <s v="D11 - TC DT / HM / Glassine (Supermarket)"/>
    <n v="0"/>
    <n v="0"/>
  </r>
  <r>
    <n v="30026"/>
    <x v="11"/>
    <d v="2024-11-11T00:00:00"/>
    <s v="out"/>
    <s v="I"/>
    <n v="-1"/>
    <s v="LE-2024162"/>
    <s v="10036-9"/>
    <n v="1530"/>
    <s v="mm"/>
    <n v="5800"/>
    <s v="m"/>
    <n v="-13754.7"/>
    <n v="0.3169705647156798"/>
    <n v="0.3169705647156798"/>
    <n v="-4359.8350264947612"/>
    <n v="-4359.8350264947612"/>
    <s v="D11 - TC DT / HM / Glassine (Supermarket)"/>
    <n v="0"/>
    <n v="0"/>
  </r>
  <r>
    <n v="30026"/>
    <x v="11"/>
    <d v="2024-11-11T00:00:00"/>
    <s v="in"/>
    <s v="A"/>
    <n v="1"/>
    <s v="LE-2024162"/>
    <s v="LE-2024162-04"/>
    <n v="8.8000000000000007"/>
    <s v="po"/>
    <n v="9500"/>
    <s v="pi"/>
    <n v="1003.2000000000002"/>
    <n v="0.3169705647156798"/>
    <n v="0.3169705647156798"/>
    <n v="317.98487052277005"/>
    <n v="317.98487052277005"/>
    <s v="D11 - TC DT / HM / Glassine (Supermarket)"/>
    <n v="8.8000000000000007"/>
    <n v="9500"/>
  </r>
  <r>
    <n v="30026"/>
    <x v="11"/>
    <d v="2024-11-11T00:00:00"/>
    <s v="in"/>
    <s v="A"/>
    <n v="1"/>
    <s v="LE-2024162"/>
    <s v="LE-2024162-05"/>
    <n v="60.235999999999997"/>
    <s v="po"/>
    <n v="9400"/>
    <s v="pi"/>
    <n v="6794.6207999999997"/>
    <n v="0.3169705647156798"/>
    <n v="0.3169705647156798"/>
    <n v="2153.6947920049038"/>
    <n v="2153.6947920049038"/>
    <s v="D11 - TC DT / HM / Glassine (Supermarket)"/>
    <n v="60.24"/>
    <n v="9400"/>
  </r>
  <r>
    <n v="30021"/>
    <x v="12"/>
    <d v="2024-10-28T00:00:00"/>
    <s v="in"/>
    <s v="A"/>
    <n v="1"/>
    <m/>
    <s v="10022-1"/>
    <n v="420"/>
    <s v="mm"/>
    <n v="2220"/>
    <s v="m"/>
    <n v="1445.22"/>
    <n v="0.68134346955395519"/>
    <n v="0.68134346955395519"/>
    <n v="984.69120906876719"/>
    <n v="984.69120906876719"/>
    <s v="F60 - 95µ White BOPP"/>
    <n v="16.54"/>
    <n v="7283"/>
  </r>
  <r>
    <n v="30021"/>
    <x v="12"/>
    <d v="2024-10-28T00:00:00"/>
    <s v="in"/>
    <s v="A"/>
    <n v="1"/>
    <m/>
    <s v="10022-2"/>
    <n v="420"/>
    <s v="mm"/>
    <n v="2220"/>
    <s v="m"/>
    <n v="1445.22"/>
    <n v="0.68134346955395519"/>
    <n v="0.68134346955395519"/>
    <n v="984.69120906876719"/>
    <n v="984.69120906876719"/>
    <s v="F60 - 95µ White BOPP"/>
    <n v="16.54"/>
    <n v="7283"/>
  </r>
  <r>
    <n v="30021"/>
    <x v="12"/>
    <d v="2024-10-28T00:00:00"/>
    <s v="in"/>
    <s v="A"/>
    <n v="1"/>
    <m/>
    <s v="10022-3"/>
    <n v="420"/>
    <s v="mm"/>
    <n v="2240"/>
    <s v="m"/>
    <n v="1458.24"/>
    <n v="0.68134346955395519"/>
    <n v="0.68134346955395519"/>
    <n v="993.56230104235965"/>
    <n v="993.56230104235965"/>
    <s v="F60 - 95µ White BOPP"/>
    <n v="16.54"/>
    <n v="7349"/>
  </r>
  <r>
    <n v="30020"/>
    <x v="13"/>
    <d v="2024-10-28T00:00:00"/>
    <s v="in"/>
    <s v="I"/>
    <n v="1"/>
    <m/>
    <s v="10022-4"/>
    <n v="420"/>
    <s v="mm"/>
    <n v="3000"/>
    <s v="m"/>
    <n v="1953"/>
    <n v="0.52511806784840576"/>
    <n v="0.52511806784840576"/>
    <n v="1025.5555865079364"/>
    <n v="1025.5555865079364"/>
    <s v="F50 - 95µ Clear BOPP"/>
    <n v="0"/>
    <n v="0"/>
  </r>
  <r>
    <n v="30020"/>
    <x v="13"/>
    <d v="2024-11-20T00:00:00"/>
    <s v="out"/>
    <s v="I"/>
    <n v="-1"/>
    <s v="IMPSJ SAMPLE"/>
    <s v="10022-4"/>
    <n v="420"/>
    <s v="mm"/>
    <n v="3000"/>
    <s v="m"/>
    <n v="-1953"/>
    <n v="0.52511806784840576"/>
    <n v="0.52511806784840576"/>
    <n v="-1025.5555865079364"/>
    <n v="-1025.5555865079364"/>
    <s v="F50 - 95µ Clear BOPP"/>
    <n v="0"/>
    <n v="0"/>
  </r>
  <r>
    <n v="30020"/>
    <x v="13"/>
    <d v="2024-11-20T00:00:00"/>
    <s v="in"/>
    <s v="A"/>
    <n v="1"/>
    <s v="IMPSJ"/>
    <s v="10022-4"/>
    <n v="16.54"/>
    <s v="po"/>
    <n v="7300"/>
    <s v="pi"/>
    <n v="1448.904"/>
    <n v="0.52511806784840576"/>
    <n v="0.52511806784840576"/>
    <n v="760.84566897782645"/>
    <n v="760.84566897782645"/>
    <s v="F50 - 95µ Clear BOPP"/>
    <n v="16.54"/>
    <n v="7300"/>
  </r>
  <r>
    <n v="30020"/>
    <x v="13"/>
    <d v="2024-10-28T00:00:00"/>
    <s v="in"/>
    <s v="A"/>
    <n v="1"/>
    <m/>
    <s v="10022-5"/>
    <n v="420"/>
    <s v="mm"/>
    <n v="3000"/>
    <s v="m"/>
    <n v="1953"/>
    <n v="0.52511806784840576"/>
    <n v="0.52511806784840576"/>
    <n v="1025.5555865079364"/>
    <n v="1025.5555865079364"/>
    <s v="F50 - 95µ Clear BOPP"/>
    <n v="16.54"/>
    <n v="9843"/>
  </r>
  <r>
    <n v="30020"/>
    <x v="13"/>
    <d v="2024-10-28T00:00:00"/>
    <s v="in"/>
    <s v="A"/>
    <n v="1"/>
    <m/>
    <s v="10022-6"/>
    <n v="420"/>
    <s v="mm"/>
    <n v="3000"/>
    <s v="m"/>
    <n v="1953"/>
    <n v="0.52511806784840576"/>
    <n v="0.52511806784840576"/>
    <n v="1025.5555865079364"/>
    <n v="1025.5555865079364"/>
    <s v="F50 - 95µ Clear BOPP"/>
    <n v="16.54"/>
    <n v="9843"/>
  </r>
  <r>
    <n v="30031"/>
    <x v="6"/>
    <d v="2024-11-01T00:00:00"/>
    <s v="in"/>
    <s v="I"/>
    <n v="1"/>
    <m/>
    <s v="10039-1"/>
    <n v="1530"/>
    <s v="mm"/>
    <n v="6050"/>
    <s v="m"/>
    <n v="14347.575000000001"/>
    <n v="0.25886883676290107"/>
    <n v="0.25886883676290107"/>
    <n v="3714.1400506184805"/>
    <n v="3714.1400506184805"/>
    <s v="S15 - Semi-gloss / ACR / Glassine"/>
    <n v="0"/>
    <n v="0"/>
  </r>
  <r>
    <n v="30031"/>
    <x v="6"/>
    <d v="2024-12-02T00:00:00"/>
    <s v="out"/>
    <s v="I"/>
    <n v="-1"/>
    <s v="LE-2024190"/>
    <s v="10039-1"/>
    <n v="60.235999999999997"/>
    <s v="po"/>
    <n v="19849"/>
    <s v="pi"/>
    <n v="-14347.492368000001"/>
    <n v="0.25886883676290107"/>
    <n v="0.25886883676290107"/>
    <n v="-3714.1186597687611"/>
    <n v="-3714.1186597687611"/>
    <s v="S15 - Semi-gloss / ACR / Glassine"/>
    <n v="0"/>
    <n v="0"/>
  </r>
  <r>
    <n v="30031"/>
    <x v="6"/>
    <d v="2024-12-02T00:00:00"/>
    <s v="in"/>
    <s v="A"/>
    <n v="1"/>
    <s v="LE-2024190"/>
    <s v="LE-2024190-18"/>
    <n v="60.235999999999997"/>
    <s v="po"/>
    <n v="5200"/>
    <s v="pi"/>
    <n v="3758.7264"/>
    <n v="0.25886883676290107"/>
    <n v="0.25886883676290107"/>
    <n v="973.01713087800681"/>
    <n v="973.01713087800681"/>
    <s v="S15 - Semi-gloss / ACR / Glassine"/>
    <n v="60.24"/>
    <n v="5200"/>
  </r>
  <r>
    <n v="30031"/>
    <x v="6"/>
    <d v="2024-11-01T00:00:00"/>
    <s v="in"/>
    <s v="I"/>
    <n v="1"/>
    <m/>
    <s v="10039-2"/>
    <n v="1530"/>
    <s v="mm"/>
    <n v="6000"/>
    <s v="m"/>
    <n v="14229"/>
    <n v="0.25886883676290107"/>
    <n v="0.25886883676290107"/>
    <n v="3683.4446782993191"/>
    <n v="3683.4446782993191"/>
    <s v="S15 - Semi-gloss / ACR / Glassine"/>
    <n v="0"/>
    <n v="0"/>
  </r>
  <r>
    <n v="30031"/>
    <x v="6"/>
    <d v="2024-12-02T00:00:00"/>
    <s v="out"/>
    <s v="I"/>
    <n v="-1"/>
    <s v="LE-2024190"/>
    <s v="10039-2"/>
    <n v="1530"/>
    <s v="mm"/>
    <n v="6000"/>
    <s v="m"/>
    <n v="-14229"/>
    <n v="0.25886883676290107"/>
    <n v="0.25886883676290107"/>
    <n v="-3683.4446782993191"/>
    <n v="-3683.4446782993191"/>
    <s v="S15 - Semi-gloss / ACR / Glassine"/>
    <n v="0"/>
    <n v="0"/>
  </r>
  <r>
    <n v="30031"/>
    <x v="6"/>
    <d v="2024-12-02T00:00:00"/>
    <s v="in"/>
    <s v="I"/>
    <n v="1"/>
    <s v="LE-2024190"/>
    <s v="LE-2024190-07"/>
    <n v="60.235999999999997"/>
    <s v="po"/>
    <n v="10000"/>
    <s v="pi"/>
    <n v="7228.32"/>
    <n v="0.25886883676290107"/>
    <n v="0.25886883676290107"/>
    <n v="1871.1867901500129"/>
    <n v="1871.1867901500129"/>
    <s v="S15 - Semi-gloss / ACR / Glassine"/>
    <n v="0"/>
    <n v="0"/>
  </r>
  <r>
    <n v="30015"/>
    <x v="6"/>
    <d v="2024-12-11T00:00:00"/>
    <s v="out"/>
    <s v="I"/>
    <n v="-1"/>
    <s v="LE-2024200"/>
    <s v="LE-2024190-07"/>
    <n v="60.235999999999997"/>
    <s v="po"/>
    <n v="10000"/>
    <s v="pi"/>
    <n v="-7228.32"/>
    <n v="0.26885424108657641"/>
    <n v="0.26885424108657641"/>
    <n v="-1943.364487930922"/>
    <n v="-1943.364487930922"/>
    <s v="S15 - Semi-gloss / ACR / Glassine"/>
    <n v="0"/>
    <n v="0"/>
  </r>
  <r>
    <n v="30031"/>
    <x v="6"/>
    <d v="2024-11-01T00:00:00"/>
    <s v="in"/>
    <s v="I"/>
    <n v="1"/>
    <m/>
    <s v="10039-3"/>
    <n v="1530"/>
    <s v="mm"/>
    <n v="6060"/>
    <s v="m"/>
    <n v="14371.289999999999"/>
    <n v="0.25886883676290107"/>
    <n v="0.25886883676290107"/>
    <n v="3720.279125082312"/>
    <n v="3720.279125082312"/>
    <s v="S15 - Semi-gloss / ACR / Glassine"/>
    <n v="0"/>
    <n v="0"/>
  </r>
  <r>
    <n v="30015"/>
    <x v="6"/>
    <d v="2024-12-12T00:00:00"/>
    <s v="out"/>
    <s v="I"/>
    <n v="-1"/>
    <s v="LE-2024202"/>
    <s v="10039-3"/>
    <n v="1530"/>
    <s v="mm"/>
    <n v="6060"/>
    <s v="m"/>
    <n v="-14371.289999999999"/>
    <n v="0.26885424108657641"/>
    <n v="0.26885424108657641"/>
    <n v="-3863.7822663851043"/>
    <n v="-3863.7822663851043"/>
    <s v="S15 - Semi-gloss / ACR / Glassine"/>
    <n v="0"/>
    <n v="0"/>
  </r>
  <r>
    <n v="30030"/>
    <x v="14"/>
    <d v="2024-11-01T00:00:00"/>
    <s v="in"/>
    <s v="A"/>
    <n v="1"/>
    <m/>
    <s v="10039-4"/>
    <n v="1530"/>
    <s v="mm"/>
    <n v="5980"/>
    <s v="m"/>
    <n v="14181.57"/>
    <n v="0.2764469012790301"/>
    <n v="0.2764469012790301"/>
    <n v="3920.451081771655"/>
    <n v="3920.451081771655"/>
    <s v="S35 - Semi-gloss / ACR / PET"/>
    <n v="60.24"/>
    <n v="19619"/>
  </r>
  <r>
    <n v="30030"/>
    <x v="14"/>
    <d v="2024-11-01T00:00:00"/>
    <s v="in"/>
    <s v="I"/>
    <n v="1"/>
    <m/>
    <s v="10039-5"/>
    <n v="1530"/>
    <s v="mm"/>
    <n v="6000"/>
    <s v="m"/>
    <n v="14229"/>
    <n v="0.2764469012790301"/>
    <n v="0.2764469012790301"/>
    <n v="3933.5629582993192"/>
    <n v="3933.5629582993192"/>
    <s v="S35 - Semi-gloss / ACR / PET"/>
    <n v="0"/>
    <n v="0"/>
  </r>
  <r>
    <n v="30030"/>
    <x v="14"/>
    <d v="2024-11-04T00:00:00"/>
    <s v="out"/>
    <s v="I"/>
    <n v="-1"/>
    <s v="LE-2024153"/>
    <s v="10039-5"/>
    <n v="1530"/>
    <s v="mm"/>
    <n v="6000"/>
    <s v="m"/>
    <n v="-14229"/>
    <n v="0.2764469012790301"/>
    <n v="0.2764469012790301"/>
    <n v="-3933.5629582993192"/>
    <n v="-3933.5629582993192"/>
    <s v="S35 - Semi-gloss / ACR / PET"/>
    <n v="0"/>
    <n v="0"/>
  </r>
  <r>
    <n v="30030"/>
    <x v="14"/>
    <d v="2024-11-04T00:00:00"/>
    <s v="in"/>
    <s v="A"/>
    <n v="1"/>
    <s v="LE-2024153"/>
    <s v="LE-2024153-01"/>
    <n v="47"/>
    <s v="po"/>
    <n v="2000"/>
    <s v="pi"/>
    <n v="1128"/>
    <n v="0.2764469012790301"/>
    <n v="0.2764469012790301"/>
    <n v="311.83210464274595"/>
    <n v="311.83210464274595"/>
    <s v="S35 - Semi-gloss / ACR / PET"/>
    <n v="47"/>
    <n v="2000"/>
  </r>
  <r>
    <n v="30030"/>
    <x v="14"/>
    <d v="2024-11-04T00:00:00"/>
    <s v="in"/>
    <s v="A"/>
    <n v="1"/>
    <s v="LE-2024153"/>
    <s v="LE-2024153-03"/>
    <n v="60.235999999999997"/>
    <s v="po"/>
    <n v="17585"/>
    <s v="pi"/>
    <n v="12711.00072"/>
    <n v="0.2764469012790301"/>
    <n v="0.2764469012790301"/>
    <n v="3513.9167611995204"/>
    <n v="3513.9167611995204"/>
    <s v="S35 - Semi-gloss / ACR / PET"/>
    <n v="60.24"/>
    <n v="17585"/>
  </r>
  <r>
    <n v="30030"/>
    <x v="14"/>
    <d v="2024-11-01T00:00:00"/>
    <s v="in"/>
    <s v="A"/>
    <n v="1"/>
    <m/>
    <s v="10039-6"/>
    <n v="1530"/>
    <s v="mm"/>
    <n v="5860"/>
    <s v="m"/>
    <n v="13896.99"/>
    <n v="0.2764469012790301"/>
    <n v="0.2764469012790301"/>
    <n v="3841.7798226056684"/>
    <n v="3841.7798226056684"/>
    <s v="S35 - Semi-gloss / ACR / PET"/>
    <n v="60.24"/>
    <n v="19226"/>
  </r>
  <r>
    <n v="30028"/>
    <x v="0"/>
    <d v="2024-11-01T00:00:00"/>
    <s v="in"/>
    <s v="I"/>
    <n v="1"/>
    <m/>
    <s v="10039-7"/>
    <n v="1530"/>
    <s v="mm"/>
    <n v="6000"/>
    <s v="m"/>
    <n v="14229"/>
    <n v="0.30720851418225592"/>
    <n v="0.30720851418225592"/>
    <n v="4371.2699482993194"/>
    <n v="4371.2699482993194"/>
    <s v="B15 - 2,0 Clear BOPP / ACR / Glassine"/>
    <n v="0"/>
    <n v="0"/>
  </r>
  <r>
    <n v="30028"/>
    <x v="0"/>
    <d v="2024-11-28T00:00:00"/>
    <s v="out"/>
    <s v="I"/>
    <n v="-1"/>
    <s v="LE-2024182"/>
    <s v="10039-7"/>
    <n v="1530"/>
    <s v="mm"/>
    <n v="6000"/>
    <s v="m"/>
    <n v="-14229"/>
    <n v="0.30720851418225592"/>
    <n v="0.30720851418225592"/>
    <n v="-4371.2699482993194"/>
    <n v="-4371.2699482993194"/>
    <s v="B15 - 2,0 Clear BOPP / ACR / Glassine"/>
    <n v="0"/>
    <n v="0"/>
  </r>
  <r>
    <n v="30028"/>
    <x v="0"/>
    <d v="2024-11-01T00:00:00"/>
    <s v="in"/>
    <s v="A"/>
    <n v="1"/>
    <m/>
    <s v="10039-8"/>
    <n v="1530"/>
    <s v="mm"/>
    <n v="6060"/>
    <s v="m"/>
    <n v="14371.289999999999"/>
    <n v="0.30720851418225592"/>
    <n v="0.30720851418225592"/>
    <n v="4414.9826477823126"/>
    <n v="4414.9826477823126"/>
    <s v="B15 - 2,0 Clear BOPP / ACR / Glassine"/>
    <n v="60.24"/>
    <n v="19882"/>
  </r>
  <r>
    <n v="30027"/>
    <x v="1"/>
    <d v="2024-11-01T00:00:00"/>
    <s v="in"/>
    <s v="A"/>
    <n v="1"/>
    <m/>
    <s v="10039-9"/>
    <n v="1530"/>
    <s v="mm"/>
    <n v="6000"/>
    <s v="m"/>
    <n v="14229"/>
    <n v="0.30720851418225592"/>
    <n v="0.30720851418225592"/>
    <n v="4371.2699482993194"/>
    <n v="4371.2699482993194"/>
    <s v="B25 - 2,4 White BOPP / ACR / Glassine"/>
    <n v="60.24"/>
    <n v="19685"/>
  </r>
  <r>
    <n v="30027"/>
    <x v="1"/>
    <d v="2024-11-01T00:00:00"/>
    <s v="in"/>
    <s v="I"/>
    <n v="1"/>
    <m/>
    <s v="10039-10"/>
    <n v="1530"/>
    <s v="mm"/>
    <n v="6000"/>
    <s v="m"/>
    <n v="14229"/>
    <n v="0.30720851418225592"/>
    <n v="0.30720851418225592"/>
    <n v="4371.2699482993194"/>
    <n v="4371.2699482993194"/>
    <s v="B25 - 2,4 White BOPP / ACR / Glassine"/>
    <n v="0"/>
    <n v="0"/>
  </r>
  <r>
    <n v="30027"/>
    <x v="1"/>
    <d v="2024-11-28T00:00:00"/>
    <s v="out"/>
    <s v="I"/>
    <n v="-1"/>
    <s v="LE-2024186"/>
    <s v="10039-10"/>
    <n v="1530"/>
    <s v="mm"/>
    <n v="6000"/>
    <s v="m"/>
    <n v="-14229"/>
    <n v="0.30720851418225592"/>
    <n v="0.30720851418225592"/>
    <n v="-4371.2699482993194"/>
    <n v="-4371.2699482993194"/>
    <s v="B25 - 2,4 White BOPP / ACR / Glassine"/>
    <n v="0"/>
    <n v="0"/>
  </r>
  <r>
    <n v="30027"/>
    <x v="1"/>
    <d v="2024-11-28T00:00:00"/>
    <s v="in"/>
    <s v="I"/>
    <n v="1"/>
    <s v="LE-2024186"/>
    <s v="LE-2024186-06"/>
    <n v="60.235999999999997"/>
    <s v="po"/>
    <n v="14550"/>
    <s v="pi"/>
    <n v="10517.205599999999"/>
    <n v="0.30720851418225592"/>
    <n v="0.30720851418225592"/>
    <n v="3230.9751057253011"/>
    <n v="3230.9751057253011"/>
    <s v="B25 - 2,4 White BOPP / ACR / Glassine"/>
    <n v="0"/>
    <n v="0"/>
  </r>
  <r>
    <n v="30027"/>
    <x v="1"/>
    <d v="2024-12-11T00:00:00"/>
    <s v="out"/>
    <s v="I"/>
    <n v="-1"/>
    <s v="LE-2024201"/>
    <s v="LE-2024186-06"/>
    <n v="60.235999999999997"/>
    <s v="po"/>
    <n v="14550"/>
    <s v="pi"/>
    <n v="-10517.205599999999"/>
    <n v="0.30720851418225592"/>
    <n v="0.30720851418225592"/>
    <n v="-3230.9751057253011"/>
    <n v="-3230.9751057253011"/>
    <s v="B25 - 2,4 White BOPP / ACR / Glassine"/>
    <n v="0"/>
    <n v="0"/>
  </r>
  <r>
    <n v="30027"/>
    <x v="1"/>
    <d v="2024-12-11T00:00:00"/>
    <s v="in"/>
    <s v="I"/>
    <n v="1"/>
    <s v="LE-2024201"/>
    <s v="LE-2024201-06"/>
    <n v="60.235999999999997"/>
    <s v="po"/>
    <n v="9700"/>
    <s v="pi"/>
    <n v="7011.4704000000002"/>
    <n v="0.30720851418225592"/>
    <n v="0.30720851418225592"/>
    <n v="2153.9834038168678"/>
    <n v="2153.9834038168678"/>
    <s v="B25 - 2,4 White BOPP / ACR / Glassine"/>
    <n v="0"/>
    <n v="0"/>
  </r>
  <r>
    <n v="30027"/>
    <x v="1"/>
    <d v="2024-12-19T00:00:00"/>
    <s v="out"/>
    <s v="I"/>
    <n v="-1"/>
    <s v="LE-2024211"/>
    <s v="LE-2024201-06"/>
    <n v="60.235999999999997"/>
    <s v="po"/>
    <n v="9700"/>
    <s v="pi"/>
    <n v="-7011.4704000000002"/>
    <n v="0.30720851418225592"/>
    <n v="0.30720851418225592"/>
    <n v="-2153.9834038168678"/>
    <n v="-2153.9834038168678"/>
    <s v="B25 - 2,4 White BOPP / ACR / Glassine"/>
    <n v="0"/>
    <n v="0"/>
  </r>
  <r>
    <n v="30027"/>
    <x v="1"/>
    <d v="2024-12-19T00:00:00"/>
    <s v="in"/>
    <s v="A"/>
    <n v="1"/>
    <s v="LE-2024211"/>
    <s v="LE-2024211-05"/>
    <n v="60.235999999999997"/>
    <s v="po"/>
    <n v="5000"/>
    <s v="pi"/>
    <n v="3614.16"/>
    <n v="0.30720851418225592"/>
    <n v="0.30720851418225592"/>
    <n v="1110.3007236169419"/>
    <n v="1110.3007236169419"/>
    <s v="B25 - 2,4 White BOPP / ACR / Glassine"/>
    <n v="60.24"/>
    <n v="5000"/>
  </r>
  <r>
    <n v="30027"/>
    <x v="1"/>
    <d v="2024-11-01T00:00:00"/>
    <s v="in"/>
    <s v="I"/>
    <n v="1"/>
    <m/>
    <s v="10039-11"/>
    <n v="1530"/>
    <s v="mm"/>
    <n v="6160"/>
    <s v="m"/>
    <n v="14608.439999999999"/>
    <n v="0.30720851418225592"/>
    <n v="0.30720851418225592"/>
    <n v="4487.837146920634"/>
    <n v="4487.837146920634"/>
    <s v="B25 - 2,4 White BOPP / ACR / Glassine"/>
    <n v="0"/>
    <n v="0"/>
  </r>
  <r>
    <n v="30027"/>
    <x v="1"/>
    <d v="2024-11-28T00:00:00"/>
    <s v="out"/>
    <s v="I"/>
    <n v="-1"/>
    <s v="LE-2024185"/>
    <s v="10039-11"/>
    <n v="1530"/>
    <s v="mm"/>
    <n v="6160"/>
    <s v="m"/>
    <n v="-14608.439999999999"/>
    <n v="0.30720851418225592"/>
    <n v="0.30720851418225592"/>
    <n v="-4487.837146920634"/>
    <n v="-4487.837146920634"/>
    <s v="B25 - 2,4 White BOPP / ACR / Glassine"/>
    <n v="0"/>
    <n v="0"/>
  </r>
  <r>
    <n v="30027"/>
    <x v="1"/>
    <d v="2024-11-28T00:00:00"/>
    <s v="in"/>
    <s v="I"/>
    <n v="1"/>
    <s v="LE-2024185"/>
    <s v="LE-2024185-07"/>
    <n v="60.235999999999997"/>
    <s v="po"/>
    <n v="10000"/>
    <s v="pi"/>
    <n v="7228.32"/>
    <n v="0.30720851418225592"/>
    <n v="0.30720851418225592"/>
    <n v="2220.6014472338838"/>
    <n v="2220.6014472338838"/>
    <s v="B25 - 2,4 White BOPP / ACR / Glassine"/>
    <n v="0"/>
    <n v="0"/>
  </r>
  <r>
    <n v="30027"/>
    <x v="1"/>
    <d v="2024-11-28T00:00:00"/>
    <s v="out"/>
    <s v="I"/>
    <n v="-1"/>
    <s v="LE-2024181"/>
    <s v="LE-2024185-07"/>
    <n v="60.235999999999997"/>
    <s v="po"/>
    <n v="10000"/>
    <s v="pi"/>
    <n v="-7228.32"/>
    <n v="0.30720851418225592"/>
    <n v="0.30720851418225592"/>
    <n v="-2220.6014472338838"/>
    <n v="-2220.6014472338838"/>
    <s v="B25 - 2,4 White BOPP / ACR / Glassine"/>
    <n v="0"/>
    <n v="0"/>
  </r>
  <r>
    <n v="30027"/>
    <x v="1"/>
    <d v="2024-11-01T00:00:00"/>
    <s v="in"/>
    <s v="I"/>
    <n v="1"/>
    <m/>
    <s v="10039-12"/>
    <n v="1530"/>
    <s v="mm"/>
    <n v="6070"/>
    <s v="m"/>
    <n v="14395.005000000001"/>
    <n v="0.30720851418225592"/>
    <n v="0.30720851418225592"/>
    <n v="4422.2680976961456"/>
    <n v="4422.2680976961456"/>
    <s v="B25 - 2,4 White BOPP / ACR / Glassine"/>
    <n v="0"/>
    <n v="0"/>
  </r>
  <r>
    <n v="30027"/>
    <x v="1"/>
    <d v="2024-11-27T00:00:00"/>
    <s v="out"/>
    <s v="I"/>
    <n v="-1"/>
    <s v="LE-2024179"/>
    <s v="10039-12"/>
    <n v="1530"/>
    <s v="mm"/>
    <n v="6070"/>
    <s v="m"/>
    <n v="-14395.005000000001"/>
    <n v="0.30720851418225592"/>
    <n v="0.30720851418225592"/>
    <n v="-4422.2680976961456"/>
    <n v="-4422.2680976961456"/>
    <s v="B25 - 2,4 White BOPP / ACR / Glassine"/>
    <n v="0"/>
    <n v="0"/>
  </r>
  <r>
    <n v="30027"/>
    <x v="1"/>
    <d v="2024-11-01T00:00:00"/>
    <s v="in"/>
    <s v="I"/>
    <n v="1"/>
    <m/>
    <s v="10039-13"/>
    <n v="1530"/>
    <s v="mm"/>
    <n v="6050"/>
    <s v="m"/>
    <n v="14347.575000000001"/>
    <n v="0.30720851418225592"/>
    <n v="0.30720851418225592"/>
    <n v="4407.6971978684805"/>
    <n v="4407.6971978684805"/>
    <s v="B25 - 2,4 White BOPP / ACR / Glassine"/>
    <n v="0"/>
    <n v="0"/>
  </r>
  <r>
    <n v="30027"/>
    <x v="1"/>
    <d v="2024-11-01T00:00:00"/>
    <s v="out"/>
    <s v="I"/>
    <n v="-1"/>
    <s v="LE-2024149"/>
    <s v="10039-13"/>
    <n v="1530"/>
    <s v="mm"/>
    <n v="6050"/>
    <s v="m"/>
    <n v="-14347.575000000001"/>
    <n v="0.30720851418225592"/>
    <n v="0.30720851418225592"/>
    <n v="-4407.6971978684805"/>
    <n v="-4407.6971978684805"/>
    <s v="B25 - 2,4 White BOPP / ACR / Glassine"/>
    <n v="0"/>
    <n v="0"/>
  </r>
  <r>
    <n v="30027"/>
    <x v="1"/>
    <d v="2024-11-01T00:00:00"/>
    <s v="in"/>
    <s v="I"/>
    <n v="1"/>
    <s v="LE-2024149"/>
    <s v="LE-2024149-18"/>
    <n v="60.235999999999997"/>
    <s v="po"/>
    <n v="9800"/>
    <s v="pi"/>
    <n v="7083.7536"/>
    <n v="0.30720851418225592"/>
    <n v="0.30720851418225592"/>
    <n v="2176.1894182892065"/>
    <n v="2176.1894182892065"/>
    <s v="B25 - 2,4 White BOPP / ACR / Glassine"/>
    <n v="0"/>
    <n v="0"/>
  </r>
  <r>
    <n v="30027"/>
    <x v="1"/>
    <d v="2024-11-04T00:00:00"/>
    <s v="out"/>
    <s v="I"/>
    <n v="-1"/>
    <s v="LE-2024151"/>
    <s v="LE-2024149-18"/>
    <n v="60.235999999999997"/>
    <s v="po"/>
    <n v="9800"/>
    <s v="pi"/>
    <n v="-7083.7536"/>
    <n v="0.30720851418225592"/>
    <n v="0.30720851418225592"/>
    <n v="-2176.1894182892065"/>
    <n v="-2176.1894182892065"/>
    <s v="B25 - 2,4 White BOPP / ACR / Glassine"/>
    <n v="0"/>
    <n v="0"/>
  </r>
  <r>
    <n v="30027"/>
    <x v="1"/>
    <d v="2024-11-04T00:00:00"/>
    <s v="in"/>
    <s v="I"/>
    <n v="1"/>
    <s v="LE-2024151"/>
    <s v="LE-2024151-08"/>
    <n v="60.235999999999997"/>
    <s v="po"/>
    <n v="4800"/>
    <s v="pi"/>
    <n v="3469.5936000000002"/>
    <n v="0.30720851418225592"/>
    <n v="0.30720851418225592"/>
    <n v="1065.8886946722644"/>
    <n v="1065.8886946722644"/>
    <s v="B25 - 2,4 White BOPP / ACR / Glassine"/>
    <n v="0"/>
    <n v="0"/>
  </r>
  <r>
    <n v="30027"/>
    <x v="1"/>
    <d v="2024-11-04T00:00:00"/>
    <s v="out"/>
    <s v="I"/>
    <n v="-1"/>
    <s v="LE-2024155"/>
    <s v="LE-2024151-08"/>
    <n v="60.235999999999997"/>
    <s v="po"/>
    <n v="4800"/>
    <s v="pi"/>
    <n v="-3469.5936000000002"/>
    <n v="0.30720851418225592"/>
    <n v="0.30720851418225592"/>
    <n v="-1065.8886946722644"/>
    <n v="-1065.8886946722644"/>
    <s v="B25 - 2,4 White BOPP / ACR / Glassine"/>
    <n v="0"/>
    <n v="0"/>
  </r>
  <r>
    <n v="30027"/>
    <x v="1"/>
    <d v="2024-11-04T00:00:00"/>
    <s v="in"/>
    <s v="A"/>
    <n v="1"/>
    <s v="LE-2024155"/>
    <s v="LE-2024155-02"/>
    <n v="47"/>
    <s v="po"/>
    <n v="2000"/>
    <s v="pi"/>
    <n v="1128"/>
    <n v="0.30720851418225592"/>
    <n v="0.30720851418225592"/>
    <n v="346.53120399758467"/>
    <n v="346.53120399758467"/>
    <s v="B25 - 2,4 White BOPP / ACR / Glassine"/>
    <n v="47"/>
    <n v="2000"/>
  </r>
  <r>
    <n v="30027"/>
    <x v="1"/>
    <d v="2024-11-04T00:00:00"/>
    <s v="in"/>
    <s v="A"/>
    <n v="1"/>
    <s v="LE-2024155"/>
    <s v="LE-2024155-03"/>
    <n v="60.235999999999997"/>
    <s v="po"/>
    <n v="2750"/>
    <s v="pi"/>
    <n v="1987.788"/>
    <n v="0.30720851418225592"/>
    <n v="0.30720851418225592"/>
    <n v="610.66539798931808"/>
    <n v="610.66539798931808"/>
    <s v="B25 - 2,4 White BOPP / ACR / Glassine"/>
    <n v="60.24"/>
    <n v="2750"/>
  </r>
  <r>
    <n v="30027"/>
    <x v="1"/>
    <d v="2024-11-01T00:00:00"/>
    <s v="in"/>
    <s v="I"/>
    <n v="1"/>
    <m/>
    <s v="10039-14"/>
    <n v="1530"/>
    <s v="mm"/>
    <n v="6050"/>
    <s v="m"/>
    <n v="14347.575000000001"/>
    <n v="0.30720851418225592"/>
    <n v="0.30720851418225592"/>
    <n v="4407.6971978684805"/>
    <n v="4407.6971978684805"/>
    <s v="B25 - 2,4 White BOPP / ACR / Glassine"/>
    <n v="0"/>
    <n v="0"/>
  </r>
  <r>
    <n v="30027"/>
    <x v="1"/>
    <d v="2024-11-01T00:00:00"/>
    <s v="out"/>
    <s v="I"/>
    <n v="-1"/>
    <s v="LE-2024156"/>
    <s v="10039-14"/>
    <n v="1530"/>
    <s v="mm"/>
    <n v="6050"/>
    <s v="m"/>
    <n v="-14347.575000000001"/>
    <n v="0.30720851418225592"/>
    <n v="0.30720851418225592"/>
    <n v="-4407.6971978684805"/>
    <n v="-4407.6971978684805"/>
    <s v="B25 - 2,4 White BOPP / ACR / Glassine"/>
    <n v="0"/>
    <n v="0"/>
  </r>
  <r>
    <n v="30027"/>
    <x v="1"/>
    <d v="2024-11-01T00:00:00"/>
    <s v="in"/>
    <s v="I"/>
    <n v="1"/>
    <s v="LE-2024156"/>
    <s v="LE-2024156-19"/>
    <n v="60.235999999999997"/>
    <s v="po"/>
    <n v="4900"/>
    <s v="pi"/>
    <n v="3541.8768"/>
    <n v="0.30720851418225592"/>
    <n v="0.30720851418225592"/>
    <n v="1088.0947091446033"/>
    <n v="1088.0947091446033"/>
    <s v="B25 - 2,4 White BOPP / ACR / Glassine"/>
    <n v="0"/>
    <n v="0"/>
  </r>
  <r>
    <n v="30027"/>
    <x v="1"/>
    <d v="2024-11-01T00:00:00"/>
    <s v="out"/>
    <s v="I"/>
    <n v="-1"/>
    <s v="LE-2024149"/>
    <s v="LE-2024156-19"/>
    <n v="60.235999999999997"/>
    <s v="po"/>
    <n v="4900"/>
    <s v="pi"/>
    <n v="-3541.8768"/>
    <n v="0.30720851418225592"/>
    <n v="0.30720851418225592"/>
    <n v="-1088.0947091446033"/>
    <n v="-1088.0947091446033"/>
    <s v="B25 - 2,4 White BOPP / ACR / Glassine"/>
    <n v="0"/>
    <n v="0"/>
  </r>
  <r>
    <n v="30029"/>
    <x v="15"/>
    <d v="2024-11-01T00:00:00"/>
    <s v="in"/>
    <s v="A"/>
    <n v="1"/>
    <m/>
    <s v="10039-15"/>
    <n v="1530"/>
    <s v="mm"/>
    <n v="3600"/>
    <s v="m"/>
    <n v="8537.4"/>
    <n v="0.28523593353709464"/>
    <n v="0.28523593353709464"/>
    <n v="2435.1732589795915"/>
    <n v="2435.1732589795915"/>
    <s v="D11 - TC DT / HM / Glassine (Supermarket)"/>
    <n v="60.24"/>
    <n v="11811"/>
  </r>
  <r>
    <n v="30029"/>
    <x v="15"/>
    <d v="2024-11-01T00:00:00"/>
    <s v="in"/>
    <s v="A"/>
    <n v="1"/>
    <m/>
    <s v="10039-16"/>
    <n v="1530"/>
    <s v="mm"/>
    <n v="5950"/>
    <s v="m"/>
    <n v="14110.425000000001"/>
    <n v="0.28523593353709464"/>
    <n v="0.28523593353709464"/>
    <n v="4024.8002474801592"/>
    <n v="4024.8002474801592"/>
    <s v="D11 - TC DT / HM / Glassine (Supermarket)"/>
    <n v="60.24"/>
    <n v="19521"/>
  </r>
  <r>
    <n v="30029"/>
    <x v="15"/>
    <d v="2024-11-01T00:00:00"/>
    <s v="in"/>
    <s v="I"/>
    <n v="1"/>
    <m/>
    <s v="10039-17"/>
    <n v="1530"/>
    <s v="mm"/>
    <n v="5970"/>
    <s v="m"/>
    <n v="14157.855000000001"/>
    <n v="0.28523593353709464"/>
    <n v="0.28523593353709464"/>
    <n v="4038.3289878078235"/>
    <n v="4038.3289878078235"/>
    <s v="D11 - TC DT / HM / Glassine (Supermarket)"/>
    <n v="0"/>
    <n v="0"/>
  </r>
  <r>
    <n v="30029"/>
    <x v="15"/>
    <d v="2024-12-02T00:00:00"/>
    <s v="out"/>
    <s v="I"/>
    <n v="-1"/>
    <s v="LE-2024191"/>
    <s v="10039-17"/>
    <n v="1530"/>
    <s v="mm"/>
    <n v="5970"/>
    <s v="m"/>
    <n v="-14157.855000000001"/>
    <n v="0.28523593353709464"/>
    <n v="0.28523593353709464"/>
    <n v="-4038.3289878078235"/>
    <n v="-4038.3289878078235"/>
    <s v="D11 - TC DT / HM / Glassine (Supermarket)"/>
    <n v="0"/>
    <n v="0"/>
  </r>
  <r>
    <n v="30029"/>
    <x v="15"/>
    <d v="2024-12-02T00:00:00"/>
    <s v="in"/>
    <s v="A"/>
    <n v="1"/>
    <s v="LE-2024191"/>
    <s v="LE-2024191-01"/>
    <n v="7.5"/>
    <s v="po"/>
    <n v="4800"/>
    <s v="pi"/>
    <n v="432"/>
    <n v="0.28523593353709464"/>
    <n v="0.28523593353709464"/>
    <n v="123.22192328802488"/>
    <n v="123.22192328802488"/>
    <s v="D11 - TC DT / HM / Glassine (Supermarket)"/>
    <n v="7.5"/>
    <n v="4800"/>
  </r>
  <r>
    <n v="30029"/>
    <x v="15"/>
    <d v="2024-12-02T00:00:00"/>
    <s v="in"/>
    <s v="A"/>
    <n v="1"/>
    <s v="LE-2024191"/>
    <s v="LE-2024191-02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A"/>
    <n v="1"/>
    <s v="LE-2024191"/>
    <s v="LE-2024191-03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A"/>
    <n v="1"/>
    <s v="LE-2024191"/>
    <s v="LE-2024191-04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A"/>
    <n v="1"/>
    <s v="LE-2024191"/>
    <s v="LE-2024191-05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A"/>
    <n v="1"/>
    <s v="LE-2024191"/>
    <s v="LE-2024191-06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A"/>
    <n v="1"/>
    <s v="LE-2024191"/>
    <s v="LE-2024191-07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I"/>
    <n v="1"/>
    <s v="LE-2024191"/>
    <s v="LE-2024191-08"/>
    <n v="24.4"/>
    <s v="po"/>
    <n v="4800"/>
    <s v="pi"/>
    <n v="1405.4399999999998"/>
    <n v="0.28523593353709464"/>
    <n v="0.28523593353709464"/>
    <n v="400.88199043037423"/>
    <n v="400.88199043037423"/>
    <s v="D11 - TC DT / HM / Glassine (Supermarket)"/>
    <n v="0"/>
    <n v="0"/>
  </r>
  <r>
    <n v="30029"/>
    <x v="15"/>
    <d v="2024-12-02T00:00:00"/>
    <s v="out"/>
    <s v="I"/>
    <n v="-1"/>
    <s v="LE-2024191"/>
    <s v="LE-2024191-08"/>
    <n v="24.4"/>
    <s v="po"/>
    <n v="4800"/>
    <s v="pi"/>
    <n v="-1405.4399999999998"/>
    <n v="0.28523593353709464"/>
    <n v="0.28523593353709464"/>
    <n v="-400.88199043037423"/>
    <n v="-400.88199043037423"/>
    <s v="D11 - TC DT / HM / Glassine (Supermarket)"/>
    <n v="0"/>
    <n v="0"/>
  </r>
  <r>
    <n v="30029"/>
    <x v="15"/>
    <d v="2024-12-02T00:00:00"/>
    <s v="in"/>
    <s v="A"/>
    <n v="1"/>
    <s v="LE-2024191"/>
    <s v="LE-2024191-10"/>
    <n v="8.75"/>
    <s v="po"/>
    <n v="4500"/>
    <s v="pi"/>
    <n v="472.5"/>
    <n v="0.28523593353709464"/>
    <n v="0.28523593353709464"/>
    <n v="134.77397859627723"/>
    <n v="134.77397859627723"/>
    <s v="D11 - TC DT / HM / Glassine (Supermarket)"/>
    <n v="8.75"/>
    <n v="4500"/>
  </r>
  <r>
    <n v="30029"/>
    <x v="15"/>
    <d v="2024-12-02T00:00:00"/>
    <s v="in"/>
    <s v="A"/>
    <n v="1"/>
    <s v="LE-2024191"/>
    <s v="LE-2024191-12"/>
    <n v="8.75"/>
    <s v="po"/>
    <n v="4800"/>
    <s v="pi"/>
    <n v="504"/>
    <n v="0.28523593353709464"/>
    <n v="0.28523593353709464"/>
    <n v="143.7589105026957"/>
    <n v="143.7589105026957"/>
    <s v="D11 - TC DT / HM / Glassine (Supermarket)"/>
    <n v="8.75"/>
    <n v="4800"/>
  </r>
  <r>
    <n v="30029"/>
    <x v="15"/>
    <d v="2024-12-02T00:00:00"/>
    <s v="in"/>
    <s v="I"/>
    <n v="1"/>
    <s v="LE-2024191"/>
    <s v="LE-2024191-14"/>
    <n v="17.125"/>
    <s v="po"/>
    <n v="4800"/>
    <s v="pi"/>
    <n v="986.4"/>
    <n v="0.28523593353709464"/>
    <n v="0.28523593353709464"/>
    <n v="281.35672484099013"/>
    <n v="281.35672484099013"/>
    <s v="D11 - TC DT / HM / Glassine (Supermarket)"/>
    <n v="0"/>
    <n v="0"/>
  </r>
  <r>
    <n v="30029"/>
    <x v="15"/>
    <d v="2024-12-19T00:00:00"/>
    <s v="out"/>
    <s v="I"/>
    <n v="-1"/>
    <s v="LE-2024206"/>
    <s v="LE-2024191-14"/>
    <n v="17.125"/>
    <s v="po"/>
    <n v="4800"/>
    <s v="pi"/>
    <n v="-986.4"/>
    <n v="0.28523593353709464"/>
    <n v="0.28523593353709464"/>
    <n v="-281.35672484099013"/>
    <n v="-281.35672484099013"/>
    <s v="D11 - TC DT / HM / Glassine (Supermarket)"/>
    <n v="0"/>
    <n v="0"/>
  </r>
  <r>
    <n v="30029"/>
    <x v="15"/>
    <d v="2024-12-02T00:00:00"/>
    <s v="in"/>
    <s v="A"/>
    <n v="1"/>
    <s v="LE-2024191"/>
    <s v="LE-2024191-15"/>
    <n v="7.2750000000000004"/>
    <s v="po"/>
    <n v="4800"/>
    <s v="pi"/>
    <n v="419.04000000000008"/>
    <n v="0.28523593353709464"/>
    <n v="0.28523593353709464"/>
    <n v="119.52526558938416"/>
    <n v="119.52526558938416"/>
    <s v="D11 - TC DT / HM / Glassine (Supermarket)"/>
    <n v="7.28"/>
    <n v="4800"/>
  </r>
  <r>
    <n v="30029"/>
    <x v="15"/>
    <d v="2024-12-02T00:00:00"/>
    <s v="in"/>
    <s v="I"/>
    <n v="1"/>
    <s v="LE-2024191"/>
    <s v="LE-2024191-09"/>
    <n v="10"/>
    <s v="po"/>
    <n v="4800"/>
    <s v="pi"/>
    <n v="576"/>
    <n v="0.28523593353709464"/>
    <n v="0.28523593353709464"/>
    <n v="164.29589771736653"/>
    <n v="164.29589771736653"/>
    <s v="D11 - TC DT / HM / Glassine (Supermarket)"/>
    <n v="0"/>
    <n v="0"/>
  </r>
  <r>
    <n v="30029"/>
    <x v="15"/>
    <d v="2024-12-03T00:00:00"/>
    <s v="out"/>
    <s v="I"/>
    <n v="-1"/>
    <s v="LE-2024187"/>
    <s v="LE-2024191-09"/>
    <n v="10"/>
    <s v="po"/>
    <n v="4800"/>
    <s v="pi"/>
    <n v="-576"/>
    <n v="0.28523593353709464"/>
    <n v="0.28523593353709464"/>
    <n v="-164.29589771736653"/>
    <n v="-164.29589771736653"/>
    <s v="D11 - TC DT / HM / Glassine (Supermarket)"/>
    <n v="0"/>
    <n v="0"/>
  </r>
  <r>
    <n v="30029"/>
    <x v="15"/>
    <d v="2024-12-02T00:00:00"/>
    <s v="in"/>
    <s v="A"/>
    <n v="1"/>
    <s v="LE-2024191"/>
    <s v="LE-2024191-13"/>
    <n v="60.235999999999997"/>
    <s v="po"/>
    <n v="9850"/>
    <s v="pi"/>
    <n v="7119.8951999999999"/>
    <n v="0.28523593353709464"/>
    <n v="0.28523593353709464"/>
    <n v="2030.8499540582791"/>
    <n v="2030.8499540582791"/>
    <s v="D11 - TC DT / HM / Glassine (Supermarket)"/>
    <n v="60.24"/>
    <n v="9850"/>
  </r>
  <r>
    <n v="30029"/>
    <x v="15"/>
    <d v="2024-11-01T00:00:00"/>
    <s v="in"/>
    <s v="A"/>
    <n v="1"/>
    <m/>
    <s v="10039-18"/>
    <n v="1530"/>
    <s v="mm"/>
    <n v="5980"/>
    <s v="m"/>
    <n v="14181.57"/>
    <n v="0.28523593353709464"/>
    <n v="0.28523593353709464"/>
    <n v="4045.0933579716552"/>
    <n v="4045.0933579716552"/>
    <s v="D11 - TC DT / HM / Glassine (Supermarket)"/>
    <n v="60.24"/>
    <n v="19619"/>
  </r>
  <r>
    <n v="30036"/>
    <x v="6"/>
    <d v="2024-12-20T00:00:00"/>
    <s v="in"/>
    <s v="A"/>
    <n v="1"/>
    <m/>
    <s v="10045-1"/>
    <n v="1530"/>
    <s v="mm"/>
    <n v="6000"/>
    <s v="m"/>
    <n v="14229"/>
    <n v="0.2215748387096774"/>
    <n v="0.2215748387096774"/>
    <n v="3152.7883799999995"/>
    <n v="3152.7883799999995"/>
    <s v="D11 - TC DT / HM / Glassine (Supermarket)"/>
    <n v="60.24"/>
    <n v="19685"/>
  </r>
  <r>
    <n v="30036"/>
    <x v="6"/>
    <d v="2024-12-20T00:00:00"/>
    <s v="in"/>
    <s v="A"/>
    <n v="1"/>
    <m/>
    <s v="10045-2"/>
    <n v="1530"/>
    <s v="mm"/>
    <n v="5990"/>
    <s v="m"/>
    <n v="14205.285000000002"/>
    <n v="0.2215748387096774"/>
    <n v="0.2215748387096774"/>
    <n v="3147.5337327000002"/>
    <n v="3147.5337327000002"/>
    <s v="D11 - TC DT / HM / Glassine (Supermarket)"/>
    <n v="60.24"/>
    <n v="19652"/>
  </r>
  <r>
    <n v="30036"/>
    <x v="6"/>
    <d v="2024-12-20T00:00:00"/>
    <s v="in"/>
    <s v="A"/>
    <n v="1"/>
    <m/>
    <s v="10045-3"/>
    <n v="1530"/>
    <s v="mm"/>
    <n v="6050"/>
    <s v="m"/>
    <n v="14347.575000000001"/>
    <n v="0.2215748387096774"/>
    <n v="0.2215748387096774"/>
    <n v="3179.0616164999997"/>
    <n v="3179.0616164999997"/>
    <s v="D11 - TC DT / HM / Glassine (Supermarket)"/>
    <n v="60.24"/>
    <n v="19849"/>
  </r>
  <r>
    <n v="30036"/>
    <x v="6"/>
    <d v="2024-12-20T00:00:00"/>
    <s v="in"/>
    <s v="A"/>
    <n v="1"/>
    <m/>
    <s v="10045-4"/>
    <n v="1530"/>
    <s v="mm"/>
    <n v="5740"/>
    <s v="m"/>
    <n v="13612.410000000002"/>
    <n v="0.2215748387096774"/>
    <n v="0.2215748387096774"/>
    <n v="3016.1675502000003"/>
    <n v="3016.1675502000003"/>
    <s v="D11 - TC DT / HM / Glassine (Supermarket)"/>
    <n v="60.24"/>
    <n v="18832"/>
  </r>
  <r>
    <n v="30036"/>
    <x v="6"/>
    <d v="2024-12-20T00:00:00"/>
    <s v="in"/>
    <s v="A"/>
    <n v="1"/>
    <m/>
    <s v="10045-5"/>
    <n v="1530"/>
    <s v="mm"/>
    <n v="6020"/>
    <s v="m"/>
    <n v="14276.43"/>
    <n v="0.2215748387096774"/>
    <n v="0.2215748387096774"/>
    <n v="3163.2976745999999"/>
    <n v="3163.2976745999999"/>
    <s v="D11 - TC DT / HM / Glassine (Supermarket)"/>
    <n v="60.24"/>
    <n v="19751"/>
  </r>
  <r>
    <n v="30037"/>
    <x v="16"/>
    <d v="2024-12-20T00:00:00"/>
    <s v="in"/>
    <s v="A"/>
    <n v="1"/>
    <m/>
    <s v="10045-6"/>
    <n v="1520"/>
    <s v="mm"/>
    <n v="6000"/>
    <s v="m"/>
    <n v="14136"/>
    <n v="0.43862774193548382"/>
    <n v="0.43862774193548382"/>
    <n v="6200.4417599999988"/>
    <n v="6200.4417599999988"/>
    <s v="D11 - TC DT / HM / Glassine (Supermarket)"/>
    <n v="59.84"/>
    <n v="19685"/>
  </r>
  <r>
    <n v="30038"/>
    <x v="0"/>
    <d v="2024-12-20T00:00:00"/>
    <s v="in"/>
    <s v="A"/>
    <n v="1"/>
    <m/>
    <s v="10045-7"/>
    <n v="1530"/>
    <s v="mm"/>
    <n v="5930"/>
    <s v="m"/>
    <n v="14062.994999999999"/>
    <n v="0.2532283870967742"/>
    <n v="0.2532283870967742"/>
    <n v="3561.1495415999998"/>
    <n v="3561.1495415999998"/>
    <s v="D11 - TC DT / HM / Glassine (Supermarket)"/>
    <n v="60.24"/>
    <n v="19455"/>
  </r>
  <r>
    <n v="30038"/>
    <x v="0"/>
    <d v="2024-12-20T00:00:00"/>
    <s v="in"/>
    <s v="A"/>
    <n v="1"/>
    <m/>
    <s v="10045-8"/>
    <n v="1530"/>
    <s v="mm"/>
    <n v="6000"/>
    <s v="m"/>
    <n v="14229"/>
    <n v="0.2532283870967742"/>
    <n v="0.2532283870967742"/>
    <n v="3603.1867200000002"/>
    <n v="3603.1867200000002"/>
    <s v="D11 - TC DT / HM / Glassine (Supermarket)"/>
    <n v="60.24"/>
    <n v="19685"/>
  </r>
  <r>
    <n v="30039"/>
    <x v="1"/>
    <d v="2024-12-20T00:00:00"/>
    <s v="in"/>
    <s v="A"/>
    <n v="1"/>
    <m/>
    <s v="10045-9"/>
    <n v="1530"/>
    <s v="mm"/>
    <n v="6000"/>
    <s v="m"/>
    <n v="14229"/>
    <n v="0.2532283870967742"/>
    <n v="0.2532283870967742"/>
    <n v="3603.1867200000002"/>
    <n v="3603.1867200000002"/>
    <s v="D11 - TC DT / HM / Glassine (Supermarket)"/>
    <n v="60.24"/>
    <n v="19685"/>
  </r>
  <r>
    <n v="30039"/>
    <x v="1"/>
    <d v="2024-12-20T00:00:00"/>
    <s v="in"/>
    <s v="A"/>
    <n v="1"/>
    <m/>
    <s v="10045-10"/>
    <n v="1530"/>
    <s v="mm"/>
    <n v="6000"/>
    <s v="m"/>
    <n v="14229"/>
    <n v="0.2532283870967742"/>
    <n v="0.2532283870967742"/>
    <n v="3603.1867200000002"/>
    <n v="3603.1867200000002"/>
    <s v="D11 - TC DT / HM / Glassine (Supermarket)"/>
    <n v="60.24"/>
    <n v="19685"/>
  </r>
  <r>
    <n v="30039"/>
    <x v="1"/>
    <d v="2024-12-20T00:00:00"/>
    <s v="in"/>
    <s v="A"/>
    <n v="1"/>
    <m/>
    <s v="10045-11"/>
    <n v="1530"/>
    <s v="mm"/>
    <n v="6000"/>
    <s v="m"/>
    <n v="14229"/>
    <n v="0.2532283870967742"/>
    <n v="0.2532283870967742"/>
    <n v="3603.1867200000002"/>
    <n v="3603.1867200000002"/>
    <s v="D11 - TC DT / HM / Glassine (Supermarket)"/>
    <n v="60.24"/>
    <n v="19685"/>
  </r>
  <r>
    <n v="30039"/>
    <x v="1"/>
    <d v="2024-12-20T00:00:00"/>
    <s v="in"/>
    <s v="A"/>
    <n v="1"/>
    <m/>
    <s v="10045-12"/>
    <n v="1530"/>
    <s v="mm"/>
    <n v="6000"/>
    <s v="m"/>
    <n v="14229"/>
    <n v="0.2532283870967742"/>
    <n v="0.2532283870967742"/>
    <n v="3603.1867200000002"/>
    <n v="3603.1867200000002"/>
    <s v="D11 - TC DT / HM / Glassine (Supermarket)"/>
    <n v="60.24"/>
    <n v="19685"/>
  </r>
  <r>
    <n v="30039"/>
    <x v="1"/>
    <d v="2024-12-20T00:00:00"/>
    <s v="in"/>
    <s v="A"/>
    <n v="1"/>
    <m/>
    <s v="10045-13"/>
    <n v="1530"/>
    <s v="mm"/>
    <n v="6080"/>
    <s v="m"/>
    <n v="14418.72"/>
    <n v="0.2532283870967742"/>
    <n v="0.2532283870967742"/>
    <n v="3651.2292096000001"/>
    <n v="3651.2292096000001"/>
    <s v="D11 - TC DT / HM / Glassine (Supermarket)"/>
    <n v="60.24"/>
    <n v="19948"/>
  </r>
  <r>
    <n v="30039"/>
    <x v="1"/>
    <d v="2024-12-20T00:00:00"/>
    <s v="in"/>
    <s v="A"/>
    <n v="1"/>
    <m/>
    <s v="10045-14"/>
    <n v="1530"/>
    <s v="mm"/>
    <n v="6080"/>
    <s v="m"/>
    <n v="14418.72"/>
    <n v="0.2532283870967742"/>
    <n v="0.2532283870967742"/>
    <n v="3651.2292096000001"/>
    <n v="3651.2292096000001"/>
    <s v="D11 - TC DT / HM / Glassine (Supermarket)"/>
    <n v="60.24"/>
    <n v="19948"/>
  </r>
  <r>
    <n v="30039"/>
    <x v="1"/>
    <d v="2024-12-20T00:00:00"/>
    <s v="in"/>
    <s v="A"/>
    <n v="1"/>
    <m/>
    <s v="10045-15"/>
    <n v="1530"/>
    <s v="mm"/>
    <n v="5980"/>
    <s v="m"/>
    <n v="14181.57"/>
    <n v="0.2532283870967742"/>
    <n v="0.2532283870967742"/>
    <n v="3591.1760976"/>
    <n v="3591.1760976"/>
    <s v="D11 - TC DT / HM / Glassine (Supermarket)"/>
    <n v="60.24"/>
    <n v="19619"/>
  </r>
  <r>
    <n v="30039"/>
    <x v="1"/>
    <d v="2024-12-20T00:00:00"/>
    <s v="in"/>
    <s v="A"/>
    <n v="1"/>
    <m/>
    <s v="10045-16"/>
    <n v="1530"/>
    <s v="mm"/>
    <n v="6050"/>
    <s v="m"/>
    <n v="14347.575000000001"/>
    <n v="0.2532283870967742"/>
    <n v="0.2532283870967742"/>
    <n v="3633.2132760000004"/>
    <n v="3633.2132760000004"/>
    <s v="D11 - TC DT / HM / Glassine (Supermarket)"/>
    <n v="60.24"/>
    <n v="19849"/>
  </r>
  <r>
    <n v="30039"/>
    <x v="1"/>
    <d v="2024-12-20T00:00:00"/>
    <s v="in"/>
    <s v="A"/>
    <n v="1"/>
    <m/>
    <s v="10045-17"/>
    <n v="1530"/>
    <s v="mm"/>
    <n v="5730"/>
    <s v="m"/>
    <n v="13588.695"/>
    <n v="0.2532283870967742"/>
    <n v="0.2532283870967742"/>
    <n v="3441.0433176000001"/>
    <n v="3441.0433176000001"/>
    <s v="D11 - TC DT / HM / Glassine (Supermarket)"/>
    <n v="60.24"/>
    <n v="18799"/>
  </r>
  <r>
    <n v="30039"/>
    <x v="1"/>
    <d v="2024-12-20T00:00:00"/>
    <s v="in"/>
    <s v="A"/>
    <n v="1"/>
    <m/>
    <s v="10045-18"/>
    <n v="1530"/>
    <s v="mm"/>
    <n v="6060"/>
    <s v="m"/>
    <n v="14371.289999999999"/>
    <n v="0.2532283870967742"/>
    <n v="0.2532283870967742"/>
    <n v="3639.2185872"/>
    <n v="3639.2185872"/>
    <s v="D11 - TC DT / HM / Glassine (Supermarket)"/>
    <n v="60.24"/>
    <n v="198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300002"/>
    <d v="2024-03-04T00:00:00"/>
    <s v="Polyrol"/>
    <s v="16.75x3"/>
    <m/>
    <n v="4.32"/>
    <s v="EA"/>
    <s v="CAD"/>
    <n v="220"/>
    <n v="950.40000000000009"/>
    <n v="1"/>
    <n v="950.40000000000009"/>
    <x v="0"/>
  </r>
  <r>
    <n v="300002"/>
    <d v="2024-05-31T00:00:00"/>
    <s v="Polyrol"/>
    <s v="16.75x3"/>
    <m/>
    <n v="4.32"/>
    <s v="EA"/>
    <s v="CAD"/>
    <n v="-65"/>
    <n v="-280.8"/>
    <n v="1"/>
    <n v="-280.8"/>
    <x v="0"/>
  </r>
  <r>
    <n v="300002"/>
    <d v="2024-06-30T00:00:00"/>
    <s v="Polyrol"/>
    <s v="16.75x3"/>
    <m/>
    <n v="4.32"/>
    <s v="EA"/>
    <s v="CAD"/>
    <n v="-10"/>
    <n v="-43.2"/>
    <n v="1"/>
    <n v="-43.2"/>
    <x v="0"/>
  </r>
  <r>
    <n v="300002"/>
    <d v="2024-08-31T00:00:00"/>
    <s v="Polyrol"/>
    <s v="16.75x3"/>
    <m/>
    <n v="4.32"/>
    <s v="EA"/>
    <s v="CAD"/>
    <n v="-20"/>
    <n v="-86.4"/>
    <n v="1"/>
    <n v="-86.4"/>
    <x v="0"/>
  </r>
  <r>
    <n v="300002"/>
    <d v="2024-09-30T00:00:00"/>
    <s v="Polyrol"/>
    <s v="16.75x3"/>
    <m/>
    <n v="4.32"/>
    <s v="EA"/>
    <s v="CAD"/>
    <n v="-53"/>
    <n v="-228.96"/>
    <n v="1"/>
    <n v="-228.96"/>
    <x v="0"/>
  </r>
  <r>
    <n v="300002"/>
    <d v="2024-11-30T00:00:00"/>
    <s v="Polyrol"/>
    <s v="16.75x3"/>
    <m/>
    <n v="4.32"/>
    <s v="EA"/>
    <s v="CAD"/>
    <n v="-16"/>
    <n v="-69.12"/>
    <n v="1"/>
    <n v="-69.12"/>
    <x v="0"/>
  </r>
  <r>
    <n v="300005"/>
    <d v="2024-03-04T00:00:00"/>
    <s v="Polyrol"/>
    <s v="palette 46x46"/>
    <m/>
    <n v="31"/>
    <s v="EA"/>
    <s v="CAD"/>
    <n v="2"/>
    <n v="62"/>
    <n v="1"/>
    <n v="62"/>
    <x v="1"/>
  </r>
  <r>
    <n v="300005"/>
    <d v="2024-05-31T00:00:00"/>
    <s v="Polyrol"/>
    <s v="palette 46x46"/>
    <m/>
    <n v="31"/>
    <s v="EA"/>
    <s v="CAD"/>
    <n v="-1"/>
    <n v="-31"/>
    <n v="1"/>
    <n v="-31"/>
    <x v="1"/>
  </r>
  <r>
    <n v="300005"/>
    <d v="2024-11-07T00:00:00"/>
    <s v="Polyrol"/>
    <s v="palette 46x46"/>
    <m/>
    <n v="31"/>
    <s v="EA"/>
    <s v="CAD"/>
    <n v="-1"/>
    <n v="-31"/>
    <n v="1"/>
    <n v="-31"/>
    <x v="1"/>
  </r>
  <r>
    <n v="300006"/>
    <d v="2024-03-04T00:00:00"/>
    <s v="Polyrol"/>
    <s v="palette 92x46"/>
    <m/>
    <n v="60"/>
    <s v="EA"/>
    <s v="CAD"/>
    <n v="1"/>
    <n v="60"/>
    <n v="1"/>
    <n v="60"/>
    <x v="2"/>
  </r>
  <r>
    <n v="300006"/>
    <d v="2024-11-07T00:00:00"/>
    <s v="Polyrol"/>
    <s v="palette 92x46"/>
    <m/>
    <n v="60"/>
    <s v="EA"/>
    <s v="CAD"/>
    <n v="-1"/>
    <n v="-60"/>
    <n v="1"/>
    <n v="-60"/>
    <x v="2"/>
  </r>
  <r>
    <n v="300007"/>
    <d v="2024-09-10T00:00:00"/>
    <s v="Forest Palettes"/>
    <s v="48x40"/>
    <s v="Plus solides"/>
    <n v="19.2"/>
    <s v="EA"/>
    <s v="CAD"/>
    <n v="100"/>
    <n v="1920"/>
    <n v="1"/>
    <n v="1920"/>
    <x v="3"/>
  </r>
  <r>
    <n v="300007"/>
    <d v="2024-09-30T00:00:00"/>
    <s v="Forest Palettes"/>
    <s v="48x40"/>
    <s v="Plus solides"/>
    <n v="19.2"/>
    <s v="EA"/>
    <s v="CAD"/>
    <n v="-29"/>
    <n v="-556.79999999999995"/>
    <n v="1"/>
    <n v="-556.79999999999995"/>
    <x v="3"/>
  </r>
  <r>
    <n v="300007"/>
    <d v="2024-11-30T00:00:00"/>
    <s v="Forest Palettes"/>
    <s v="48x40"/>
    <s v="Plus solides"/>
    <n v="19.2"/>
    <s v="EA"/>
    <s v="CAD"/>
    <n v="-71"/>
    <n v="-1363.2"/>
    <n v="1"/>
    <n v="-1363.2"/>
    <x v="3"/>
  </r>
  <r>
    <n v="300007"/>
    <d v="2024-11-19T00:00:00"/>
    <s v="Forest Palettes"/>
    <s v="48x40"/>
    <s v="Plus solides"/>
    <n v="21.7"/>
    <s v="EA"/>
    <s v="CAD"/>
    <n v="100"/>
    <n v="2170"/>
    <n v="1"/>
    <n v="2170"/>
    <x v="3"/>
  </r>
  <r>
    <n v="300007"/>
    <d v="2024-11-30T00:00:00"/>
    <s v="Forest Palettes"/>
    <s v="48x40"/>
    <s v="Plus solides"/>
    <n v="21.7"/>
    <s v="EA"/>
    <s v="CAD"/>
    <n v="-11"/>
    <n v="-238.7"/>
    <n v="1"/>
    <n v="-238.7"/>
    <x v="3"/>
  </r>
  <r>
    <n v="300007"/>
    <d v="2024-12-31T00:00:00"/>
    <s v="Forest Palettes"/>
    <s v="48x40"/>
    <s v="Plus solides"/>
    <n v="21.7"/>
    <s v="EA"/>
    <s v="CAD"/>
    <n v="-30"/>
    <n v="-651"/>
    <n v="1"/>
    <n v="-651"/>
    <x v="3"/>
  </r>
  <r>
    <n v="300008"/>
    <d v="2024-07-01T00:00:00"/>
    <s v="Polyrol"/>
    <s v="60x3"/>
    <m/>
    <n v="10.85"/>
    <s v="EA"/>
    <s v="CAD"/>
    <n v="175"/>
    <n v="1898.75"/>
    <n v="1"/>
    <n v="1898.75"/>
    <x v="4"/>
  </r>
  <r>
    <n v="300008"/>
    <d v="2024-09-30T00:00:00"/>
    <s v="Polyrol"/>
    <s v="60x3"/>
    <m/>
    <n v="10.85"/>
    <s v="EA"/>
    <s v="CAD"/>
    <n v="-70"/>
    <n v="-759.5"/>
    <n v="1"/>
    <n v="-759.5"/>
    <x v="4"/>
  </r>
  <r>
    <n v="300008"/>
    <d v="2024-10-31T00:00:00"/>
    <s v="Polyrol"/>
    <s v="60x3"/>
    <m/>
    <n v="10.85"/>
    <s v="EA"/>
    <s v="CAD"/>
    <n v="-30"/>
    <n v="-325.5"/>
    <n v="1"/>
    <n v="-325.5"/>
    <x v="4"/>
  </r>
  <r>
    <n v="300008"/>
    <d v="2024-11-30T00:00:00"/>
    <s v="Polyrol"/>
    <s v="60x3"/>
    <m/>
    <n v="10.85"/>
    <s v="EA"/>
    <s v="CAD"/>
    <n v="-75"/>
    <n v="-813.75"/>
    <n v="1"/>
    <n v="-813.75"/>
    <x v="4"/>
  </r>
  <r>
    <n v="300008"/>
    <d v="2024-11-07T00:00:00"/>
    <s v="Polyrol"/>
    <s v="60x3"/>
    <m/>
    <n v="10.142857142857142"/>
    <s v="EA"/>
    <s v="CAD"/>
    <n v="350"/>
    <n v="3550"/>
    <n v="1"/>
    <n v="3550"/>
    <x v="4"/>
  </r>
  <r>
    <n v="300008"/>
    <d v="2024-11-30T00:00:00"/>
    <s v="Polyrol"/>
    <s v="60x3"/>
    <m/>
    <n v="10.142857142857142"/>
    <s v="EA"/>
    <s v="CAD"/>
    <n v="-43"/>
    <n v="-436.14285714285711"/>
    <n v="1"/>
    <n v="-436.14285714285711"/>
    <x v="4"/>
  </r>
  <r>
    <n v="300008"/>
    <d v="2024-12-31T00:00:00"/>
    <s v="Polyrol"/>
    <s v="60x3"/>
    <m/>
    <n v="10.142857142857142"/>
    <s v="EA"/>
    <s v="CAD"/>
    <n v="-55"/>
    <n v="-557.85714285714278"/>
    <n v="1"/>
    <n v="-557.85714285714278"/>
    <x v="4"/>
  </r>
  <r>
    <n v="300009"/>
    <d v="2024-07-01T00:00:00"/>
    <s v="Polyrol"/>
    <s v="palette 60x46"/>
    <m/>
    <n v="40"/>
    <s v="EA"/>
    <s v="CAD"/>
    <n v="1"/>
    <n v="40"/>
    <n v="1"/>
    <n v="40"/>
    <x v="5"/>
  </r>
  <r>
    <n v="300009"/>
    <d v="2024-11-07T00:00:00"/>
    <s v="Polyrol"/>
    <s v="palette 60x46"/>
    <m/>
    <n v="40"/>
    <s v="EA"/>
    <s v="CAD"/>
    <n v="-1"/>
    <n v="-40"/>
    <n v="1"/>
    <n v="-40"/>
    <x v="5"/>
  </r>
  <r>
    <n v="300009"/>
    <d v="2024-11-07T00:00:00"/>
    <s v="Polyrol"/>
    <s v="palette 60x46"/>
    <m/>
    <n v="40"/>
    <s v="EA"/>
    <s v="CAD"/>
    <n v="2"/>
    <n v="80"/>
    <n v="1"/>
    <n v="80"/>
    <x v="5"/>
  </r>
  <r>
    <n v="300010"/>
    <d v="2024-09-30T00:00:00"/>
    <s v="AKO samples"/>
    <s v="AH2008 Label TC DT 4x6 perf (6.045USD/rl)"/>
    <m/>
    <n v="0"/>
    <s v="Roll"/>
    <s v="USD"/>
    <n v="332"/>
    <n v="0"/>
    <n v="1"/>
    <n v="0"/>
    <x v="6"/>
  </r>
  <r>
    <n v="300011"/>
    <d v="2024-09-30T00:00:00"/>
    <s v="AKO samples"/>
    <s v="AH1003 Label 4x6 TT perf (5.446USD/rl)"/>
    <m/>
    <n v="0"/>
    <s v="Roll"/>
    <s v="USD"/>
    <n v="302"/>
    <n v="0"/>
    <n v="1"/>
    <n v="0"/>
    <x v="7"/>
  </r>
  <r>
    <n v="300012"/>
    <d v="2024-10-15T00:00:00"/>
    <s v="4x6"/>
    <s v="ED3049 4x6 (1000/roul; 4/boite)"/>
    <m/>
    <n v="20.85"/>
    <s v="Boite"/>
    <s v="USD"/>
    <n v="99"/>
    <n v="2064.15"/>
    <n v="1.3641665997100305"/>
    <n v="2815.8444867914595"/>
    <x v="8"/>
  </r>
  <r>
    <n v="300012"/>
    <d v="2024-10-16T00:00:00"/>
    <s v="4x6"/>
    <s v="ED3049 4x6 (1000/roul; 4/boite)"/>
    <m/>
    <n v="20.85"/>
    <s v="Boite"/>
    <s v="USD"/>
    <n v="-29"/>
    <n v="-604.65000000000009"/>
    <n v="1.3641665997100305"/>
    <n v="-824.84333451467012"/>
    <x v="8"/>
  </r>
  <r>
    <n v="300012"/>
    <d v="2024-11-07T00:00:00"/>
    <s v="4x6"/>
    <s v="ED3049 4x6 (1000/roul; 4/boite)"/>
    <m/>
    <n v="20.85"/>
    <s v="Boite"/>
    <s v="USD"/>
    <n v="-70"/>
    <n v="-1459.5"/>
    <n v="1.3641665997100305"/>
    <n v="-1991.0011522767895"/>
    <x v="8"/>
  </r>
  <r>
    <n v="300013"/>
    <d v="2024-10-07T00:00:00"/>
    <s v="Yazoo"/>
    <s v="1.5x2.362"/>
    <m/>
    <n v="0.15917256488901005"/>
    <s v="EA"/>
    <s v="CAD"/>
    <n v="14850"/>
    <n v="2363.7125886017993"/>
    <n v="1"/>
    <n v="2363.7125886017993"/>
    <x v="9"/>
  </r>
  <r>
    <n v="300013"/>
    <d v="2024-11-30T00:00:00"/>
    <s v="Yazoo"/>
    <s v="1.5x2.362"/>
    <m/>
    <n v="0.15917256488901005"/>
    <s v="EA"/>
    <s v="CAD"/>
    <n v="-550"/>
    <n v="-87.544910688955525"/>
    <n v="2"/>
    <n v="-175.08982137791105"/>
    <x v="9"/>
  </r>
  <r>
    <n v="300014"/>
    <d v="2024-10-07T00:00:00"/>
    <s v="Yazoo"/>
    <s v="3x4.125"/>
    <m/>
    <n v="0.42117297514427554"/>
    <s v="EA"/>
    <s v="CAD"/>
    <n v="2760"/>
    <n v="1162.4374113982005"/>
    <n v="3"/>
    <n v="3487.3122341946018"/>
    <x v="10"/>
  </r>
  <r>
    <n v="300014"/>
    <d v="2024-11-30T00:00:00"/>
    <s v="Yazoo"/>
    <s v="3x4.125"/>
    <m/>
    <n v="0.42117297514427554"/>
    <s v="EA"/>
    <s v="CAD"/>
    <n v="-1150"/>
    <n v="-484.34892141591689"/>
    <n v="4"/>
    <n v="-1937.3956856636676"/>
    <x v="10"/>
  </r>
  <r>
    <n v="300014"/>
    <d v="2024-12-31T00:00:00"/>
    <s v="Yazoo"/>
    <s v="3x4.125"/>
    <m/>
    <n v="0.42117297514427554"/>
    <s v="EA"/>
    <s v="CAD"/>
    <n v="460"/>
    <n v="193.73956856636676"/>
    <n v="4"/>
    <n v="774.95827426546703"/>
    <x v="10"/>
  </r>
  <r>
    <n v="300015"/>
    <d v="2024-11-05T00:00:00"/>
    <s v="Yazoo"/>
    <s v="1x4"/>
    <m/>
    <n v="0.20395169733612092"/>
    <s v="EA"/>
    <s v="CAD"/>
    <n v="16200"/>
    <n v="3304.0174968451588"/>
    <n v="1"/>
    <n v="3304.0174968451588"/>
    <x v="11"/>
  </r>
  <r>
    <n v="300015"/>
    <d v="2024-12-31T00:00:00"/>
    <s v="Yazoo"/>
    <s v="1x4"/>
    <m/>
    <n v="0.20395169733612092"/>
    <s v="EA"/>
    <s v="CAD"/>
    <n v="-1800"/>
    <m/>
    <m/>
    <m/>
    <x v="11"/>
  </r>
  <r>
    <n v="300016"/>
    <d v="2024-11-05T00:00:00"/>
    <s v="Yazoo"/>
    <s v="3x4"/>
    <m/>
    <n v="0.36135914912225398"/>
    <s v="EA"/>
    <s v="CAD"/>
    <n v="5520"/>
    <n v="1994.7025031548419"/>
    <n v="1"/>
    <n v="1994.7025031548419"/>
    <x v="12"/>
  </r>
  <r>
    <n v="300017"/>
    <d v="2024-11-08T00:00:00"/>
    <s v="Uline"/>
    <s v="Carton"/>
    <m/>
    <n v="2.69"/>
    <s v="EA"/>
    <s v="CAD"/>
    <n v="250"/>
    <n v="672.5"/>
    <n v="1"/>
    <n v="672.5"/>
    <x v="13"/>
  </r>
  <r>
    <n v="300017"/>
    <d v="2024-11-30T00:00:00"/>
    <s v="Uline"/>
    <s v="Carton"/>
    <m/>
    <n v="2.69"/>
    <s v="EA"/>
    <s v="CAD"/>
    <n v="-20"/>
    <n v="-53.8"/>
    <n v="1"/>
    <n v="-53.8"/>
    <x v="13"/>
  </r>
  <r>
    <n v="300017"/>
    <d v="2024-12-31T00:00:00"/>
    <s v="Uline"/>
    <s v="Carton"/>
    <m/>
    <n v="2.69"/>
    <s v="EA"/>
    <s v="CAD"/>
    <n v="-70"/>
    <n v="-188.29999999999998"/>
    <n v="1"/>
    <n v="-188.29999999999998"/>
    <x v="13"/>
  </r>
  <r>
    <n v="300018"/>
    <d v="2024-11-01T00:00:00"/>
    <s v="Emballage LM"/>
    <s v="Triangles (528)"/>
    <m/>
    <n v="3.27"/>
    <s v="EA"/>
    <s v="CAD"/>
    <n v="528"/>
    <n v="1726.56"/>
    <n v="1"/>
    <n v="1726.56"/>
    <x v="14"/>
  </r>
  <r>
    <n v="300018"/>
    <d v="2024-11-30T00:00:00"/>
    <s v="Emballage LM"/>
    <s v="Triangles (528)"/>
    <m/>
    <n v="3.27"/>
    <s v="EA"/>
    <s v="CAD"/>
    <n v="-128"/>
    <n v="-418.56"/>
    <n v="1"/>
    <n v="-418.56"/>
    <x v="14"/>
  </r>
  <r>
    <n v="300018"/>
    <d v="2024-12-31T00:00:00"/>
    <s v="Emballage LM"/>
    <s v="Triangles (528)"/>
    <m/>
    <n v="3.27"/>
    <s v="EA"/>
    <s v="CAD"/>
    <n v="-32"/>
    <n v="-104.64"/>
    <n v="1"/>
    <n v="-104.64"/>
    <x v="14"/>
  </r>
  <r>
    <n v="400001"/>
    <d v="2024-11-30T00:00:00"/>
    <s v="Produits finis papier"/>
    <m/>
    <s v="PL50100+50106+50104"/>
    <m/>
    <m/>
    <m/>
    <m/>
    <m/>
    <m/>
    <n v="13347.529999999999"/>
    <x v="15"/>
  </r>
  <r>
    <n v="400001"/>
    <d v="2024-12-31T00:00:00"/>
    <s v="Produits finis papier"/>
    <m/>
    <s v="PL50100+50106+50104"/>
    <m/>
    <m/>
    <m/>
    <m/>
    <m/>
    <m/>
    <n v="-13347.529999999999"/>
    <x v="15"/>
  </r>
  <r>
    <n v="400001"/>
    <d v="2024-12-31T00:00:00"/>
    <s v="Produits finis papier"/>
    <m/>
    <s v="PL 50125"/>
    <m/>
    <m/>
    <m/>
    <m/>
    <m/>
    <m/>
    <n v="4431.34"/>
    <x v="15"/>
  </r>
  <r>
    <n v="400002"/>
    <d v="2024-12-31T00:00:00"/>
    <s v="Étiquettes 4x6 D21-1"/>
    <s v="Core 3&quot; 1000/rl"/>
    <m/>
    <n v="8"/>
    <s v="RL"/>
    <s v="CAD"/>
    <n v="300"/>
    <n v="2400"/>
    <n v="1"/>
    <n v="2400"/>
    <x v="16"/>
  </r>
  <r>
    <n v="400003"/>
    <d v="2024-12-31T00:00:00"/>
    <s v="Étiquettes 4x6 D11-1"/>
    <s v="Core 3&quot; 1000/rl"/>
    <m/>
    <n v="8"/>
    <s v="RL"/>
    <s v="CAD"/>
    <n v="171"/>
    <n v="1368"/>
    <n v="1"/>
    <n v="1368"/>
    <x v="17"/>
  </r>
  <r>
    <n v="400004"/>
    <d v="2024-12-31T00:00:00"/>
    <s v="Étiquettes 4x6 D11-3"/>
    <s v="Core 3&quot; 1000/rl"/>
    <n v="2024206"/>
    <n v="8"/>
    <s v="RL"/>
    <s v="CAD"/>
    <n v="26"/>
    <n v="208"/>
    <n v="1"/>
    <n v="208"/>
    <x v="18"/>
  </r>
  <r>
    <n v="400005"/>
    <d v="2024-12-31T00:00:00"/>
    <s v="Étiquettes 4x6 D21-1"/>
    <s v="Core 1&quot; 250/rl"/>
    <n v="2024205"/>
    <n v="2"/>
    <s v="RL"/>
    <s v="CAD"/>
    <n v="884"/>
    <n v="1768"/>
    <n v="1"/>
    <n v="1768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1F6CF-F685-4289-AD87-10A4873244C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3:Q24" firstHeaderRow="0" firstDataRow="1" firstDataCol="1"/>
  <pivotFields count="13">
    <pivotField showAll="0"/>
    <pivotField numFmtId="14" showAll="0"/>
    <pivotField showAll="0"/>
    <pivotField showAll="0"/>
    <pivotField showAll="0"/>
    <pivotField numFmtId="164" showAll="0"/>
    <pivotField showAll="0"/>
    <pivotField showAll="0"/>
    <pivotField dataField="1" showAll="0"/>
    <pivotField numFmtId="43" showAll="0"/>
    <pivotField numFmtId="164" showAll="0"/>
    <pivotField dataField="1" numFmtId="43" showAll="0"/>
    <pivotField axis="axisRow" showAll="0" sortType="ascending">
      <items count="47">
        <item m="1" x="40"/>
        <item m="1" x="20"/>
        <item m="1" x="21"/>
        <item m="1" x="22"/>
        <item m="1" x="23"/>
        <item m="1" x="24"/>
        <item m="1" x="43"/>
        <item m="1" x="25"/>
        <item m="1" x="35"/>
        <item m="1" x="41"/>
        <item m="1" x="34"/>
        <item m="1" x="36"/>
        <item m="1" x="26"/>
        <item m="1" x="27"/>
        <item m="1" x="37"/>
        <item m="1" x="28"/>
        <item m="1" x="38"/>
        <item m="1" x="29"/>
        <item x="0"/>
        <item x="1"/>
        <item x="2"/>
        <item x="3"/>
        <item m="1" x="39"/>
        <item m="1" x="45"/>
        <item x="4"/>
        <item m="1" x="44"/>
        <item x="5"/>
        <item x="6"/>
        <item m="1" x="30"/>
        <item x="7"/>
        <item m="1" x="31"/>
        <item x="8"/>
        <item m="1" x="32"/>
        <item m="1" x="33"/>
        <item x="9"/>
        <item x="10"/>
        <item x="11"/>
        <item x="12"/>
        <item x="13"/>
        <item x="14"/>
        <item m="1" x="42"/>
        <item x="15"/>
        <item x="16"/>
        <item x="17"/>
        <item x="18"/>
        <item x="19"/>
        <item t="default"/>
      </items>
    </pivotField>
  </pivotFields>
  <rowFields count="1">
    <field x="12"/>
  </rowFields>
  <rowItems count="21">
    <i>
      <x v="18"/>
    </i>
    <i>
      <x v="19"/>
    </i>
    <i>
      <x v="20"/>
    </i>
    <i>
      <x v="21"/>
    </i>
    <i>
      <x v="24"/>
    </i>
    <i>
      <x v="26"/>
    </i>
    <i>
      <x v="27"/>
    </i>
    <i>
      <x v="29"/>
    </i>
    <i>
      <x v="31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é" fld="8" baseField="0" baseItem="0"/>
    <dataField name="Sum of Valeur (CAD)" fld="11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90E0E-6A94-4CEF-A730-0B6B292F02A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1" firstHeaderRow="0" firstDataRow="1" firstDataCol="1"/>
  <pivotFields count="20">
    <pivotField showAll="0"/>
    <pivotField axis="axisRow" showAll="0" sortType="ascending">
      <items count="34">
        <item m="1" x="17"/>
        <item m="1" x="18"/>
        <item x="0"/>
        <item m="1" x="19"/>
        <item m="1" x="20"/>
        <item x="1"/>
        <item m="1" x="27"/>
        <item m="1" x="28"/>
        <item m="1" x="29"/>
        <item x="10"/>
        <item x="2"/>
        <item m="1" x="30"/>
        <item x="11"/>
        <item x="15"/>
        <item x="3"/>
        <item m="1" x="32"/>
        <item m="1" x="21"/>
        <item x="4"/>
        <item m="1" x="22"/>
        <item x="16"/>
        <item m="1" x="23"/>
        <item x="13"/>
        <item x="12"/>
        <item m="1" x="24"/>
        <item m="1" x="31"/>
        <item m="1" x="25"/>
        <item x="5"/>
        <item x="6"/>
        <item x="7"/>
        <item x="8"/>
        <item x="14"/>
        <item x="9"/>
        <item m="1" x="26"/>
        <item t="default"/>
      </items>
    </pivotField>
    <pivotField showAll="0"/>
    <pivotField showAll="0"/>
    <pivotField showAll="0"/>
    <pivotField dataField="1" numFmtId="1" showAll="0"/>
    <pivotField showAll="0"/>
    <pivotField showAll="0"/>
    <pivotField showAll="0"/>
    <pivotField showAll="0"/>
    <pivotField numFmtId="3" showAll="0"/>
    <pivotField showAll="0"/>
    <pivotField numFmtId="165" showAll="0"/>
    <pivotField numFmtId="43" showAll="0"/>
    <pivotField numFmtId="164" showAll="0"/>
    <pivotField dataField="1" numFmtId="43" showAll="0"/>
    <pivotField dataField="1" showAll="0"/>
    <pivotField showAll="0"/>
    <pivotField numFmtId="43" showAll="0"/>
    <pivotField numFmtId="165" showAll="0"/>
  </pivotFields>
  <rowFields count="1">
    <field x="1"/>
  </rowFields>
  <rowItems count="18">
    <i>
      <x v="2"/>
    </i>
    <i>
      <x v="5"/>
    </i>
    <i>
      <x v="9"/>
    </i>
    <i>
      <x v="10"/>
    </i>
    <i>
      <x v="12"/>
    </i>
    <i>
      <x v="13"/>
    </i>
    <i>
      <x v="14"/>
    </i>
    <i>
      <x v="17"/>
    </i>
    <i>
      <x v="19"/>
    </i>
    <i>
      <x v="21"/>
    </i>
    <i>
      <x v="22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té (roul)" fld="5" baseField="0" baseItem="0"/>
    <dataField name="Sum of Valeur CAD Livres" fld="15" baseField="0" baseItem="0" numFmtId="165"/>
    <dataField name="Sum of Valeur CAD Stock" fld="16" baseField="0" baseItem="0" numFmtId="165"/>
  </dataFields>
  <formats count="6">
    <format dxfId="8">
      <pivotArea field="1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field="1" type="button" dataOnly="0" labelOnly="1" outline="0" axis="axisRow" fieldPosition="0"/>
    </format>
    <format dxfId="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9D669-C545-40E3-8E80-251BCB4E6484}" name="PivotTable4" cacheId="9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Material - Width in inches">
  <location ref="A4:B54" firstHeaderRow="1" firstDataRow="1" firstDataCol="1"/>
  <pivotFields count="3">
    <pivotField axis="axisRow" showAll="0" includeNewItemsInFilter="1" sortType="ascending">
      <items count="19">
        <item x="0"/>
        <item m="1" x="15"/>
        <item x="1"/>
        <item m="1" x="16"/>
        <item x="2"/>
        <item m="1" x="17"/>
        <item x="3"/>
        <item x="4"/>
        <item x="11"/>
        <item x="10"/>
        <item x="5"/>
        <item x="6"/>
        <item m="1" x="13"/>
        <item x="7"/>
        <item x="8"/>
        <item x="12"/>
        <item m="1" x="14"/>
        <item x="9"/>
        <item t="default"/>
      </items>
    </pivotField>
    <pivotField axis="axisRow" multipleItemSelectionAllowed="1" showAll="0" includeNewItemsInFilter="1" sortType="ascending">
      <items count="31">
        <item h="1" x="0"/>
        <item x="4"/>
        <item x="7"/>
        <item x="6"/>
        <item x="1"/>
        <item x="18"/>
        <item x="10"/>
        <item x="24"/>
        <item m="1" x="29"/>
        <item x="3"/>
        <item x="15"/>
        <item x="8"/>
        <item m="1" x="28"/>
        <item x="19"/>
        <item x="25"/>
        <item x="12"/>
        <item x="5"/>
        <item x="17"/>
        <item x="20"/>
        <item x="11"/>
        <item x="13"/>
        <item x="21"/>
        <item m="1" x="26"/>
        <item x="22"/>
        <item x="23"/>
        <item x="16"/>
        <item x="9"/>
        <item x="14"/>
        <item m="1" x="27"/>
        <item x="2"/>
        <item t="default"/>
      </items>
    </pivotField>
    <pivotField dataField="1" multipleItemSelectionAllowed="1" showAll="0"/>
  </pivotFields>
  <rowFields count="2">
    <field x="0"/>
    <field x="1"/>
  </rowFields>
  <rowItems count="50">
    <i>
      <x/>
    </i>
    <i r="1">
      <x v="4"/>
    </i>
    <i r="1">
      <x v="29"/>
    </i>
    <i>
      <x v="2"/>
    </i>
    <i r="1">
      <x v="9"/>
    </i>
    <i r="1">
      <x v="27"/>
    </i>
    <i r="1">
      <x v="29"/>
    </i>
    <i>
      <x v="4"/>
    </i>
    <i r="1">
      <x v="1"/>
    </i>
    <i r="1">
      <x v="7"/>
    </i>
    <i r="1">
      <x v="23"/>
    </i>
    <i r="1">
      <x v="24"/>
    </i>
    <i r="1">
      <x v="29"/>
    </i>
    <i>
      <x v="6"/>
    </i>
    <i r="1">
      <x v="9"/>
    </i>
    <i>
      <x v="7"/>
    </i>
    <i r="1">
      <x v="2"/>
    </i>
    <i r="1">
      <x v="3"/>
    </i>
    <i r="1">
      <x v="11"/>
    </i>
    <i r="1">
      <x v="16"/>
    </i>
    <i r="1">
      <x v="29"/>
    </i>
    <i>
      <x v="8"/>
    </i>
    <i r="1">
      <x v="14"/>
    </i>
    <i>
      <x v="9"/>
    </i>
    <i r="1">
      <x v="14"/>
    </i>
    <i>
      <x v="10"/>
    </i>
    <i r="1">
      <x v="26"/>
    </i>
    <i r="1">
      <x v="29"/>
    </i>
    <i>
      <x v="11"/>
    </i>
    <i r="1">
      <x v="6"/>
    </i>
    <i r="1">
      <x v="15"/>
    </i>
    <i r="1">
      <x v="19"/>
    </i>
    <i r="1">
      <x v="29"/>
    </i>
    <i>
      <x v="13"/>
    </i>
    <i r="1">
      <x v="10"/>
    </i>
    <i r="1">
      <x v="20"/>
    </i>
    <i r="1">
      <x v="27"/>
    </i>
    <i r="1">
      <x v="29"/>
    </i>
    <i>
      <x v="14"/>
    </i>
    <i r="1">
      <x v="17"/>
    </i>
    <i r="1">
      <x v="25"/>
    </i>
    <i>
      <x v="15"/>
    </i>
    <i r="1">
      <x v="27"/>
    </i>
    <i r="1">
      <x v="29"/>
    </i>
    <i>
      <x v="17"/>
    </i>
    <i r="1">
      <x v="5"/>
    </i>
    <i r="1">
      <x v="13"/>
    </i>
    <i r="1">
      <x v="18"/>
    </i>
    <i r="1">
      <x v="21"/>
    </i>
    <i t="grand">
      <x/>
    </i>
  </rowItems>
  <colItems count="1">
    <i/>
  </colItems>
  <dataFields count="1">
    <dataField name="Sum of Length (ft)" fld="2" baseField="0" baseItem="0" numFmtId="3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3F719-5D0F-492A-98FA-FFC26CAE6E01}" name="Table212" displayName="Table212" ref="A3:T588" totalsRowShown="0" headerRowDxfId="34">
  <autoFilter ref="A3:T588" xr:uid="{25D343BE-E5D5-4BCE-8F9B-133722BC132B}"/>
  <tableColumns count="20">
    <tableColumn id="40" xr3:uid="{02A0524C-B55C-41F9-A208-53659A17121B}" name="Code achat"/>
    <tableColumn id="31" xr3:uid="{0C98FC55-6B0B-4089-AD5D-69460CBF517D}" name="Code LabelEdge" dataDxfId="33" dataCellStyle="Comma"/>
    <tableColumn id="28" xr3:uid="{67FE7DF2-A21F-48FE-A03E-0AE9B36044B9}" name="Date" dataDxfId="32"/>
    <tableColumn id="15" xr3:uid="{8C89E86D-042A-4A5C-B2C7-8C465524CEF7}" name="IN / OUT" dataDxfId="31"/>
    <tableColumn id="19" xr3:uid="{55A6F713-7C09-4F60-AECE-DBF688D5A203}" name="Actif / Inactif" dataDxfId="30"/>
    <tableColumn id="23" xr3:uid="{9CC02D3E-3D59-41BF-8E62-DD3965B42079}" name="Qté (roul)" dataDxfId="29" dataCellStyle="Comma"/>
    <tableColumn id="29" xr3:uid="{32D756F3-6087-4CD9-92F7-511FFB4A8647}" name="WO" dataDxfId="28" dataCellStyle="Comma"/>
    <tableColumn id="11" xr3:uid="{424A9022-1119-43C7-98F1-8C2B28DF4570}" name="Roll ID" dataDxfId="27"/>
    <tableColumn id="6" xr3:uid="{98F6DEB2-B040-4247-873D-9BA78EDBDC59}" name="Larg." dataDxfId="26"/>
    <tableColumn id="20" xr3:uid="{91BD8533-7CE0-4285-980C-5B5959618064}" name="Unit"/>
    <tableColumn id="7" xr3:uid="{4E01AD5A-E6BC-4B11-B111-3B2E6BD8CE2E}" name="Longueur" dataDxfId="25"/>
    <tableColumn id="21" xr3:uid="{7AB219C4-30E7-4F0F-B705-72BCA39F45D5}" name="Unit2" dataDxfId="24"/>
    <tableColumn id="8" xr3:uid="{A3965330-5042-4E59-BFD4-B3A98E6FA4BA}" name="MSI" dataDxfId="23" dataCellStyle="Comma">
      <calculatedColumnFormula>IF(J4="mm",F4*I4/1000*K4*1.55,F4*I4*12*K4/1000)</calculatedColumnFormula>
    </tableColumn>
    <tableColumn id="35" xr3:uid="{0AD922E1-A6E7-4905-A531-531A4875ABC4}" name="Prix/msi CAD livres" dataDxfId="22" dataCellStyle="Comma">
      <calculatedColumnFormula>_xlfn.XLOOKUP(A4,'[1]Prix MP'!$A:$A,'[1]Prix MP'!$T:$T)</calculatedColumnFormula>
    </tableColumn>
    <tableColumn id="27" xr3:uid="{7C268549-D642-48F1-A049-1AC4B02AA6EE}" name="Prix/msi CAD" dataDxfId="21" dataCellStyle="Comma">
      <calculatedColumnFormula>_xlfn.XLOOKUP(A4,'[1]Prix MP'!$A:$A,'[1]Prix MP'!$U:$U)</calculatedColumnFormula>
    </tableColumn>
    <tableColumn id="26" xr3:uid="{F092B5FF-7AAA-4E14-8EE7-F0007C7C79CF}" name="Valeur CAD Livres" dataDxfId="20" dataCellStyle="Comma">
      <calculatedColumnFormula>M4*N4</calculatedColumnFormula>
    </tableColumn>
    <tableColumn id="37" xr3:uid="{2772225E-AA36-4571-A763-9E88467A13D8}" name="Valeur CAD Stock" dataDxfId="19" dataCellStyle="Comma"/>
    <tableColumn id="38" xr3:uid="{FB8675BE-4CB0-4D1F-AF3F-D84513659408}" name="Description"/>
    <tableColumn id="9" xr3:uid="{2340500F-C869-4A93-A52D-FA513BF10BAE}" name="Width (in)" dataDxfId="18" dataCellStyle="Comma">
      <calculatedColumnFormula>ROUND(IF(E4="I",0,IF(J4="po",I4,I4/25.4)),2)</calculatedColumnFormula>
    </tableColumn>
    <tableColumn id="36" xr3:uid="{8BD513DA-31C2-4D2B-95CD-C65D1094EEA8}" name="Length (ft)" dataDxfId="17" dataCellStyle="Comma">
      <calculatedColumnFormula>ROUND(IF(E4="I",0,IF(J4="po",K4,K4*3.280839895)),0)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258881-EF4E-48C2-BD49-86F74622E5D2}" name="Table2" displayName="Table2" ref="A3:M57" totalsRowShown="0" headerRowDxfId="16">
  <autoFilter ref="A3:M57" xr:uid="{29258881-EF4E-48C2-BD49-86F74622E5D2}"/>
  <tableColumns count="13">
    <tableColumn id="1" xr3:uid="{484B8F77-7714-405F-96D2-2C0FC33049DF}" name="Article no" dataDxfId="15"/>
    <tableColumn id="2" xr3:uid="{59E3A73C-7CD1-41E5-930D-4D36A9D4D315}" name="Date" dataDxfId="14"/>
    <tableColumn id="3" xr3:uid="{F79BFABC-BEFD-46F4-9636-D69AB5973A9C}" name="Origine"/>
    <tableColumn id="4" xr3:uid="{D42DFEA3-B057-4894-AA14-5F8D9A8DE656}" name="Specifications"/>
    <tableColumn id="13" xr3:uid="{A011EF72-9006-4250-B9FA-080A494C11AC}" name="Détail"/>
    <tableColumn id="5" xr3:uid="{F6D41DEC-7AC4-47B8-81B5-6E30B464DF9D}" name="Prix unitaire" dataDxfId="13" dataCellStyle="Comma"/>
    <tableColumn id="6" xr3:uid="{B5473FDD-535E-4429-B117-34C3A69D85A5}" name="Unité prix"/>
    <tableColumn id="7" xr3:uid="{B7075CCC-0ADA-40B9-A756-4D515A159048}" name="Devise"/>
    <tableColumn id="8" xr3:uid="{72AEBAD8-6D46-4F54-9744-9559685EB4BD}" name="Qté"/>
    <tableColumn id="10" xr3:uid="{D6EB0BBB-1F4C-4571-A8F1-062132461F36}" name="Coût total" dataDxfId="12" dataCellStyle="Comma"/>
    <tableColumn id="11" xr3:uid="{3E825D82-BA1F-41AA-A0F2-FF91DB4C9DE1}" name="FX rate" dataDxfId="11" dataCellStyle="Comma"/>
    <tableColumn id="12" xr3:uid="{F03F6DA1-C00B-44D3-9CBD-9B781F0A9EED}" name="Valeur (CAD)" dataDxfId="10" dataCellStyle="Comma"/>
    <tableColumn id="9" xr3:uid="{0942A219-B312-4982-9DC5-0E0686E3A8C1}" name="Nom" dataDxfId="9">
      <calculatedColumnFormula>CONCATENATE(A4," ",C4," ",D4)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EBDF-F9EB-4E2E-B28B-A6D9FF1505CE}">
  <sheetPr codeName="Sheet1">
    <pageSetUpPr fitToPage="1"/>
  </sheetPr>
  <dimension ref="A1:AX588"/>
  <sheetViews>
    <sheetView tabSelected="1" zoomScale="85" zoomScaleNormal="85" workbookViewId="0">
      <pane xSplit="1" ySplit="3" topLeftCell="B186" activePane="bottomRight" state="frozen"/>
      <selection pane="topRight" activeCell="D1" sqref="D1"/>
      <selection pane="bottomLeft" activeCell="A4" sqref="A4"/>
      <selection pane="bottomRight"/>
    </sheetView>
  </sheetViews>
  <sheetFormatPr defaultRowHeight="15" x14ac:dyDescent="0.25"/>
  <cols>
    <col min="1" max="1" width="9" customWidth="1"/>
    <col min="2" max="2" width="10.140625" style="23" customWidth="1"/>
    <col min="3" max="3" width="11.28515625" style="10" customWidth="1"/>
    <col min="4" max="4" width="7.85546875" customWidth="1"/>
    <col min="5" max="5" width="6.85546875" customWidth="1"/>
    <col min="6" max="6" width="7.7109375" style="25" customWidth="1"/>
    <col min="7" max="7" width="14.28515625" style="27" customWidth="1"/>
    <col min="8" max="8" width="21.85546875" style="27" customWidth="1"/>
    <col min="9" max="9" width="9.5703125" customWidth="1"/>
    <col min="10" max="10" width="4.140625" customWidth="1"/>
    <col min="11" max="11" width="8.85546875" customWidth="1"/>
    <col min="12" max="12" width="4.140625" customWidth="1"/>
    <col min="13" max="13" width="9.140625" customWidth="1"/>
    <col min="14" max="14" width="11.85546875" style="2" customWidth="1"/>
    <col min="15" max="15" width="12.42578125" customWidth="1"/>
    <col min="16" max="16" width="13.7109375" customWidth="1"/>
    <col min="17" max="17" width="13.28515625" customWidth="1"/>
    <col min="18" max="18" width="24.85546875" customWidth="1"/>
    <col min="19" max="19" width="9.85546875" customWidth="1"/>
    <col min="20" max="20" width="13.140625" style="1" bestFit="1" customWidth="1"/>
    <col min="22" max="22" width="11.28515625" customWidth="1"/>
    <col min="23" max="23" width="11.85546875" bestFit="1" customWidth="1"/>
    <col min="32" max="32" width="7.42578125" customWidth="1"/>
    <col min="33" max="33" width="5.5703125" customWidth="1"/>
    <col min="34" max="34" width="7.5703125" customWidth="1"/>
    <col min="35" max="35" width="5.85546875" customWidth="1"/>
    <col min="36" max="36" width="8.28515625" customWidth="1"/>
    <col min="38" max="38" width="34.42578125" bestFit="1" customWidth="1"/>
    <col min="39" max="39" width="27.140625" bestFit="1" customWidth="1"/>
    <col min="46" max="46" width="9.42578125" bestFit="1" customWidth="1"/>
    <col min="50" max="50" width="9.28515625" style="1"/>
    <col min="51" max="51" width="11.85546875" customWidth="1"/>
    <col min="52" max="52" width="11.42578125" bestFit="1" customWidth="1"/>
    <col min="57" max="57" width="10" customWidth="1"/>
  </cols>
  <sheetData>
    <row r="1" spans="1:50" ht="16.5" thickBot="1" x14ac:dyDescent="0.3">
      <c r="A1" s="16" t="s">
        <v>15</v>
      </c>
      <c r="B1" s="25"/>
      <c r="E1">
        <v>25.4</v>
      </c>
      <c r="G1" s="36" t="s">
        <v>48</v>
      </c>
      <c r="H1" s="48">
        <v>60.5</v>
      </c>
      <c r="I1" s="41">
        <f>H1*25.4</f>
        <v>1536.6999999999998</v>
      </c>
      <c r="J1" s="42" t="s">
        <v>2</v>
      </c>
      <c r="L1" s="52" t="s">
        <v>50</v>
      </c>
      <c r="O1" s="100" t="s">
        <v>574</v>
      </c>
      <c r="P1" s="100">
        <v>3200</v>
      </c>
      <c r="Q1" s="101">
        <f>P1*3.28084</f>
        <v>10498.688</v>
      </c>
      <c r="S1" s="1"/>
      <c r="T1" s="33"/>
      <c r="AX1"/>
    </row>
    <row r="2" spans="1:50" ht="15.75" thickBot="1" x14ac:dyDescent="0.3">
      <c r="A2" s="28" t="s">
        <v>322</v>
      </c>
      <c r="B2" s="46"/>
      <c r="E2">
        <v>3.28084</v>
      </c>
      <c r="G2" s="36" t="s">
        <v>49</v>
      </c>
      <c r="H2" s="51">
        <v>20000</v>
      </c>
      <c r="I2" s="41">
        <f>H2/3.28084</f>
        <v>6095.9998049280066</v>
      </c>
      <c r="J2" s="42" t="s">
        <v>1</v>
      </c>
      <c r="L2" s="40" t="s">
        <v>121</v>
      </c>
      <c r="O2" s="98" t="s">
        <v>21</v>
      </c>
      <c r="P2" s="99">
        <f>SUBTOTAL(9,P4:P20038)</f>
        <v>267207.56756996195</v>
      </c>
      <c r="Q2" s="99"/>
      <c r="R2" s="20"/>
      <c r="S2" s="1"/>
      <c r="T2" s="71">
        <f>SUBTOTAL(9,T4:T20038)</f>
        <v>1858162</v>
      </c>
      <c r="AX2"/>
    </row>
    <row r="3" spans="1:50" s="4" customFormat="1" ht="28.7" customHeight="1" x14ac:dyDescent="0.25">
      <c r="A3" s="12" t="s">
        <v>213</v>
      </c>
      <c r="B3" s="4" t="s">
        <v>25</v>
      </c>
      <c r="C3" s="78" t="s">
        <v>13</v>
      </c>
      <c r="D3" s="54" t="s">
        <v>39</v>
      </c>
      <c r="E3" s="54" t="s">
        <v>40</v>
      </c>
      <c r="F3" s="55" t="s">
        <v>22</v>
      </c>
      <c r="G3" s="54" t="s">
        <v>56</v>
      </c>
      <c r="H3" s="60" t="s">
        <v>54</v>
      </c>
      <c r="I3" s="53" t="s">
        <v>215</v>
      </c>
      <c r="J3" s="4" t="s">
        <v>9</v>
      </c>
      <c r="K3" s="53" t="s">
        <v>211</v>
      </c>
      <c r="L3" s="4" t="s">
        <v>8</v>
      </c>
      <c r="M3" s="43" t="s">
        <v>214</v>
      </c>
      <c r="N3" s="70" t="s">
        <v>217</v>
      </c>
      <c r="O3" s="6" t="s">
        <v>216</v>
      </c>
      <c r="P3" s="50" t="s">
        <v>124</v>
      </c>
      <c r="Q3" s="50" t="s">
        <v>125</v>
      </c>
      <c r="R3" s="4" t="s">
        <v>193</v>
      </c>
      <c r="S3" s="5" t="s">
        <v>191</v>
      </c>
      <c r="T3" s="43" t="s">
        <v>192</v>
      </c>
      <c r="V3" s="4" t="s">
        <v>434</v>
      </c>
    </row>
    <row r="4" spans="1:50" x14ac:dyDescent="0.25">
      <c r="A4">
        <v>30016</v>
      </c>
      <c r="B4" t="s">
        <v>34</v>
      </c>
      <c r="C4" s="45">
        <v>45503</v>
      </c>
      <c r="D4" s="46" t="s">
        <v>37</v>
      </c>
      <c r="E4" s="46" t="s">
        <v>42</v>
      </c>
      <c r="F4" s="63">
        <f t="shared" ref="F4:F44" si="0">IF(D4="in",1,-1)</f>
        <v>1</v>
      </c>
      <c r="G4" s="34" t="s">
        <v>185</v>
      </c>
      <c r="H4" s="58" t="s">
        <v>218</v>
      </c>
      <c r="I4" s="28">
        <v>60.24</v>
      </c>
      <c r="J4" t="s">
        <v>36</v>
      </c>
      <c r="K4" s="47">
        <v>14300</v>
      </c>
      <c r="L4" s="3" t="str">
        <f t="shared" ref="L4:L44" si="1">IF(J4="mm","m","pi")</f>
        <v>pi</v>
      </c>
      <c r="M4" s="33">
        <f>IF(J4="mm",F4*I4/1000*K4*1.55,F4*I4*12*K4/1000)</f>
        <v>10337.183999999999</v>
      </c>
      <c r="N4" s="2">
        <f>_xlfn.XLOOKUP(A4,'[1]Prix MP'!$A:$A,'[1]Prix MP'!$T:$T)</f>
        <v>0.32628488624786672</v>
      </c>
      <c r="O4" s="18">
        <f>_xlfn.XLOOKUP(A4,'[1]Prix MP'!$A:$A,'[1]Prix MP'!$U:$U)</f>
        <v>0.32628488624786672</v>
      </c>
      <c r="P4" s="11">
        <f t="shared" ref="P4:P44" si="2">M4*N4</f>
        <v>3372.8669055632677</v>
      </c>
      <c r="Q4" s="7">
        <f t="shared" ref="Q4:Q44" si="3">M4*O4</f>
        <v>3372.8669055632677</v>
      </c>
      <c r="R4" t="s">
        <v>197</v>
      </c>
      <c r="S4" s="1">
        <f t="shared" ref="S4:S119" si="4">ROUND(IF(E4="I",0,IF(J4="po",I4,I4/25.4)),2)</f>
        <v>0</v>
      </c>
      <c r="T4" s="33">
        <f t="shared" ref="T4:T119" si="5">ROUND(IF(E4="I",0,IF(J4="po",K4,K4*3.280839895)),0)</f>
        <v>0</v>
      </c>
      <c r="V4" s="8" t="str">
        <f t="shared" ref="V4:V96" si="6">IF(J4="mm",I4*K4/1000,"")</f>
        <v/>
      </c>
      <c r="AX4"/>
    </row>
    <row r="5" spans="1:50" x14ac:dyDescent="0.25">
      <c r="A5">
        <v>30016</v>
      </c>
      <c r="B5" t="s">
        <v>34</v>
      </c>
      <c r="C5" s="45">
        <v>45568</v>
      </c>
      <c r="D5" s="46" t="s">
        <v>38</v>
      </c>
      <c r="E5" s="46" t="s">
        <v>42</v>
      </c>
      <c r="F5" s="63">
        <f t="shared" si="0"/>
        <v>-1</v>
      </c>
      <c r="G5" s="34" t="s">
        <v>185</v>
      </c>
      <c r="H5" s="58" t="s">
        <v>218</v>
      </c>
      <c r="I5" s="28">
        <v>60.24</v>
      </c>
      <c r="J5" t="s">
        <v>36</v>
      </c>
      <c r="K5" s="47">
        <v>14300</v>
      </c>
      <c r="L5" s="3" t="str">
        <f t="shared" si="1"/>
        <v>pi</v>
      </c>
      <c r="M5" s="33">
        <f t="shared" ref="M5:M130" si="7">IF(J5="mm",F5*I5/1000*K5*1.55,F5*I5*12*K5/1000)</f>
        <v>-10337.183999999999</v>
      </c>
      <c r="N5" s="2">
        <f>_xlfn.XLOOKUP(A5,'[1]Prix MP'!$A:$A,'[1]Prix MP'!$T:$T)</f>
        <v>0.32628488624786672</v>
      </c>
      <c r="O5" s="18">
        <f>_xlfn.XLOOKUP(A5,'[1]Prix MP'!$A:$A,'[1]Prix MP'!$U:$U)</f>
        <v>0.32628488624786672</v>
      </c>
      <c r="P5" s="11">
        <f t="shared" si="2"/>
        <v>-3372.8669055632677</v>
      </c>
      <c r="Q5" s="7">
        <f t="shared" si="3"/>
        <v>-3372.8669055632677</v>
      </c>
      <c r="R5" t="s">
        <v>197</v>
      </c>
      <c r="S5" s="1">
        <f t="shared" si="4"/>
        <v>0</v>
      </c>
      <c r="T5" s="33">
        <f t="shared" si="5"/>
        <v>0</v>
      </c>
      <c r="V5" s="8" t="str">
        <f t="shared" si="6"/>
        <v/>
      </c>
      <c r="W5" s="69"/>
      <c r="AX5"/>
    </row>
    <row r="6" spans="1:50" x14ac:dyDescent="0.25">
      <c r="A6">
        <v>30016</v>
      </c>
      <c r="B6" t="s">
        <v>34</v>
      </c>
      <c r="C6" s="45">
        <v>45568</v>
      </c>
      <c r="D6" s="46" t="s">
        <v>37</v>
      </c>
      <c r="E6" s="46" t="s">
        <v>42</v>
      </c>
      <c r="F6" s="63">
        <f t="shared" ref="F6:F15" si="8">IF(D6="in",1,-1)</f>
        <v>1</v>
      </c>
      <c r="G6" s="34" t="s">
        <v>330</v>
      </c>
      <c r="H6" s="58" t="s">
        <v>186</v>
      </c>
      <c r="I6" s="28">
        <v>50.5</v>
      </c>
      <c r="J6" t="s">
        <v>36</v>
      </c>
      <c r="K6" s="47">
        <v>2400</v>
      </c>
      <c r="L6" s="3" t="str">
        <f t="shared" ref="L6:L15" si="9">IF(J6="mm","m","pi")</f>
        <v>pi</v>
      </c>
      <c r="M6" s="33">
        <f t="shared" ref="M6:M15" si="10">IF(J6="mm",F6*I6/1000*K6*1.55,F6*I6*12*K6/1000)</f>
        <v>1454.4</v>
      </c>
      <c r="N6" s="2">
        <f>_xlfn.XLOOKUP(A6,'[1]Prix MP'!$A:$A,'[1]Prix MP'!$T:$T)</f>
        <v>0.32628488624786672</v>
      </c>
      <c r="O6" s="18">
        <f>_xlfn.XLOOKUP(A6,'[1]Prix MP'!$A:$A,'[1]Prix MP'!$U:$U)</f>
        <v>0.32628488624786672</v>
      </c>
      <c r="P6" s="11">
        <f t="shared" ref="P6:P15" si="11">M6*N6</f>
        <v>474.54873855889741</v>
      </c>
      <c r="Q6" s="7">
        <f t="shared" ref="Q6:Q15" si="12">M6*O6</f>
        <v>474.54873855889741</v>
      </c>
      <c r="R6" t="s">
        <v>197</v>
      </c>
      <c r="S6" s="1">
        <f t="shared" ref="S6:S15" si="13">ROUND(IF(E6="I",0,IF(J6="po",I6,I6/25.4)),2)</f>
        <v>0</v>
      </c>
      <c r="T6" s="33">
        <f t="shared" ref="T6:T15" si="14">ROUND(IF(E6="I",0,IF(J6="po",K6,K6*3.280839895)),0)</f>
        <v>0</v>
      </c>
      <c r="V6" s="8" t="str">
        <f t="shared" si="6"/>
        <v/>
      </c>
      <c r="W6" s="69"/>
      <c r="AX6"/>
    </row>
    <row r="7" spans="1:50" x14ac:dyDescent="0.25">
      <c r="A7">
        <v>30016</v>
      </c>
      <c r="B7" t="s">
        <v>34</v>
      </c>
      <c r="C7" s="45">
        <v>45574</v>
      </c>
      <c r="D7" s="46" t="s">
        <v>38</v>
      </c>
      <c r="E7" s="46" t="s">
        <v>42</v>
      </c>
      <c r="F7" s="63">
        <f t="shared" si="8"/>
        <v>-1</v>
      </c>
      <c r="G7" s="34" t="s">
        <v>330</v>
      </c>
      <c r="H7" s="58" t="s">
        <v>186</v>
      </c>
      <c r="I7" s="28">
        <v>50.5</v>
      </c>
      <c r="J7" t="s">
        <v>36</v>
      </c>
      <c r="K7" s="47">
        <v>2400</v>
      </c>
      <c r="L7" s="3" t="str">
        <f t="shared" si="9"/>
        <v>pi</v>
      </c>
      <c r="M7" s="33">
        <f t="shared" si="10"/>
        <v>-1454.4</v>
      </c>
      <c r="N7" s="2">
        <f>_xlfn.XLOOKUP(A7,'[1]Prix MP'!$A:$A,'[1]Prix MP'!$T:$T)</f>
        <v>0.32628488624786672</v>
      </c>
      <c r="O7" s="18">
        <f>_xlfn.XLOOKUP(A7,'[1]Prix MP'!$A:$A,'[1]Prix MP'!$U:$U)</f>
        <v>0.32628488624786672</v>
      </c>
      <c r="P7" s="11">
        <f t="shared" si="11"/>
        <v>-474.54873855889741</v>
      </c>
      <c r="Q7" s="7">
        <f t="shared" si="12"/>
        <v>-474.54873855889741</v>
      </c>
      <c r="R7" t="s">
        <v>197</v>
      </c>
      <c r="S7" s="1">
        <f t="shared" si="13"/>
        <v>0</v>
      </c>
      <c r="T7" s="33">
        <f t="shared" si="14"/>
        <v>0</v>
      </c>
      <c r="V7" s="8" t="str">
        <f t="shared" si="6"/>
        <v/>
      </c>
      <c r="W7" s="69"/>
      <c r="AX7"/>
    </row>
    <row r="8" spans="1:50" x14ac:dyDescent="0.25">
      <c r="A8">
        <v>30016</v>
      </c>
      <c r="B8" t="s">
        <v>34</v>
      </c>
      <c r="C8" s="45">
        <v>45574</v>
      </c>
      <c r="D8" s="46" t="s">
        <v>37</v>
      </c>
      <c r="E8" s="46" t="s">
        <v>42</v>
      </c>
      <c r="F8" s="63">
        <f t="shared" si="8"/>
        <v>1</v>
      </c>
      <c r="G8" s="34" t="s">
        <v>330</v>
      </c>
      <c r="H8" s="58" t="s">
        <v>187</v>
      </c>
      <c r="I8" s="28">
        <v>60.24</v>
      </c>
      <c r="J8" t="s">
        <v>36</v>
      </c>
      <c r="K8" s="47">
        <v>11800</v>
      </c>
      <c r="L8" s="3" t="str">
        <f t="shared" si="9"/>
        <v>pi</v>
      </c>
      <c r="M8" s="33">
        <f t="shared" si="10"/>
        <v>8529.9840000000004</v>
      </c>
      <c r="N8" s="2">
        <f>_xlfn.XLOOKUP(A8,'[1]Prix MP'!$A:$A,'[1]Prix MP'!$T:$T)</f>
        <v>0.32628488624786672</v>
      </c>
      <c r="O8" s="18">
        <f>_xlfn.XLOOKUP(A8,'[1]Prix MP'!$A:$A,'[1]Prix MP'!$U:$U)</f>
        <v>0.32628488624786672</v>
      </c>
      <c r="P8" s="11">
        <f t="shared" si="11"/>
        <v>2783.2048591361231</v>
      </c>
      <c r="Q8" s="7">
        <f t="shared" si="12"/>
        <v>2783.2048591361231</v>
      </c>
      <c r="R8" t="s">
        <v>197</v>
      </c>
      <c r="S8" s="1">
        <f t="shared" si="13"/>
        <v>0</v>
      </c>
      <c r="T8" s="33">
        <f t="shared" si="14"/>
        <v>0</v>
      </c>
      <c r="V8" s="8" t="str">
        <f t="shared" si="6"/>
        <v/>
      </c>
      <c r="W8" s="69"/>
      <c r="AX8"/>
    </row>
    <row r="9" spans="1:50" x14ac:dyDescent="0.25">
      <c r="A9">
        <v>30016</v>
      </c>
      <c r="B9" t="s">
        <v>34</v>
      </c>
      <c r="C9" s="45">
        <v>45574</v>
      </c>
      <c r="D9" s="46" t="s">
        <v>38</v>
      </c>
      <c r="E9" s="46" t="s">
        <v>42</v>
      </c>
      <c r="F9" s="63">
        <f t="shared" si="8"/>
        <v>-1</v>
      </c>
      <c r="G9" s="34" t="s">
        <v>330</v>
      </c>
      <c r="H9" s="58" t="s">
        <v>187</v>
      </c>
      <c r="I9" s="28">
        <v>60.24</v>
      </c>
      <c r="J9" t="s">
        <v>36</v>
      </c>
      <c r="K9" s="47">
        <v>11800</v>
      </c>
      <c r="L9" s="3" t="str">
        <f t="shared" si="9"/>
        <v>pi</v>
      </c>
      <c r="M9" s="33">
        <f t="shared" si="10"/>
        <v>-8529.9840000000004</v>
      </c>
      <c r="N9" s="2">
        <f>_xlfn.XLOOKUP(A9,'[1]Prix MP'!$A:$A,'[1]Prix MP'!$T:$T)</f>
        <v>0.32628488624786672</v>
      </c>
      <c r="O9" s="18">
        <f>_xlfn.XLOOKUP(A9,'[1]Prix MP'!$A:$A,'[1]Prix MP'!$U:$U)</f>
        <v>0.32628488624786672</v>
      </c>
      <c r="P9" s="11">
        <f t="shared" si="11"/>
        <v>-2783.2048591361231</v>
      </c>
      <c r="Q9" s="7">
        <f t="shared" si="12"/>
        <v>-2783.2048591361231</v>
      </c>
      <c r="R9" t="s">
        <v>197</v>
      </c>
      <c r="S9" s="1">
        <f t="shared" si="13"/>
        <v>0</v>
      </c>
      <c r="T9" s="33">
        <f t="shared" si="14"/>
        <v>0</v>
      </c>
      <c r="V9" s="8" t="str">
        <f t="shared" si="6"/>
        <v/>
      </c>
      <c r="W9" s="69"/>
      <c r="AX9"/>
    </row>
    <row r="10" spans="1:50" x14ac:dyDescent="0.25">
      <c r="A10">
        <v>30016</v>
      </c>
      <c r="B10" t="s">
        <v>34</v>
      </c>
      <c r="C10" s="45">
        <v>45574</v>
      </c>
      <c r="D10" s="46" t="s">
        <v>37</v>
      </c>
      <c r="E10" s="46" t="s">
        <v>42</v>
      </c>
      <c r="F10" s="63">
        <f t="shared" si="8"/>
        <v>1</v>
      </c>
      <c r="G10" s="34" t="s">
        <v>330</v>
      </c>
      <c r="H10" s="58" t="s">
        <v>204</v>
      </c>
      <c r="I10" s="28">
        <v>60.24</v>
      </c>
      <c r="J10" t="s">
        <v>36</v>
      </c>
      <c r="K10" s="47">
        <v>6700</v>
      </c>
      <c r="L10" s="3" t="str">
        <f t="shared" si="9"/>
        <v>pi</v>
      </c>
      <c r="M10" s="33">
        <f t="shared" si="10"/>
        <v>4843.2960000000003</v>
      </c>
      <c r="N10" s="2">
        <f>_xlfn.XLOOKUP(A10,'[1]Prix MP'!$A:$A,'[1]Prix MP'!$T:$T)</f>
        <v>0.32628488624786672</v>
      </c>
      <c r="O10" s="18">
        <f>_xlfn.XLOOKUP(A10,'[1]Prix MP'!$A:$A,'[1]Prix MP'!$U:$U)</f>
        <v>0.32628488624786672</v>
      </c>
      <c r="P10" s="11">
        <f t="shared" si="11"/>
        <v>1580.294284424748</v>
      </c>
      <c r="Q10" s="7">
        <f t="shared" si="12"/>
        <v>1580.294284424748</v>
      </c>
      <c r="R10" t="s">
        <v>197</v>
      </c>
      <c r="S10" s="1">
        <f t="shared" si="13"/>
        <v>0</v>
      </c>
      <c r="T10" s="33">
        <f t="shared" si="14"/>
        <v>0</v>
      </c>
      <c r="V10" s="8" t="str">
        <f t="shared" si="6"/>
        <v/>
      </c>
      <c r="W10" s="69"/>
      <c r="AX10"/>
    </row>
    <row r="11" spans="1:50" x14ac:dyDescent="0.25">
      <c r="A11">
        <v>30016</v>
      </c>
      <c r="B11" t="s">
        <v>34</v>
      </c>
      <c r="C11" s="45">
        <v>45582</v>
      </c>
      <c r="D11" s="46" t="s">
        <v>38</v>
      </c>
      <c r="E11" s="46" t="s">
        <v>42</v>
      </c>
      <c r="F11" s="63">
        <f t="shared" si="8"/>
        <v>-1</v>
      </c>
      <c r="G11" s="34" t="s">
        <v>330</v>
      </c>
      <c r="H11" s="58" t="s">
        <v>204</v>
      </c>
      <c r="I11" s="28">
        <v>60.24</v>
      </c>
      <c r="J11" t="s">
        <v>36</v>
      </c>
      <c r="K11" s="47">
        <v>6700</v>
      </c>
      <c r="L11" s="3" t="str">
        <f t="shared" si="9"/>
        <v>pi</v>
      </c>
      <c r="M11" s="33">
        <f t="shared" si="10"/>
        <v>-4843.2960000000003</v>
      </c>
      <c r="N11" s="2">
        <f>_xlfn.XLOOKUP(A11,'[1]Prix MP'!$A:$A,'[1]Prix MP'!$T:$T)</f>
        <v>0.32628488624786672</v>
      </c>
      <c r="O11" s="18">
        <f>_xlfn.XLOOKUP(A11,'[1]Prix MP'!$A:$A,'[1]Prix MP'!$U:$U)</f>
        <v>0.32628488624786672</v>
      </c>
      <c r="P11" s="11">
        <f t="shared" si="11"/>
        <v>-1580.294284424748</v>
      </c>
      <c r="Q11" s="7">
        <f t="shared" si="12"/>
        <v>-1580.294284424748</v>
      </c>
      <c r="R11" t="s">
        <v>197</v>
      </c>
      <c r="S11" s="1">
        <f t="shared" si="13"/>
        <v>0</v>
      </c>
      <c r="T11" s="33">
        <f t="shared" si="14"/>
        <v>0</v>
      </c>
      <c r="V11" s="8" t="str">
        <f t="shared" si="6"/>
        <v/>
      </c>
      <c r="W11" s="69"/>
      <c r="AX11"/>
    </row>
    <row r="12" spans="1:50" x14ac:dyDescent="0.25">
      <c r="A12">
        <v>30016</v>
      </c>
      <c r="B12" t="s">
        <v>34</v>
      </c>
      <c r="C12" s="45">
        <v>45582</v>
      </c>
      <c r="D12" s="46" t="s">
        <v>37</v>
      </c>
      <c r="E12" s="46" t="s">
        <v>42</v>
      </c>
      <c r="F12" s="63">
        <f t="shared" si="8"/>
        <v>1</v>
      </c>
      <c r="G12" s="34" t="s">
        <v>330</v>
      </c>
      <c r="H12" s="58" t="s">
        <v>339</v>
      </c>
      <c r="I12" s="28">
        <v>34</v>
      </c>
      <c r="J12" t="s">
        <v>36</v>
      </c>
      <c r="K12" s="47">
        <v>1500</v>
      </c>
      <c r="L12" s="3" t="str">
        <f t="shared" si="9"/>
        <v>pi</v>
      </c>
      <c r="M12" s="33">
        <f t="shared" si="10"/>
        <v>612</v>
      </c>
      <c r="N12" s="2">
        <f>_xlfn.XLOOKUP(A12,'[1]Prix MP'!$A:$A,'[1]Prix MP'!$T:$T)</f>
        <v>0.32628488624786672</v>
      </c>
      <c r="O12" s="18">
        <f>_xlfn.XLOOKUP(A12,'[1]Prix MP'!$A:$A,'[1]Prix MP'!$U:$U)</f>
        <v>0.32628488624786672</v>
      </c>
      <c r="P12" s="11">
        <f t="shared" si="11"/>
        <v>199.68635038369445</v>
      </c>
      <c r="Q12" s="7">
        <f t="shared" si="12"/>
        <v>199.68635038369445</v>
      </c>
      <c r="R12" t="s">
        <v>197</v>
      </c>
      <c r="S12" s="1">
        <f t="shared" si="13"/>
        <v>0</v>
      </c>
      <c r="T12" s="33">
        <f t="shared" si="14"/>
        <v>0</v>
      </c>
      <c r="V12" s="8" t="str">
        <f t="shared" si="6"/>
        <v/>
      </c>
      <c r="W12" s="69"/>
      <c r="AX12"/>
    </row>
    <row r="13" spans="1:50" x14ac:dyDescent="0.25">
      <c r="A13">
        <v>30016</v>
      </c>
      <c r="B13" t="s">
        <v>34</v>
      </c>
      <c r="C13" s="45">
        <v>45596</v>
      </c>
      <c r="D13" s="46" t="s">
        <v>176</v>
      </c>
      <c r="E13" s="46" t="s">
        <v>42</v>
      </c>
      <c r="F13" s="63">
        <v>-1</v>
      </c>
      <c r="G13" s="34" t="s">
        <v>411</v>
      </c>
      <c r="H13" s="58" t="s">
        <v>412</v>
      </c>
      <c r="I13" s="28">
        <v>34</v>
      </c>
      <c r="J13" t="s">
        <v>36</v>
      </c>
      <c r="K13" s="47">
        <v>1500</v>
      </c>
      <c r="L13" s="3" t="s">
        <v>372</v>
      </c>
      <c r="M13" s="33">
        <f t="shared" ref="M13:M14" si="15">IF(J13="mm",F13*I13/1000*K13*1.55,F13*I13*12*K13/1000)</f>
        <v>-612</v>
      </c>
      <c r="N13" s="2">
        <f>_xlfn.XLOOKUP(A13,'[1]Prix MP'!$A:$A,'[1]Prix MP'!$T:$T)</f>
        <v>0.32628488624786672</v>
      </c>
      <c r="O13" s="18">
        <f>_xlfn.XLOOKUP(A13,'[1]Prix MP'!$A:$A,'[1]Prix MP'!$U:$U)</f>
        <v>0.32628488624786672</v>
      </c>
      <c r="P13" s="11">
        <f t="shared" ref="P13:P14" si="16">M13*N13</f>
        <v>-199.68635038369445</v>
      </c>
      <c r="Q13" s="7">
        <f t="shared" ref="Q13:Q14" si="17">M13*O13</f>
        <v>-199.68635038369445</v>
      </c>
      <c r="R13" t="s">
        <v>197</v>
      </c>
      <c r="S13" s="1">
        <f t="shared" ref="S13:S14" si="18">ROUND(IF(E13="I",0,IF(J13="po",I13,I13/25.4)),2)</f>
        <v>0</v>
      </c>
      <c r="T13" s="33">
        <f t="shared" ref="T13:T14" si="19">ROUND(IF(E13="I",0,IF(J13="po",K13,K13*3.280839895)),0)</f>
        <v>0</v>
      </c>
      <c r="V13" s="8" t="str">
        <f t="shared" si="6"/>
        <v/>
      </c>
      <c r="W13" s="69"/>
      <c r="AX13"/>
    </row>
    <row r="14" spans="1:50" x14ac:dyDescent="0.25">
      <c r="A14">
        <v>30016</v>
      </c>
      <c r="B14" t="s">
        <v>34</v>
      </c>
      <c r="C14" s="45">
        <v>45596</v>
      </c>
      <c r="D14" s="46" t="s">
        <v>373</v>
      </c>
      <c r="E14" s="46" t="s">
        <v>41</v>
      </c>
      <c r="F14" s="63">
        <v>1</v>
      </c>
      <c r="G14" s="34" t="s">
        <v>411</v>
      </c>
      <c r="H14" s="58" t="s">
        <v>413</v>
      </c>
      <c r="I14" s="28">
        <v>8</v>
      </c>
      <c r="J14" t="s">
        <v>36</v>
      </c>
      <c r="K14" s="47">
        <v>1450</v>
      </c>
      <c r="L14" s="3" t="s">
        <v>372</v>
      </c>
      <c r="M14" s="33">
        <f t="shared" si="15"/>
        <v>139.19999999999999</v>
      </c>
      <c r="N14" s="2">
        <f>_xlfn.XLOOKUP(A14,'[1]Prix MP'!$A:$A,'[1]Prix MP'!$T:$T)</f>
        <v>0.32628488624786672</v>
      </c>
      <c r="O14" s="18">
        <f>_xlfn.XLOOKUP(A14,'[1]Prix MP'!$A:$A,'[1]Prix MP'!$U:$U)</f>
        <v>0.32628488624786672</v>
      </c>
      <c r="P14" s="11">
        <f t="shared" si="16"/>
        <v>45.418856165703048</v>
      </c>
      <c r="Q14" s="7">
        <f t="shared" si="17"/>
        <v>45.418856165703048</v>
      </c>
      <c r="R14" t="s">
        <v>197</v>
      </c>
      <c r="S14" s="1">
        <f t="shared" si="18"/>
        <v>8</v>
      </c>
      <c r="T14" s="33">
        <f t="shared" si="19"/>
        <v>1450</v>
      </c>
      <c r="V14" s="8" t="str">
        <f t="shared" si="6"/>
        <v/>
      </c>
      <c r="W14" s="69"/>
      <c r="AX14"/>
    </row>
    <row r="15" spans="1:50" x14ac:dyDescent="0.25">
      <c r="A15">
        <v>30016</v>
      </c>
      <c r="B15" t="s">
        <v>34</v>
      </c>
      <c r="C15" s="45">
        <v>45582</v>
      </c>
      <c r="D15" s="46" t="s">
        <v>37</v>
      </c>
      <c r="E15" s="46" t="s">
        <v>41</v>
      </c>
      <c r="F15" s="63">
        <f t="shared" si="8"/>
        <v>1</v>
      </c>
      <c r="G15" s="34" t="s">
        <v>330</v>
      </c>
      <c r="H15" s="58" t="s">
        <v>340</v>
      </c>
      <c r="I15" s="28">
        <v>60.24</v>
      </c>
      <c r="J15" t="s">
        <v>36</v>
      </c>
      <c r="K15" s="47">
        <v>5100</v>
      </c>
      <c r="L15" s="3" t="str">
        <f t="shared" si="9"/>
        <v>pi</v>
      </c>
      <c r="M15" s="33">
        <f t="shared" si="10"/>
        <v>3686.6880000000001</v>
      </c>
      <c r="N15" s="2">
        <f>_xlfn.XLOOKUP(A15,'[1]Prix MP'!$A:$A,'[1]Prix MP'!$T:$T)</f>
        <v>0.32628488624786672</v>
      </c>
      <c r="O15" s="18">
        <f>_xlfn.XLOOKUP(A15,'[1]Prix MP'!$A:$A,'[1]Prix MP'!$U:$U)</f>
        <v>0.32628488624786672</v>
      </c>
      <c r="P15" s="11">
        <f t="shared" si="11"/>
        <v>1202.9105747113754</v>
      </c>
      <c r="Q15" s="7">
        <f t="shared" si="12"/>
        <v>1202.9105747113754</v>
      </c>
      <c r="R15" t="s">
        <v>197</v>
      </c>
      <c r="S15" s="1">
        <f t="shared" si="13"/>
        <v>60.24</v>
      </c>
      <c r="T15" s="33">
        <f t="shared" si="14"/>
        <v>5100</v>
      </c>
      <c r="V15" s="8" t="str">
        <f t="shared" si="6"/>
        <v/>
      </c>
      <c r="W15" s="69"/>
      <c r="AX15"/>
    </row>
    <row r="16" spans="1:50" x14ac:dyDescent="0.25">
      <c r="A16">
        <v>30016</v>
      </c>
      <c r="B16" t="s">
        <v>34</v>
      </c>
      <c r="C16" s="45">
        <v>45421</v>
      </c>
      <c r="D16" s="46" t="s">
        <v>37</v>
      </c>
      <c r="E16" s="46" t="s">
        <v>42</v>
      </c>
      <c r="F16" s="63">
        <f t="shared" si="0"/>
        <v>1</v>
      </c>
      <c r="G16" s="34"/>
      <c r="H16" s="58" t="s">
        <v>120</v>
      </c>
      <c r="I16" s="28">
        <v>1530</v>
      </c>
      <c r="J16" t="s">
        <v>2</v>
      </c>
      <c r="K16" s="47">
        <v>5980</v>
      </c>
      <c r="L16" s="3" t="str">
        <f t="shared" si="1"/>
        <v>m</v>
      </c>
      <c r="M16" s="33">
        <f t="shared" si="7"/>
        <v>14181.57</v>
      </c>
      <c r="N16" s="2">
        <f>_xlfn.XLOOKUP(A16,'[1]Prix MP'!$A:$A,'[1]Prix MP'!$T:$T)</f>
        <v>0.32628488624786672</v>
      </c>
      <c r="O16" s="18">
        <f>_xlfn.XLOOKUP(A16,'[1]Prix MP'!$A:$A,'[1]Prix MP'!$U:$U)</f>
        <v>0.32628488624786672</v>
      </c>
      <c r="P16" s="11">
        <f t="shared" si="2"/>
        <v>4627.2319542661589</v>
      </c>
      <c r="Q16" s="7">
        <f t="shared" si="3"/>
        <v>4627.2319542661589</v>
      </c>
      <c r="R16" t="s">
        <v>197</v>
      </c>
      <c r="S16" s="1">
        <f t="shared" si="4"/>
        <v>0</v>
      </c>
      <c r="T16" s="33">
        <f t="shared" si="5"/>
        <v>0</v>
      </c>
      <c r="V16" s="8">
        <f t="shared" si="6"/>
        <v>9149.4</v>
      </c>
      <c r="W16" s="69"/>
      <c r="AX16"/>
    </row>
    <row r="17" spans="1:50" x14ac:dyDescent="0.25">
      <c r="A17">
        <v>30016</v>
      </c>
      <c r="B17" s="17" t="s">
        <v>34</v>
      </c>
      <c r="C17" s="45">
        <v>45624</v>
      </c>
      <c r="D17" s="46" t="s">
        <v>176</v>
      </c>
      <c r="E17" s="46" t="s">
        <v>42</v>
      </c>
      <c r="F17" s="64">
        <v>-1</v>
      </c>
      <c r="G17" s="49" t="s">
        <v>485</v>
      </c>
      <c r="H17" s="58" t="s">
        <v>486</v>
      </c>
      <c r="I17" s="28">
        <v>1530</v>
      </c>
      <c r="J17" t="s">
        <v>2</v>
      </c>
      <c r="K17" s="47">
        <v>5980</v>
      </c>
      <c r="L17" s="3" t="str">
        <f t="shared" ref="L17" si="20">IF(J17="mm","m","pi")</f>
        <v>m</v>
      </c>
      <c r="M17" s="33">
        <f>IF(J17="mm",F17*I17/1000*K17*1.55,F17*I17*12*K17/1000)</f>
        <v>-14181.57</v>
      </c>
      <c r="N17" s="2">
        <f>_xlfn.XLOOKUP(A17,'[1]Prix MP'!$A:$A,'[1]Prix MP'!$T:$T)</f>
        <v>0.32628488624786672</v>
      </c>
      <c r="O17" s="18">
        <f>_xlfn.XLOOKUP(A17,'[1]Prix MP'!$A:$A,'[1]Prix MP'!$U:$U)</f>
        <v>0.32628488624786672</v>
      </c>
      <c r="P17" s="11">
        <f>M17*N17</f>
        <v>-4627.2319542661589</v>
      </c>
      <c r="Q17" s="7">
        <f t="shared" ref="Q17:Q18" si="21">M17*O17</f>
        <v>-4627.2319542661589</v>
      </c>
      <c r="R17" t="s">
        <v>197</v>
      </c>
      <c r="S17" s="1">
        <f>ROUND(IF(E17="I",0,IF(J17="po",I17,I17/25.4)),2)</f>
        <v>0</v>
      </c>
      <c r="T17" s="33">
        <f>ROUND(IF(E17="I",0,IF(J17="po",K17,K17*3.280839895)),0)</f>
        <v>0</v>
      </c>
      <c r="V17" s="8"/>
      <c r="W17" s="69"/>
      <c r="AX17"/>
    </row>
    <row r="18" spans="1:50" x14ac:dyDescent="0.25">
      <c r="A18">
        <v>30016</v>
      </c>
      <c r="B18" s="17" t="s">
        <v>34</v>
      </c>
      <c r="C18" s="45">
        <v>45624</v>
      </c>
      <c r="D18" s="46" t="s">
        <v>373</v>
      </c>
      <c r="E18" s="46" t="s">
        <v>41</v>
      </c>
      <c r="F18" s="64">
        <v>1</v>
      </c>
      <c r="G18" s="49" t="s">
        <v>485</v>
      </c>
      <c r="H18" s="58" t="s">
        <v>487</v>
      </c>
      <c r="I18" s="28">
        <v>60.24</v>
      </c>
      <c r="J18" t="s">
        <v>36</v>
      </c>
      <c r="K18" s="47">
        <v>9450</v>
      </c>
      <c r="L18" s="3" t="s">
        <v>372</v>
      </c>
      <c r="M18" s="33">
        <f>IF(J18="mm",F18*I18/1000*K18*1.55,F18*I18*12*K18/1000)</f>
        <v>6831.2160000000003</v>
      </c>
      <c r="N18" s="2">
        <f>_xlfn.XLOOKUP(A18,'[1]Prix MP'!$A:$A,'[1]Prix MP'!$T:$T)</f>
        <v>0.32628488624786672</v>
      </c>
      <c r="O18" s="18">
        <f>_xlfn.XLOOKUP(A18,'[1]Prix MP'!$A:$A,'[1]Prix MP'!$U:$U)</f>
        <v>0.32628488624786672</v>
      </c>
      <c r="P18" s="11">
        <f>M18*N18</f>
        <v>2228.922535494607</v>
      </c>
      <c r="Q18" s="7">
        <f t="shared" si="21"/>
        <v>2228.922535494607</v>
      </c>
      <c r="R18" t="s">
        <v>197</v>
      </c>
      <c r="S18" s="1">
        <f>ROUND(IF(E18="I",0,IF(J18="po",I18,I18/25.4)),2)</f>
        <v>60.24</v>
      </c>
      <c r="T18" s="33">
        <f>ROUND(IF(E18="I",0,IF(J18="po",K18,K18*3.280839895)),0)</f>
        <v>9450</v>
      </c>
      <c r="V18" s="8"/>
      <c r="W18" s="69"/>
      <c r="AX18"/>
    </row>
    <row r="19" spans="1:50" x14ac:dyDescent="0.25">
      <c r="A19">
        <v>30017</v>
      </c>
      <c r="B19" t="s">
        <v>35</v>
      </c>
      <c r="C19" s="45">
        <v>45541</v>
      </c>
      <c r="D19" s="46" t="s">
        <v>37</v>
      </c>
      <c r="E19" s="46" t="s">
        <v>42</v>
      </c>
      <c r="F19" s="63">
        <f t="shared" si="0"/>
        <v>1</v>
      </c>
      <c r="G19" s="34" t="s">
        <v>183</v>
      </c>
      <c r="H19" s="58" t="s">
        <v>219</v>
      </c>
      <c r="I19" s="28">
        <v>9.5</v>
      </c>
      <c r="J19" t="s">
        <v>36</v>
      </c>
      <c r="K19" s="47">
        <v>4850</v>
      </c>
      <c r="L19" s="3" t="str">
        <f t="shared" si="1"/>
        <v>pi</v>
      </c>
      <c r="M19" s="33">
        <f t="shared" si="7"/>
        <v>552.9</v>
      </c>
      <c r="N19" s="2">
        <f>_xlfn.XLOOKUP(A19,'[1]Prix MP'!$A:$A,'[1]Prix MP'!$T:$T)</f>
        <v>0.32628488624786672</v>
      </c>
      <c r="O19" s="18">
        <f>_xlfn.XLOOKUP(A19,'[1]Prix MP'!$A:$A,'[1]Prix MP'!$U:$U)</f>
        <v>0.32628488624786672</v>
      </c>
      <c r="P19" s="11">
        <f t="shared" si="2"/>
        <v>180.40291360644551</v>
      </c>
      <c r="Q19" s="7">
        <f t="shared" si="3"/>
        <v>180.40291360644551</v>
      </c>
      <c r="R19" t="s">
        <v>198</v>
      </c>
      <c r="S19" s="1">
        <f t="shared" si="4"/>
        <v>0</v>
      </c>
      <c r="T19" s="33">
        <f t="shared" si="5"/>
        <v>0</v>
      </c>
      <c r="V19" s="8" t="str">
        <f t="shared" si="6"/>
        <v/>
      </c>
      <c r="W19" s="69"/>
      <c r="AX19"/>
    </row>
    <row r="20" spans="1:50" x14ac:dyDescent="0.25">
      <c r="A20">
        <v>30017</v>
      </c>
      <c r="B20" t="s">
        <v>35</v>
      </c>
      <c r="C20" s="45">
        <v>45568</v>
      </c>
      <c r="D20" s="46" t="s">
        <v>38</v>
      </c>
      <c r="E20" s="46" t="s">
        <v>42</v>
      </c>
      <c r="F20" s="63">
        <f t="shared" si="0"/>
        <v>-1</v>
      </c>
      <c r="G20" s="34" t="s">
        <v>183</v>
      </c>
      <c r="H20" s="58" t="s">
        <v>219</v>
      </c>
      <c r="I20" s="28">
        <v>9.5</v>
      </c>
      <c r="J20" t="s">
        <v>36</v>
      </c>
      <c r="K20" s="47">
        <v>4850</v>
      </c>
      <c r="L20" s="3" t="str">
        <f t="shared" si="1"/>
        <v>pi</v>
      </c>
      <c r="M20" s="33">
        <f t="shared" si="7"/>
        <v>-552.9</v>
      </c>
      <c r="N20" s="2">
        <f>_xlfn.XLOOKUP(A20,'[1]Prix MP'!$A:$A,'[1]Prix MP'!$T:$T)</f>
        <v>0.32628488624786672</v>
      </c>
      <c r="O20" s="18">
        <f>_xlfn.XLOOKUP(A20,'[1]Prix MP'!$A:$A,'[1]Prix MP'!$U:$U)</f>
        <v>0.32628488624786672</v>
      </c>
      <c r="P20" s="11">
        <f t="shared" si="2"/>
        <v>-180.40291360644551</v>
      </c>
      <c r="Q20" s="7">
        <f t="shared" si="3"/>
        <v>-180.40291360644551</v>
      </c>
      <c r="R20" t="s">
        <v>198</v>
      </c>
      <c r="S20" s="1">
        <f t="shared" si="4"/>
        <v>0</v>
      </c>
      <c r="T20" s="33">
        <f t="shared" si="5"/>
        <v>0</v>
      </c>
      <c r="V20" s="8" t="str">
        <f t="shared" si="6"/>
        <v/>
      </c>
      <c r="W20" s="69"/>
      <c r="AX20"/>
    </row>
    <row r="21" spans="1:50" x14ac:dyDescent="0.25">
      <c r="A21">
        <v>30017</v>
      </c>
      <c r="B21" t="s">
        <v>35</v>
      </c>
      <c r="C21" s="45">
        <v>45568</v>
      </c>
      <c r="D21" s="46" t="s">
        <v>37</v>
      </c>
      <c r="E21" s="46" t="s">
        <v>42</v>
      </c>
      <c r="F21" s="63">
        <f t="shared" ref="F21" si="22">IF(D21="in",1,-1)</f>
        <v>1</v>
      </c>
      <c r="G21" s="34" t="s">
        <v>183</v>
      </c>
      <c r="H21" s="58" t="s">
        <v>184</v>
      </c>
      <c r="I21" s="28">
        <v>9.5</v>
      </c>
      <c r="J21" t="s">
        <v>36</v>
      </c>
      <c r="K21" s="47">
        <v>2500</v>
      </c>
      <c r="L21" s="3" t="str">
        <f t="shared" ref="L21" si="23">IF(J21="mm","m","pi")</f>
        <v>pi</v>
      </c>
      <c r="M21" s="33">
        <f t="shared" ref="M21" si="24">IF(J21="mm",F21*I21/1000*K21*1.55,F21*I21*12*K21/1000)</f>
        <v>285</v>
      </c>
      <c r="N21" s="2">
        <f>_xlfn.XLOOKUP(A21,'[1]Prix MP'!$A:$A,'[1]Prix MP'!$T:$T)</f>
        <v>0.32628488624786672</v>
      </c>
      <c r="O21" s="18">
        <f>_xlfn.XLOOKUP(A21,'[1]Prix MP'!$A:$A,'[1]Prix MP'!$U:$U)</f>
        <v>0.32628488624786672</v>
      </c>
      <c r="P21" s="11">
        <f t="shared" ref="P21" si="25">M21*N21</f>
        <v>92.991192580642021</v>
      </c>
      <c r="Q21" s="7">
        <f t="shared" ref="Q21" si="26">M21*O21</f>
        <v>92.991192580642021</v>
      </c>
      <c r="R21" t="s">
        <v>198</v>
      </c>
      <c r="S21" s="1">
        <f t="shared" ref="S21" si="27">ROUND(IF(E21="I",0,IF(J21="po",I21,I21/25.4)),2)</f>
        <v>0</v>
      </c>
      <c r="T21" s="33">
        <f t="shared" ref="T21" si="28">ROUND(IF(E21="I",0,IF(J21="po",K21,K21*3.280839895)),0)</f>
        <v>0</v>
      </c>
      <c r="V21" s="8"/>
      <c r="W21" s="69"/>
      <c r="AX21"/>
    </row>
    <row r="22" spans="1:50" x14ac:dyDescent="0.25">
      <c r="A22">
        <v>30017</v>
      </c>
      <c r="B22" t="s">
        <v>35</v>
      </c>
      <c r="C22" s="45">
        <v>45632</v>
      </c>
      <c r="D22" s="46" t="s">
        <v>176</v>
      </c>
      <c r="E22" s="46" t="s">
        <v>42</v>
      </c>
      <c r="F22" s="63">
        <v>-1</v>
      </c>
      <c r="G22" s="34" t="s">
        <v>501</v>
      </c>
      <c r="H22" s="58" t="s">
        <v>502</v>
      </c>
      <c r="I22" s="28">
        <v>9.5</v>
      </c>
      <c r="J22" t="s">
        <v>36</v>
      </c>
      <c r="K22" s="47">
        <v>2500</v>
      </c>
      <c r="L22" s="3" t="s">
        <v>372</v>
      </c>
      <c r="M22" s="33">
        <f t="shared" si="7"/>
        <v>-285</v>
      </c>
      <c r="N22" s="2">
        <f>_xlfn.XLOOKUP(A22,'[1]Prix MP'!$A:$A,'[1]Prix MP'!$T:$T)</f>
        <v>0.32628488624786672</v>
      </c>
      <c r="O22" s="18">
        <f>_xlfn.XLOOKUP(A22,'[1]Prix MP'!$A:$A,'[1]Prix MP'!$U:$U)</f>
        <v>0.32628488624786672</v>
      </c>
      <c r="P22" s="11">
        <f t="shared" si="2"/>
        <v>-92.991192580642021</v>
      </c>
      <c r="Q22" s="7">
        <f t="shared" si="3"/>
        <v>-92.991192580642021</v>
      </c>
      <c r="R22" t="s">
        <v>198</v>
      </c>
      <c r="S22" s="1">
        <f t="shared" si="4"/>
        <v>0</v>
      </c>
      <c r="T22" s="33">
        <f t="shared" si="5"/>
        <v>0</v>
      </c>
      <c r="V22" s="8" t="str">
        <f t="shared" si="6"/>
        <v/>
      </c>
      <c r="W22" s="69"/>
      <c r="AX22"/>
    </row>
    <row r="23" spans="1:50" x14ac:dyDescent="0.25">
      <c r="A23">
        <v>30013</v>
      </c>
      <c r="B23" t="s">
        <v>276</v>
      </c>
      <c r="C23" s="45">
        <v>45532</v>
      </c>
      <c r="D23" s="46" t="s">
        <v>37</v>
      </c>
      <c r="E23" s="46" t="s">
        <v>41</v>
      </c>
      <c r="F23" s="63">
        <f t="shared" si="0"/>
        <v>1</v>
      </c>
      <c r="G23" s="34">
        <v>2024099</v>
      </c>
      <c r="H23" s="58" t="s">
        <v>220</v>
      </c>
      <c r="I23" s="28">
        <v>4</v>
      </c>
      <c r="J23" t="s">
        <v>36</v>
      </c>
      <c r="K23" s="47">
        <v>5000</v>
      </c>
      <c r="L23" s="3" t="str">
        <f t="shared" si="1"/>
        <v>pi</v>
      </c>
      <c r="M23" s="33">
        <f t="shared" si="7"/>
        <v>240</v>
      </c>
      <c r="N23" s="2">
        <f>_xlfn.XLOOKUP(A23,'[1]Prix MP'!$A:$A,'[1]Prix MP'!$T:$T)</f>
        <v>0</v>
      </c>
      <c r="O23" s="18">
        <f>_xlfn.XLOOKUP(A23,'[1]Prix MP'!$A:$A,'[1]Prix MP'!$U:$U)</f>
        <v>0.35817393372252498</v>
      </c>
      <c r="P23" s="11">
        <f t="shared" si="2"/>
        <v>0</v>
      </c>
      <c r="Q23" s="7">
        <f t="shared" si="3"/>
        <v>85.961744093405997</v>
      </c>
      <c r="R23" t="s">
        <v>206</v>
      </c>
      <c r="S23" s="1">
        <f t="shared" si="4"/>
        <v>4</v>
      </c>
      <c r="T23" s="33">
        <f t="shared" si="5"/>
        <v>5000</v>
      </c>
      <c r="V23" s="8" t="str">
        <f t="shared" si="6"/>
        <v/>
      </c>
      <c r="W23" s="69"/>
      <c r="AX23"/>
    </row>
    <row r="24" spans="1:50" x14ac:dyDescent="0.25">
      <c r="A24">
        <v>30013</v>
      </c>
      <c r="B24" t="s">
        <v>276</v>
      </c>
      <c r="C24" s="45">
        <v>45532</v>
      </c>
      <c r="D24" s="46" t="s">
        <v>37</v>
      </c>
      <c r="E24" s="46" t="s">
        <v>41</v>
      </c>
      <c r="F24" s="63">
        <f t="shared" si="0"/>
        <v>1</v>
      </c>
      <c r="G24" s="34">
        <v>2024099</v>
      </c>
      <c r="H24" s="58" t="s">
        <v>221</v>
      </c>
      <c r="I24" s="28">
        <v>4</v>
      </c>
      <c r="J24" t="s">
        <v>36</v>
      </c>
      <c r="K24" s="47">
        <v>4750</v>
      </c>
      <c r="L24" s="3" t="str">
        <f t="shared" si="1"/>
        <v>pi</v>
      </c>
      <c r="M24" s="33">
        <f t="shared" si="7"/>
        <v>228</v>
      </c>
      <c r="N24" s="2">
        <f>_xlfn.XLOOKUP(A24,'[1]Prix MP'!$A:$A,'[1]Prix MP'!$T:$T)</f>
        <v>0</v>
      </c>
      <c r="O24" s="18">
        <f>_xlfn.XLOOKUP(A24,'[1]Prix MP'!$A:$A,'[1]Prix MP'!$U:$U)</f>
        <v>0.35817393372252498</v>
      </c>
      <c r="P24" s="11">
        <f t="shared" si="2"/>
        <v>0</v>
      </c>
      <c r="Q24" s="7">
        <f t="shared" si="3"/>
        <v>81.663656888735702</v>
      </c>
      <c r="R24" t="s">
        <v>206</v>
      </c>
      <c r="S24" s="1">
        <f t="shared" si="4"/>
        <v>4</v>
      </c>
      <c r="T24" s="33">
        <f t="shared" si="5"/>
        <v>4750</v>
      </c>
      <c r="V24" s="8" t="str">
        <f t="shared" si="6"/>
        <v/>
      </c>
      <c r="W24" s="69"/>
      <c r="AX24"/>
    </row>
    <row r="25" spans="1:50" x14ac:dyDescent="0.25">
      <c r="A25">
        <v>30013</v>
      </c>
      <c r="B25" t="s">
        <v>276</v>
      </c>
      <c r="C25" s="45">
        <v>45532</v>
      </c>
      <c r="D25" s="46" t="s">
        <v>37</v>
      </c>
      <c r="E25" s="46" t="s">
        <v>41</v>
      </c>
      <c r="F25" s="63">
        <f t="shared" si="0"/>
        <v>1</v>
      </c>
      <c r="G25" s="34">
        <v>2024099</v>
      </c>
      <c r="H25" s="58" t="s">
        <v>222</v>
      </c>
      <c r="I25" s="28">
        <v>4</v>
      </c>
      <c r="J25" t="s">
        <v>36</v>
      </c>
      <c r="K25" s="47">
        <v>5000</v>
      </c>
      <c r="L25" s="3" t="str">
        <f t="shared" si="1"/>
        <v>pi</v>
      </c>
      <c r="M25" s="33">
        <f t="shared" si="7"/>
        <v>240</v>
      </c>
      <c r="N25" s="2">
        <f>_xlfn.XLOOKUP(A25,'[1]Prix MP'!$A:$A,'[1]Prix MP'!$T:$T)</f>
        <v>0</v>
      </c>
      <c r="O25" s="18">
        <f>_xlfn.XLOOKUP(A25,'[1]Prix MP'!$A:$A,'[1]Prix MP'!$U:$U)</f>
        <v>0.35817393372252498</v>
      </c>
      <c r="P25" s="11">
        <f t="shared" si="2"/>
        <v>0</v>
      </c>
      <c r="Q25" s="7">
        <f t="shared" si="3"/>
        <v>85.961744093405997</v>
      </c>
      <c r="R25" t="s">
        <v>206</v>
      </c>
      <c r="S25" s="1">
        <f t="shared" si="4"/>
        <v>4</v>
      </c>
      <c r="T25" s="33">
        <f t="shared" si="5"/>
        <v>5000</v>
      </c>
      <c r="V25" s="8" t="str">
        <f t="shared" si="6"/>
        <v/>
      </c>
      <c r="W25" s="69"/>
      <c r="AX25"/>
    </row>
    <row r="26" spans="1:50" x14ac:dyDescent="0.25">
      <c r="A26">
        <v>30013</v>
      </c>
      <c r="B26" t="s">
        <v>276</v>
      </c>
      <c r="C26" s="45">
        <v>45532</v>
      </c>
      <c r="D26" s="46" t="s">
        <v>37</v>
      </c>
      <c r="E26" s="46" t="s">
        <v>41</v>
      </c>
      <c r="F26" s="63">
        <f t="shared" si="0"/>
        <v>1</v>
      </c>
      <c r="G26" s="34">
        <v>2024099</v>
      </c>
      <c r="H26" s="58" t="s">
        <v>223</v>
      </c>
      <c r="I26" s="28">
        <v>4</v>
      </c>
      <c r="J26" t="s">
        <v>36</v>
      </c>
      <c r="K26" s="47">
        <v>4800</v>
      </c>
      <c r="L26" s="3" t="str">
        <f t="shared" si="1"/>
        <v>pi</v>
      </c>
      <c r="M26" s="33">
        <f t="shared" si="7"/>
        <v>230.4</v>
      </c>
      <c r="N26" s="2">
        <f>_xlfn.XLOOKUP(A26,'[1]Prix MP'!$A:$A,'[1]Prix MP'!$T:$T)</f>
        <v>0</v>
      </c>
      <c r="O26" s="18">
        <f>_xlfn.XLOOKUP(A26,'[1]Prix MP'!$A:$A,'[1]Prix MP'!$U:$U)</f>
        <v>0.35817393372252498</v>
      </c>
      <c r="P26" s="11">
        <f t="shared" si="2"/>
        <v>0</v>
      </c>
      <c r="Q26" s="7">
        <f t="shared" si="3"/>
        <v>82.523274329669761</v>
      </c>
      <c r="R26" t="s">
        <v>206</v>
      </c>
      <c r="S26" s="1">
        <f t="shared" si="4"/>
        <v>4</v>
      </c>
      <c r="T26" s="33">
        <f t="shared" si="5"/>
        <v>4800</v>
      </c>
      <c r="V26" s="8" t="str">
        <f t="shared" si="6"/>
        <v/>
      </c>
      <c r="W26" s="69"/>
      <c r="AX26"/>
    </row>
    <row r="27" spans="1:50" x14ac:dyDescent="0.25">
      <c r="A27">
        <v>30013</v>
      </c>
      <c r="B27" t="s">
        <v>276</v>
      </c>
      <c r="C27" s="45">
        <v>45532</v>
      </c>
      <c r="D27" s="46" t="s">
        <v>37</v>
      </c>
      <c r="E27" s="46" t="s">
        <v>41</v>
      </c>
      <c r="F27" s="63">
        <f t="shared" si="0"/>
        <v>1</v>
      </c>
      <c r="G27" s="34">
        <v>2024099</v>
      </c>
      <c r="H27" s="58" t="s">
        <v>224</v>
      </c>
      <c r="I27" s="28">
        <v>4</v>
      </c>
      <c r="J27" t="s">
        <v>36</v>
      </c>
      <c r="K27" s="47">
        <v>5000</v>
      </c>
      <c r="L27" s="3" t="str">
        <f t="shared" si="1"/>
        <v>pi</v>
      </c>
      <c r="M27" s="33">
        <f t="shared" si="7"/>
        <v>240</v>
      </c>
      <c r="N27" s="2">
        <f>_xlfn.XLOOKUP(A27,'[1]Prix MP'!$A:$A,'[1]Prix MP'!$T:$T)</f>
        <v>0</v>
      </c>
      <c r="O27" s="18">
        <f>_xlfn.XLOOKUP(A27,'[1]Prix MP'!$A:$A,'[1]Prix MP'!$U:$U)</f>
        <v>0.35817393372252498</v>
      </c>
      <c r="P27" s="11">
        <f t="shared" si="2"/>
        <v>0</v>
      </c>
      <c r="Q27" s="7">
        <f t="shared" si="3"/>
        <v>85.961744093405997</v>
      </c>
      <c r="R27" t="s">
        <v>206</v>
      </c>
      <c r="S27" s="1">
        <f t="shared" si="4"/>
        <v>4</v>
      </c>
      <c r="T27" s="33">
        <f t="shared" si="5"/>
        <v>5000</v>
      </c>
      <c r="V27" s="8" t="str">
        <f t="shared" si="6"/>
        <v/>
      </c>
      <c r="W27" s="69"/>
      <c r="AX27"/>
    </row>
    <row r="28" spans="1:50" x14ac:dyDescent="0.25">
      <c r="A28">
        <v>30013</v>
      </c>
      <c r="B28" t="s">
        <v>276</v>
      </c>
      <c r="C28" s="45">
        <v>45532</v>
      </c>
      <c r="D28" s="46" t="s">
        <v>37</v>
      </c>
      <c r="E28" s="46" t="s">
        <v>41</v>
      </c>
      <c r="F28" s="63">
        <f t="shared" si="0"/>
        <v>1</v>
      </c>
      <c r="G28" s="34">
        <v>2024099</v>
      </c>
      <c r="H28" s="58" t="s">
        <v>225</v>
      </c>
      <c r="I28" s="28">
        <v>4</v>
      </c>
      <c r="J28" t="s">
        <v>36</v>
      </c>
      <c r="K28" s="47">
        <v>4800</v>
      </c>
      <c r="L28" s="3" t="str">
        <f t="shared" si="1"/>
        <v>pi</v>
      </c>
      <c r="M28" s="33">
        <f t="shared" si="7"/>
        <v>230.4</v>
      </c>
      <c r="N28" s="2">
        <f>_xlfn.XLOOKUP(A28,'[1]Prix MP'!$A:$A,'[1]Prix MP'!$T:$T)</f>
        <v>0</v>
      </c>
      <c r="O28" s="18">
        <f>_xlfn.XLOOKUP(A28,'[1]Prix MP'!$A:$A,'[1]Prix MP'!$U:$U)</f>
        <v>0.35817393372252498</v>
      </c>
      <c r="P28" s="11">
        <f t="shared" si="2"/>
        <v>0</v>
      </c>
      <c r="Q28" s="7">
        <f t="shared" si="3"/>
        <v>82.523274329669761</v>
      </c>
      <c r="R28" t="s">
        <v>206</v>
      </c>
      <c r="S28" s="1">
        <f t="shared" si="4"/>
        <v>4</v>
      </c>
      <c r="T28" s="33">
        <f t="shared" si="5"/>
        <v>4800</v>
      </c>
      <c r="V28" s="8" t="str">
        <f t="shared" si="6"/>
        <v/>
      </c>
      <c r="W28" s="69"/>
      <c r="AX28"/>
    </row>
    <row r="29" spans="1:50" x14ac:dyDescent="0.25">
      <c r="A29">
        <v>30013</v>
      </c>
      <c r="B29" t="s">
        <v>276</v>
      </c>
      <c r="C29" s="45">
        <v>45532</v>
      </c>
      <c r="D29" s="46" t="s">
        <v>37</v>
      </c>
      <c r="E29" s="46" t="s">
        <v>41</v>
      </c>
      <c r="F29" s="63">
        <f t="shared" si="0"/>
        <v>1</v>
      </c>
      <c r="G29" s="34">
        <v>2024099</v>
      </c>
      <c r="H29" s="58" t="s">
        <v>226</v>
      </c>
      <c r="I29" s="28">
        <v>4</v>
      </c>
      <c r="J29" t="s">
        <v>36</v>
      </c>
      <c r="K29" s="47">
        <v>5000</v>
      </c>
      <c r="L29" s="3" t="str">
        <f t="shared" si="1"/>
        <v>pi</v>
      </c>
      <c r="M29" s="33">
        <f t="shared" si="7"/>
        <v>240</v>
      </c>
      <c r="N29" s="2">
        <f>_xlfn.XLOOKUP(A29,'[1]Prix MP'!$A:$A,'[1]Prix MP'!$T:$T)</f>
        <v>0</v>
      </c>
      <c r="O29" s="18">
        <f>_xlfn.XLOOKUP(A29,'[1]Prix MP'!$A:$A,'[1]Prix MP'!$U:$U)</f>
        <v>0.35817393372252498</v>
      </c>
      <c r="P29" s="11">
        <f t="shared" si="2"/>
        <v>0</v>
      </c>
      <c r="Q29" s="7">
        <f t="shared" si="3"/>
        <v>85.961744093405997</v>
      </c>
      <c r="R29" t="s">
        <v>206</v>
      </c>
      <c r="S29" s="1">
        <f t="shared" si="4"/>
        <v>4</v>
      </c>
      <c r="T29" s="33">
        <f t="shared" si="5"/>
        <v>5000</v>
      </c>
      <c r="V29" s="8" t="str">
        <f t="shared" si="6"/>
        <v/>
      </c>
      <c r="W29" s="69"/>
      <c r="AX29"/>
    </row>
    <row r="30" spans="1:50" x14ac:dyDescent="0.25">
      <c r="A30">
        <v>30013</v>
      </c>
      <c r="B30" t="s">
        <v>276</v>
      </c>
      <c r="C30" s="45">
        <v>45532</v>
      </c>
      <c r="D30" s="46" t="s">
        <v>37</v>
      </c>
      <c r="E30" s="46" t="s">
        <v>41</v>
      </c>
      <c r="F30" s="63">
        <f t="shared" si="0"/>
        <v>1</v>
      </c>
      <c r="G30" s="34">
        <v>2024099</v>
      </c>
      <c r="H30" s="58" t="s">
        <v>227</v>
      </c>
      <c r="I30" s="28">
        <v>4</v>
      </c>
      <c r="J30" t="s">
        <v>36</v>
      </c>
      <c r="K30" s="47">
        <v>4550</v>
      </c>
      <c r="L30" s="3" t="str">
        <f t="shared" si="1"/>
        <v>pi</v>
      </c>
      <c r="M30" s="33">
        <f t="shared" si="7"/>
        <v>218.4</v>
      </c>
      <c r="N30" s="2">
        <f>_xlfn.XLOOKUP(A30,'[1]Prix MP'!$A:$A,'[1]Prix MP'!$T:$T)</f>
        <v>0</v>
      </c>
      <c r="O30" s="18">
        <f>_xlfn.XLOOKUP(A30,'[1]Prix MP'!$A:$A,'[1]Prix MP'!$U:$U)</f>
        <v>0.35817393372252498</v>
      </c>
      <c r="P30" s="11">
        <f t="shared" si="2"/>
        <v>0</v>
      </c>
      <c r="Q30" s="7">
        <f t="shared" si="3"/>
        <v>78.225187124999465</v>
      </c>
      <c r="R30" t="s">
        <v>206</v>
      </c>
      <c r="S30" s="1">
        <f t="shared" si="4"/>
        <v>4</v>
      </c>
      <c r="T30" s="33">
        <f t="shared" si="5"/>
        <v>4550</v>
      </c>
      <c r="V30" s="8" t="str">
        <f t="shared" si="6"/>
        <v/>
      </c>
      <c r="W30" s="69"/>
      <c r="AX30"/>
    </row>
    <row r="31" spans="1:50" x14ac:dyDescent="0.25">
      <c r="A31">
        <v>30013</v>
      </c>
      <c r="B31" t="s">
        <v>276</v>
      </c>
      <c r="C31" s="45">
        <v>45532</v>
      </c>
      <c r="D31" s="46" t="s">
        <v>37</v>
      </c>
      <c r="E31" s="46" t="s">
        <v>41</v>
      </c>
      <c r="F31" s="63">
        <f t="shared" si="0"/>
        <v>1</v>
      </c>
      <c r="G31" s="34">
        <v>2024099</v>
      </c>
      <c r="H31" s="58" t="s">
        <v>228</v>
      </c>
      <c r="I31" s="28">
        <v>4</v>
      </c>
      <c r="J31" t="s">
        <v>36</v>
      </c>
      <c r="K31" s="47">
        <v>5000</v>
      </c>
      <c r="L31" s="3" t="str">
        <f t="shared" si="1"/>
        <v>pi</v>
      </c>
      <c r="M31" s="33">
        <f t="shared" si="7"/>
        <v>240</v>
      </c>
      <c r="N31" s="2">
        <f>_xlfn.XLOOKUP(A31,'[1]Prix MP'!$A:$A,'[1]Prix MP'!$T:$T)</f>
        <v>0</v>
      </c>
      <c r="O31" s="18">
        <f>_xlfn.XLOOKUP(A31,'[1]Prix MP'!$A:$A,'[1]Prix MP'!$U:$U)</f>
        <v>0.35817393372252498</v>
      </c>
      <c r="P31" s="11">
        <f t="shared" si="2"/>
        <v>0</v>
      </c>
      <c r="Q31" s="7">
        <f t="shared" si="3"/>
        <v>85.961744093405997</v>
      </c>
      <c r="R31" t="s">
        <v>206</v>
      </c>
      <c r="S31" s="1">
        <f t="shared" si="4"/>
        <v>4</v>
      </c>
      <c r="T31" s="33">
        <f t="shared" si="5"/>
        <v>5000</v>
      </c>
      <c r="V31" s="8" t="str">
        <f t="shared" si="6"/>
        <v/>
      </c>
      <c r="W31" s="69"/>
      <c r="AX31"/>
    </row>
    <row r="32" spans="1:50" x14ac:dyDescent="0.25">
      <c r="A32">
        <v>30013</v>
      </c>
      <c r="B32" t="s">
        <v>276</v>
      </c>
      <c r="C32" s="45">
        <v>45532</v>
      </c>
      <c r="D32" s="46" t="s">
        <v>37</v>
      </c>
      <c r="E32" s="46" t="s">
        <v>41</v>
      </c>
      <c r="F32" s="63">
        <f t="shared" si="0"/>
        <v>1</v>
      </c>
      <c r="G32" s="34">
        <v>2024099</v>
      </c>
      <c r="H32" s="58" t="s">
        <v>229</v>
      </c>
      <c r="I32" s="28">
        <v>4</v>
      </c>
      <c r="J32" t="s">
        <v>36</v>
      </c>
      <c r="K32" s="47">
        <v>4500</v>
      </c>
      <c r="L32" s="3" t="str">
        <f t="shared" si="1"/>
        <v>pi</v>
      </c>
      <c r="M32" s="33">
        <f t="shared" si="7"/>
        <v>216</v>
      </c>
      <c r="N32" s="2">
        <f>_xlfn.XLOOKUP(A32,'[1]Prix MP'!$A:$A,'[1]Prix MP'!$T:$T)</f>
        <v>0</v>
      </c>
      <c r="O32" s="18">
        <f>_xlfn.XLOOKUP(A32,'[1]Prix MP'!$A:$A,'[1]Prix MP'!$U:$U)</f>
        <v>0.35817393372252498</v>
      </c>
      <c r="P32" s="11">
        <f t="shared" si="2"/>
        <v>0</v>
      </c>
      <c r="Q32" s="7">
        <f t="shared" si="3"/>
        <v>77.365569684065392</v>
      </c>
      <c r="R32" t="s">
        <v>206</v>
      </c>
      <c r="S32" s="1">
        <f t="shared" si="4"/>
        <v>4</v>
      </c>
      <c r="T32" s="33">
        <f t="shared" si="5"/>
        <v>4500</v>
      </c>
      <c r="V32" s="8" t="str">
        <f t="shared" si="6"/>
        <v/>
      </c>
      <c r="W32" s="69"/>
      <c r="AX32"/>
    </row>
    <row r="33" spans="1:50" x14ac:dyDescent="0.25">
      <c r="A33">
        <v>30013</v>
      </c>
      <c r="B33" t="s">
        <v>276</v>
      </c>
      <c r="C33" s="45">
        <v>45532</v>
      </c>
      <c r="D33" s="46" t="s">
        <v>37</v>
      </c>
      <c r="E33" s="46" t="s">
        <v>41</v>
      </c>
      <c r="F33" s="63">
        <f t="shared" si="0"/>
        <v>1</v>
      </c>
      <c r="G33" s="34">
        <v>2024099</v>
      </c>
      <c r="H33" s="58" t="s">
        <v>230</v>
      </c>
      <c r="I33" s="28">
        <v>4</v>
      </c>
      <c r="J33" t="s">
        <v>36</v>
      </c>
      <c r="K33" s="47">
        <v>5000</v>
      </c>
      <c r="L33" s="3" t="str">
        <f t="shared" si="1"/>
        <v>pi</v>
      </c>
      <c r="M33" s="33">
        <f t="shared" si="7"/>
        <v>240</v>
      </c>
      <c r="N33" s="2">
        <f>_xlfn.XLOOKUP(A33,'[1]Prix MP'!$A:$A,'[1]Prix MP'!$T:$T)</f>
        <v>0</v>
      </c>
      <c r="O33" s="18">
        <f>_xlfn.XLOOKUP(A33,'[1]Prix MP'!$A:$A,'[1]Prix MP'!$U:$U)</f>
        <v>0.35817393372252498</v>
      </c>
      <c r="P33" s="11">
        <f t="shared" si="2"/>
        <v>0</v>
      </c>
      <c r="Q33" s="7">
        <f t="shared" si="3"/>
        <v>85.961744093405997</v>
      </c>
      <c r="R33" t="s">
        <v>206</v>
      </c>
      <c r="S33" s="1">
        <f t="shared" si="4"/>
        <v>4</v>
      </c>
      <c r="T33" s="33">
        <f t="shared" si="5"/>
        <v>5000</v>
      </c>
      <c r="V33" s="8" t="str">
        <f t="shared" si="6"/>
        <v/>
      </c>
      <c r="W33" s="69"/>
      <c r="AX33"/>
    </row>
    <row r="34" spans="1:50" x14ac:dyDescent="0.25">
      <c r="A34">
        <v>30013</v>
      </c>
      <c r="B34" t="s">
        <v>276</v>
      </c>
      <c r="C34" s="45">
        <v>45532</v>
      </c>
      <c r="D34" s="46" t="s">
        <v>37</v>
      </c>
      <c r="E34" s="46" t="s">
        <v>41</v>
      </c>
      <c r="F34" s="63">
        <f t="shared" si="0"/>
        <v>1</v>
      </c>
      <c r="G34" s="34">
        <v>2024099</v>
      </c>
      <c r="H34" s="58" t="s">
        <v>231</v>
      </c>
      <c r="I34" s="28">
        <v>4</v>
      </c>
      <c r="J34" t="s">
        <v>36</v>
      </c>
      <c r="K34" s="47">
        <v>4500</v>
      </c>
      <c r="L34" s="3" t="str">
        <f t="shared" si="1"/>
        <v>pi</v>
      </c>
      <c r="M34" s="33">
        <f t="shared" si="7"/>
        <v>216</v>
      </c>
      <c r="N34" s="2">
        <f>_xlfn.XLOOKUP(A34,'[1]Prix MP'!$A:$A,'[1]Prix MP'!$T:$T)</f>
        <v>0</v>
      </c>
      <c r="O34" s="18">
        <f>_xlfn.XLOOKUP(A34,'[1]Prix MP'!$A:$A,'[1]Prix MP'!$U:$U)</f>
        <v>0.35817393372252498</v>
      </c>
      <c r="P34" s="11">
        <f t="shared" si="2"/>
        <v>0</v>
      </c>
      <c r="Q34" s="7">
        <f t="shared" si="3"/>
        <v>77.365569684065392</v>
      </c>
      <c r="R34" t="s">
        <v>206</v>
      </c>
      <c r="S34" s="1">
        <f t="shared" si="4"/>
        <v>4</v>
      </c>
      <c r="T34" s="33">
        <f t="shared" si="5"/>
        <v>4500</v>
      </c>
      <c r="V34" s="8" t="str">
        <f t="shared" si="6"/>
        <v/>
      </c>
      <c r="W34" s="69"/>
      <c r="AX34"/>
    </row>
    <row r="35" spans="1:50" x14ac:dyDescent="0.25">
      <c r="A35">
        <v>30013</v>
      </c>
      <c r="B35" t="s">
        <v>276</v>
      </c>
      <c r="C35" s="45">
        <v>45532</v>
      </c>
      <c r="D35" s="46" t="s">
        <v>37</v>
      </c>
      <c r="E35" s="46" t="s">
        <v>41</v>
      </c>
      <c r="F35" s="63">
        <f t="shared" si="0"/>
        <v>1</v>
      </c>
      <c r="G35" s="34">
        <v>2024099</v>
      </c>
      <c r="H35" s="58" t="s">
        <v>232</v>
      </c>
      <c r="I35" s="28">
        <v>4</v>
      </c>
      <c r="J35" t="s">
        <v>36</v>
      </c>
      <c r="K35" s="47">
        <v>5000</v>
      </c>
      <c r="L35" s="3" t="str">
        <f t="shared" si="1"/>
        <v>pi</v>
      </c>
      <c r="M35" s="33">
        <f t="shared" si="7"/>
        <v>240</v>
      </c>
      <c r="N35" s="2">
        <f>_xlfn.XLOOKUP(A35,'[1]Prix MP'!$A:$A,'[1]Prix MP'!$T:$T)</f>
        <v>0</v>
      </c>
      <c r="O35" s="18">
        <f>_xlfn.XLOOKUP(A35,'[1]Prix MP'!$A:$A,'[1]Prix MP'!$U:$U)</f>
        <v>0.35817393372252498</v>
      </c>
      <c r="P35" s="11">
        <f t="shared" si="2"/>
        <v>0</v>
      </c>
      <c r="Q35" s="7">
        <f t="shared" si="3"/>
        <v>85.961744093405997</v>
      </c>
      <c r="R35" t="s">
        <v>206</v>
      </c>
      <c r="S35" s="1">
        <f t="shared" si="4"/>
        <v>4</v>
      </c>
      <c r="T35" s="33">
        <f t="shared" si="5"/>
        <v>5000</v>
      </c>
      <c r="V35" s="8" t="str">
        <f t="shared" si="6"/>
        <v/>
      </c>
      <c r="W35" s="69"/>
      <c r="AX35"/>
    </row>
    <row r="36" spans="1:50" x14ac:dyDescent="0.25">
      <c r="A36" s="107">
        <v>30013</v>
      </c>
      <c r="B36" t="s">
        <v>276</v>
      </c>
      <c r="C36" s="45">
        <v>45532</v>
      </c>
      <c r="D36" s="46" t="s">
        <v>37</v>
      </c>
      <c r="E36" s="46" t="s">
        <v>41</v>
      </c>
      <c r="F36" s="63">
        <f t="shared" si="0"/>
        <v>1</v>
      </c>
      <c r="G36" s="34">
        <v>2024099</v>
      </c>
      <c r="H36" s="58" t="s">
        <v>233</v>
      </c>
      <c r="I36" s="28">
        <v>4</v>
      </c>
      <c r="J36" t="s">
        <v>36</v>
      </c>
      <c r="K36" s="47">
        <v>4850</v>
      </c>
      <c r="L36" s="3" t="str">
        <f t="shared" si="1"/>
        <v>pi</v>
      </c>
      <c r="M36" s="33">
        <f t="shared" si="7"/>
        <v>232.8</v>
      </c>
      <c r="N36" s="2">
        <f>_xlfn.XLOOKUP(A36,'[1]Prix MP'!$A:$A,'[1]Prix MP'!$T:$T)</f>
        <v>0</v>
      </c>
      <c r="O36" s="18">
        <f>_xlfn.XLOOKUP(A36,'[1]Prix MP'!$A:$A,'[1]Prix MP'!$U:$U)</f>
        <v>0.35817393372252498</v>
      </c>
      <c r="P36" s="11">
        <f t="shared" si="2"/>
        <v>0</v>
      </c>
      <c r="Q36" s="7">
        <f t="shared" si="3"/>
        <v>83.38289177060382</v>
      </c>
      <c r="R36" t="s">
        <v>206</v>
      </c>
      <c r="S36" s="1">
        <f t="shared" si="4"/>
        <v>4</v>
      </c>
      <c r="T36" s="33">
        <f t="shared" si="5"/>
        <v>4850</v>
      </c>
      <c r="V36" s="8" t="str">
        <f t="shared" si="6"/>
        <v/>
      </c>
      <c r="W36" s="69"/>
      <c r="AX36"/>
    </row>
    <row r="37" spans="1:50" x14ac:dyDescent="0.25">
      <c r="A37" s="107">
        <v>30013</v>
      </c>
      <c r="B37" t="s">
        <v>276</v>
      </c>
      <c r="C37" s="45">
        <v>45532</v>
      </c>
      <c r="D37" s="46" t="s">
        <v>37</v>
      </c>
      <c r="E37" s="46" t="s">
        <v>41</v>
      </c>
      <c r="F37" s="63">
        <f t="shared" si="0"/>
        <v>1</v>
      </c>
      <c r="G37" s="34">
        <v>2024099</v>
      </c>
      <c r="H37" s="58" t="s">
        <v>234</v>
      </c>
      <c r="I37" s="28">
        <v>4</v>
      </c>
      <c r="J37" t="s">
        <v>36</v>
      </c>
      <c r="K37" s="47">
        <v>5000</v>
      </c>
      <c r="L37" s="3" t="str">
        <f t="shared" si="1"/>
        <v>pi</v>
      </c>
      <c r="M37" s="33">
        <f t="shared" si="7"/>
        <v>240</v>
      </c>
      <c r="N37" s="2">
        <f>_xlfn.XLOOKUP(A37,'[1]Prix MP'!$A:$A,'[1]Prix MP'!$T:$T)</f>
        <v>0</v>
      </c>
      <c r="O37" s="18">
        <f>_xlfn.XLOOKUP(A37,'[1]Prix MP'!$A:$A,'[1]Prix MP'!$U:$U)</f>
        <v>0.35817393372252498</v>
      </c>
      <c r="P37" s="11">
        <f t="shared" si="2"/>
        <v>0</v>
      </c>
      <c r="Q37" s="7">
        <f t="shared" si="3"/>
        <v>85.961744093405997</v>
      </c>
      <c r="R37" t="s">
        <v>206</v>
      </c>
      <c r="S37" s="1">
        <f t="shared" si="4"/>
        <v>4</v>
      </c>
      <c r="T37" s="33">
        <f t="shared" si="5"/>
        <v>5000</v>
      </c>
      <c r="V37" s="8" t="str">
        <f t="shared" si="6"/>
        <v/>
      </c>
      <c r="W37" s="69"/>
      <c r="AX37"/>
    </row>
    <row r="38" spans="1:50" x14ac:dyDescent="0.25">
      <c r="A38" s="107">
        <v>30013</v>
      </c>
      <c r="B38" t="s">
        <v>276</v>
      </c>
      <c r="C38" s="45">
        <v>45532</v>
      </c>
      <c r="D38" s="46" t="s">
        <v>37</v>
      </c>
      <c r="E38" s="46" t="s">
        <v>41</v>
      </c>
      <c r="F38" s="63">
        <f t="shared" si="0"/>
        <v>1</v>
      </c>
      <c r="G38" s="34">
        <v>2024099</v>
      </c>
      <c r="H38" s="58" t="s">
        <v>235</v>
      </c>
      <c r="I38" s="28">
        <v>4</v>
      </c>
      <c r="J38" t="s">
        <v>36</v>
      </c>
      <c r="K38" s="47">
        <v>4850</v>
      </c>
      <c r="L38" s="3" t="str">
        <f t="shared" si="1"/>
        <v>pi</v>
      </c>
      <c r="M38" s="33">
        <f t="shared" si="7"/>
        <v>232.8</v>
      </c>
      <c r="N38" s="2">
        <f>_xlfn.XLOOKUP(A38,'[1]Prix MP'!$A:$A,'[1]Prix MP'!$T:$T)</f>
        <v>0</v>
      </c>
      <c r="O38" s="18">
        <f>_xlfn.XLOOKUP(A38,'[1]Prix MP'!$A:$A,'[1]Prix MP'!$U:$U)</f>
        <v>0.35817393372252498</v>
      </c>
      <c r="P38" s="11">
        <f t="shared" si="2"/>
        <v>0</v>
      </c>
      <c r="Q38" s="7">
        <f t="shared" si="3"/>
        <v>83.38289177060382</v>
      </c>
      <c r="R38" t="s">
        <v>206</v>
      </c>
      <c r="S38" s="1">
        <f t="shared" si="4"/>
        <v>4</v>
      </c>
      <c r="T38" s="33">
        <f t="shared" si="5"/>
        <v>4850</v>
      </c>
      <c r="V38" s="8" t="str">
        <f t="shared" si="6"/>
        <v/>
      </c>
      <c r="W38" s="69"/>
      <c r="AX38"/>
    </row>
    <row r="39" spans="1:50" x14ac:dyDescent="0.25">
      <c r="A39" s="107">
        <v>30013</v>
      </c>
      <c r="B39" t="s">
        <v>276</v>
      </c>
      <c r="C39" s="45">
        <v>45532</v>
      </c>
      <c r="D39" s="46" t="s">
        <v>37</v>
      </c>
      <c r="E39" s="46" t="s">
        <v>41</v>
      </c>
      <c r="F39" s="63">
        <f t="shared" si="0"/>
        <v>1</v>
      </c>
      <c r="G39" s="34">
        <v>2024099</v>
      </c>
      <c r="H39" s="58" t="s">
        <v>236</v>
      </c>
      <c r="I39" s="28">
        <v>4</v>
      </c>
      <c r="J39" t="s">
        <v>36</v>
      </c>
      <c r="K39" s="47">
        <v>5000</v>
      </c>
      <c r="L39" s="3" t="str">
        <f t="shared" si="1"/>
        <v>pi</v>
      </c>
      <c r="M39" s="33">
        <f t="shared" si="7"/>
        <v>240</v>
      </c>
      <c r="N39" s="2">
        <f>_xlfn.XLOOKUP(A39,'[1]Prix MP'!$A:$A,'[1]Prix MP'!$T:$T)</f>
        <v>0</v>
      </c>
      <c r="O39" s="18">
        <f>_xlfn.XLOOKUP(A39,'[1]Prix MP'!$A:$A,'[1]Prix MP'!$U:$U)</f>
        <v>0.35817393372252498</v>
      </c>
      <c r="P39" s="11">
        <f t="shared" si="2"/>
        <v>0</v>
      </c>
      <c r="Q39" s="7">
        <f t="shared" si="3"/>
        <v>85.961744093405997</v>
      </c>
      <c r="R39" t="s">
        <v>206</v>
      </c>
      <c r="S39" s="1">
        <f t="shared" si="4"/>
        <v>4</v>
      </c>
      <c r="T39" s="33">
        <f t="shared" si="5"/>
        <v>5000</v>
      </c>
      <c r="V39" s="8" t="str">
        <f t="shared" si="6"/>
        <v/>
      </c>
      <c r="W39" s="69"/>
      <c r="AX39"/>
    </row>
    <row r="40" spans="1:50" x14ac:dyDescent="0.25">
      <c r="A40" s="107">
        <v>30013</v>
      </c>
      <c r="B40" t="s">
        <v>276</v>
      </c>
      <c r="C40" s="45">
        <v>45532</v>
      </c>
      <c r="D40" s="46" t="s">
        <v>37</v>
      </c>
      <c r="E40" s="46" t="s">
        <v>41</v>
      </c>
      <c r="F40" s="63">
        <f t="shared" si="0"/>
        <v>1</v>
      </c>
      <c r="G40" s="34">
        <v>2024099</v>
      </c>
      <c r="H40" s="58" t="s">
        <v>237</v>
      </c>
      <c r="I40" s="28">
        <v>4</v>
      </c>
      <c r="J40" t="s">
        <v>36</v>
      </c>
      <c r="K40" s="47">
        <v>4850</v>
      </c>
      <c r="L40" s="3" t="str">
        <f t="shared" si="1"/>
        <v>pi</v>
      </c>
      <c r="M40" s="33">
        <f t="shared" si="7"/>
        <v>232.8</v>
      </c>
      <c r="N40" s="2">
        <f>_xlfn.XLOOKUP(A40,'[1]Prix MP'!$A:$A,'[1]Prix MP'!$T:$T)</f>
        <v>0</v>
      </c>
      <c r="O40" s="18">
        <f>_xlfn.XLOOKUP(A40,'[1]Prix MP'!$A:$A,'[1]Prix MP'!$U:$U)</f>
        <v>0.35817393372252498</v>
      </c>
      <c r="P40" s="11">
        <f t="shared" si="2"/>
        <v>0</v>
      </c>
      <c r="Q40" s="7">
        <f t="shared" si="3"/>
        <v>83.38289177060382</v>
      </c>
      <c r="R40" t="s">
        <v>206</v>
      </c>
      <c r="S40" s="1">
        <f t="shared" si="4"/>
        <v>4</v>
      </c>
      <c r="T40" s="33">
        <f t="shared" si="5"/>
        <v>4850</v>
      </c>
      <c r="V40" s="8" t="str">
        <f t="shared" si="6"/>
        <v/>
      </c>
      <c r="W40" s="69"/>
      <c r="AX40"/>
    </row>
    <row r="41" spans="1:50" x14ac:dyDescent="0.25">
      <c r="A41" s="107">
        <v>30013</v>
      </c>
      <c r="B41" t="s">
        <v>276</v>
      </c>
      <c r="C41" s="45">
        <v>45532</v>
      </c>
      <c r="D41" s="46" t="s">
        <v>37</v>
      </c>
      <c r="E41" s="46" t="s">
        <v>42</v>
      </c>
      <c r="F41" s="63">
        <f t="shared" si="0"/>
        <v>1</v>
      </c>
      <c r="G41" s="34">
        <v>2024099</v>
      </c>
      <c r="H41" s="58" t="s">
        <v>238</v>
      </c>
      <c r="I41" s="28">
        <v>9.4</v>
      </c>
      <c r="J41" t="s">
        <v>36</v>
      </c>
      <c r="K41" s="47">
        <v>5000</v>
      </c>
      <c r="L41" s="3" t="str">
        <f t="shared" si="1"/>
        <v>pi</v>
      </c>
      <c r="M41" s="33">
        <f t="shared" si="7"/>
        <v>564</v>
      </c>
      <c r="N41" s="2">
        <f>_xlfn.XLOOKUP(A41,'[1]Prix MP'!$A:$A,'[1]Prix MP'!$T:$T)</f>
        <v>0</v>
      </c>
      <c r="O41" s="18">
        <f>_xlfn.XLOOKUP(A41,'[1]Prix MP'!$A:$A,'[1]Prix MP'!$U:$U)</f>
        <v>0.35817393372252498</v>
      </c>
      <c r="P41" s="11">
        <f t="shared" si="2"/>
        <v>0</v>
      </c>
      <c r="Q41" s="7">
        <f t="shared" si="3"/>
        <v>202.01009861950408</v>
      </c>
      <c r="R41" t="s">
        <v>206</v>
      </c>
      <c r="S41" s="1">
        <f t="shared" si="4"/>
        <v>0</v>
      </c>
      <c r="T41" s="33">
        <f t="shared" si="5"/>
        <v>0</v>
      </c>
      <c r="V41" s="8" t="str">
        <f t="shared" si="6"/>
        <v/>
      </c>
      <c r="W41" s="69"/>
      <c r="AX41"/>
    </row>
    <row r="42" spans="1:50" x14ac:dyDescent="0.25">
      <c r="A42" s="107">
        <v>30013</v>
      </c>
      <c r="B42" t="s">
        <v>276</v>
      </c>
      <c r="C42" s="45">
        <v>45597</v>
      </c>
      <c r="D42" s="46" t="s">
        <v>38</v>
      </c>
      <c r="E42" s="46" t="s">
        <v>42</v>
      </c>
      <c r="F42" s="63">
        <f t="shared" ref="F42" si="29">IF(D42="in",1,-1)</f>
        <v>-1</v>
      </c>
      <c r="G42" s="34">
        <v>2024131</v>
      </c>
      <c r="H42" s="58" t="s">
        <v>238</v>
      </c>
      <c r="I42" s="28">
        <v>9.4</v>
      </c>
      <c r="J42" t="s">
        <v>36</v>
      </c>
      <c r="K42" s="47">
        <v>5000</v>
      </c>
      <c r="L42" s="3" t="str">
        <f t="shared" ref="L42" si="30">IF(J42="mm","m","pi")</f>
        <v>pi</v>
      </c>
      <c r="M42" s="33">
        <f>IF(J42="mm",F42*I42/1000*K42*1.55,F42*I42*12*K42/1000)</f>
        <v>-564</v>
      </c>
      <c r="N42" s="2">
        <f>_xlfn.XLOOKUP(A42,'[1]Prix MP'!$A:$A,'[1]Prix MP'!$T:$T)</f>
        <v>0</v>
      </c>
      <c r="O42" s="18">
        <f>_xlfn.XLOOKUP(A42,'[1]Prix MP'!$A:$A,'[1]Prix MP'!$U:$U)</f>
        <v>0.35817393372252498</v>
      </c>
      <c r="P42" s="11">
        <f>M42*N42</f>
        <v>0</v>
      </c>
      <c r="Q42" s="7">
        <f t="shared" ref="Q42" si="31">M42*O42</f>
        <v>-202.01009861950408</v>
      </c>
      <c r="R42" t="s">
        <v>206</v>
      </c>
      <c r="S42" s="1">
        <f>ROUND(IF(E42="I",0,IF(J42="po",I42,I42/25.4)),2)</f>
        <v>0</v>
      </c>
      <c r="T42" s="33">
        <f>ROUND(IF(E42="I",0,IF(J42="po",K42,K42*3.280839895)),0)</f>
        <v>0</v>
      </c>
      <c r="V42" s="8" t="str">
        <f t="shared" si="6"/>
        <v/>
      </c>
      <c r="W42" s="69"/>
      <c r="AX42"/>
    </row>
    <row r="43" spans="1:50" x14ac:dyDescent="0.25">
      <c r="A43" s="107">
        <v>30013</v>
      </c>
      <c r="B43" t="s">
        <v>276</v>
      </c>
      <c r="C43" s="45">
        <v>45532</v>
      </c>
      <c r="D43" s="46" t="s">
        <v>37</v>
      </c>
      <c r="E43" s="46" t="s">
        <v>42</v>
      </c>
      <c r="F43" s="63">
        <f t="shared" si="0"/>
        <v>1</v>
      </c>
      <c r="G43" s="34" t="s">
        <v>181</v>
      </c>
      <c r="H43" s="58" t="s">
        <v>239</v>
      </c>
      <c r="I43" s="28">
        <v>9.4</v>
      </c>
      <c r="J43" t="s">
        <v>36</v>
      </c>
      <c r="K43" s="47">
        <v>4500</v>
      </c>
      <c r="L43" s="3" t="str">
        <f t="shared" si="1"/>
        <v>pi</v>
      </c>
      <c r="M43" s="33">
        <f t="shared" si="7"/>
        <v>507.60000000000008</v>
      </c>
      <c r="N43" s="2">
        <f>_xlfn.XLOOKUP(A43,'[1]Prix MP'!$A:$A,'[1]Prix MP'!$T:$T)</f>
        <v>0</v>
      </c>
      <c r="O43" s="18">
        <f>_xlfn.XLOOKUP(A43,'[1]Prix MP'!$A:$A,'[1]Prix MP'!$U:$U)</f>
        <v>0.35817393372252498</v>
      </c>
      <c r="P43" s="11">
        <f t="shared" si="2"/>
        <v>0</v>
      </c>
      <c r="Q43" s="7">
        <f t="shared" si="3"/>
        <v>181.80908875755372</v>
      </c>
      <c r="R43" t="s">
        <v>206</v>
      </c>
      <c r="S43" s="1">
        <f t="shared" si="4"/>
        <v>0</v>
      </c>
      <c r="T43" s="33">
        <f t="shared" si="5"/>
        <v>0</v>
      </c>
      <c r="V43" s="8" t="str">
        <f t="shared" si="6"/>
        <v/>
      </c>
      <c r="W43" s="69"/>
      <c r="AX43"/>
    </row>
    <row r="44" spans="1:50" x14ac:dyDescent="0.25">
      <c r="A44" s="107">
        <v>30013</v>
      </c>
      <c r="B44" t="s">
        <v>276</v>
      </c>
      <c r="C44" s="45">
        <v>45569</v>
      </c>
      <c r="D44" s="46" t="s">
        <v>38</v>
      </c>
      <c r="E44" s="46" t="s">
        <v>42</v>
      </c>
      <c r="F44" s="63">
        <f t="shared" si="0"/>
        <v>-1</v>
      </c>
      <c r="G44" s="34" t="s">
        <v>181</v>
      </c>
      <c r="H44" s="58" t="s">
        <v>239</v>
      </c>
      <c r="I44" s="28">
        <v>9.4</v>
      </c>
      <c r="J44" t="s">
        <v>36</v>
      </c>
      <c r="K44" s="47">
        <v>4500</v>
      </c>
      <c r="L44" s="3" t="str">
        <f t="shared" si="1"/>
        <v>pi</v>
      </c>
      <c r="M44" s="33">
        <f t="shared" si="7"/>
        <v>-507.60000000000008</v>
      </c>
      <c r="N44" s="2">
        <f>_xlfn.XLOOKUP(A44,'[1]Prix MP'!$A:$A,'[1]Prix MP'!$T:$T)</f>
        <v>0</v>
      </c>
      <c r="O44" s="18">
        <f>_xlfn.XLOOKUP(A44,'[1]Prix MP'!$A:$A,'[1]Prix MP'!$U:$U)</f>
        <v>0.35817393372252498</v>
      </c>
      <c r="P44" s="11">
        <f t="shared" si="2"/>
        <v>0</v>
      </c>
      <c r="Q44" s="7">
        <f t="shared" si="3"/>
        <v>-181.80908875755372</v>
      </c>
      <c r="R44" t="s">
        <v>206</v>
      </c>
      <c r="S44" s="1">
        <f t="shared" si="4"/>
        <v>0</v>
      </c>
      <c r="T44" s="33">
        <f t="shared" si="5"/>
        <v>0</v>
      </c>
      <c r="V44" s="8" t="str">
        <f t="shared" si="6"/>
        <v/>
      </c>
      <c r="W44" s="69"/>
      <c r="AX44"/>
    </row>
    <row r="45" spans="1:50" x14ac:dyDescent="0.25">
      <c r="A45" s="107">
        <v>30013</v>
      </c>
      <c r="B45" t="s">
        <v>276</v>
      </c>
      <c r="C45" s="45">
        <v>45569</v>
      </c>
      <c r="D45" s="46" t="s">
        <v>37</v>
      </c>
      <c r="E45" s="46" t="s">
        <v>42</v>
      </c>
      <c r="F45" s="63">
        <f t="shared" ref="F45:F130" si="32">IF(D45="in",1,-1)</f>
        <v>1</v>
      </c>
      <c r="G45" s="34" t="s">
        <v>357</v>
      </c>
      <c r="H45" s="58" t="s">
        <v>182</v>
      </c>
      <c r="I45" s="28">
        <v>9.4</v>
      </c>
      <c r="J45" t="s">
        <v>36</v>
      </c>
      <c r="K45" s="47">
        <v>2000</v>
      </c>
      <c r="L45" s="3" t="str">
        <f t="shared" ref="L45:L129" si="33">IF(J45="mm","m","pi")</f>
        <v>pi</v>
      </c>
      <c r="M45" s="33">
        <f t="shared" si="7"/>
        <v>225.60000000000002</v>
      </c>
      <c r="N45" s="2">
        <f>_xlfn.XLOOKUP(A45,'[1]Prix MP'!$A:$A,'[1]Prix MP'!$T:$T)</f>
        <v>0</v>
      </c>
      <c r="O45" s="18">
        <f>_xlfn.XLOOKUP(A45,'[1]Prix MP'!$A:$A,'[1]Prix MP'!$U:$U)</f>
        <v>0.35817393372252498</v>
      </c>
      <c r="P45" s="11">
        <f t="shared" ref="P45:P129" si="34">M45*N45</f>
        <v>0</v>
      </c>
      <c r="Q45" s="7">
        <f t="shared" ref="Q45:Q129" si="35">M45*O45</f>
        <v>80.804039447801642</v>
      </c>
      <c r="R45" t="s">
        <v>206</v>
      </c>
      <c r="S45" s="1">
        <f t="shared" si="4"/>
        <v>0</v>
      </c>
      <c r="T45" s="33">
        <f t="shared" si="5"/>
        <v>0</v>
      </c>
      <c r="V45" s="8" t="str">
        <f t="shared" si="6"/>
        <v/>
      </c>
      <c r="W45" s="69"/>
      <c r="AX45"/>
    </row>
    <row r="46" spans="1:50" x14ac:dyDescent="0.25">
      <c r="A46" s="107">
        <v>30013</v>
      </c>
      <c r="B46" t="s">
        <v>276</v>
      </c>
      <c r="C46" s="45">
        <v>45589</v>
      </c>
      <c r="D46" s="46" t="s">
        <v>38</v>
      </c>
      <c r="E46" s="46" t="s">
        <v>42</v>
      </c>
      <c r="F46" s="63">
        <f>IF(D46="in",1,-1)</f>
        <v>-1</v>
      </c>
      <c r="G46" s="34" t="s">
        <v>357</v>
      </c>
      <c r="H46" s="58" t="s">
        <v>182</v>
      </c>
      <c r="I46" s="28">
        <v>9.4</v>
      </c>
      <c r="J46" t="s">
        <v>36</v>
      </c>
      <c r="K46" s="47">
        <v>2000</v>
      </c>
      <c r="L46" s="3" t="str">
        <f>IF(J46="mm","m","pi")</f>
        <v>pi</v>
      </c>
      <c r="M46" s="33">
        <f>IF(J46="mm",F46*I46/1000*K46*1.55,F46*I46*12*K46/1000)</f>
        <v>-225.60000000000002</v>
      </c>
      <c r="N46" s="2">
        <f>_xlfn.XLOOKUP(A46,'[1]Prix MP'!$A:$A,'[1]Prix MP'!$T:$T)</f>
        <v>0</v>
      </c>
      <c r="O46" s="2">
        <f>_xlfn.XLOOKUP(A46,'[1]Prix MP'!$A:$A,'[1]Prix MP'!$U:$U)</f>
        <v>0.35817393372252498</v>
      </c>
      <c r="P46" s="1">
        <f>M46*N46</f>
        <v>0</v>
      </c>
      <c r="Q46" s="7">
        <f>M46*O46</f>
        <v>-80.804039447801642</v>
      </c>
      <c r="R46" t="s">
        <v>206</v>
      </c>
      <c r="S46" s="1">
        <f>ROUND(IF(E46="I",0,IF(J46="po",I46,I46/25.4)),2)</f>
        <v>0</v>
      </c>
      <c r="T46" s="33">
        <f>ROUND(IF(E46="I",0,IF(J46="po",K46,K46*3.280839895)),0)</f>
        <v>0</v>
      </c>
      <c r="V46" s="8" t="str">
        <f t="shared" si="6"/>
        <v/>
      </c>
      <c r="W46" s="69"/>
      <c r="AX46"/>
    </row>
    <row r="47" spans="1:50" x14ac:dyDescent="0.25">
      <c r="A47">
        <v>30019</v>
      </c>
      <c r="B47" s="17" t="s">
        <v>132</v>
      </c>
      <c r="C47" s="45">
        <v>45565</v>
      </c>
      <c r="D47" s="46" t="s">
        <v>37</v>
      </c>
      <c r="E47" s="46" t="s">
        <v>42</v>
      </c>
      <c r="F47" s="63">
        <f t="shared" si="32"/>
        <v>1</v>
      </c>
      <c r="G47" s="49"/>
      <c r="H47" s="34" t="s">
        <v>133</v>
      </c>
      <c r="I47" s="28">
        <v>1525</v>
      </c>
      <c r="J47" t="s">
        <v>2</v>
      </c>
      <c r="K47" s="47">
        <v>3000</v>
      </c>
      <c r="L47" s="3" t="str">
        <f t="shared" si="33"/>
        <v>m</v>
      </c>
      <c r="M47" s="33">
        <f t="shared" si="7"/>
        <v>7091.25</v>
      </c>
      <c r="N47" s="2">
        <f>_xlfn.XLOOKUP(A47,'[1]Prix MP'!$A:$A,'[1]Prix MP'!$T:$T)</f>
        <v>0.37814458402377227</v>
      </c>
      <c r="O47" s="18">
        <f>_xlfn.XLOOKUP(A47,'[1]Prix MP'!$A:$A,'[1]Prix MP'!$U:$U)</f>
        <v>0.37814458402377227</v>
      </c>
      <c r="P47" s="11">
        <f t="shared" si="34"/>
        <v>2681.517781458575</v>
      </c>
      <c r="Q47" s="7">
        <f t="shared" si="35"/>
        <v>2681.517781458575</v>
      </c>
      <c r="R47" t="s">
        <v>207</v>
      </c>
      <c r="S47" s="1">
        <f t="shared" si="4"/>
        <v>0</v>
      </c>
      <c r="T47" s="33">
        <f t="shared" si="5"/>
        <v>0</v>
      </c>
      <c r="V47" s="8">
        <f t="shared" si="6"/>
        <v>4575</v>
      </c>
      <c r="W47" s="69"/>
      <c r="AX47"/>
    </row>
    <row r="48" spans="1:50" x14ac:dyDescent="0.25">
      <c r="A48">
        <v>30019</v>
      </c>
      <c r="B48" s="17" t="s">
        <v>132</v>
      </c>
      <c r="C48" s="45">
        <v>45597</v>
      </c>
      <c r="D48" s="46" t="s">
        <v>176</v>
      </c>
      <c r="E48" s="46" t="s">
        <v>42</v>
      </c>
      <c r="F48" s="64">
        <v>-1</v>
      </c>
      <c r="G48" s="49" t="s">
        <v>371</v>
      </c>
      <c r="H48" s="34" t="s">
        <v>133</v>
      </c>
      <c r="I48" s="28">
        <v>1525</v>
      </c>
      <c r="J48" t="s">
        <v>2</v>
      </c>
      <c r="K48" s="47">
        <v>3000</v>
      </c>
      <c r="L48" s="3" t="str">
        <f t="shared" ref="L48" si="36">IF(J48="mm","m","pi")</f>
        <v>m</v>
      </c>
      <c r="M48" s="33">
        <f t="shared" ref="M48" si="37">IF(J48="mm",F48*I48/1000*K48*1.55,F48*I48*12*K48/1000)</f>
        <v>-7091.25</v>
      </c>
      <c r="N48" s="2">
        <f>_xlfn.XLOOKUP(A48,'[1]Prix MP'!$A:$A,'[1]Prix MP'!$T:$T)</f>
        <v>0.37814458402377227</v>
      </c>
      <c r="O48" s="18">
        <f>_xlfn.XLOOKUP(A48,'[1]Prix MP'!$A:$A,'[1]Prix MP'!$U:$U)</f>
        <v>0.37814458402377227</v>
      </c>
      <c r="P48" s="11">
        <f t="shared" ref="P48" si="38">M48*N48</f>
        <v>-2681.517781458575</v>
      </c>
      <c r="Q48" s="7">
        <f t="shared" ref="Q48:Q49" si="39">M48*O48</f>
        <v>-2681.517781458575</v>
      </c>
      <c r="R48" t="s">
        <v>207</v>
      </c>
      <c r="S48" s="1">
        <f t="shared" ref="S48:S50" si="40">ROUND(IF(E48="I",0,IF(J48="po",I48,I48/25.4)),2)</f>
        <v>0</v>
      </c>
      <c r="T48" s="33">
        <f t="shared" ref="T48:T50" si="41">ROUND(IF(E48="I",0,IF(J48="po",K48,K48*3.280839895)),0)</f>
        <v>0</v>
      </c>
      <c r="V48" s="8">
        <f t="shared" si="6"/>
        <v>4575</v>
      </c>
      <c r="W48" s="69"/>
      <c r="AX48"/>
    </row>
    <row r="49" spans="1:50" x14ac:dyDescent="0.25">
      <c r="A49">
        <v>30019</v>
      </c>
      <c r="B49" s="17" t="s">
        <v>132</v>
      </c>
      <c r="C49" s="45">
        <v>45597</v>
      </c>
      <c r="D49" s="46" t="s">
        <v>373</v>
      </c>
      <c r="E49" s="46" t="s">
        <v>42</v>
      </c>
      <c r="F49" s="64">
        <v>1</v>
      </c>
      <c r="G49" s="49" t="s">
        <v>371</v>
      </c>
      <c r="H49" s="34" t="s">
        <v>377</v>
      </c>
      <c r="I49" s="28">
        <v>9.5</v>
      </c>
      <c r="J49" t="s">
        <v>36</v>
      </c>
      <c r="K49" s="47">
        <v>4680</v>
      </c>
      <c r="L49" s="3" t="s">
        <v>372</v>
      </c>
      <c r="M49" s="33">
        <f>IF(J49="mm",F49*I49/1000*K49*1.55,F49*I49*12*K49/1000)</f>
        <v>533.52</v>
      </c>
      <c r="N49" s="2">
        <f>_xlfn.XLOOKUP(A49,'[1]Prix MP'!$A:$A,'[1]Prix MP'!$T:$T)</f>
        <v>0.37814458402377227</v>
      </c>
      <c r="O49" s="18">
        <f>_xlfn.XLOOKUP(A49,'[1]Prix MP'!$A:$A,'[1]Prix MP'!$U:$U)</f>
        <v>0.37814458402377227</v>
      </c>
      <c r="P49" s="11">
        <f>M49*N49</f>
        <v>201.74769846836298</v>
      </c>
      <c r="Q49" s="7">
        <f t="shared" si="39"/>
        <v>201.74769846836298</v>
      </c>
      <c r="R49" t="s">
        <v>207</v>
      </c>
      <c r="S49" s="1">
        <f>ROUND(IF(E49="I",0,IF(J49="po",I49,I49/25.4)),2)</f>
        <v>0</v>
      </c>
      <c r="T49" s="33">
        <f>ROUND(IF(E49="I",0,IF(J49="po",K49,K49*3.280839895)),0)</f>
        <v>0</v>
      </c>
      <c r="V49" s="8"/>
      <c r="W49" s="69"/>
      <c r="AX49"/>
    </row>
    <row r="50" spans="1:50" x14ac:dyDescent="0.25">
      <c r="A50">
        <v>30019</v>
      </c>
      <c r="B50" s="17" t="s">
        <v>132</v>
      </c>
      <c r="C50" s="45">
        <v>45631</v>
      </c>
      <c r="D50" s="46" t="s">
        <v>496</v>
      </c>
      <c r="E50" s="46" t="s">
        <v>42</v>
      </c>
      <c r="F50" s="64">
        <v>-1</v>
      </c>
      <c r="G50" s="49" t="s">
        <v>497</v>
      </c>
      <c r="H50" s="34" t="s">
        <v>377</v>
      </c>
      <c r="I50" s="28">
        <v>9.5</v>
      </c>
      <c r="J50" t="s">
        <v>36</v>
      </c>
      <c r="K50" s="47">
        <v>4680</v>
      </c>
      <c r="L50" s="3" t="s">
        <v>372</v>
      </c>
      <c r="M50" s="33">
        <f t="shared" ref="M50" si="42">IF(J50="mm",F50*I50/1000*K50*1.55,F50*I50*12*K50/1000)</f>
        <v>-533.52</v>
      </c>
      <c r="N50" s="2">
        <f>_xlfn.XLOOKUP(A50,'[1]Prix MP'!$A:$A,'[1]Prix MP'!$T:$T)</f>
        <v>0.37814458402377227</v>
      </c>
      <c r="O50" s="18">
        <f>_xlfn.XLOOKUP(A50,'[1]Prix MP'!$A:$A,'[1]Prix MP'!$U:$U)</f>
        <v>0.37814458402377227</v>
      </c>
      <c r="P50" s="11">
        <f t="shared" ref="P50" si="43">M50*N50</f>
        <v>-201.74769846836298</v>
      </c>
      <c r="Q50" s="7">
        <f t="shared" ref="Q50" si="44">M50*O50</f>
        <v>-201.74769846836298</v>
      </c>
      <c r="R50" t="s">
        <v>207</v>
      </c>
      <c r="S50" s="1">
        <f t="shared" si="40"/>
        <v>0</v>
      </c>
      <c r="T50" s="33">
        <f t="shared" si="41"/>
        <v>0</v>
      </c>
      <c r="V50" s="8" t="str">
        <f t="shared" si="6"/>
        <v/>
      </c>
      <c r="W50" s="69"/>
      <c r="AX50"/>
    </row>
    <row r="51" spans="1:50" x14ac:dyDescent="0.25">
      <c r="A51">
        <v>30019</v>
      </c>
      <c r="B51" s="17" t="s">
        <v>132</v>
      </c>
      <c r="C51" s="45">
        <v>45565</v>
      </c>
      <c r="D51" s="46" t="s">
        <v>37</v>
      </c>
      <c r="E51" s="46" t="s">
        <v>42</v>
      </c>
      <c r="F51" s="63">
        <f t="shared" si="32"/>
        <v>1</v>
      </c>
      <c r="G51" s="49"/>
      <c r="H51" s="34" t="s">
        <v>134</v>
      </c>
      <c r="I51" s="28">
        <v>1525</v>
      </c>
      <c r="J51" t="s">
        <v>2</v>
      </c>
      <c r="K51" s="47">
        <v>3000</v>
      </c>
      <c r="L51" s="3" t="str">
        <f t="shared" si="33"/>
        <v>m</v>
      </c>
      <c r="M51" s="33">
        <f t="shared" si="7"/>
        <v>7091.25</v>
      </c>
      <c r="N51" s="2">
        <f>_xlfn.XLOOKUP(A51,'[1]Prix MP'!$A:$A,'[1]Prix MP'!$T:$T)</f>
        <v>0.37814458402377227</v>
      </c>
      <c r="O51" s="18">
        <f>_xlfn.XLOOKUP(A51,'[1]Prix MP'!$A:$A,'[1]Prix MP'!$U:$U)</f>
        <v>0.37814458402377227</v>
      </c>
      <c r="P51" s="11">
        <f t="shared" si="34"/>
        <v>2681.517781458575</v>
      </c>
      <c r="Q51" s="7">
        <f t="shared" si="35"/>
        <v>2681.517781458575</v>
      </c>
      <c r="R51" t="s">
        <v>207</v>
      </c>
      <c r="S51" s="1">
        <f t="shared" si="4"/>
        <v>0</v>
      </c>
      <c r="T51" s="33">
        <f t="shared" si="5"/>
        <v>0</v>
      </c>
      <c r="V51" s="8">
        <f t="shared" si="6"/>
        <v>4575</v>
      </c>
      <c r="W51" s="69"/>
      <c r="AX51"/>
    </row>
    <row r="52" spans="1:50" x14ac:dyDescent="0.25">
      <c r="A52">
        <v>30019</v>
      </c>
      <c r="B52" s="17" t="s">
        <v>132</v>
      </c>
      <c r="C52" s="45">
        <v>45597</v>
      </c>
      <c r="D52" s="46" t="s">
        <v>176</v>
      </c>
      <c r="E52" s="46" t="s">
        <v>42</v>
      </c>
      <c r="F52" s="64">
        <v>-1</v>
      </c>
      <c r="G52" s="49" t="s">
        <v>371</v>
      </c>
      <c r="H52" s="34" t="s">
        <v>134</v>
      </c>
      <c r="I52" s="28">
        <v>1525</v>
      </c>
      <c r="J52" t="s">
        <v>2</v>
      </c>
      <c r="K52" s="47">
        <v>3000</v>
      </c>
      <c r="L52" s="3" t="str">
        <f t="shared" ref="L52" si="45">IF(J52="mm","m","pi")</f>
        <v>m</v>
      </c>
      <c r="M52" s="33">
        <f t="shared" ref="M52:M54" si="46">IF(J52="mm",F52*I52/1000*K52*1.55,F52*I52*12*K52/1000)</f>
        <v>-7091.25</v>
      </c>
      <c r="N52" s="2">
        <f>_xlfn.XLOOKUP(A52,'[1]Prix MP'!$A:$A,'[1]Prix MP'!$T:$T)</f>
        <v>0.37814458402377227</v>
      </c>
      <c r="O52" s="18">
        <f>_xlfn.XLOOKUP(A52,'[1]Prix MP'!$A:$A,'[1]Prix MP'!$U:$U)</f>
        <v>0.37814458402377227</v>
      </c>
      <c r="P52" s="11">
        <f t="shared" ref="P52:P54" si="47">M52*N52</f>
        <v>-2681.517781458575</v>
      </c>
      <c r="Q52" s="7">
        <f t="shared" ref="Q52:Q54" si="48">M52*O52</f>
        <v>-2681.517781458575</v>
      </c>
      <c r="R52" t="s">
        <v>207</v>
      </c>
      <c r="S52" s="1">
        <f t="shared" ref="S52:S54" si="49">ROUND(IF(E52="I",0,IF(J52="po",I52,I52/25.4)),2)</f>
        <v>0</v>
      </c>
      <c r="T52" s="33">
        <f t="shared" ref="T52:T54" si="50">ROUND(IF(E52="I",0,IF(J52="po",K52,K52*3.280839895)),0)</f>
        <v>0</v>
      </c>
      <c r="V52" s="8">
        <f t="shared" si="6"/>
        <v>4575</v>
      </c>
      <c r="W52" s="69"/>
      <c r="AX52"/>
    </row>
    <row r="53" spans="1:50" x14ac:dyDescent="0.25">
      <c r="A53">
        <v>30019</v>
      </c>
      <c r="B53" s="17" t="s">
        <v>132</v>
      </c>
      <c r="C53" s="45">
        <v>45597</v>
      </c>
      <c r="D53" s="46" t="s">
        <v>373</v>
      </c>
      <c r="E53" s="46" t="s">
        <v>42</v>
      </c>
      <c r="F53" s="64">
        <v>1</v>
      </c>
      <c r="G53" s="49" t="s">
        <v>371</v>
      </c>
      <c r="H53" s="34" t="s">
        <v>379</v>
      </c>
      <c r="I53" s="28">
        <v>9.5</v>
      </c>
      <c r="J53" t="s">
        <v>36</v>
      </c>
      <c r="K53" s="47">
        <v>5000</v>
      </c>
      <c r="L53" s="3" t="s">
        <v>372</v>
      </c>
      <c r="M53" s="33">
        <f>IF(J53="mm",F53*I53/1000*K53*1.55,F53*I53*12*K53/1000)</f>
        <v>570</v>
      </c>
      <c r="N53" s="2">
        <f>_xlfn.XLOOKUP(A53,'[1]Prix MP'!$A:$A,'[1]Prix MP'!$T:$T)</f>
        <v>0.37814458402377227</v>
      </c>
      <c r="O53" s="18">
        <f>_xlfn.XLOOKUP(A53,'[1]Prix MP'!$A:$A,'[1]Prix MP'!$U:$U)</f>
        <v>0.37814458402377227</v>
      </c>
      <c r="P53" s="11">
        <f>M53*N53</f>
        <v>215.54241289355019</v>
      </c>
      <c r="Q53" s="7">
        <f t="shared" ref="Q53" si="51">M53*O53</f>
        <v>215.54241289355019</v>
      </c>
      <c r="R53" t="s">
        <v>207</v>
      </c>
      <c r="S53" s="1">
        <f>ROUND(IF(E53="I",0,IF(J53="po",I53,I53/25.4)),2)</f>
        <v>0</v>
      </c>
      <c r="T53" s="33">
        <f>ROUND(IF(E53="I",0,IF(J53="po",K53,K53*3.280839895)),0)</f>
        <v>0</v>
      </c>
      <c r="V53" s="8"/>
      <c r="W53" s="69"/>
      <c r="AX53"/>
    </row>
    <row r="54" spans="1:50" x14ac:dyDescent="0.25">
      <c r="A54">
        <v>30019</v>
      </c>
      <c r="B54" s="17" t="s">
        <v>132</v>
      </c>
      <c r="C54" s="45">
        <v>45631</v>
      </c>
      <c r="D54" s="46" t="s">
        <v>496</v>
      </c>
      <c r="E54" s="46" t="s">
        <v>42</v>
      </c>
      <c r="F54" s="64">
        <v>-1</v>
      </c>
      <c r="G54" s="49" t="s">
        <v>497</v>
      </c>
      <c r="H54" s="34" t="s">
        <v>379</v>
      </c>
      <c r="I54" s="28">
        <v>9.5</v>
      </c>
      <c r="J54" t="s">
        <v>36</v>
      </c>
      <c r="K54" s="47">
        <v>5000</v>
      </c>
      <c r="L54" s="3" t="s">
        <v>372</v>
      </c>
      <c r="M54" s="33">
        <f t="shared" si="46"/>
        <v>-570</v>
      </c>
      <c r="N54" s="2">
        <f>_xlfn.XLOOKUP(A54,'[1]Prix MP'!$A:$A,'[1]Prix MP'!$T:$T)</f>
        <v>0.37814458402377227</v>
      </c>
      <c r="O54" s="18">
        <f>_xlfn.XLOOKUP(A54,'[1]Prix MP'!$A:$A,'[1]Prix MP'!$U:$U)</f>
        <v>0.37814458402377227</v>
      </c>
      <c r="P54" s="11">
        <f t="shared" si="47"/>
        <v>-215.54241289355019</v>
      </c>
      <c r="Q54" s="7">
        <f t="shared" si="48"/>
        <v>-215.54241289355019</v>
      </c>
      <c r="R54" t="s">
        <v>207</v>
      </c>
      <c r="S54" s="1">
        <f t="shared" si="49"/>
        <v>0</v>
      </c>
      <c r="T54" s="33">
        <f t="shared" si="50"/>
        <v>0</v>
      </c>
      <c r="V54" s="8" t="str">
        <f t="shared" si="6"/>
        <v/>
      </c>
      <c r="W54" s="69"/>
      <c r="AX54"/>
    </row>
    <row r="55" spans="1:50" x14ac:dyDescent="0.25">
      <c r="A55">
        <v>30019</v>
      </c>
      <c r="B55" s="17" t="s">
        <v>132</v>
      </c>
      <c r="C55" s="45">
        <v>45565</v>
      </c>
      <c r="D55" s="46" t="s">
        <v>37</v>
      </c>
      <c r="E55" s="46" t="s">
        <v>42</v>
      </c>
      <c r="F55" s="64">
        <f t="shared" si="32"/>
        <v>1</v>
      </c>
      <c r="G55" s="49"/>
      <c r="H55" s="34" t="s">
        <v>135</v>
      </c>
      <c r="I55" s="28">
        <v>1525</v>
      </c>
      <c r="J55" t="s">
        <v>2</v>
      </c>
      <c r="K55" s="47">
        <v>3000</v>
      </c>
      <c r="L55" s="3" t="str">
        <f t="shared" si="33"/>
        <v>m</v>
      </c>
      <c r="M55" s="33">
        <f t="shared" si="7"/>
        <v>7091.25</v>
      </c>
      <c r="N55" s="2">
        <f>_xlfn.XLOOKUP(A55,'[1]Prix MP'!$A:$A,'[1]Prix MP'!$T:$T)</f>
        <v>0.37814458402377227</v>
      </c>
      <c r="O55" s="18">
        <f>_xlfn.XLOOKUP(A55,'[1]Prix MP'!$A:$A,'[1]Prix MP'!$U:$U)</f>
        <v>0.37814458402377227</v>
      </c>
      <c r="P55" s="11">
        <f t="shared" si="34"/>
        <v>2681.517781458575</v>
      </c>
      <c r="Q55" s="7">
        <f t="shared" si="35"/>
        <v>2681.517781458575</v>
      </c>
      <c r="R55" t="s">
        <v>207</v>
      </c>
      <c r="S55" s="1">
        <f t="shared" si="4"/>
        <v>0</v>
      </c>
      <c r="T55" s="33">
        <f t="shared" si="5"/>
        <v>0</v>
      </c>
      <c r="V55" s="8">
        <f t="shared" si="6"/>
        <v>4575</v>
      </c>
      <c r="W55" s="69"/>
      <c r="AX55"/>
    </row>
    <row r="56" spans="1:50" x14ac:dyDescent="0.25">
      <c r="A56">
        <v>30019</v>
      </c>
      <c r="B56" s="17" t="s">
        <v>132</v>
      </c>
      <c r="C56" s="45">
        <v>45608</v>
      </c>
      <c r="D56" s="46" t="s">
        <v>176</v>
      </c>
      <c r="E56" s="46" t="s">
        <v>42</v>
      </c>
      <c r="F56" s="64">
        <v>-1</v>
      </c>
      <c r="G56" s="49" t="s">
        <v>443</v>
      </c>
      <c r="H56" s="34" t="s">
        <v>135</v>
      </c>
      <c r="I56" s="28">
        <v>60.039000000000001</v>
      </c>
      <c r="J56" t="s">
        <v>36</v>
      </c>
      <c r="K56" s="47">
        <v>9843</v>
      </c>
      <c r="L56" s="3" t="s">
        <v>372</v>
      </c>
      <c r="M56" s="33">
        <f t="shared" ref="M56:M60" si="52">IF(J56="mm",F56*I56/1000*K56*1.55,F56*I56*12*K56/1000)</f>
        <v>-7091.5665240000008</v>
      </c>
      <c r="N56" s="2">
        <f>_xlfn.XLOOKUP(A56,'[1]Prix MP'!$A:$A,'[1]Prix MP'!$T:$T)</f>
        <v>0.37814458402377227</v>
      </c>
      <c r="O56" s="18">
        <f>_xlfn.XLOOKUP(A56,'[1]Prix MP'!$A:$A,'[1]Prix MP'!$U:$U)</f>
        <v>0.37814458402377227</v>
      </c>
      <c r="P56" s="11">
        <f t="shared" ref="P56:P60" si="53">M56*N56</f>
        <v>-2681.6374732948889</v>
      </c>
      <c r="Q56" s="7">
        <f t="shared" ref="Q56:Q60" si="54">M56*O56</f>
        <v>-2681.6374732948889</v>
      </c>
      <c r="R56" t="s">
        <v>207</v>
      </c>
      <c r="S56" s="1">
        <f t="shared" ref="S56:S60" si="55">ROUND(IF(E56="I",0,IF(J56="po",I56,I56/25.4)),2)</f>
        <v>0</v>
      </c>
      <c r="T56" s="33">
        <f t="shared" ref="T56:T60" si="56">ROUND(IF(E56="I",0,IF(J56="po",K56,K56*3.280839895)),0)</f>
        <v>0</v>
      </c>
      <c r="V56" s="8" t="str">
        <f t="shared" si="6"/>
        <v/>
      </c>
      <c r="W56" s="69"/>
      <c r="AX56"/>
    </row>
    <row r="57" spans="1:50" x14ac:dyDescent="0.25">
      <c r="A57">
        <v>30019</v>
      </c>
      <c r="B57" s="17" t="s">
        <v>132</v>
      </c>
      <c r="C57" s="45">
        <v>45608</v>
      </c>
      <c r="D57" s="46" t="s">
        <v>373</v>
      </c>
      <c r="E57" s="46" t="s">
        <v>42</v>
      </c>
      <c r="F57" s="64">
        <v>1</v>
      </c>
      <c r="G57" s="49" t="s">
        <v>443</v>
      </c>
      <c r="H57" s="34" t="s">
        <v>449</v>
      </c>
      <c r="I57" s="28">
        <v>9.5</v>
      </c>
      <c r="J57" t="s">
        <v>36</v>
      </c>
      <c r="K57" s="47">
        <v>4950</v>
      </c>
      <c r="L57" s="3" t="s">
        <v>372</v>
      </c>
      <c r="M57" s="33">
        <f>IF(J57="mm",F57*I57/1000*K57*1.55,F57*I57*12*K57/1000)</f>
        <v>564.29999999999995</v>
      </c>
      <c r="N57" s="2">
        <f>_xlfn.XLOOKUP(A57,'[1]Prix MP'!$A:$A,'[1]Prix MP'!$T:$T)</f>
        <v>0.37814458402377227</v>
      </c>
      <c r="O57" s="18">
        <f>_xlfn.XLOOKUP(A57,'[1]Prix MP'!$A:$A,'[1]Prix MP'!$U:$U)</f>
        <v>0.37814458402377227</v>
      </c>
      <c r="P57" s="11">
        <f>M57*N57</f>
        <v>213.38698876461467</v>
      </c>
      <c r="Q57" s="7">
        <f t="shared" ref="Q57" si="57">M57*O57</f>
        <v>213.38698876461467</v>
      </c>
      <c r="R57" t="s">
        <v>207</v>
      </c>
      <c r="S57" s="1">
        <f>ROUND(IF(E57="I",0,IF(J57="po",I57,I57/25.4)),2)</f>
        <v>0</v>
      </c>
      <c r="T57" s="33">
        <f>ROUND(IF(E57="I",0,IF(J57="po",K57,K57*3.280839895)),0)</f>
        <v>0</v>
      </c>
      <c r="V57" s="8"/>
      <c r="W57" s="69"/>
      <c r="AX57"/>
    </row>
    <row r="58" spans="1:50" x14ac:dyDescent="0.25">
      <c r="A58">
        <v>30019</v>
      </c>
      <c r="B58" s="17" t="s">
        <v>132</v>
      </c>
      <c r="C58" s="45">
        <v>45631</v>
      </c>
      <c r="D58" s="46" t="s">
        <v>496</v>
      </c>
      <c r="E58" s="46" t="s">
        <v>42</v>
      </c>
      <c r="F58" s="64">
        <v>-1</v>
      </c>
      <c r="G58" s="49" t="s">
        <v>497</v>
      </c>
      <c r="H58" s="34" t="s">
        <v>449</v>
      </c>
      <c r="I58" s="28">
        <v>9.5</v>
      </c>
      <c r="J58" t="s">
        <v>36</v>
      </c>
      <c r="K58" s="47">
        <v>4950</v>
      </c>
      <c r="L58" s="3" t="s">
        <v>372</v>
      </c>
      <c r="M58" s="33">
        <f t="shared" si="52"/>
        <v>-564.29999999999995</v>
      </c>
      <c r="N58" s="2">
        <f>_xlfn.XLOOKUP(A58,'[1]Prix MP'!$A:$A,'[1]Prix MP'!$T:$T)</f>
        <v>0.37814458402377227</v>
      </c>
      <c r="O58" s="18">
        <f>_xlfn.XLOOKUP(A58,'[1]Prix MP'!$A:$A,'[1]Prix MP'!$U:$U)</f>
        <v>0.37814458402377227</v>
      </c>
      <c r="P58" s="11">
        <f t="shared" si="53"/>
        <v>-213.38698876461467</v>
      </c>
      <c r="Q58" s="7">
        <f t="shared" si="54"/>
        <v>-213.38698876461467</v>
      </c>
      <c r="R58" t="s">
        <v>207</v>
      </c>
      <c r="S58" s="1">
        <f t="shared" si="55"/>
        <v>0</v>
      </c>
      <c r="T58" s="33">
        <f t="shared" si="56"/>
        <v>0</v>
      </c>
      <c r="V58" s="8" t="str">
        <f t="shared" si="6"/>
        <v/>
      </c>
      <c r="W58" s="69"/>
      <c r="AX58"/>
    </row>
    <row r="59" spans="1:50" x14ac:dyDescent="0.25">
      <c r="A59">
        <v>30019</v>
      </c>
      <c r="B59" s="17" t="s">
        <v>132</v>
      </c>
      <c r="C59" s="45">
        <v>45608</v>
      </c>
      <c r="D59" s="46" t="s">
        <v>373</v>
      </c>
      <c r="E59" s="46" t="s">
        <v>42</v>
      </c>
      <c r="F59" s="64">
        <v>1</v>
      </c>
      <c r="G59" s="49" t="s">
        <v>443</v>
      </c>
      <c r="H59" s="34" t="s">
        <v>450</v>
      </c>
      <c r="I59" s="28">
        <v>9.5</v>
      </c>
      <c r="J59" t="s">
        <v>36</v>
      </c>
      <c r="K59" s="47">
        <v>4750</v>
      </c>
      <c r="L59" s="3" t="s">
        <v>372</v>
      </c>
      <c r="M59" s="33">
        <f>IF(J59="mm",F59*I59/1000*K59*1.55,F59*I59*12*K59/1000)</f>
        <v>541.5</v>
      </c>
      <c r="N59" s="2">
        <f>_xlfn.XLOOKUP(A59,'[1]Prix MP'!$A:$A,'[1]Prix MP'!$T:$T)</f>
        <v>0.37814458402377227</v>
      </c>
      <c r="O59" s="18">
        <f>_xlfn.XLOOKUP(A59,'[1]Prix MP'!$A:$A,'[1]Prix MP'!$U:$U)</f>
        <v>0.37814458402377227</v>
      </c>
      <c r="P59" s="11">
        <f>M59*N59</f>
        <v>204.7652922488727</v>
      </c>
      <c r="Q59" s="7">
        <f t="shared" ref="Q59" si="58">M59*O59</f>
        <v>204.7652922488727</v>
      </c>
      <c r="R59" t="s">
        <v>207</v>
      </c>
      <c r="S59" s="1">
        <f>ROUND(IF(E59="I",0,IF(J59="po",I59,I59/25.4)),2)</f>
        <v>0</v>
      </c>
      <c r="T59" s="33">
        <f>ROUND(IF(E59="I",0,IF(J59="po",K59,K59*3.280839895)),0)</f>
        <v>0</v>
      </c>
      <c r="V59" s="8"/>
      <c r="W59" s="69"/>
      <c r="AX59"/>
    </row>
    <row r="60" spans="1:50" x14ac:dyDescent="0.25">
      <c r="A60">
        <v>30019</v>
      </c>
      <c r="B60" s="17" t="s">
        <v>132</v>
      </c>
      <c r="C60" s="45">
        <v>45631</v>
      </c>
      <c r="D60" s="46" t="s">
        <v>496</v>
      </c>
      <c r="E60" s="46" t="s">
        <v>42</v>
      </c>
      <c r="F60" s="64">
        <v>-1</v>
      </c>
      <c r="G60" s="49" t="s">
        <v>497</v>
      </c>
      <c r="H60" s="34" t="s">
        <v>450</v>
      </c>
      <c r="I60" s="28">
        <v>9.5</v>
      </c>
      <c r="J60" t="s">
        <v>36</v>
      </c>
      <c r="K60" s="47">
        <v>4750</v>
      </c>
      <c r="L60" s="3" t="s">
        <v>372</v>
      </c>
      <c r="M60" s="33">
        <f t="shared" si="52"/>
        <v>-541.5</v>
      </c>
      <c r="N60" s="2">
        <f>_xlfn.XLOOKUP(A60,'[1]Prix MP'!$A:$A,'[1]Prix MP'!$T:$T)</f>
        <v>0.37814458402377227</v>
      </c>
      <c r="O60" s="18">
        <f>_xlfn.XLOOKUP(A60,'[1]Prix MP'!$A:$A,'[1]Prix MP'!$U:$U)</f>
        <v>0.37814458402377227</v>
      </c>
      <c r="P60" s="11">
        <f t="shared" si="53"/>
        <v>-204.7652922488727</v>
      </c>
      <c r="Q60" s="7">
        <f t="shared" si="54"/>
        <v>-204.7652922488727</v>
      </c>
      <c r="R60" t="s">
        <v>207</v>
      </c>
      <c r="S60" s="1">
        <f t="shared" si="55"/>
        <v>0</v>
      </c>
      <c r="T60" s="33">
        <f t="shared" si="56"/>
        <v>0</v>
      </c>
      <c r="V60" s="8" t="str">
        <f t="shared" si="6"/>
        <v/>
      </c>
      <c r="W60" s="69"/>
      <c r="AX60"/>
    </row>
    <row r="61" spans="1:50" x14ac:dyDescent="0.25">
      <c r="A61">
        <v>30019</v>
      </c>
      <c r="B61" s="17" t="s">
        <v>132</v>
      </c>
      <c r="C61" s="45">
        <v>45565</v>
      </c>
      <c r="D61" s="46" t="s">
        <v>37</v>
      </c>
      <c r="E61" s="46" t="s">
        <v>42</v>
      </c>
      <c r="F61" s="63">
        <f t="shared" si="32"/>
        <v>1</v>
      </c>
      <c r="G61" s="49"/>
      <c r="H61" s="34" t="s">
        <v>136</v>
      </c>
      <c r="I61" s="28">
        <v>1525</v>
      </c>
      <c r="J61" t="s">
        <v>2</v>
      </c>
      <c r="K61" s="47">
        <v>3000</v>
      </c>
      <c r="L61" s="3" t="str">
        <f t="shared" si="33"/>
        <v>m</v>
      </c>
      <c r="M61" s="33">
        <f t="shared" si="7"/>
        <v>7091.25</v>
      </c>
      <c r="N61" s="2">
        <f>_xlfn.XLOOKUP(A61,'[1]Prix MP'!$A:$A,'[1]Prix MP'!$T:$T)</f>
        <v>0.37814458402377227</v>
      </c>
      <c r="O61" s="18">
        <f>_xlfn.XLOOKUP(A61,'[1]Prix MP'!$A:$A,'[1]Prix MP'!$U:$U)</f>
        <v>0.37814458402377227</v>
      </c>
      <c r="P61" s="11">
        <f t="shared" si="34"/>
        <v>2681.517781458575</v>
      </c>
      <c r="Q61" s="7">
        <f t="shared" si="35"/>
        <v>2681.517781458575</v>
      </c>
      <c r="R61" t="s">
        <v>207</v>
      </c>
      <c r="S61" s="1">
        <f t="shared" si="4"/>
        <v>0</v>
      </c>
      <c r="T61" s="33">
        <f t="shared" si="5"/>
        <v>0</v>
      </c>
      <c r="V61" s="8">
        <f t="shared" si="6"/>
        <v>4575</v>
      </c>
      <c r="W61" s="69"/>
      <c r="AX61"/>
    </row>
    <row r="62" spans="1:50" x14ac:dyDescent="0.25">
      <c r="A62">
        <v>30019</v>
      </c>
      <c r="B62" s="17" t="s">
        <v>132</v>
      </c>
      <c r="C62" s="45">
        <v>45608</v>
      </c>
      <c r="D62" s="46" t="s">
        <v>176</v>
      </c>
      <c r="E62" s="46" t="s">
        <v>42</v>
      </c>
      <c r="F62" s="64">
        <v>-1</v>
      </c>
      <c r="G62" s="49" t="s">
        <v>443</v>
      </c>
      <c r="H62" s="34" t="s">
        <v>136</v>
      </c>
      <c r="I62" s="28">
        <v>60.039000000000001</v>
      </c>
      <c r="J62" t="s">
        <v>36</v>
      </c>
      <c r="K62" s="47">
        <v>9843</v>
      </c>
      <c r="L62" s="3" t="s">
        <v>372</v>
      </c>
      <c r="M62" s="33">
        <f t="shared" ref="M62:M66" si="59">IF(J62="mm",F62*I62/1000*K62*1.55,F62*I62*12*K62/1000)</f>
        <v>-7091.5665240000008</v>
      </c>
      <c r="N62" s="2">
        <f>_xlfn.XLOOKUP(A62,'[1]Prix MP'!$A:$A,'[1]Prix MP'!$T:$T)</f>
        <v>0.37814458402377227</v>
      </c>
      <c r="O62" s="18">
        <f>_xlfn.XLOOKUP(A62,'[1]Prix MP'!$A:$A,'[1]Prix MP'!$U:$U)</f>
        <v>0.37814458402377227</v>
      </c>
      <c r="P62" s="11">
        <f t="shared" ref="P62:P66" si="60">M62*N62</f>
        <v>-2681.6374732948889</v>
      </c>
      <c r="Q62" s="7">
        <f t="shared" ref="Q62:Q66" si="61">M62*O62</f>
        <v>-2681.6374732948889</v>
      </c>
      <c r="R62" t="s">
        <v>207</v>
      </c>
      <c r="S62" s="1">
        <f t="shared" ref="S62:S66" si="62">ROUND(IF(E62="I",0,IF(J62="po",I62,I62/25.4)),2)</f>
        <v>0</v>
      </c>
      <c r="T62" s="33">
        <f t="shared" ref="T62:T66" si="63">ROUND(IF(E62="I",0,IF(J62="po",K62,K62*3.280839895)),0)</f>
        <v>0</v>
      </c>
      <c r="V62" s="8" t="str">
        <f t="shared" si="6"/>
        <v/>
      </c>
      <c r="W62" s="69"/>
      <c r="AX62"/>
    </row>
    <row r="63" spans="1:50" x14ac:dyDescent="0.25">
      <c r="A63">
        <v>30019</v>
      </c>
      <c r="B63" s="17" t="s">
        <v>132</v>
      </c>
      <c r="C63" s="45">
        <v>45608</v>
      </c>
      <c r="D63" s="46" t="s">
        <v>373</v>
      </c>
      <c r="E63" s="46" t="s">
        <v>42</v>
      </c>
      <c r="F63" s="64">
        <v>1</v>
      </c>
      <c r="G63" s="49" t="s">
        <v>443</v>
      </c>
      <c r="H63" s="34" t="s">
        <v>447</v>
      </c>
      <c r="I63" s="28">
        <v>9.5</v>
      </c>
      <c r="J63" t="s">
        <v>36</v>
      </c>
      <c r="K63" s="47">
        <v>4950</v>
      </c>
      <c r="L63" s="3" t="s">
        <v>372</v>
      </c>
      <c r="M63" s="33">
        <f>IF(J63="mm",F63*I63/1000*K63*1.55,F63*I63*12*K63/1000)</f>
        <v>564.29999999999995</v>
      </c>
      <c r="N63" s="2">
        <f>_xlfn.XLOOKUP(A63,'[1]Prix MP'!$A:$A,'[1]Prix MP'!$T:$T)</f>
        <v>0.37814458402377227</v>
      </c>
      <c r="O63" s="18">
        <f>_xlfn.XLOOKUP(A63,'[1]Prix MP'!$A:$A,'[1]Prix MP'!$U:$U)</f>
        <v>0.37814458402377227</v>
      </c>
      <c r="P63" s="11">
        <f>M63*N63</f>
        <v>213.38698876461467</v>
      </c>
      <c r="Q63" s="7">
        <f t="shared" ref="Q63" si="64">M63*O63</f>
        <v>213.38698876461467</v>
      </c>
      <c r="R63" t="s">
        <v>207</v>
      </c>
      <c r="S63" s="1">
        <f>ROUND(IF(E63="I",0,IF(J63="po",I63,I63/25.4)),2)</f>
        <v>0</v>
      </c>
      <c r="T63" s="33">
        <f>ROUND(IF(E63="I",0,IF(J63="po",K63,K63*3.280839895)),0)</f>
        <v>0</v>
      </c>
      <c r="V63" s="8"/>
      <c r="W63" s="69"/>
      <c r="AX63"/>
    </row>
    <row r="64" spans="1:50" x14ac:dyDescent="0.25">
      <c r="A64">
        <v>30019</v>
      </c>
      <c r="B64" s="17" t="s">
        <v>132</v>
      </c>
      <c r="C64" s="45">
        <v>45631</v>
      </c>
      <c r="D64" s="46" t="s">
        <v>496</v>
      </c>
      <c r="E64" s="46" t="s">
        <v>42</v>
      </c>
      <c r="F64" s="64">
        <v>-1</v>
      </c>
      <c r="G64" s="49" t="s">
        <v>497</v>
      </c>
      <c r="H64" s="34" t="s">
        <v>447</v>
      </c>
      <c r="I64" s="28">
        <v>9.5</v>
      </c>
      <c r="J64" t="s">
        <v>36</v>
      </c>
      <c r="K64" s="47">
        <v>4950</v>
      </c>
      <c r="L64" s="3" t="s">
        <v>372</v>
      </c>
      <c r="M64" s="33">
        <f t="shared" si="59"/>
        <v>-564.29999999999995</v>
      </c>
      <c r="N64" s="2">
        <f>_xlfn.XLOOKUP(A64,'[1]Prix MP'!$A:$A,'[1]Prix MP'!$T:$T)</f>
        <v>0.37814458402377227</v>
      </c>
      <c r="O64" s="18">
        <f>_xlfn.XLOOKUP(A64,'[1]Prix MP'!$A:$A,'[1]Prix MP'!$U:$U)</f>
        <v>0.37814458402377227</v>
      </c>
      <c r="P64" s="11">
        <f t="shared" si="60"/>
        <v>-213.38698876461467</v>
      </c>
      <c r="Q64" s="7">
        <f t="shared" si="61"/>
        <v>-213.38698876461467</v>
      </c>
      <c r="R64" t="s">
        <v>207</v>
      </c>
      <c r="S64" s="1">
        <f t="shared" si="62"/>
        <v>0</v>
      </c>
      <c r="T64" s="33">
        <f t="shared" si="63"/>
        <v>0</v>
      </c>
      <c r="V64" s="8" t="str">
        <f t="shared" si="6"/>
        <v/>
      </c>
      <c r="W64" s="69"/>
      <c r="AX64"/>
    </row>
    <row r="65" spans="1:50" x14ac:dyDescent="0.25">
      <c r="A65">
        <v>30019</v>
      </c>
      <c r="B65" s="17" t="s">
        <v>132</v>
      </c>
      <c r="C65" s="45">
        <v>45608</v>
      </c>
      <c r="D65" s="46" t="s">
        <v>373</v>
      </c>
      <c r="E65" s="46" t="s">
        <v>42</v>
      </c>
      <c r="F65" s="64">
        <v>1</v>
      </c>
      <c r="G65" s="49" t="s">
        <v>443</v>
      </c>
      <c r="H65" s="34" t="s">
        <v>448</v>
      </c>
      <c r="I65" s="28">
        <v>9.5</v>
      </c>
      <c r="J65" t="s">
        <v>36</v>
      </c>
      <c r="K65" s="47">
        <v>4750</v>
      </c>
      <c r="L65" s="3" t="s">
        <v>372</v>
      </c>
      <c r="M65" s="33">
        <f>IF(J65="mm",F65*I65/1000*K65*1.55,F65*I65*12*K65/1000)</f>
        <v>541.5</v>
      </c>
      <c r="N65" s="2">
        <f>_xlfn.XLOOKUP(A65,'[1]Prix MP'!$A:$A,'[1]Prix MP'!$T:$T)</f>
        <v>0.37814458402377227</v>
      </c>
      <c r="O65" s="18">
        <f>_xlfn.XLOOKUP(A65,'[1]Prix MP'!$A:$A,'[1]Prix MP'!$U:$U)</f>
        <v>0.37814458402377227</v>
      </c>
      <c r="P65" s="11">
        <f>M65*N65</f>
        <v>204.7652922488727</v>
      </c>
      <c r="Q65" s="7">
        <f t="shared" ref="Q65" si="65">M65*O65</f>
        <v>204.7652922488727</v>
      </c>
      <c r="R65" t="s">
        <v>207</v>
      </c>
      <c r="S65" s="1">
        <f>ROUND(IF(E65="I",0,IF(J65="po",I65,I65/25.4)),2)</f>
        <v>0</v>
      </c>
      <c r="T65" s="33">
        <f>ROUND(IF(E65="I",0,IF(J65="po",K65,K65*3.280839895)),0)</f>
        <v>0</v>
      </c>
      <c r="V65" s="8"/>
      <c r="W65" s="69"/>
      <c r="AX65"/>
    </row>
    <row r="66" spans="1:50" x14ac:dyDescent="0.25">
      <c r="A66">
        <v>30019</v>
      </c>
      <c r="B66" s="17" t="s">
        <v>132</v>
      </c>
      <c r="C66" s="45">
        <v>45631</v>
      </c>
      <c r="D66" s="46" t="s">
        <v>496</v>
      </c>
      <c r="E66" s="46" t="s">
        <v>42</v>
      </c>
      <c r="F66" s="64">
        <v>-1</v>
      </c>
      <c r="G66" s="49" t="s">
        <v>497</v>
      </c>
      <c r="H66" s="34" t="s">
        <v>448</v>
      </c>
      <c r="I66" s="28">
        <v>9.5</v>
      </c>
      <c r="J66" t="s">
        <v>36</v>
      </c>
      <c r="K66" s="47">
        <v>4750</v>
      </c>
      <c r="L66" s="3" t="s">
        <v>372</v>
      </c>
      <c r="M66" s="33">
        <f t="shared" si="59"/>
        <v>-541.5</v>
      </c>
      <c r="N66" s="2">
        <f>_xlfn.XLOOKUP(A66,'[1]Prix MP'!$A:$A,'[1]Prix MP'!$T:$T)</f>
        <v>0.37814458402377227</v>
      </c>
      <c r="O66" s="18">
        <f>_xlfn.XLOOKUP(A66,'[1]Prix MP'!$A:$A,'[1]Prix MP'!$U:$U)</f>
        <v>0.37814458402377227</v>
      </c>
      <c r="P66" s="11">
        <f t="shared" si="60"/>
        <v>-204.7652922488727</v>
      </c>
      <c r="Q66" s="7">
        <f t="shared" si="61"/>
        <v>-204.7652922488727</v>
      </c>
      <c r="R66" t="s">
        <v>207</v>
      </c>
      <c r="S66" s="1">
        <f t="shared" si="62"/>
        <v>0</v>
      </c>
      <c r="T66" s="33">
        <f t="shared" si="63"/>
        <v>0</v>
      </c>
      <c r="V66" s="8" t="str">
        <f t="shared" si="6"/>
        <v/>
      </c>
      <c r="W66" s="69"/>
      <c r="AX66"/>
    </row>
    <row r="67" spans="1:50" x14ac:dyDescent="0.25">
      <c r="A67">
        <v>30019</v>
      </c>
      <c r="B67" s="17" t="s">
        <v>132</v>
      </c>
      <c r="C67" s="45">
        <v>45565</v>
      </c>
      <c r="D67" s="46" t="s">
        <v>37</v>
      </c>
      <c r="E67" s="46" t="s">
        <v>42</v>
      </c>
      <c r="F67" s="63">
        <f t="shared" si="32"/>
        <v>1</v>
      </c>
      <c r="G67" s="49"/>
      <c r="H67" s="34" t="s">
        <v>137</v>
      </c>
      <c r="I67" s="28">
        <v>1525</v>
      </c>
      <c r="J67" t="s">
        <v>2</v>
      </c>
      <c r="K67" s="47">
        <v>3000</v>
      </c>
      <c r="L67" s="3" t="str">
        <f t="shared" si="33"/>
        <v>m</v>
      </c>
      <c r="M67" s="33">
        <f t="shared" si="7"/>
        <v>7091.25</v>
      </c>
      <c r="N67" s="2">
        <f>_xlfn.XLOOKUP(A67,'[1]Prix MP'!$A:$A,'[1]Prix MP'!$T:$T)</f>
        <v>0.37814458402377227</v>
      </c>
      <c r="O67" s="18">
        <f>_xlfn.XLOOKUP(A67,'[1]Prix MP'!$A:$A,'[1]Prix MP'!$U:$U)</f>
        <v>0.37814458402377227</v>
      </c>
      <c r="P67" s="11">
        <f t="shared" si="34"/>
        <v>2681.517781458575</v>
      </c>
      <c r="Q67" s="7">
        <f t="shared" si="35"/>
        <v>2681.517781458575</v>
      </c>
      <c r="R67" t="s">
        <v>207</v>
      </c>
      <c r="S67" s="1">
        <f t="shared" si="4"/>
        <v>0</v>
      </c>
      <c r="T67" s="33">
        <f t="shared" si="5"/>
        <v>0</v>
      </c>
      <c r="V67" s="8">
        <f t="shared" si="6"/>
        <v>4575</v>
      </c>
      <c r="W67" s="69"/>
      <c r="AX67"/>
    </row>
    <row r="68" spans="1:50" x14ac:dyDescent="0.25">
      <c r="A68">
        <v>30019</v>
      </c>
      <c r="B68" s="17" t="s">
        <v>132</v>
      </c>
      <c r="C68" s="45">
        <v>45597</v>
      </c>
      <c r="D68" s="46" t="s">
        <v>176</v>
      </c>
      <c r="E68" s="46" t="s">
        <v>42</v>
      </c>
      <c r="F68" s="64">
        <v>-1</v>
      </c>
      <c r="G68" s="49" t="s">
        <v>371</v>
      </c>
      <c r="H68" s="34" t="s">
        <v>137</v>
      </c>
      <c r="I68" s="28">
        <v>1525</v>
      </c>
      <c r="J68" t="s">
        <v>2</v>
      </c>
      <c r="K68" s="47">
        <v>3000</v>
      </c>
      <c r="L68" s="3" t="str">
        <f t="shared" ref="L68" si="66">IF(J68="mm","m","pi")</f>
        <v>m</v>
      </c>
      <c r="M68" s="33">
        <f t="shared" ref="M68:M70" si="67">IF(J68="mm",F68*I68/1000*K68*1.55,F68*I68*12*K68/1000)</f>
        <v>-7091.25</v>
      </c>
      <c r="N68" s="2">
        <f>_xlfn.XLOOKUP(A68,'[1]Prix MP'!$A:$A,'[1]Prix MP'!$T:$T)</f>
        <v>0.37814458402377227</v>
      </c>
      <c r="O68" s="18">
        <f>_xlfn.XLOOKUP(A68,'[1]Prix MP'!$A:$A,'[1]Prix MP'!$U:$U)</f>
        <v>0.37814458402377227</v>
      </c>
      <c r="P68" s="11">
        <f t="shared" ref="P68:P70" si="68">M68*N68</f>
        <v>-2681.517781458575</v>
      </c>
      <c r="Q68" s="7">
        <f t="shared" ref="Q68:Q70" si="69">M68*O68</f>
        <v>-2681.517781458575</v>
      </c>
      <c r="R68" t="s">
        <v>207</v>
      </c>
      <c r="S68" s="1">
        <f t="shared" ref="S68:S70" si="70">ROUND(IF(E68="I",0,IF(J68="po",I68,I68/25.4)),2)</f>
        <v>0</v>
      </c>
      <c r="T68" s="33">
        <f t="shared" ref="T68:T70" si="71">ROUND(IF(E68="I",0,IF(J68="po",K68,K68*3.280839895)),0)</f>
        <v>0</v>
      </c>
      <c r="V68" s="8">
        <f t="shared" si="6"/>
        <v>4575</v>
      </c>
      <c r="W68" s="69"/>
      <c r="AX68"/>
    </row>
    <row r="69" spans="1:50" x14ac:dyDescent="0.25">
      <c r="A69">
        <v>30019</v>
      </c>
      <c r="B69" s="17" t="s">
        <v>132</v>
      </c>
      <c r="C69" s="45">
        <v>45597</v>
      </c>
      <c r="D69" s="46" t="s">
        <v>373</v>
      </c>
      <c r="E69" s="46" t="s">
        <v>42</v>
      </c>
      <c r="F69" s="64">
        <v>1</v>
      </c>
      <c r="G69" s="49" t="s">
        <v>371</v>
      </c>
      <c r="H69" s="34" t="s">
        <v>380</v>
      </c>
      <c r="I69" s="28">
        <v>9.5</v>
      </c>
      <c r="J69" t="s">
        <v>36</v>
      </c>
      <c r="K69" s="47">
        <v>4900</v>
      </c>
      <c r="L69" s="3" t="s">
        <v>372</v>
      </c>
      <c r="M69" s="33">
        <f>IF(J69="mm",F69*I69/1000*K69*1.55,F69*I69*12*K69/1000)</f>
        <v>558.6</v>
      </c>
      <c r="N69" s="2">
        <f>_xlfn.XLOOKUP(A69,'[1]Prix MP'!$A:$A,'[1]Prix MP'!$T:$T)</f>
        <v>0.37814458402377227</v>
      </c>
      <c r="O69" s="18">
        <f>_xlfn.XLOOKUP(A69,'[1]Prix MP'!$A:$A,'[1]Prix MP'!$U:$U)</f>
        <v>0.37814458402377227</v>
      </c>
      <c r="P69" s="11">
        <f>M69*N69</f>
        <v>211.23156463567921</v>
      </c>
      <c r="Q69" s="7">
        <f t="shared" ref="Q69" si="72">M69*O69</f>
        <v>211.23156463567921</v>
      </c>
      <c r="R69" t="s">
        <v>207</v>
      </c>
      <c r="S69" s="1">
        <f>ROUND(IF(E69="I",0,IF(J69="po",I69,I69/25.4)),2)</f>
        <v>0</v>
      </c>
      <c r="T69" s="33">
        <f>ROUND(IF(E69="I",0,IF(J69="po",K69,K69*3.280839895)),0)</f>
        <v>0</v>
      </c>
      <c r="V69" s="8"/>
      <c r="W69" s="69"/>
      <c r="AX69"/>
    </row>
    <row r="70" spans="1:50" x14ac:dyDescent="0.25">
      <c r="A70">
        <v>30019</v>
      </c>
      <c r="B70" s="17" t="s">
        <v>132</v>
      </c>
      <c r="C70" s="45">
        <v>45631</v>
      </c>
      <c r="D70" s="46" t="s">
        <v>496</v>
      </c>
      <c r="E70" s="46" t="s">
        <v>42</v>
      </c>
      <c r="F70" s="64">
        <v>-1</v>
      </c>
      <c r="G70" s="49" t="s">
        <v>497</v>
      </c>
      <c r="H70" s="34" t="s">
        <v>380</v>
      </c>
      <c r="I70" s="28">
        <v>9.5</v>
      </c>
      <c r="J70" t="s">
        <v>36</v>
      </c>
      <c r="K70" s="47">
        <v>4900</v>
      </c>
      <c r="L70" s="3" t="s">
        <v>372</v>
      </c>
      <c r="M70" s="33">
        <f t="shared" si="67"/>
        <v>-558.6</v>
      </c>
      <c r="N70" s="2">
        <f>_xlfn.XLOOKUP(A70,'[1]Prix MP'!$A:$A,'[1]Prix MP'!$T:$T)</f>
        <v>0.37814458402377227</v>
      </c>
      <c r="O70" s="18">
        <f>_xlfn.XLOOKUP(A70,'[1]Prix MP'!$A:$A,'[1]Prix MP'!$U:$U)</f>
        <v>0.37814458402377227</v>
      </c>
      <c r="P70" s="11">
        <f t="shared" si="68"/>
        <v>-211.23156463567921</v>
      </c>
      <c r="Q70" s="7">
        <f t="shared" si="69"/>
        <v>-211.23156463567921</v>
      </c>
      <c r="R70" t="s">
        <v>207</v>
      </c>
      <c r="S70" s="1">
        <f t="shared" si="70"/>
        <v>0</v>
      </c>
      <c r="T70" s="33">
        <f t="shared" si="71"/>
        <v>0</v>
      </c>
      <c r="V70" s="8" t="str">
        <f t="shared" si="6"/>
        <v/>
      </c>
      <c r="W70" s="69"/>
      <c r="AX70"/>
    </row>
    <row r="71" spans="1:50" x14ac:dyDescent="0.25">
      <c r="A71">
        <v>30019</v>
      </c>
      <c r="B71" s="17" t="s">
        <v>132</v>
      </c>
      <c r="C71" s="45">
        <v>45597</v>
      </c>
      <c r="D71" s="46" t="s">
        <v>373</v>
      </c>
      <c r="E71" s="46" t="s">
        <v>42</v>
      </c>
      <c r="F71" s="64">
        <v>1</v>
      </c>
      <c r="G71" s="49" t="s">
        <v>371</v>
      </c>
      <c r="H71" s="34" t="s">
        <v>381</v>
      </c>
      <c r="I71" s="28">
        <v>60.039000000000001</v>
      </c>
      <c r="J71" t="s">
        <v>36</v>
      </c>
      <c r="K71" s="47">
        <v>4900</v>
      </c>
      <c r="L71" s="3" t="s">
        <v>372</v>
      </c>
      <c r="M71" s="33">
        <f>IF(J71="mm",F71*I71/1000*K71*1.55,F71*I71*12*K71/1000)</f>
        <v>3530.2932000000001</v>
      </c>
      <c r="N71" s="2">
        <f>_xlfn.XLOOKUP(A71,'[1]Prix MP'!$A:$A,'[1]Prix MP'!$T:$T)</f>
        <v>0.37814458402377227</v>
      </c>
      <c r="O71" s="18">
        <f>_xlfn.XLOOKUP(A71,'[1]Prix MP'!$A:$A,'[1]Prix MP'!$U:$U)</f>
        <v>0.37814458402377227</v>
      </c>
      <c r="P71" s="11">
        <f>M71*N71</f>
        <v>1334.9612535959518</v>
      </c>
      <c r="Q71" s="7">
        <f t="shared" ref="Q71" si="73">M71*O71</f>
        <v>1334.9612535959518</v>
      </c>
      <c r="R71" t="s">
        <v>207</v>
      </c>
      <c r="S71" s="1">
        <f>ROUND(IF(E71="I",0,IF(J71="po",I71,I71/25.4)),2)</f>
        <v>0</v>
      </c>
      <c r="T71" s="33">
        <f>ROUND(IF(E71="I",0,IF(J71="po",K71,K71*3.280839895)),0)</f>
        <v>0</v>
      </c>
      <c r="V71" s="8" t="str">
        <f t="shared" si="6"/>
        <v/>
      </c>
      <c r="W71" s="69"/>
      <c r="AX71"/>
    </row>
    <row r="72" spans="1:50" x14ac:dyDescent="0.25">
      <c r="A72">
        <v>30019</v>
      </c>
      <c r="B72" s="17" t="s">
        <v>132</v>
      </c>
      <c r="C72" s="45">
        <v>45608</v>
      </c>
      <c r="D72" s="46" t="s">
        <v>176</v>
      </c>
      <c r="E72" s="46" t="s">
        <v>42</v>
      </c>
      <c r="F72" s="64">
        <v>-1</v>
      </c>
      <c r="G72" s="49" t="s">
        <v>443</v>
      </c>
      <c r="H72" s="34" t="s">
        <v>381</v>
      </c>
      <c r="I72" s="28">
        <v>60.039000000000001</v>
      </c>
      <c r="J72" t="s">
        <v>36</v>
      </c>
      <c r="K72" s="47">
        <v>4900</v>
      </c>
      <c r="L72" s="3" t="s">
        <v>372</v>
      </c>
      <c r="M72" s="33">
        <f>IF(J72="mm",F72*I72/1000*K72*1.55,F72*I72*12*K72/1000)</f>
        <v>-3530.2932000000001</v>
      </c>
      <c r="N72" s="2">
        <f>_xlfn.XLOOKUP(A72,'[1]Prix MP'!$A:$A,'[1]Prix MP'!$T:$T)</f>
        <v>0.37814458402377227</v>
      </c>
      <c r="O72" s="18">
        <f>_xlfn.XLOOKUP(A72,'[1]Prix MP'!$A:$A,'[1]Prix MP'!$U:$U)</f>
        <v>0.37814458402377227</v>
      </c>
      <c r="P72" s="11">
        <f>M72*N72</f>
        <v>-1334.9612535959518</v>
      </c>
      <c r="Q72" s="7">
        <f t="shared" ref="Q72:Q73" si="74">M72*O72</f>
        <v>-1334.9612535959518</v>
      </c>
      <c r="R72" t="s">
        <v>207</v>
      </c>
      <c r="S72" s="1">
        <f>ROUND(IF(E72="I",0,IF(J72="po",I72,I72/25.4)),2)</f>
        <v>0</v>
      </c>
      <c r="T72" s="33">
        <f>ROUND(IF(E72="I",0,IF(J72="po",K72,K72*3.280839895)),0)</f>
        <v>0</v>
      </c>
      <c r="V72" s="8" t="str">
        <f t="shared" si="6"/>
        <v/>
      </c>
      <c r="W72" s="69"/>
      <c r="AX72"/>
    </row>
    <row r="73" spans="1:50" x14ac:dyDescent="0.25">
      <c r="A73">
        <v>30019</v>
      </c>
      <c r="B73" s="17" t="s">
        <v>132</v>
      </c>
      <c r="C73" s="45">
        <v>45608</v>
      </c>
      <c r="D73" s="46" t="s">
        <v>373</v>
      </c>
      <c r="E73" s="46" t="s">
        <v>42</v>
      </c>
      <c r="F73" s="64">
        <v>1</v>
      </c>
      <c r="G73" s="49" t="s">
        <v>443</v>
      </c>
      <c r="H73" s="34" t="s">
        <v>444</v>
      </c>
      <c r="I73" s="28">
        <v>9.5</v>
      </c>
      <c r="J73" t="s">
        <v>36</v>
      </c>
      <c r="K73" s="47">
        <v>4850</v>
      </c>
      <c r="L73" s="3" t="s">
        <v>372</v>
      </c>
      <c r="M73" s="33">
        <f>IF(J73="mm",F73*I73/1000*K73*1.55,F73*I73*12*K73/1000)</f>
        <v>552.9</v>
      </c>
      <c r="N73" s="2">
        <f>_xlfn.XLOOKUP(A73,'[1]Prix MP'!$A:$A,'[1]Prix MP'!$T:$T)</f>
        <v>0.37814458402377227</v>
      </c>
      <c r="O73" s="18">
        <f>_xlfn.XLOOKUP(A73,'[1]Prix MP'!$A:$A,'[1]Prix MP'!$U:$U)</f>
        <v>0.37814458402377227</v>
      </c>
      <c r="P73" s="11">
        <f>M73*N73</f>
        <v>209.07614050674368</v>
      </c>
      <c r="Q73" s="7">
        <f t="shared" si="74"/>
        <v>209.07614050674368</v>
      </c>
      <c r="R73" t="s">
        <v>207</v>
      </c>
      <c r="S73" s="1">
        <f>ROUND(IF(E73="I",0,IF(J73="po",I73,I73/25.4)),2)</f>
        <v>0</v>
      </c>
      <c r="T73" s="33">
        <f>ROUND(IF(E73="I",0,IF(J73="po",K73,K73*3.280839895)),0)</f>
        <v>0</v>
      </c>
      <c r="V73" s="8"/>
      <c r="W73" s="69"/>
      <c r="AX73"/>
    </row>
    <row r="74" spans="1:50" x14ac:dyDescent="0.25">
      <c r="A74">
        <v>30019</v>
      </c>
      <c r="B74" s="17" t="s">
        <v>132</v>
      </c>
      <c r="C74" s="45">
        <v>45631</v>
      </c>
      <c r="D74" s="46" t="s">
        <v>496</v>
      </c>
      <c r="E74" s="46" t="s">
        <v>42</v>
      </c>
      <c r="F74" s="64">
        <v>-1</v>
      </c>
      <c r="G74" s="49" t="s">
        <v>497</v>
      </c>
      <c r="H74" s="34" t="s">
        <v>444</v>
      </c>
      <c r="I74" s="28">
        <v>9.5</v>
      </c>
      <c r="J74" t="s">
        <v>36</v>
      </c>
      <c r="K74" s="47">
        <v>4850</v>
      </c>
      <c r="L74" s="3" t="s">
        <v>372</v>
      </c>
      <c r="M74" s="33">
        <f>IF(J74="mm",F74*I74/1000*K74*1.55,F74*I74*12*K74/1000)</f>
        <v>-552.9</v>
      </c>
      <c r="N74" s="2">
        <f>_xlfn.XLOOKUP(A74,'[1]Prix MP'!$A:$A,'[1]Prix MP'!$T:$T)</f>
        <v>0.37814458402377227</v>
      </c>
      <c r="O74" s="18">
        <f>_xlfn.XLOOKUP(A74,'[1]Prix MP'!$A:$A,'[1]Prix MP'!$U:$U)</f>
        <v>0.37814458402377227</v>
      </c>
      <c r="P74" s="11">
        <f>M74*N74</f>
        <v>-209.07614050674368</v>
      </c>
      <c r="Q74" s="7">
        <f t="shared" ref="Q74" si="75">M74*O74</f>
        <v>-209.07614050674368</v>
      </c>
      <c r="R74" t="s">
        <v>207</v>
      </c>
      <c r="S74" s="1">
        <f>ROUND(IF(E74="I",0,IF(J74="po",I74,I74/25.4)),2)</f>
        <v>0</v>
      </c>
      <c r="T74" s="33">
        <f>ROUND(IF(E74="I",0,IF(J74="po",K74,K74*3.280839895)),0)</f>
        <v>0</v>
      </c>
      <c r="V74" s="8" t="str">
        <f t="shared" si="6"/>
        <v/>
      </c>
      <c r="W74" s="69"/>
      <c r="AX74"/>
    </row>
    <row r="75" spans="1:50" x14ac:dyDescent="0.25">
      <c r="A75">
        <v>30019</v>
      </c>
      <c r="B75" s="17" t="s">
        <v>132</v>
      </c>
      <c r="C75" s="45">
        <v>45565</v>
      </c>
      <c r="D75" s="46" t="s">
        <v>37</v>
      </c>
      <c r="E75" s="46" t="s">
        <v>42</v>
      </c>
      <c r="F75" s="63">
        <f t="shared" si="32"/>
        <v>1</v>
      </c>
      <c r="G75" s="49"/>
      <c r="H75" s="34" t="s">
        <v>138</v>
      </c>
      <c r="I75" s="28">
        <v>1525</v>
      </c>
      <c r="J75" t="s">
        <v>2</v>
      </c>
      <c r="K75" s="47">
        <v>3000</v>
      </c>
      <c r="L75" s="3" t="str">
        <f t="shared" si="33"/>
        <v>m</v>
      </c>
      <c r="M75" s="33">
        <f t="shared" si="7"/>
        <v>7091.25</v>
      </c>
      <c r="N75" s="2">
        <f>_xlfn.XLOOKUP(A75,'[1]Prix MP'!$A:$A,'[1]Prix MP'!$T:$T)</f>
        <v>0.37814458402377227</v>
      </c>
      <c r="O75" s="18">
        <f>_xlfn.XLOOKUP(A75,'[1]Prix MP'!$A:$A,'[1]Prix MP'!$U:$U)</f>
        <v>0.37814458402377227</v>
      </c>
      <c r="P75" s="11">
        <f t="shared" si="34"/>
        <v>2681.517781458575</v>
      </c>
      <c r="Q75" s="7">
        <f t="shared" si="35"/>
        <v>2681.517781458575</v>
      </c>
      <c r="R75" t="s">
        <v>207</v>
      </c>
      <c r="S75" s="1">
        <f t="shared" si="4"/>
        <v>0</v>
      </c>
      <c r="T75" s="33">
        <f t="shared" si="5"/>
        <v>0</v>
      </c>
      <c r="V75" s="8">
        <f t="shared" si="6"/>
        <v>4575</v>
      </c>
      <c r="W75" s="69"/>
      <c r="AX75"/>
    </row>
    <row r="76" spans="1:50" x14ac:dyDescent="0.25">
      <c r="A76">
        <v>30019</v>
      </c>
      <c r="B76" s="17" t="s">
        <v>132</v>
      </c>
      <c r="C76" s="45">
        <v>45608</v>
      </c>
      <c r="D76" s="46" t="s">
        <v>176</v>
      </c>
      <c r="E76" s="46" t="s">
        <v>42</v>
      </c>
      <c r="F76" s="64">
        <v>-1</v>
      </c>
      <c r="G76" s="49" t="s">
        <v>443</v>
      </c>
      <c r="H76" s="34" t="s">
        <v>138</v>
      </c>
      <c r="I76" s="28">
        <v>60.039000000000001</v>
      </c>
      <c r="J76" t="s">
        <v>36</v>
      </c>
      <c r="K76" s="47">
        <v>9843</v>
      </c>
      <c r="L76" s="3" t="s">
        <v>372</v>
      </c>
      <c r="M76" s="33">
        <f t="shared" ref="M76:M78" si="76">IF(J76="mm",F76*I76/1000*K76*1.55,F76*I76*12*K76/1000)</f>
        <v>-7091.5665240000008</v>
      </c>
      <c r="N76" s="2">
        <f>_xlfn.XLOOKUP(A76,'[1]Prix MP'!$A:$A,'[1]Prix MP'!$T:$T)</f>
        <v>0.37814458402377227</v>
      </c>
      <c r="O76" s="18">
        <f>_xlfn.XLOOKUP(A76,'[1]Prix MP'!$A:$A,'[1]Prix MP'!$U:$U)</f>
        <v>0.37814458402377227</v>
      </c>
      <c r="P76" s="11">
        <f t="shared" ref="P76:P78" si="77">M76*N76</f>
        <v>-2681.6374732948889</v>
      </c>
      <c r="Q76" s="7">
        <f t="shared" ref="Q76:Q80" si="78">M76*O76</f>
        <v>-2681.6374732948889</v>
      </c>
      <c r="R76" t="s">
        <v>207</v>
      </c>
      <c r="S76" s="1">
        <f t="shared" ref="S76:S78" si="79">ROUND(IF(E76="I",0,IF(J76="po",I76,I76/25.4)),2)</f>
        <v>0</v>
      </c>
      <c r="T76" s="33">
        <f t="shared" ref="T76:T78" si="80">ROUND(IF(E76="I",0,IF(J76="po",K76,K76*3.280839895)),0)</f>
        <v>0</v>
      </c>
      <c r="V76" s="8" t="str">
        <f t="shared" si="6"/>
        <v/>
      </c>
      <c r="W76" s="69"/>
      <c r="AX76"/>
    </row>
    <row r="77" spans="1:50" x14ac:dyDescent="0.25">
      <c r="A77">
        <v>30019</v>
      </c>
      <c r="B77" s="17" t="s">
        <v>132</v>
      </c>
      <c r="C77" s="45">
        <v>45608</v>
      </c>
      <c r="D77" s="46" t="s">
        <v>373</v>
      </c>
      <c r="E77" s="46" t="s">
        <v>42</v>
      </c>
      <c r="F77" s="64">
        <v>1</v>
      </c>
      <c r="G77" s="49" t="s">
        <v>443</v>
      </c>
      <c r="H77" s="34" t="s">
        <v>445</v>
      </c>
      <c r="I77" s="28">
        <v>9.5</v>
      </c>
      <c r="J77" t="s">
        <v>36</v>
      </c>
      <c r="K77" s="47">
        <v>4950</v>
      </c>
      <c r="L77" s="3" t="s">
        <v>372</v>
      </c>
      <c r="M77" s="33">
        <f>IF(J77="mm",F77*I77/1000*K77*1.55,F77*I77*12*K77/1000)</f>
        <v>564.29999999999995</v>
      </c>
      <c r="N77" s="2">
        <f>_xlfn.XLOOKUP(A77,'[1]Prix MP'!$A:$A,'[1]Prix MP'!$T:$T)</f>
        <v>0.37814458402377227</v>
      </c>
      <c r="O77" s="18">
        <f>_xlfn.XLOOKUP(A77,'[1]Prix MP'!$A:$A,'[1]Prix MP'!$U:$U)</f>
        <v>0.37814458402377227</v>
      </c>
      <c r="P77" s="11">
        <f>M77*N77</f>
        <v>213.38698876461467</v>
      </c>
      <c r="Q77" s="7">
        <f t="shared" ref="Q77" si="81">M77*O77</f>
        <v>213.38698876461467</v>
      </c>
      <c r="R77" t="s">
        <v>207</v>
      </c>
      <c r="S77" s="1">
        <f>ROUND(IF(E77="I",0,IF(J77="po",I77,I77/25.4)),2)</f>
        <v>0</v>
      </c>
      <c r="T77" s="33">
        <f>ROUND(IF(E77="I",0,IF(J77="po",K77,K77*3.280839895)),0)</f>
        <v>0</v>
      </c>
      <c r="V77" s="8"/>
      <c r="W77" s="69"/>
      <c r="AX77"/>
    </row>
    <row r="78" spans="1:50" x14ac:dyDescent="0.25">
      <c r="A78">
        <v>30019</v>
      </c>
      <c r="B78" s="17" t="s">
        <v>132</v>
      </c>
      <c r="C78" s="45">
        <v>45631</v>
      </c>
      <c r="D78" s="46" t="s">
        <v>496</v>
      </c>
      <c r="E78" s="46" t="s">
        <v>42</v>
      </c>
      <c r="F78" s="64">
        <v>-1</v>
      </c>
      <c r="G78" s="49" t="s">
        <v>497</v>
      </c>
      <c r="H78" s="34" t="s">
        <v>445</v>
      </c>
      <c r="I78" s="28">
        <v>9.5</v>
      </c>
      <c r="J78" t="s">
        <v>36</v>
      </c>
      <c r="K78" s="47">
        <v>4950</v>
      </c>
      <c r="L78" s="3" t="s">
        <v>372</v>
      </c>
      <c r="M78" s="33">
        <f t="shared" si="76"/>
        <v>-564.29999999999995</v>
      </c>
      <c r="N78" s="2">
        <f>_xlfn.XLOOKUP(A78,'[1]Prix MP'!$A:$A,'[1]Prix MP'!$T:$T)</f>
        <v>0.37814458402377227</v>
      </c>
      <c r="O78" s="18">
        <f>_xlfn.XLOOKUP(A78,'[1]Prix MP'!$A:$A,'[1]Prix MP'!$U:$U)</f>
        <v>0.37814458402377227</v>
      </c>
      <c r="P78" s="11">
        <f t="shared" si="77"/>
        <v>-213.38698876461467</v>
      </c>
      <c r="Q78" s="7">
        <f t="shared" si="78"/>
        <v>-213.38698876461467</v>
      </c>
      <c r="R78" t="s">
        <v>207</v>
      </c>
      <c r="S78" s="1">
        <f t="shared" si="79"/>
        <v>0</v>
      </c>
      <c r="T78" s="33">
        <f t="shared" si="80"/>
        <v>0</v>
      </c>
      <c r="V78" s="8" t="str">
        <f t="shared" si="6"/>
        <v/>
      </c>
      <c r="W78" s="69"/>
      <c r="AX78"/>
    </row>
    <row r="79" spans="1:50" x14ac:dyDescent="0.25">
      <c r="A79">
        <v>30019</v>
      </c>
      <c r="B79" s="17" t="s">
        <v>132</v>
      </c>
      <c r="C79" s="45">
        <v>45608</v>
      </c>
      <c r="D79" s="46" t="s">
        <v>373</v>
      </c>
      <c r="E79" s="46" t="s">
        <v>42</v>
      </c>
      <c r="F79" s="64">
        <v>1</v>
      </c>
      <c r="G79" s="49" t="s">
        <v>443</v>
      </c>
      <c r="H79" s="34" t="s">
        <v>446</v>
      </c>
      <c r="I79" s="28">
        <v>9.5</v>
      </c>
      <c r="J79" t="s">
        <v>36</v>
      </c>
      <c r="K79" s="47">
        <v>4950</v>
      </c>
      <c r="L79" s="3" t="s">
        <v>372</v>
      </c>
      <c r="M79" s="33">
        <f>IF(J79="mm",F79*I79/1000*K79*1.55,F79*I79*12*K79/1000)</f>
        <v>564.29999999999995</v>
      </c>
      <c r="N79" s="2">
        <f>_xlfn.XLOOKUP(A79,'[1]Prix MP'!$A:$A,'[1]Prix MP'!$T:$T)</f>
        <v>0.37814458402377227</v>
      </c>
      <c r="O79" s="18">
        <f>_xlfn.XLOOKUP(A79,'[1]Prix MP'!$A:$A,'[1]Prix MP'!$U:$U)</f>
        <v>0.37814458402377227</v>
      </c>
      <c r="P79" s="11">
        <f>M79*N79</f>
        <v>213.38698876461467</v>
      </c>
      <c r="Q79" s="7">
        <f t="shared" ref="Q79" si="82">M79*O79</f>
        <v>213.38698876461467</v>
      </c>
      <c r="R79" t="s">
        <v>207</v>
      </c>
      <c r="S79" s="1">
        <f>ROUND(IF(E79="I",0,IF(J79="po",I79,I79/25.4)),2)</f>
        <v>0</v>
      </c>
      <c r="T79" s="33">
        <f>ROUND(IF(E79="I",0,IF(J79="po",K79,K79*3.280839895)),0)</f>
        <v>0</v>
      </c>
      <c r="V79" s="8"/>
      <c r="W79" s="69"/>
      <c r="AX79"/>
    </row>
    <row r="80" spans="1:50" x14ac:dyDescent="0.25">
      <c r="A80">
        <v>30019</v>
      </c>
      <c r="B80" s="17" t="s">
        <v>132</v>
      </c>
      <c r="C80" s="45">
        <v>45631</v>
      </c>
      <c r="D80" s="46" t="s">
        <v>496</v>
      </c>
      <c r="E80" s="46" t="s">
        <v>42</v>
      </c>
      <c r="F80" s="64">
        <v>-1</v>
      </c>
      <c r="G80" s="49" t="s">
        <v>497</v>
      </c>
      <c r="H80" s="34" t="s">
        <v>446</v>
      </c>
      <c r="I80" s="28">
        <v>9.5</v>
      </c>
      <c r="J80" t="s">
        <v>36</v>
      </c>
      <c r="K80" s="47">
        <v>4950</v>
      </c>
      <c r="L80" s="3" t="s">
        <v>372</v>
      </c>
      <c r="M80" s="33">
        <f>IF(J80="mm",F80*I80/1000*K80*1.55,F80*I80*12*K80/1000)</f>
        <v>-564.29999999999995</v>
      </c>
      <c r="N80" s="2">
        <f>_xlfn.XLOOKUP(A80,'[1]Prix MP'!$A:$A,'[1]Prix MP'!$T:$T)</f>
        <v>0.37814458402377227</v>
      </c>
      <c r="O80" s="18">
        <f>_xlfn.XLOOKUP(A80,'[1]Prix MP'!$A:$A,'[1]Prix MP'!$U:$U)</f>
        <v>0.37814458402377227</v>
      </c>
      <c r="P80" s="11">
        <f>M80*N80</f>
        <v>-213.38698876461467</v>
      </c>
      <c r="Q80" s="7">
        <f t="shared" si="78"/>
        <v>-213.38698876461467</v>
      </c>
      <c r="R80" t="s">
        <v>207</v>
      </c>
      <c r="S80" s="1">
        <f>ROUND(IF(E80="I",0,IF(J80="po",I80,I80/25.4)),2)</f>
        <v>0</v>
      </c>
      <c r="T80" s="33">
        <f>ROUND(IF(E80="I",0,IF(J80="po",K80,K80*3.280839895)),0)</f>
        <v>0</v>
      </c>
      <c r="V80" s="8" t="str">
        <f t="shared" si="6"/>
        <v/>
      </c>
      <c r="W80" s="69"/>
      <c r="AX80"/>
    </row>
    <row r="81" spans="1:50" x14ac:dyDescent="0.25">
      <c r="A81">
        <v>30019</v>
      </c>
      <c r="B81" s="17" t="s">
        <v>132</v>
      </c>
      <c r="C81" s="45">
        <v>45565</v>
      </c>
      <c r="D81" s="46" t="s">
        <v>37</v>
      </c>
      <c r="E81" s="46" t="s">
        <v>42</v>
      </c>
      <c r="F81" s="63">
        <f t="shared" si="32"/>
        <v>1</v>
      </c>
      <c r="G81" s="49"/>
      <c r="H81" s="34" t="s">
        <v>139</v>
      </c>
      <c r="I81" s="28">
        <v>1525</v>
      </c>
      <c r="J81" t="s">
        <v>2</v>
      </c>
      <c r="K81" s="47">
        <v>3000</v>
      </c>
      <c r="L81" s="3" t="str">
        <f t="shared" si="33"/>
        <v>m</v>
      </c>
      <c r="M81" s="33">
        <f t="shared" si="7"/>
        <v>7091.25</v>
      </c>
      <c r="N81" s="2">
        <f>_xlfn.XLOOKUP(A81,'[1]Prix MP'!$A:$A,'[1]Prix MP'!$T:$T)</f>
        <v>0.37814458402377227</v>
      </c>
      <c r="O81" s="18">
        <f>_xlfn.XLOOKUP(A81,'[1]Prix MP'!$A:$A,'[1]Prix MP'!$U:$U)</f>
        <v>0.37814458402377227</v>
      </c>
      <c r="P81" s="11">
        <f t="shared" si="34"/>
        <v>2681.517781458575</v>
      </c>
      <c r="Q81" s="7">
        <f t="shared" si="35"/>
        <v>2681.517781458575</v>
      </c>
      <c r="R81" t="s">
        <v>207</v>
      </c>
      <c r="S81" s="1">
        <f t="shared" si="4"/>
        <v>0</v>
      </c>
      <c r="T81" s="33">
        <f t="shared" si="5"/>
        <v>0</v>
      </c>
      <c r="V81" s="8">
        <f t="shared" si="6"/>
        <v>4575</v>
      </c>
      <c r="W81" s="69"/>
      <c r="AX81"/>
    </row>
    <row r="82" spans="1:50" x14ac:dyDescent="0.25">
      <c r="A82">
        <v>30019</v>
      </c>
      <c r="B82" s="17" t="s">
        <v>132</v>
      </c>
      <c r="C82" s="45">
        <v>45597</v>
      </c>
      <c r="D82" s="46" t="s">
        <v>176</v>
      </c>
      <c r="E82" s="46" t="s">
        <v>42</v>
      </c>
      <c r="F82" s="64">
        <v>-1</v>
      </c>
      <c r="G82" s="49" t="s">
        <v>371</v>
      </c>
      <c r="H82" s="34" t="s">
        <v>139</v>
      </c>
      <c r="I82" s="28">
        <v>1525</v>
      </c>
      <c r="J82" t="s">
        <v>2</v>
      </c>
      <c r="K82" s="47">
        <v>3000</v>
      </c>
      <c r="L82" s="3" t="str">
        <f t="shared" ref="L82" si="83">IF(J82="mm","m","pi")</f>
        <v>m</v>
      </c>
      <c r="M82" s="33">
        <f t="shared" ref="M82:M84" si="84">IF(J82="mm",F82*I82/1000*K82*1.55,F82*I82*12*K82/1000)</f>
        <v>-7091.25</v>
      </c>
      <c r="N82" s="2">
        <f>_xlfn.XLOOKUP(A82,'[1]Prix MP'!$A:$A,'[1]Prix MP'!$T:$T)</f>
        <v>0.37814458402377227</v>
      </c>
      <c r="O82" s="18">
        <f>_xlfn.XLOOKUP(A82,'[1]Prix MP'!$A:$A,'[1]Prix MP'!$U:$U)</f>
        <v>0.37814458402377227</v>
      </c>
      <c r="P82" s="11">
        <f t="shared" ref="P82:P84" si="85">M82*N82</f>
        <v>-2681.517781458575</v>
      </c>
      <c r="Q82" s="7">
        <f t="shared" ref="Q82:Q84" si="86">M82*O82</f>
        <v>-2681.517781458575</v>
      </c>
      <c r="R82" t="s">
        <v>207</v>
      </c>
      <c r="S82" s="1">
        <f t="shared" ref="S82:S84" si="87">ROUND(IF(E82="I",0,IF(J82="po",I82,I82/25.4)),2)</f>
        <v>0</v>
      </c>
      <c r="T82" s="33">
        <f t="shared" ref="T82:T84" si="88">ROUND(IF(E82="I",0,IF(J82="po",K82,K82*3.280839895)),0)</f>
        <v>0</v>
      </c>
      <c r="V82" s="8">
        <f t="shared" si="6"/>
        <v>4575</v>
      </c>
      <c r="W82" s="69"/>
      <c r="AX82"/>
    </row>
    <row r="83" spans="1:50" x14ac:dyDescent="0.25">
      <c r="A83">
        <v>30019</v>
      </c>
      <c r="B83" s="17" t="s">
        <v>132</v>
      </c>
      <c r="C83" s="45">
        <v>45597</v>
      </c>
      <c r="D83" s="46" t="s">
        <v>373</v>
      </c>
      <c r="E83" s="46" t="s">
        <v>42</v>
      </c>
      <c r="F83" s="64">
        <v>1</v>
      </c>
      <c r="G83" s="49" t="s">
        <v>371</v>
      </c>
      <c r="H83" s="34" t="s">
        <v>378</v>
      </c>
      <c r="I83" s="28">
        <v>9.5</v>
      </c>
      <c r="J83" t="s">
        <v>36</v>
      </c>
      <c r="K83" s="47">
        <v>4850</v>
      </c>
      <c r="L83" s="3" t="s">
        <v>372</v>
      </c>
      <c r="M83" s="33">
        <f>IF(J83="mm",F83*I83/1000*K83*1.55,F83*I83*12*K83/1000)</f>
        <v>552.9</v>
      </c>
      <c r="N83" s="2">
        <f>_xlfn.XLOOKUP(A83,'[1]Prix MP'!$A:$A,'[1]Prix MP'!$T:$T)</f>
        <v>0.37814458402377227</v>
      </c>
      <c r="O83" s="18">
        <f>_xlfn.XLOOKUP(A83,'[1]Prix MP'!$A:$A,'[1]Prix MP'!$U:$U)</f>
        <v>0.37814458402377227</v>
      </c>
      <c r="P83" s="11">
        <f>M83*N83</f>
        <v>209.07614050674368</v>
      </c>
      <c r="Q83" s="7">
        <f t="shared" ref="Q83" si="89">M83*O83</f>
        <v>209.07614050674368</v>
      </c>
      <c r="R83" t="s">
        <v>207</v>
      </c>
      <c r="S83" s="1">
        <f>ROUND(IF(E83="I",0,IF(J83="po",I83,I83/25.4)),2)</f>
        <v>0</v>
      </c>
      <c r="T83" s="33">
        <f>ROUND(IF(E83="I",0,IF(J83="po",K83,K83*3.280839895)),0)</f>
        <v>0</v>
      </c>
      <c r="V83" s="8"/>
      <c r="W83" s="69"/>
      <c r="AX83"/>
    </row>
    <row r="84" spans="1:50" x14ac:dyDescent="0.25">
      <c r="A84">
        <v>30019</v>
      </c>
      <c r="B84" s="17" t="s">
        <v>132</v>
      </c>
      <c r="C84" s="45">
        <v>45631</v>
      </c>
      <c r="D84" s="46" t="s">
        <v>496</v>
      </c>
      <c r="E84" s="46" t="s">
        <v>42</v>
      </c>
      <c r="F84" s="64">
        <v>-1</v>
      </c>
      <c r="G84" s="49" t="s">
        <v>497</v>
      </c>
      <c r="H84" s="34" t="s">
        <v>378</v>
      </c>
      <c r="I84" s="28">
        <v>9.5</v>
      </c>
      <c r="J84" t="s">
        <v>36</v>
      </c>
      <c r="K84" s="47">
        <v>4850</v>
      </c>
      <c r="L84" s="3" t="s">
        <v>372</v>
      </c>
      <c r="M84" s="33">
        <f t="shared" si="84"/>
        <v>-552.9</v>
      </c>
      <c r="N84" s="2">
        <f>_xlfn.XLOOKUP(A84,'[1]Prix MP'!$A:$A,'[1]Prix MP'!$T:$T)</f>
        <v>0.37814458402377227</v>
      </c>
      <c r="O84" s="18">
        <f>_xlfn.XLOOKUP(A84,'[1]Prix MP'!$A:$A,'[1]Prix MP'!$U:$U)</f>
        <v>0.37814458402377227</v>
      </c>
      <c r="P84" s="11">
        <f t="shared" si="85"/>
        <v>-209.07614050674368</v>
      </c>
      <c r="Q84" s="7">
        <f t="shared" si="86"/>
        <v>-209.07614050674368</v>
      </c>
      <c r="R84" t="s">
        <v>207</v>
      </c>
      <c r="S84" s="1">
        <f t="shared" si="87"/>
        <v>0</v>
      </c>
      <c r="T84" s="33">
        <f t="shared" si="88"/>
        <v>0</v>
      </c>
      <c r="V84" s="8" t="str">
        <f t="shared" si="6"/>
        <v/>
      </c>
      <c r="W84" s="69"/>
      <c r="AX84"/>
    </row>
    <row r="85" spans="1:50" x14ac:dyDescent="0.25">
      <c r="A85">
        <v>30019</v>
      </c>
      <c r="B85" s="17" t="s">
        <v>132</v>
      </c>
      <c r="C85" s="45">
        <v>45565</v>
      </c>
      <c r="D85" s="46" t="s">
        <v>37</v>
      </c>
      <c r="E85" s="46" t="s">
        <v>42</v>
      </c>
      <c r="F85" s="63">
        <f t="shared" si="32"/>
        <v>1</v>
      </c>
      <c r="G85" s="49">
        <v>2024146</v>
      </c>
      <c r="H85" s="34" t="s">
        <v>140</v>
      </c>
      <c r="I85" s="28">
        <v>1530</v>
      </c>
      <c r="J85" t="s">
        <v>2</v>
      </c>
      <c r="K85" s="47">
        <v>3000</v>
      </c>
      <c r="L85" s="3" t="str">
        <f t="shared" si="33"/>
        <v>m</v>
      </c>
      <c r="M85" s="33">
        <f t="shared" si="7"/>
        <v>7114.5</v>
      </c>
      <c r="N85" s="2">
        <f>_xlfn.XLOOKUP(A85,'[1]Prix MP'!$A:$A,'[1]Prix MP'!$T:$T)</f>
        <v>0.37814458402377227</v>
      </c>
      <c r="O85" s="18">
        <f>_xlfn.XLOOKUP(A85,'[1]Prix MP'!$A:$A,'[1]Prix MP'!$U:$U)</f>
        <v>0.37814458402377227</v>
      </c>
      <c r="P85" s="11">
        <f t="shared" si="34"/>
        <v>2690.3096430371279</v>
      </c>
      <c r="Q85" s="7">
        <f t="shared" si="35"/>
        <v>2690.3096430371279</v>
      </c>
      <c r="R85" t="s">
        <v>207</v>
      </c>
      <c r="S85" s="1">
        <f t="shared" si="4"/>
        <v>0</v>
      </c>
      <c r="T85" s="33">
        <f t="shared" si="5"/>
        <v>0</v>
      </c>
      <c r="V85" s="8">
        <f t="shared" si="6"/>
        <v>4590</v>
      </c>
      <c r="W85" s="69"/>
      <c r="AX85"/>
    </row>
    <row r="86" spans="1:50" x14ac:dyDescent="0.25">
      <c r="A86">
        <v>30019</v>
      </c>
      <c r="B86" s="17" t="s">
        <v>132</v>
      </c>
      <c r="C86" s="45">
        <v>45588</v>
      </c>
      <c r="D86" s="46" t="s">
        <v>38</v>
      </c>
      <c r="E86" s="46" t="s">
        <v>42</v>
      </c>
      <c r="F86" s="63">
        <f t="shared" ref="F86" si="90">IF(D86="in",1,-1)</f>
        <v>-1</v>
      </c>
      <c r="G86" s="49">
        <v>2024146</v>
      </c>
      <c r="H86" s="34" t="s">
        <v>140</v>
      </c>
      <c r="I86" s="28">
        <v>1530</v>
      </c>
      <c r="J86" t="s">
        <v>2</v>
      </c>
      <c r="K86" s="47">
        <v>3000</v>
      </c>
      <c r="L86" s="3" t="str">
        <f t="shared" ref="L86" si="91">IF(J86="mm","m","pi")</f>
        <v>m</v>
      </c>
      <c r="M86" s="33">
        <f t="shared" ref="M86" si="92">IF(J86="mm",F86*I86/1000*K86*1.55,F86*I86*12*K86/1000)</f>
        <v>-7114.5</v>
      </c>
      <c r="N86" s="2">
        <f>_xlfn.XLOOKUP(A86,'[1]Prix MP'!$A:$A,'[1]Prix MP'!$T:$T)</f>
        <v>0.37814458402377227</v>
      </c>
      <c r="O86" s="18">
        <f>_xlfn.XLOOKUP(A86,'[1]Prix MP'!$A:$A,'[1]Prix MP'!$U:$U)</f>
        <v>0.37814458402377227</v>
      </c>
      <c r="P86" s="11">
        <f t="shared" ref="P86" si="93">M86*N86</f>
        <v>-2690.3096430371279</v>
      </c>
      <c r="Q86" s="7">
        <f t="shared" ref="Q86" si="94">M86*O86</f>
        <v>-2690.3096430371279</v>
      </c>
      <c r="R86" t="s">
        <v>207</v>
      </c>
      <c r="S86" s="1">
        <f t="shared" ref="S86" si="95">ROUND(IF(E86="I",0,IF(J86="po",I86,I86/25.4)),2)</f>
        <v>0</v>
      </c>
      <c r="T86" s="33">
        <f t="shared" ref="T86" si="96">ROUND(IF(E86="I",0,IF(J86="po",K86,K86*3.280839895)),0)</f>
        <v>0</v>
      </c>
      <c r="V86" s="8">
        <f t="shared" si="6"/>
        <v>4590</v>
      </c>
      <c r="W86" s="69"/>
      <c r="AX86"/>
    </row>
    <row r="87" spans="1:50" x14ac:dyDescent="0.25">
      <c r="A87">
        <v>30019</v>
      </c>
      <c r="B87" s="17" t="s">
        <v>132</v>
      </c>
      <c r="C87" s="45">
        <v>45565</v>
      </c>
      <c r="D87" s="46" t="s">
        <v>37</v>
      </c>
      <c r="E87" s="46" t="s">
        <v>42</v>
      </c>
      <c r="F87" s="63">
        <f t="shared" si="32"/>
        <v>1</v>
      </c>
      <c r="G87" s="49">
        <v>2024118</v>
      </c>
      <c r="H87" s="34" t="s">
        <v>141</v>
      </c>
      <c r="I87" s="28">
        <v>1530</v>
      </c>
      <c r="J87" t="s">
        <v>2</v>
      </c>
      <c r="K87" s="47">
        <v>3000</v>
      </c>
      <c r="L87" s="3" t="str">
        <f t="shared" si="33"/>
        <v>m</v>
      </c>
      <c r="M87" s="33">
        <f t="shared" si="7"/>
        <v>7114.5</v>
      </c>
      <c r="N87" s="2">
        <f>_xlfn.XLOOKUP(A87,'[1]Prix MP'!$A:$A,'[1]Prix MP'!$T:$T)</f>
        <v>0.37814458402377227</v>
      </c>
      <c r="O87" s="18">
        <f>_xlfn.XLOOKUP(A87,'[1]Prix MP'!$A:$A,'[1]Prix MP'!$U:$U)</f>
        <v>0.37814458402377227</v>
      </c>
      <c r="P87" s="11">
        <f t="shared" si="34"/>
        <v>2690.3096430371279</v>
      </c>
      <c r="Q87" s="7">
        <f t="shared" si="35"/>
        <v>2690.3096430371279</v>
      </c>
      <c r="R87" t="s">
        <v>207</v>
      </c>
      <c r="S87" s="1">
        <f t="shared" si="4"/>
        <v>0</v>
      </c>
      <c r="T87" s="33">
        <f t="shared" si="5"/>
        <v>0</v>
      </c>
      <c r="V87" s="8">
        <f t="shared" si="6"/>
        <v>4590</v>
      </c>
      <c r="W87" s="69"/>
      <c r="AX87"/>
    </row>
    <row r="88" spans="1:50" x14ac:dyDescent="0.25">
      <c r="A88">
        <v>30019</v>
      </c>
      <c r="B88" s="17" t="s">
        <v>132</v>
      </c>
      <c r="C88" s="45">
        <v>45567</v>
      </c>
      <c r="D88" s="46" t="s">
        <v>176</v>
      </c>
      <c r="E88" s="46" t="s">
        <v>42</v>
      </c>
      <c r="F88" s="63">
        <f t="shared" si="32"/>
        <v>-1</v>
      </c>
      <c r="G88" s="49">
        <v>2024118</v>
      </c>
      <c r="H88" s="34" t="s">
        <v>141</v>
      </c>
      <c r="I88" s="28">
        <v>1530</v>
      </c>
      <c r="J88" t="s">
        <v>2</v>
      </c>
      <c r="K88" s="47">
        <v>3000</v>
      </c>
      <c r="L88" s="3" t="str">
        <f t="shared" si="33"/>
        <v>m</v>
      </c>
      <c r="M88" s="33">
        <f t="shared" si="7"/>
        <v>-7114.5</v>
      </c>
      <c r="N88" s="2">
        <f>_xlfn.XLOOKUP(A88,'[1]Prix MP'!$A:$A,'[1]Prix MP'!$T:$T)</f>
        <v>0.37814458402377227</v>
      </c>
      <c r="O88" s="18">
        <f>_xlfn.XLOOKUP(A88,'[1]Prix MP'!$A:$A,'[1]Prix MP'!$U:$U)</f>
        <v>0.37814458402377227</v>
      </c>
      <c r="P88" s="11">
        <f t="shared" si="34"/>
        <v>-2690.3096430371279</v>
      </c>
      <c r="Q88" s="7">
        <f t="shared" si="35"/>
        <v>-2690.3096430371279</v>
      </c>
      <c r="R88" t="s">
        <v>207</v>
      </c>
      <c r="S88" s="1">
        <f t="shared" si="4"/>
        <v>0</v>
      </c>
      <c r="T88" s="33">
        <f t="shared" si="5"/>
        <v>0</v>
      </c>
      <c r="V88" s="8">
        <f t="shared" si="6"/>
        <v>4590</v>
      </c>
      <c r="W88" s="69"/>
      <c r="AX88"/>
    </row>
    <row r="89" spans="1:50" x14ac:dyDescent="0.25">
      <c r="A89">
        <v>30019</v>
      </c>
      <c r="B89" s="17" t="s">
        <v>132</v>
      </c>
      <c r="C89" s="45">
        <v>45565</v>
      </c>
      <c r="D89" s="46" t="s">
        <v>37</v>
      </c>
      <c r="E89" s="46" t="s">
        <v>42</v>
      </c>
      <c r="F89" s="63">
        <f t="shared" si="32"/>
        <v>1</v>
      </c>
      <c r="G89" s="49"/>
      <c r="H89" s="34" t="s">
        <v>142</v>
      </c>
      <c r="I89" s="28">
        <v>1530</v>
      </c>
      <c r="J89" t="s">
        <v>2</v>
      </c>
      <c r="K89" s="47">
        <v>3000</v>
      </c>
      <c r="L89" s="3" t="str">
        <f t="shared" si="33"/>
        <v>m</v>
      </c>
      <c r="M89" s="33">
        <f t="shared" si="7"/>
        <v>7114.5</v>
      </c>
      <c r="N89" s="2">
        <f>_xlfn.XLOOKUP(A89,'[1]Prix MP'!$A:$A,'[1]Prix MP'!$T:$T)</f>
        <v>0.37814458402377227</v>
      </c>
      <c r="O89" s="18">
        <f>_xlfn.XLOOKUP(A89,'[1]Prix MP'!$A:$A,'[1]Prix MP'!$U:$U)</f>
        <v>0.37814458402377227</v>
      </c>
      <c r="P89" s="11">
        <f t="shared" si="34"/>
        <v>2690.3096430371279</v>
      </c>
      <c r="Q89" s="7">
        <f t="shared" si="35"/>
        <v>2690.3096430371279</v>
      </c>
      <c r="R89" t="s">
        <v>207</v>
      </c>
      <c r="S89" s="1">
        <f t="shared" si="4"/>
        <v>0</v>
      </c>
      <c r="T89" s="33">
        <f t="shared" si="5"/>
        <v>0</v>
      </c>
      <c r="V89" s="8">
        <f t="shared" si="6"/>
        <v>4590</v>
      </c>
      <c r="W89" s="69"/>
      <c r="AX89"/>
    </row>
    <row r="90" spans="1:50" x14ac:dyDescent="0.25">
      <c r="A90">
        <v>30019</v>
      </c>
      <c r="B90" s="17" t="s">
        <v>132</v>
      </c>
      <c r="C90" s="45">
        <v>45597</v>
      </c>
      <c r="D90" s="46" t="s">
        <v>176</v>
      </c>
      <c r="E90" s="46" t="s">
        <v>42</v>
      </c>
      <c r="F90" s="63">
        <f t="shared" ref="F90" si="97">IF(D90="in",1,-1)</f>
        <v>-1</v>
      </c>
      <c r="G90" s="49" t="s">
        <v>371</v>
      </c>
      <c r="H90" s="34" t="s">
        <v>142</v>
      </c>
      <c r="I90" s="28">
        <v>1530</v>
      </c>
      <c r="J90" t="s">
        <v>2</v>
      </c>
      <c r="K90" s="47">
        <v>3000</v>
      </c>
      <c r="L90" s="3" t="str">
        <f t="shared" ref="L90" si="98">IF(J90="mm","m","pi")</f>
        <v>m</v>
      </c>
      <c r="M90" s="33">
        <f t="shared" ref="M90:M92" si="99">IF(J90="mm",F90*I90/1000*K90*1.55,F90*I90*12*K90/1000)</f>
        <v>-7114.5</v>
      </c>
      <c r="N90" s="2">
        <f>_xlfn.XLOOKUP(A90,'[1]Prix MP'!$A:$A,'[1]Prix MP'!$T:$T)</f>
        <v>0.37814458402377227</v>
      </c>
      <c r="O90" s="18">
        <f>_xlfn.XLOOKUP(A90,'[1]Prix MP'!$A:$A,'[1]Prix MP'!$U:$U)</f>
        <v>0.37814458402377227</v>
      </c>
      <c r="P90" s="11">
        <f t="shared" ref="P90:P92" si="100">M90*N90</f>
        <v>-2690.3096430371279</v>
      </c>
      <c r="Q90" s="7">
        <f t="shared" ref="Q90:Q92" si="101">M90*O90</f>
        <v>-2690.3096430371279</v>
      </c>
      <c r="R90" t="s">
        <v>207</v>
      </c>
      <c r="S90" s="1">
        <f t="shared" ref="S90:S92" si="102">ROUND(IF(E90="I",0,IF(J90="po",I90,I90/25.4)),2)</f>
        <v>0</v>
      </c>
      <c r="T90" s="33">
        <f t="shared" ref="T90:T92" si="103">ROUND(IF(E90="I",0,IF(J90="po",K90,K90*3.280839895)),0)</f>
        <v>0</v>
      </c>
      <c r="V90" s="8">
        <f t="shared" si="6"/>
        <v>4590</v>
      </c>
      <c r="W90" s="69"/>
      <c r="AX90"/>
    </row>
    <row r="91" spans="1:50" x14ac:dyDescent="0.25">
      <c r="A91">
        <v>30019</v>
      </c>
      <c r="B91" s="17" t="s">
        <v>132</v>
      </c>
      <c r="C91" s="45">
        <v>45597</v>
      </c>
      <c r="D91" s="46" t="s">
        <v>373</v>
      </c>
      <c r="E91" s="46" t="s">
        <v>42</v>
      </c>
      <c r="F91" s="63">
        <v>1</v>
      </c>
      <c r="G91" s="49" t="s">
        <v>371</v>
      </c>
      <c r="H91" s="34" t="s">
        <v>374</v>
      </c>
      <c r="I91" s="28">
        <v>9.5</v>
      </c>
      <c r="J91" t="s">
        <v>36</v>
      </c>
      <c r="K91" s="47">
        <v>5200</v>
      </c>
      <c r="L91" s="3" t="str">
        <f t="shared" ref="L91" si="104">IF(J91="mm","m","pi")</f>
        <v>pi</v>
      </c>
      <c r="M91" s="33">
        <f>IF(J91="mm",F91*I91/1000*K91*1.55,F91*I91*12*K91/1000)</f>
        <v>592.79999999999995</v>
      </c>
      <c r="N91" s="2">
        <f>_xlfn.XLOOKUP(A91,'[1]Prix MP'!$A:$A,'[1]Prix MP'!$T:$T)</f>
        <v>0.37814458402377227</v>
      </c>
      <c r="O91" s="18">
        <f>_xlfn.XLOOKUP(A91,'[1]Prix MP'!$A:$A,'[1]Prix MP'!$U:$U)</f>
        <v>0.37814458402377227</v>
      </c>
      <c r="P91" s="11">
        <f>M91*N91</f>
        <v>224.16410940929219</v>
      </c>
      <c r="Q91" s="7">
        <f t="shared" si="101"/>
        <v>224.16410940929219</v>
      </c>
      <c r="R91" t="s">
        <v>207</v>
      </c>
      <c r="S91" s="1">
        <f>ROUND(IF(E91="I",0,IF(J91="po",I91,I91/25.4)),2)</f>
        <v>0</v>
      </c>
      <c r="T91" s="33">
        <f>ROUND(IF(E91="I",0,IF(J91="po",K91,K91*3.280839895)),0)</f>
        <v>0</v>
      </c>
      <c r="V91" s="8"/>
      <c r="W91" s="69"/>
      <c r="AX91"/>
    </row>
    <row r="92" spans="1:50" x14ac:dyDescent="0.25">
      <c r="A92">
        <v>30019</v>
      </c>
      <c r="B92" s="17" t="s">
        <v>132</v>
      </c>
      <c r="C92" s="45">
        <v>45631</v>
      </c>
      <c r="D92" s="46" t="s">
        <v>496</v>
      </c>
      <c r="E92" s="46" t="s">
        <v>42</v>
      </c>
      <c r="F92" s="63">
        <v>-1</v>
      </c>
      <c r="G92" s="49" t="s">
        <v>497</v>
      </c>
      <c r="H92" s="34" t="s">
        <v>374</v>
      </c>
      <c r="I92" s="28">
        <v>9.5</v>
      </c>
      <c r="J92" t="s">
        <v>36</v>
      </c>
      <c r="K92" s="47">
        <v>5200</v>
      </c>
      <c r="L92" s="3" t="s">
        <v>372</v>
      </c>
      <c r="M92" s="33">
        <f t="shared" si="99"/>
        <v>-592.79999999999995</v>
      </c>
      <c r="N92" s="2">
        <f>_xlfn.XLOOKUP(A92,'[1]Prix MP'!$A:$A,'[1]Prix MP'!$T:$T)</f>
        <v>0.37814458402377227</v>
      </c>
      <c r="O92" s="18">
        <f>_xlfn.XLOOKUP(A92,'[1]Prix MP'!$A:$A,'[1]Prix MP'!$U:$U)</f>
        <v>0.37814458402377227</v>
      </c>
      <c r="P92" s="11">
        <f t="shared" si="100"/>
        <v>-224.16410940929219</v>
      </c>
      <c r="Q92" s="7">
        <f t="shared" si="101"/>
        <v>-224.16410940929219</v>
      </c>
      <c r="R92" t="s">
        <v>207</v>
      </c>
      <c r="S92" s="1">
        <f t="shared" si="102"/>
        <v>0</v>
      </c>
      <c r="T92" s="33">
        <f t="shared" si="103"/>
        <v>0</v>
      </c>
      <c r="V92" s="8" t="str">
        <f t="shared" si="6"/>
        <v/>
      </c>
      <c r="W92" s="69"/>
      <c r="AX92"/>
    </row>
    <row r="93" spans="1:50" x14ac:dyDescent="0.25">
      <c r="A93">
        <v>30019</v>
      </c>
      <c r="B93" s="17" t="s">
        <v>132</v>
      </c>
      <c r="C93" s="45">
        <v>45565</v>
      </c>
      <c r="D93" s="46" t="s">
        <v>37</v>
      </c>
      <c r="E93" s="46" t="s">
        <v>42</v>
      </c>
      <c r="F93" s="63">
        <f t="shared" si="32"/>
        <v>1</v>
      </c>
      <c r="G93" s="49"/>
      <c r="H93" s="34" t="s">
        <v>143</v>
      </c>
      <c r="I93" s="28">
        <v>1530</v>
      </c>
      <c r="J93" t="s">
        <v>2</v>
      </c>
      <c r="K93" s="47">
        <v>3000</v>
      </c>
      <c r="L93" s="3" t="str">
        <f t="shared" si="33"/>
        <v>m</v>
      </c>
      <c r="M93" s="33">
        <f t="shared" si="7"/>
        <v>7114.5</v>
      </c>
      <c r="N93" s="2">
        <f>_xlfn.XLOOKUP(A93,'[1]Prix MP'!$A:$A,'[1]Prix MP'!$T:$T)</f>
        <v>0.37814458402377227</v>
      </c>
      <c r="O93" s="18">
        <f>_xlfn.XLOOKUP(A93,'[1]Prix MP'!$A:$A,'[1]Prix MP'!$U:$U)</f>
        <v>0.37814458402377227</v>
      </c>
      <c r="P93" s="11">
        <f t="shared" si="34"/>
        <v>2690.3096430371279</v>
      </c>
      <c r="Q93" s="7">
        <f t="shared" si="35"/>
        <v>2690.3096430371279</v>
      </c>
      <c r="R93" t="s">
        <v>207</v>
      </c>
      <c r="S93" s="1">
        <f t="shared" si="4"/>
        <v>0</v>
      </c>
      <c r="T93" s="33">
        <f t="shared" si="5"/>
        <v>0</v>
      </c>
      <c r="V93" s="8">
        <f t="shared" si="6"/>
        <v>4590</v>
      </c>
      <c r="W93" s="69"/>
      <c r="AX93"/>
    </row>
    <row r="94" spans="1:50" x14ac:dyDescent="0.25">
      <c r="A94">
        <v>30019</v>
      </c>
      <c r="B94" s="17" t="s">
        <v>132</v>
      </c>
      <c r="C94" s="45">
        <v>45597</v>
      </c>
      <c r="D94" s="46" t="s">
        <v>176</v>
      </c>
      <c r="E94" s="46" t="s">
        <v>42</v>
      </c>
      <c r="F94" s="64">
        <v>-1</v>
      </c>
      <c r="G94" s="49" t="s">
        <v>371</v>
      </c>
      <c r="H94" s="34" t="s">
        <v>143</v>
      </c>
      <c r="I94" s="28">
        <v>1530</v>
      </c>
      <c r="J94" t="s">
        <v>2</v>
      </c>
      <c r="K94" s="47">
        <v>3000</v>
      </c>
      <c r="L94" s="3" t="str">
        <f t="shared" ref="L94" si="105">IF(J94="mm","m","pi")</f>
        <v>m</v>
      </c>
      <c r="M94" s="33">
        <f t="shared" ref="M94:M96" si="106">IF(J94="mm",F94*I94/1000*K94*1.55,F94*I94*12*K94/1000)</f>
        <v>-7114.5</v>
      </c>
      <c r="N94" s="2">
        <f>_xlfn.XLOOKUP(A94,'[1]Prix MP'!$A:$A,'[1]Prix MP'!$T:$T)</f>
        <v>0.37814458402377227</v>
      </c>
      <c r="O94" s="18">
        <f>_xlfn.XLOOKUP(A94,'[1]Prix MP'!$A:$A,'[1]Prix MP'!$U:$U)</f>
        <v>0.37814458402377227</v>
      </c>
      <c r="P94" s="11">
        <f t="shared" ref="P94:P96" si="107">M94*N94</f>
        <v>-2690.3096430371279</v>
      </c>
      <c r="Q94" s="7">
        <f t="shared" ref="Q94:Q95" si="108">M94*O94</f>
        <v>-2690.3096430371279</v>
      </c>
      <c r="R94" t="s">
        <v>207</v>
      </c>
      <c r="S94" s="1">
        <f t="shared" ref="S94:S96" si="109">ROUND(IF(E94="I",0,IF(J94="po",I94,I94/25.4)),2)</f>
        <v>0</v>
      </c>
      <c r="T94" s="33">
        <f t="shared" ref="T94:T96" si="110">ROUND(IF(E94="I",0,IF(J94="po",K94,K94*3.280839895)),0)</f>
        <v>0</v>
      </c>
      <c r="V94" s="8">
        <f t="shared" si="6"/>
        <v>4590</v>
      </c>
      <c r="W94" s="69"/>
      <c r="AX94"/>
    </row>
    <row r="95" spans="1:50" x14ac:dyDescent="0.25">
      <c r="A95">
        <v>30019</v>
      </c>
      <c r="B95" s="17" t="s">
        <v>132</v>
      </c>
      <c r="C95" s="45">
        <v>45597</v>
      </c>
      <c r="D95" s="46" t="s">
        <v>373</v>
      </c>
      <c r="E95" s="46" t="s">
        <v>42</v>
      </c>
      <c r="F95" s="64">
        <v>1</v>
      </c>
      <c r="G95" s="49" t="s">
        <v>371</v>
      </c>
      <c r="H95" s="34" t="s">
        <v>375</v>
      </c>
      <c r="I95" s="28">
        <v>9.5</v>
      </c>
      <c r="J95" t="s">
        <v>36</v>
      </c>
      <c r="K95" s="47">
        <v>4680</v>
      </c>
      <c r="L95" s="3" t="s">
        <v>372</v>
      </c>
      <c r="M95" s="33">
        <f>IF(J95="mm",F95*I95/1000*K95*1.55,F95*I95*12*K95/1000)</f>
        <v>533.52</v>
      </c>
      <c r="N95" s="2">
        <f>_xlfn.XLOOKUP(A95,'[1]Prix MP'!$A:$A,'[1]Prix MP'!$T:$T)</f>
        <v>0.37814458402377227</v>
      </c>
      <c r="O95" s="18">
        <f>_xlfn.XLOOKUP(A95,'[1]Prix MP'!$A:$A,'[1]Prix MP'!$U:$U)</f>
        <v>0.37814458402377227</v>
      </c>
      <c r="P95" s="11">
        <f>M95*N95</f>
        <v>201.74769846836298</v>
      </c>
      <c r="Q95" s="7">
        <f t="shared" si="108"/>
        <v>201.74769846836298</v>
      </c>
      <c r="R95" t="s">
        <v>207</v>
      </c>
      <c r="S95" s="1">
        <f>ROUND(IF(E95="I",0,IF(J95="po",I95,I95/25.4)),2)</f>
        <v>0</v>
      </c>
      <c r="T95" s="33">
        <f>ROUND(IF(E95="I",0,IF(J95="po",K95,K95*3.280839895)),0)</f>
        <v>0</v>
      </c>
      <c r="V95" s="8"/>
      <c r="W95" s="69"/>
      <c r="AX95"/>
    </row>
    <row r="96" spans="1:50" x14ac:dyDescent="0.25">
      <c r="A96">
        <v>30019</v>
      </c>
      <c r="B96" s="17" t="s">
        <v>132</v>
      </c>
      <c r="C96" s="45">
        <v>45631</v>
      </c>
      <c r="D96" s="46" t="s">
        <v>496</v>
      </c>
      <c r="E96" s="46" t="s">
        <v>42</v>
      </c>
      <c r="F96" s="64">
        <v>-1</v>
      </c>
      <c r="G96" s="49" t="s">
        <v>497</v>
      </c>
      <c r="H96" s="34" t="s">
        <v>375</v>
      </c>
      <c r="I96" s="28">
        <v>9.5</v>
      </c>
      <c r="J96" t="s">
        <v>36</v>
      </c>
      <c r="K96" s="47">
        <v>4680</v>
      </c>
      <c r="L96" s="3" t="s">
        <v>372</v>
      </c>
      <c r="M96" s="33">
        <f t="shared" si="106"/>
        <v>-533.52</v>
      </c>
      <c r="N96" s="2">
        <f>_xlfn.XLOOKUP(A96,'[1]Prix MP'!$A:$A,'[1]Prix MP'!$T:$T)</f>
        <v>0.37814458402377227</v>
      </c>
      <c r="O96" s="18">
        <f>_xlfn.XLOOKUP(A96,'[1]Prix MP'!$A:$A,'[1]Prix MP'!$U:$U)</f>
        <v>0.37814458402377227</v>
      </c>
      <c r="P96" s="11">
        <f t="shared" si="107"/>
        <v>-201.74769846836298</v>
      </c>
      <c r="Q96" s="7">
        <f>M96*O96</f>
        <v>-201.74769846836298</v>
      </c>
      <c r="R96" t="s">
        <v>207</v>
      </c>
      <c r="S96" s="1">
        <f t="shared" si="109"/>
        <v>0</v>
      </c>
      <c r="T96" s="33">
        <f t="shared" si="110"/>
        <v>0</v>
      </c>
      <c r="V96" s="8" t="str">
        <f t="shared" si="6"/>
        <v/>
      </c>
      <c r="W96" s="69"/>
      <c r="AX96"/>
    </row>
    <row r="97" spans="1:50" x14ac:dyDescent="0.25">
      <c r="A97">
        <v>30019</v>
      </c>
      <c r="B97" s="17" t="s">
        <v>132</v>
      </c>
      <c r="C97" s="45">
        <v>45565</v>
      </c>
      <c r="D97" s="46" t="s">
        <v>37</v>
      </c>
      <c r="E97" s="46" t="s">
        <v>42</v>
      </c>
      <c r="F97" s="63">
        <f t="shared" si="32"/>
        <v>1</v>
      </c>
      <c r="G97" s="49">
        <v>2024146</v>
      </c>
      <c r="H97" s="34" t="s">
        <v>144</v>
      </c>
      <c r="I97" s="28">
        <v>1530</v>
      </c>
      <c r="J97" t="s">
        <v>2</v>
      </c>
      <c r="K97" s="47">
        <v>3000</v>
      </c>
      <c r="L97" s="3" t="str">
        <f t="shared" si="33"/>
        <v>m</v>
      </c>
      <c r="M97" s="33">
        <f t="shared" si="7"/>
        <v>7114.5</v>
      </c>
      <c r="N97" s="2">
        <f>_xlfn.XLOOKUP(A97,'[1]Prix MP'!$A:$A,'[1]Prix MP'!$T:$T)</f>
        <v>0.37814458402377227</v>
      </c>
      <c r="O97" s="18">
        <f>_xlfn.XLOOKUP(A97,'[1]Prix MP'!$A:$A,'[1]Prix MP'!$U:$U)</f>
        <v>0.37814458402377227</v>
      </c>
      <c r="P97" s="11">
        <f t="shared" si="34"/>
        <v>2690.3096430371279</v>
      </c>
      <c r="Q97" s="7">
        <f t="shared" si="35"/>
        <v>2690.3096430371279</v>
      </c>
      <c r="R97" t="s">
        <v>207</v>
      </c>
      <c r="S97" s="1">
        <f t="shared" si="4"/>
        <v>0</v>
      </c>
      <c r="T97" s="33">
        <f t="shared" si="5"/>
        <v>0</v>
      </c>
      <c r="V97" s="8">
        <f t="shared" ref="V97:V171" si="111">IF(J97="mm",I97*K97/1000,"")</f>
        <v>4590</v>
      </c>
      <c r="W97" s="69"/>
      <c r="AX97"/>
    </row>
    <row r="98" spans="1:50" x14ac:dyDescent="0.25">
      <c r="A98">
        <v>30019</v>
      </c>
      <c r="B98" s="17" t="s">
        <v>132</v>
      </c>
      <c r="C98" s="45">
        <v>45588</v>
      </c>
      <c r="D98" s="46" t="s">
        <v>38</v>
      </c>
      <c r="E98" s="46" t="s">
        <v>42</v>
      </c>
      <c r="F98" s="63">
        <f t="shared" si="32"/>
        <v>-1</v>
      </c>
      <c r="G98" s="49">
        <v>2024146</v>
      </c>
      <c r="H98" s="34" t="s">
        <v>144</v>
      </c>
      <c r="I98" s="28">
        <v>1530</v>
      </c>
      <c r="J98" t="s">
        <v>2</v>
      </c>
      <c r="K98" s="47">
        <v>3000</v>
      </c>
      <c r="L98" s="3" t="str">
        <f t="shared" ref="L98" si="112">IF(J98="mm","m","pi")</f>
        <v>m</v>
      </c>
      <c r="M98" s="33">
        <f t="shared" ref="M98" si="113">IF(J98="mm",F98*I98/1000*K98*1.55,F98*I98*12*K98/1000)</f>
        <v>-7114.5</v>
      </c>
      <c r="N98" s="2">
        <f>_xlfn.XLOOKUP(A98,'[1]Prix MP'!$A:$A,'[1]Prix MP'!$T:$T)</f>
        <v>0.37814458402377227</v>
      </c>
      <c r="O98" s="18">
        <f>_xlfn.XLOOKUP(A98,'[1]Prix MP'!$A:$A,'[1]Prix MP'!$U:$U)</f>
        <v>0.37814458402377227</v>
      </c>
      <c r="P98" s="11">
        <f t="shared" ref="P98" si="114">M98*N98</f>
        <v>-2690.3096430371279</v>
      </c>
      <c r="Q98" s="7">
        <f t="shared" ref="Q98" si="115">M98*O98</f>
        <v>-2690.3096430371279</v>
      </c>
      <c r="R98" t="s">
        <v>207</v>
      </c>
      <c r="S98" s="1">
        <f t="shared" ref="S98" si="116">ROUND(IF(E98="I",0,IF(J98="po",I98,I98/25.4)),2)</f>
        <v>0</v>
      </c>
      <c r="T98" s="33">
        <f t="shared" ref="T98" si="117">ROUND(IF(E98="I",0,IF(J98="po",K98,K98*3.280839895)),0)</f>
        <v>0</v>
      </c>
      <c r="V98" s="8">
        <f t="shared" si="111"/>
        <v>4590</v>
      </c>
      <c r="W98" s="69"/>
      <c r="AX98"/>
    </row>
    <row r="99" spans="1:50" x14ac:dyDescent="0.25">
      <c r="A99">
        <v>30019</v>
      </c>
      <c r="B99" s="17" t="s">
        <v>132</v>
      </c>
      <c r="C99" s="45">
        <v>45565</v>
      </c>
      <c r="D99" s="46" t="s">
        <v>37</v>
      </c>
      <c r="E99" s="46" t="s">
        <v>42</v>
      </c>
      <c r="F99" s="63">
        <f t="shared" si="32"/>
        <v>1</v>
      </c>
      <c r="G99" s="49">
        <v>2024146</v>
      </c>
      <c r="H99" s="34" t="s">
        <v>145</v>
      </c>
      <c r="I99" s="28">
        <v>1530</v>
      </c>
      <c r="J99" t="s">
        <v>2</v>
      </c>
      <c r="K99" s="47">
        <v>3000</v>
      </c>
      <c r="L99" s="3" t="str">
        <f t="shared" si="33"/>
        <v>m</v>
      </c>
      <c r="M99" s="33">
        <f t="shared" si="7"/>
        <v>7114.5</v>
      </c>
      <c r="N99" s="2">
        <f>_xlfn.XLOOKUP(A99,'[1]Prix MP'!$A:$A,'[1]Prix MP'!$T:$T)</f>
        <v>0.37814458402377227</v>
      </c>
      <c r="O99" s="18">
        <f>_xlfn.XLOOKUP(A99,'[1]Prix MP'!$A:$A,'[1]Prix MP'!$U:$U)</f>
        <v>0.37814458402377227</v>
      </c>
      <c r="P99" s="11">
        <f t="shared" si="34"/>
        <v>2690.3096430371279</v>
      </c>
      <c r="Q99" s="7">
        <f t="shared" si="35"/>
        <v>2690.3096430371279</v>
      </c>
      <c r="R99" t="s">
        <v>207</v>
      </c>
      <c r="S99" s="1">
        <f t="shared" si="4"/>
        <v>0</v>
      </c>
      <c r="T99" s="33">
        <f t="shared" si="5"/>
        <v>0</v>
      </c>
      <c r="V99" s="8">
        <f t="shared" si="111"/>
        <v>4590</v>
      </c>
      <c r="W99" s="69"/>
      <c r="AX99"/>
    </row>
    <row r="100" spans="1:50" x14ac:dyDescent="0.25">
      <c r="A100">
        <v>30019</v>
      </c>
      <c r="B100" s="17" t="s">
        <v>132</v>
      </c>
      <c r="C100" s="45">
        <v>45588</v>
      </c>
      <c r="D100" s="46" t="s">
        <v>38</v>
      </c>
      <c r="E100" s="46" t="s">
        <v>42</v>
      </c>
      <c r="F100" s="63">
        <f t="shared" si="32"/>
        <v>-1</v>
      </c>
      <c r="G100" s="49">
        <v>2024146</v>
      </c>
      <c r="H100" s="34" t="s">
        <v>145</v>
      </c>
      <c r="I100" s="28">
        <v>1530</v>
      </c>
      <c r="J100" t="s">
        <v>2</v>
      </c>
      <c r="K100" s="47">
        <v>3000</v>
      </c>
      <c r="L100" s="3" t="str">
        <f t="shared" ref="L100" si="118">IF(J100="mm","m","pi")</f>
        <v>m</v>
      </c>
      <c r="M100" s="33">
        <f t="shared" ref="M100" si="119">IF(J100="mm",F100*I100/1000*K100*1.55,F100*I100*12*K100/1000)</f>
        <v>-7114.5</v>
      </c>
      <c r="N100" s="2">
        <f>_xlfn.XLOOKUP(A100,'[1]Prix MP'!$A:$A,'[1]Prix MP'!$T:$T)</f>
        <v>0.37814458402377227</v>
      </c>
      <c r="O100" s="18">
        <f>_xlfn.XLOOKUP(A100,'[1]Prix MP'!$A:$A,'[1]Prix MP'!$U:$U)</f>
        <v>0.37814458402377227</v>
      </c>
      <c r="P100" s="11">
        <f t="shared" ref="P100" si="120">M100*N100</f>
        <v>-2690.3096430371279</v>
      </c>
      <c r="Q100" s="7">
        <f t="shared" ref="Q100" si="121">M100*O100</f>
        <v>-2690.3096430371279</v>
      </c>
      <c r="R100" t="s">
        <v>207</v>
      </c>
      <c r="S100" s="1">
        <f t="shared" ref="S100" si="122">ROUND(IF(E100="I",0,IF(J100="po",I100,I100/25.4)),2)</f>
        <v>0</v>
      </c>
      <c r="T100" s="33">
        <f t="shared" ref="T100" si="123">ROUND(IF(E100="I",0,IF(J100="po",K100,K100*3.280839895)),0)</f>
        <v>0</v>
      </c>
      <c r="V100" s="8">
        <f t="shared" si="111"/>
        <v>4590</v>
      </c>
      <c r="W100" s="69"/>
      <c r="AX100"/>
    </row>
    <row r="101" spans="1:50" x14ac:dyDescent="0.25">
      <c r="A101">
        <v>30019</v>
      </c>
      <c r="B101" s="17" t="s">
        <v>132</v>
      </c>
      <c r="C101" s="45">
        <v>45565</v>
      </c>
      <c r="D101" s="46" t="s">
        <v>37</v>
      </c>
      <c r="E101" s="46" t="s">
        <v>42</v>
      </c>
      <c r="F101" s="63">
        <f t="shared" si="32"/>
        <v>1</v>
      </c>
      <c r="G101" s="49">
        <v>2024139</v>
      </c>
      <c r="H101" s="34" t="s">
        <v>146</v>
      </c>
      <c r="I101" s="28">
        <v>1530</v>
      </c>
      <c r="J101" t="s">
        <v>2</v>
      </c>
      <c r="K101" s="47">
        <v>3000</v>
      </c>
      <c r="L101" s="3" t="str">
        <f t="shared" si="33"/>
        <v>m</v>
      </c>
      <c r="M101" s="33">
        <f t="shared" si="7"/>
        <v>7114.5</v>
      </c>
      <c r="N101" s="2">
        <f>_xlfn.XLOOKUP(A101,'[1]Prix MP'!$A:$A,'[1]Prix MP'!$T:$T)</f>
        <v>0.37814458402377227</v>
      </c>
      <c r="O101" s="18">
        <f>_xlfn.XLOOKUP(A101,'[1]Prix MP'!$A:$A,'[1]Prix MP'!$U:$U)</f>
        <v>0.37814458402377227</v>
      </c>
      <c r="P101" s="11">
        <f t="shared" si="34"/>
        <v>2690.3096430371279</v>
      </c>
      <c r="Q101" s="7">
        <f t="shared" si="35"/>
        <v>2690.3096430371279</v>
      </c>
      <c r="R101" t="s">
        <v>207</v>
      </c>
      <c r="S101" s="1">
        <f t="shared" si="4"/>
        <v>0</v>
      </c>
      <c r="T101" s="33">
        <f t="shared" si="5"/>
        <v>0</v>
      </c>
      <c r="V101" s="8">
        <f t="shared" si="111"/>
        <v>4590</v>
      </c>
      <c r="W101" s="69"/>
      <c r="AX101"/>
    </row>
    <row r="102" spans="1:50" x14ac:dyDescent="0.25">
      <c r="A102">
        <v>30019</v>
      </c>
      <c r="B102" s="17" t="s">
        <v>132</v>
      </c>
      <c r="C102" s="45">
        <v>45580</v>
      </c>
      <c r="D102" s="46" t="s">
        <v>38</v>
      </c>
      <c r="E102" s="46" t="s">
        <v>42</v>
      </c>
      <c r="F102" s="63">
        <f t="shared" ref="F102" si="124">IF(D102="in",1,-1)</f>
        <v>-1</v>
      </c>
      <c r="G102" s="49">
        <v>2024139</v>
      </c>
      <c r="H102" s="34" t="s">
        <v>146</v>
      </c>
      <c r="I102" s="28">
        <v>1530</v>
      </c>
      <c r="J102" t="s">
        <v>2</v>
      </c>
      <c r="K102" s="47">
        <v>3000</v>
      </c>
      <c r="L102" s="3" t="str">
        <f t="shared" ref="L102" si="125">IF(J102="mm","m","pi")</f>
        <v>m</v>
      </c>
      <c r="M102" s="33">
        <f t="shared" ref="M102" si="126">IF(J102="mm",F102*I102/1000*K102*1.55,F102*I102*12*K102/1000)</f>
        <v>-7114.5</v>
      </c>
      <c r="N102" s="2">
        <f>_xlfn.XLOOKUP(A102,'[1]Prix MP'!$A:$A,'[1]Prix MP'!$T:$T)</f>
        <v>0.37814458402377227</v>
      </c>
      <c r="O102" s="18">
        <f>_xlfn.XLOOKUP(A102,'[1]Prix MP'!$A:$A,'[1]Prix MP'!$U:$U)</f>
        <v>0.37814458402377227</v>
      </c>
      <c r="P102" s="11">
        <f t="shared" ref="P102" si="127">M102*N102</f>
        <v>-2690.3096430371279</v>
      </c>
      <c r="Q102" s="7">
        <f t="shared" ref="Q102" si="128">M102*O102</f>
        <v>-2690.3096430371279</v>
      </c>
      <c r="R102" t="s">
        <v>207</v>
      </c>
      <c r="S102" s="1">
        <f t="shared" si="4"/>
        <v>0</v>
      </c>
      <c r="T102" s="33">
        <f t="shared" si="5"/>
        <v>0</v>
      </c>
      <c r="V102" s="8">
        <f t="shared" si="111"/>
        <v>4590</v>
      </c>
      <c r="W102" s="69"/>
      <c r="AX102"/>
    </row>
    <row r="103" spans="1:50" x14ac:dyDescent="0.25">
      <c r="A103">
        <v>30019</v>
      </c>
      <c r="B103" s="17" t="s">
        <v>132</v>
      </c>
      <c r="C103" s="45">
        <v>45565</v>
      </c>
      <c r="D103" s="46" t="s">
        <v>37</v>
      </c>
      <c r="E103" s="46" t="s">
        <v>42</v>
      </c>
      <c r="F103" s="63">
        <f t="shared" si="32"/>
        <v>1</v>
      </c>
      <c r="G103" s="49">
        <v>2024139</v>
      </c>
      <c r="H103" s="34" t="s">
        <v>147</v>
      </c>
      <c r="I103" s="28">
        <v>1530</v>
      </c>
      <c r="J103" t="s">
        <v>2</v>
      </c>
      <c r="K103" s="47">
        <v>3000</v>
      </c>
      <c r="L103" s="3" t="str">
        <f t="shared" si="33"/>
        <v>m</v>
      </c>
      <c r="M103" s="33">
        <f t="shared" si="7"/>
        <v>7114.5</v>
      </c>
      <c r="N103" s="2">
        <f>_xlfn.XLOOKUP(A103,'[1]Prix MP'!$A:$A,'[1]Prix MP'!$T:$T)</f>
        <v>0.37814458402377227</v>
      </c>
      <c r="O103" s="18">
        <f>_xlfn.XLOOKUP(A103,'[1]Prix MP'!$A:$A,'[1]Prix MP'!$U:$U)</f>
        <v>0.37814458402377227</v>
      </c>
      <c r="P103" s="11">
        <f t="shared" si="34"/>
        <v>2690.3096430371279</v>
      </c>
      <c r="Q103" s="7">
        <f t="shared" si="35"/>
        <v>2690.3096430371279</v>
      </c>
      <c r="R103" t="s">
        <v>207</v>
      </c>
      <c r="S103" s="1">
        <f t="shared" si="4"/>
        <v>0</v>
      </c>
      <c r="T103" s="33">
        <f t="shared" si="5"/>
        <v>0</v>
      </c>
      <c r="V103" s="8">
        <f t="shared" si="111"/>
        <v>4590</v>
      </c>
      <c r="W103" s="69"/>
      <c r="AX103"/>
    </row>
    <row r="104" spans="1:50" x14ac:dyDescent="0.25">
      <c r="A104">
        <v>30019</v>
      </c>
      <c r="B104" s="17" t="s">
        <v>132</v>
      </c>
      <c r="C104" s="45">
        <v>45580</v>
      </c>
      <c r="D104" s="46" t="s">
        <v>38</v>
      </c>
      <c r="E104" s="46" t="s">
        <v>42</v>
      </c>
      <c r="F104" s="63">
        <f t="shared" ref="F104" si="129">IF(D104="in",1,-1)</f>
        <v>-1</v>
      </c>
      <c r="G104" s="49">
        <v>2024139</v>
      </c>
      <c r="H104" s="34" t="s">
        <v>147</v>
      </c>
      <c r="I104" s="28">
        <v>1530</v>
      </c>
      <c r="J104" t="s">
        <v>2</v>
      </c>
      <c r="K104" s="47">
        <v>3000</v>
      </c>
      <c r="L104" s="3" t="str">
        <f t="shared" ref="L104" si="130">IF(J104="mm","m","pi")</f>
        <v>m</v>
      </c>
      <c r="M104" s="33">
        <f t="shared" ref="M104" si="131">IF(J104="mm",F104*I104/1000*K104*1.55,F104*I104*12*K104/1000)</f>
        <v>-7114.5</v>
      </c>
      <c r="N104" s="2">
        <f>_xlfn.XLOOKUP(A104,'[1]Prix MP'!$A:$A,'[1]Prix MP'!$T:$T)</f>
        <v>0.37814458402377227</v>
      </c>
      <c r="O104" s="18">
        <f>_xlfn.XLOOKUP(A104,'[1]Prix MP'!$A:$A,'[1]Prix MP'!$U:$U)</f>
        <v>0.37814458402377227</v>
      </c>
      <c r="P104" s="11">
        <f t="shared" ref="P104" si="132">M104*N104</f>
        <v>-2690.3096430371279</v>
      </c>
      <c r="Q104" s="7">
        <f t="shared" ref="Q104" si="133">M104*O104</f>
        <v>-2690.3096430371279</v>
      </c>
      <c r="R104" t="s">
        <v>207</v>
      </c>
      <c r="S104" s="1">
        <f t="shared" si="4"/>
        <v>0</v>
      </c>
      <c r="T104" s="33">
        <f t="shared" si="5"/>
        <v>0</v>
      </c>
      <c r="V104" s="8">
        <f t="shared" si="111"/>
        <v>4590</v>
      </c>
      <c r="W104" s="69"/>
      <c r="AX104"/>
    </row>
    <row r="105" spans="1:50" x14ac:dyDescent="0.25">
      <c r="A105">
        <v>30019</v>
      </c>
      <c r="B105" s="17" t="s">
        <v>132</v>
      </c>
      <c r="C105" s="45">
        <v>45565</v>
      </c>
      <c r="D105" s="46" t="s">
        <v>37</v>
      </c>
      <c r="E105" s="46" t="s">
        <v>42</v>
      </c>
      <c r="F105" s="63">
        <f t="shared" si="32"/>
        <v>1</v>
      </c>
      <c r="G105" s="49">
        <v>2024118</v>
      </c>
      <c r="H105" s="34" t="s">
        <v>148</v>
      </c>
      <c r="I105" s="28">
        <v>1530</v>
      </c>
      <c r="J105" t="s">
        <v>2</v>
      </c>
      <c r="K105" s="47">
        <v>3000</v>
      </c>
      <c r="L105" s="3" t="str">
        <f t="shared" si="33"/>
        <v>m</v>
      </c>
      <c r="M105" s="33">
        <f t="shared" si="7"/>
        <v>7114.5</v>
      </c>
      <c r="N105" s="2">
        <f>_xlfn.XLOOKUP(A105,'[1]Prix MP'!$A:$A,'[1]Prix MP'!$T:$T)</f>
        <v>0.37814458402377227</v>
      </c>
      <c r="O105" s="18">
        <f>_xlfn.XLOOKUP(A105,'[1]Prix MP'!$A:$A,'[1]Prix MP'!$U:$U)</f>
        <v>0.37814458402377227</v>
      </c>
      <c r="P105" s="11">
        <f t="shared" si="34"/>
        <v>2690.3096430371279</v>
      </c>
      <c r="Q105" s="7">
        <f t="shared" si="35"/>
        <v>2690.3096430371279</v>
      </c>
      <c r="R105" t="s">
        <v>207</v>
      </c>
      <c r="S105" s="1">
        <f t="shared" si="4"/>
        <v>0</v>
      </c>
      <c r="T105" s="33">
        <f t="shared" si="5"/>
        <v>0</v>
      </c>
      <c r="V105" s="8">
        <f t="shared" si="111"/>
        <v>4590</v>
      </c>
      <c r="W105" s="69"/>
      <c r="AX105"/>
    </row>
    <row r="106" spans="1:50" x14ac:dyDescent="0.25">
      <c r="A106">
        <v>30019</v>
      </c>
      <c r="B106" s="17" t="s">
        <v>132</v>
      </c>
      <c r="C106" s="45">
        <v>45567</v>
      </c>
      <c r="D106" s="46" t="s">
        <v>176</v>
      </c>
      <c r="E106" s="46" t="s">
        <v>42</v>
      </c>
      <c r="F106" s="63">
        <f t="shared" si="32"/>
        <v>-1</v>
      </c>
      <c r="G106" s="49">
        <v>2024118</v>
      </c>
      <c r="H106" s="34" t="s">
        <v>148</v>
      </c>
      <c r="I106" s="28">
        <v>1530</v>
      </c>
      <c r="J106" t="s">
        <v>2</v>
      </c>
      <c r="K106" s="47">
        <v>3000</v>
      </c>
      <c r="L106" s="3" t="str">
        <f t="shared" si="33"/>
        <v>m</v>
      </c>
      <c r="M106" s="33">
        <f t="shared" si="7"/>
        <v>-7114.5</v>
      </c>
      <c r="N106" s="2">
        <f>_xlfn.XLOOKUP(A106,'[1]Prix MP'!$A:$A,'[1]Prix MP'!$T:$T)</f>
        <v>0.37814458402377227</v>
      </c>
      <c r="O106" s="18">
        <f>_xlfn.XLOOKUP(A106,'[1]Prix MP'!$A:$A,'[1]Prix MP'!$U:$U)</f>
        <v>0.37814458402377227</v>
      </c>
      <c r="P106" s="11">
        <f t="shared" si="34"/>
        <v>-2690.3096430371279</v>
      </c>
      <c r="Q106" s="7">
        <f t="shared" si="35"/>
        <v>-2690.3096430371279</v>
      </c>
      <c r="R106" t="s">
        <v>207</v>
      </c>
      <c r="S106" s="1">
        <f t="shared" si="4"/>
        <v>0</v>
      </c>
      <c r="T106" s="33">
        <f t="shared" si="5"/>
        <v>0</v>
      </c>
      <c r="V106" s="8">
        <f t="shared" si="111"/>
        <v>4590</v>
      </c>
      <c r="W106" s="69"/>
      <c r="AX106"/>
    </row>
    <row r="107" spans="1:50" x14ac:dyDescent="0.25">
      <c r="A107">
        <v>30019</v>
      </c>
      <c r="B107" s="17" t="s">
        <v>132</v>
      </c>
      <c r="C107" s="45">
        <v>45565</v>
      </c>
      <c r="D107" s="46" t="s">
        <v>37</v>
      </c>
      <c r="E107" s="46" t="s">
        <v>42</v>
      </c>
      <c r="F107" s="63">
        <f t="shared" si="32"/>
        <v>1</v>
      </c>
      <c r="G107" s="49">
        <v>2024118</v>
      </c>
      <c r="H107" s="34" t="s">
        <v>149</v>
      </c>
      <c r="I107" s="28">
        <v>1530</v>
      </c>
      <c r="J107" t="s">
        <v>2</v>
      </c>
      <c r="K107" s="47">
        <v>3000</v>
      </c>
      <c r="L107" s="3" t="str">
        <f t="shared" si="33"/>
        <v>m</v>
      </c>
      <c r="M107" s="33">
        <f t="shared" si="7"/>
        <v>7114.5</v>
      </c>
      <c r="N107" s="2">
        <f>_xlfn.XLOOKUP(A107,'[1]Prix MP'!$A:$A,'[1]Prix MP'!$T:$T)</f>
        <v>0.37814458402377227</v>
      </c>
      <c r="O107" s="18">
        <f>_xlfn.XLOOKUP(A107,'[1]Prix MP'!$A:$A,'[1]Prix MP'!$U:$U)</f>
        <v>0.37814458402377227</v>
      </c>
      <c r="P107" s="11">
        <f t="shared" si="34"/>
        <v>2690.3096430371279</v>
      </c>
      <c r="Q107" s="7">
        <f t="shared" si="35"/>
        <v>2690.3096430371279</v>
      </c>
      <c r="R107" t="s">
        <v>207</v>
      </c>
      <c r="S107" s="1">
        <f t="shared" si="4"/>
        <v>0</v>
      </c>
      <c r="T107" s="33">
        <f t="shared" si="5"/>
        <v>0</v>
      </c>
      <c r="V107" s="8">
        <f t="shared" si="111"/>
        <v>4590</v>
      </c>
      <c r="W107" s="69"/>
      <c r="AX107"/>
    </row>
    <row r="108" spans="1:50" x14ac:dyDescent="0.25">
      <c r="A108">
        <v>30019</v>
      </c>
      <c r="B108" s="17" t="s">
        <v>132</v>
      </c>
      <c r="C108" s="45">
        <v>45567</v>
      </c>
      <c r="D108" s="46" t="s">
        <v>176</v>
      </c>
      <c r="E108" s="46" t="s">
        <v>42</v>
      </c>
      <c r="F108" s="63">
        <f t="shared" si="32"/>
        <v>-1</v>
      </c>
      <c r="G108" s="49">
        <v>2024118</v>
      </c>
      <c r="H108" s="34" t="s">
        <v>149</v>
      </c>
      <c r="I108" s="28">
        <v>1530</v>
      </c>
      <c r="J108" t="s">
        <v>2</v>
      </c>
      <c r="K108" s="47">
        <v>3000</v>
      </c>
      <c r="L108" s="3" t="str">
        <f t="shared" si="33"/>
        <v>m</v>
      </c>
      <c r="M108" s="33">
        <f t="shared" si="7"/>
        <v>-7114.5</v>
      </c>
      <c r="N108" s="2">
        <f>_xlfn.XLOOKUP(A108,'[1]Prix MP'!$A:$A,'[1]Prix MP'!$T:$T)</f>
        <v>0.37814458402377227</v>
      </c>
      <c r="O108" s="18">
        <f>_xlfn.XLOOKUP(A108,'[1]Prix MP'!$A:$A,'[1]Prix MP'!$U:$U)</f>
        <v>0.37814458402377227</v>
      </c>
      <c r="P108" s="11">
        <f t="shared" si="34"/>
        <v>-2690.3096430371279</v>
      </c>
      <c r="Q108" s="7">
        <f t="shared" si="35"/>
        <v>-2690.3096430371279</v>
      </c>
      <c r="R108" t="s">
        <v>207</v>
      </c>
      <c r="S108" s="1">
        <f t="shared" si="4"/>
        <v>0</v>
      </c>
      <c r="T108" s="33">
        <f t="shared" si="5"/>
        <v>0</v>
      </c>
      <c r="V108" s="8">
        <f t="shared" si="111"/>
        <v>4590</v>
      </c>
      <c r="W108" s="69"/>
      <c r="AX108"/>
    </row>
    <row r="109" spans="1:50" x14ac:dyDescent="0.25">
      <c r="A109">
        <v>30019</v>
      </c>
      <c r="B109" s="17" t="s">
        <v>132</v>
      </c>
      <c r="C109" s="45">
        <v>45565</v>
      </c>
      <c r="D109" s="46" t="s">
        <v>37</v>
      </c>
      <c r="E109" s="46" t="s">
        <v>42</v>
      </c>
      <c r="F109" s="63">
        <f t="shared" si="32"/>
        <v>1</v>
      </c>
      <c r="G109" s="49">
        <v>2024146</v>
      </c>
      <c r="H109" s="34" t="s">
        <v>150</v>
      </c>
      <c r="I109" s="28">
        <v>1530</v>
      </c>
      <c r="J109" t="s">
        <v>2</v>
      </c>
      <c r="K109" s="47">
        <v>3000</v>
      </c>
      <c r="L109" s="3" t="str">
        <f t="shared" si="33"/>
        <v>m</v>
      </c>
      <c r="M109" s="33">
        <f t="shared" si="7"/>
        <v>7114.5</v>
      </c>
      <c r="N109" s="2">
        <f>_xlfn.XLOOKUP(A109,'[1]Prix MP'!$A:$A,'[1]Prix MP'!$T:$T)</f>
        <v>0.37814458402377227</v>
      </c>
      <c r="O109" s="18">
        <f>_xlfn.XLOOKUP(A109,'[1]Prix MP'!$A:$A,'[1]Prix MP'!$U:$U)</f>
        <v>0.37814458402377227</v>
      </c>
      <c r="P109" s="11">
        <f t="shared" si="34"/>
        <v>2690.3096430371279</v>
      </c>
      <c r="Q109" s="7">
        <f t="shared" si="35"/>
        <v>2690.3096430371279</v>
      </c>
      <c r="R109" t="s">
        <v>207</v>
      </c>
      <c r="S109" s="1">
        <f t="shared" si="4"/>
        <v>0</v>
      </c>
      <c r="T109" s="33">
        <f t="shared" si="5"/>
        <v>0</v>
      </c>
      <c r="V109" s="8">
        <f t="shared" si="111"/>
        <v>4590</v>
      </c>
      <c r="W109" s="69"/>
      <c r="AX109"/>
    </row>
    <row r="110" spans="1:50" x14ac:dyDescent="0.25">
      <c r="A110">
        <v>30019</v>
      </c>
      <c r="B110" s="17" t="s">
        <v>132</v>
      </c>
      <c r="C110" s="45">
        <v>45588</v>
      </c>
      <c r="D110" s="46" t="s">
        <v>38</v>
      </c>
      <c r="E110" s="46" t="s">
        <v>42</v>
      </c>
      <c r="F110" s="63">
        <f t="shared" si="32"/>
        <v>-1</v>
      </c>
      <c r="G110" s="49">
        <v>2024146</v>
      </c>
      <c r="H110" s="34" t="s">
        <v>150</v>
      </c>
      <c r="I110" s="28">
        <v>1530</v>
      </c>
      <c r="J110" t="s">
        <v>2</v>
      </c>
      <c r="K110" s="47">
        <v>3000</v>
      </c>
      <c r="L110" s="3" t="str">
        <f t="shared" ref="L110" si="134">IF(J110="mm","m","pi")</f>
        <v>m</v>
      </c>
      <c r="M110" s="33">
        <f t="shared" ref="M110" si="135">IF(J110="mm",F110*I110/1000*K110*1.55,F110*I110*12*K110/1000)</f>
        <v>-7114.5</v>
      </c>
      <c r="N110" s="2">
        <f>_xlfn.XLOOKUP(A110,'[1]Prix MP'!$A:$A,'[1]Prix MP'!$T:$T)</f>
        <v>0.37814458402377227</v>
      </c>
      <c r="O110" s="18">
        <f>_xlfn.XLOOKUP(A110,'[1]Prix MP'!$A:$A,'[1]Prix MP'!$U:$U)</f>
        <v>0.37814458402377227</v>
      </c>
      <c r="P110" s="11">
        <f t="shared" ref="P110" si="136">M110*N110</f>
        <v>-2690.3096430371279</v>
      </c>
      <c r="Q110" s="7">
        <f t="shared" ref="Q110" si="137">M110*O110</f>
        <v>-2690.3096430371279</v>
      </c>
      <c r="R110" t="s">
        <v>207</v>
      </c>
      <c r="S110" s="1">
        <f t="shared" ref="S110" si="138">ROUND(IF(E110="I",0,IF(J110="po",I110,I110/25.4)),2)</f>
        <v>0</v>
      </c>
      <c r="T110" s="33">
        <f t="shared" ref="T110" si="139">ROUND(IF(E110="I",0,IF(J110="po",K110,K110*3.280839895)),0)</f>
        <v>0</v>
      </c>
      <c r="V110" s="8">
        <f t="shared" si="111"/>
        <v>4590</v>
      </c>
      <c r="W110" s="69"/>
      <c r="AX110"/>
    </row>
    <row r="111" spans="1:50" x14ac:dyDescent="0.25">
      <c r="A111">
        <v>30019</v>
      </c>
      <c r="B111" s="17" t="s">
        <v>132</v>
      </c>
      <c r="C111" s="45">
        <v>45565</v>
      </c>
      <c r="D111" s="46" t="s">
        <v>37</v>
      </c>
      <c r="E111" s="46" t="s">
        <v>42</v>
      </c>
      <c r="F111" s="63">
        <f t="shared" si="32"/>
        <v>1</v>
      </c>
      <c r="G111" s="49"/>
      <c r="H111" s="34" t="s">
        <v>151</v>
      </c>
      <c r="I111" s="28">
        <v>1530</v>
      </c>
      <c r="J111" t="s">
        <v>2</v>
      </c>
      <c r="K111" s="47">
        <v>3000</v>
      </c>
      <c r="L111" s="3" t="str">
        <f t="shared" si="33"/>
        <v>m</v>
      </c>
      <c r="M111" s="33">
        <f t="shared" si="7"/>
        <v>7114.5</v>
      </c>
      <c r="N111" s="2">
        <f>_xlfn.XLOOKUP(A111,'[1]Prix MP'!$A:$A,'[1]Prix MP'!$T:$T)</f>
        <v>0.37814458402377227</v>
      </c>
      <c r="O111" s="18">
        <f>_xlfn.XLOOKUP(A111,'[1]Prix MP'!$A:$A,'[1]Prix MP'!$U:$U)</f>
        <v>0.37814458402377227</v>
      </c>
      <c r="P111" s="11">
        <f t="shared" si="34"/>
        <v>2690.3096430371279</v>
      </c>
      <c r="Q111" s="7">
        <f t="shared" si="35"/>
        <v>2690.3096430371279</v>
      </c>
      <c r="R111" t="s">
        <v>207</v>
      </c>
      <c r="S111" s="1">
        <f t="shared" si="4"/>
        <v>0</v>
      </c>
      <c r="T111" s="33">
        <f t="shared" si="5"/>
        <v>0</v>
      </c>
      <c r="V111" s="8">
        <f t="shared" si="111"/>
        <v>4590</v>
      </c>
      <c r="W111" s="69"/>
      <c r="AX111"/>
    </row>
    <row r="112" spans="1:50" x14ac:dyDescent="0.25">
      <c r="A112">
        <v>30019</v>
      </c>
      <c r="B112" s="17" t="s">
        <v>132</v>
      </c>
      <c r="C112" s="45">
        <v>45597</v>
      </c>
      <c r="D112" s="46" t="s">
        <v>176</v>
      </c>
      <c r="E112" s="46" t="s">
        <v>42</v>
      </c>
      <c r="F112" s="64">
        <v>-1</v>
      </c>
      <c r="G112" s="49" t="s">
        <v>371</v>
      </c>
      <c r="H112" s="34" t="s">
        <v>151</v>
      </c>
      <c r="I112" s="28">
        <v>1530</v>
      </c>
      <c r="J112" t="s">
        <v>2</v>
      </c>
      <c r="K112" s="47">
        <v>3000</v>
      </c>
      <c r="L112" s="3" t="str">
        <f t="shared" ref="L112" si="140">IF(J112="mm","m","pi")</f>
        <v>m</v>
      </c>
      <c r="M112" s="33">
        <f>IF(J112="mm",F112*I112/1000*K112*1.55,F112*I112*12*K112/1000)</f>
        <v>-7114.5</v>
      </c>
      <c r="N112" s="2">
        <f>_xlfn.XLOOKUP(A112,'[1]Prix MP'!$A:$A,'[1]Prix MP'!$T:$T)</f>
        <v>0.37814458402377227</v>
      </c>
      <c r="O112" s="18">
        <f>_xlfn.XLOOKUP(A112,'[1]Prix MP'!$A:$A,'[1]Prix MP'!$U:$U)</f>
        <v>0.37814458402377227</v>
      </c>
      <c r="P112" s="11">
        <f>M112*N112</f>
        <v>-2690.3096430371279</v>
      </c>
      <c r="Q112" s="7">
        <f t="shared" ref="Q112:Q114" si="141">M112*O112</f>
        <v>-2690.3096430371279</v>
      </c>
      <c r="R112" t="s">
        <v>207</v>
      </c>
      <c r="S112" s="1">
        <f>ROUND(IF(E112="I",0,IF(J112="po",I112,I112/25.4)),2)</f>
        <v>0</v>
      </c>
      <c r="T112" s="33">
        <f>ROUND(IF(E112="I",0,IF(J112="po",K112,K112*3.280839895)),0)</f>
        <v>0</v>
      </c>
      <c r="V112" s="8">
        <f t="shared" si="111"/>
        <v>4590</v>
      </c>
      <c r="W112" s="69"/>
      <c r="AX112"/>
    </row>
    <row r="113" spans="1:50" x14ac:dyDescent="0.25">
      <c r="A113">
        <v>30019</v>
      </c>
      <c r="B113" s="17" t="s">
        <v>132</v>
      </c>
      <c r="C113" s="45">
        <v>45597</v>
      </c>
      <c r="D113" s="46" t="s">
        <v>373</v>
      </c>
      <c r="E113" s="46" t="s">
        <v>42</v>
      </c>
      <c r="F113" s="64">
        <v>1</v>
      </c>
      <c r="G113" s="49" t="s">
        <v>371</v>
      </c>
      <c r="H113" s="34" t="s">
        <v>376</v>
      </c>
      <c r="I113" s="28">
        <v>9.5</v>
      </c>
      <c r="J113" t="s">
        <v>36</v>
      </c>
      <c r="K113" s="47">
        <v>4850</v>
      </c>
      <c r="L113" s="3" t="s">
        <v>372</v>
      </c>
      <c r="M113" s="33">
        <f>IF(J113="mm",F113*I113/1000*K113*1.55,F113*I113*12*K113/1000)</f>
        <v>552.9</v>
      </c>
      <c r="N113" s="2">
        <f>_xlfn.XLOOKUP(A113,'[1]Prix MP'!$A:$A,'[1]Prix MP'!$T:$T)</f>
        <v>0.37814458402377227</v>
      </c>
      <c r="O113" s="18">
        <f>_xlfn.XLOOKUP(A113,'[1]Prix MP'!$A:$A,'[1]Prix MP'!$U:$U)</f>
        <v>0.37814458402377227</v>
      </c>
      <c r="P113" s="11">
        <f>M113*N113</f>
        <v>209.07614050674368</v>
      </c>
      <c r="Q113" s="7">
        <f t="shared" si="141"/>
        <v>209.07614050674368</v>
      </c>
      <c r="R113" t="s">
        <v>207</v>
      </c>
      <c r="S113" s="1">
        <f>ROUND(IF(E113="I",0,IF(J113="po",I113,I113/25.4)),2)</f>
        <v>0</v>
      </c>
      <c r="T113" s="33">
        <f>ROUND(IF(E113="I",0,IF(J113="po",K113,K113*3.280839895)),0)</f>
        <v>0</v>
      </c>
      <c r="V113" s="8"/>
      <c r="W113" s="69"/>
      <c r="AX113"/>
    </row>
    <row r="114" spans="1:50" x14ac:dyDescent="0.25">
      <c r="A114">
        <v>30019</v>
      </c>
      <c r="B114" s="17" t="s">
        <v>132</v>
      </c>
      <c r="C114" s="45">
        <v>45631</v>
      </c>
      <c r="D114" s="46" t="s">
        <v>496</v>
      </c>
      <c r="E114" s="46" t="s">
        <v>42</v>
      </c>
      <c r="F114" s="64">
        <v>-1</v>
      </c>
      <c r="G114" s="49" t="s">
        <v>497</v>
      </c>
      <c r="H114" s="34" t="s">
        <v>376</v>
      </c>
      <c r="I114" s="28">
        <v>9.5</v>
      </c>
      <c r="J114" t="s">
        <v>36</v>
      </c>
      <c r="K114" s="47">
        <v>4850</v>
      </c>
      <c r="L114" s="3" t="s">
        <v>372</v>
      </c>
      <c r="M114" s="33">
        <f>IF(J114="mm",F114*I114/1000*K114*1.55,F114*I114*12*K114/1000)</f>
        <v>-552.9</v>
      </c>
      <c r="N114" s="2">
        <f>_xlfn.XLOOKUP(A114,'[1]Prix MP'!$A:$A,'[1]Prix MP'!$T:$T)</f>
        <v>0.37814458402377227</v>
      </c>
      <c r="O114" s="18">
        <f>_xlfn.XLOOKUP(A114,'[1]Prix MP'!$A:$A,'[1]Prix MP'!$U:$U)</f>
        <v>0.37814458402377227</v>
      </c>
      <c r="P114" s="11">
        <f>M114*N114</f>
        <v>-209.07614050674368</v>
      </c>
      <c r="Q114" s="7">
        <f t="shared" si="141"/>
        <v>-209.07614050674368</v>
      </c>
      <c r="R114" t="s">
        <v>207</v>
      </c>
      <c r="S114" s="1">
        <f>ROUND(IF(E114="I",0,IF(J114="po",I114,I114/25.4)),2)</f>
        <v>0</v>
      </c>
      <c r="T114" s="33">
        <f>ROUND(IF(E114="I",0,IF(J114="po",K114,K114*3.280839895)),0)</f>
        <v>0</v>
      </c>
      <c r="V114" s="8" t="str">
        <f t="shared" si="111"/>
        <v/>
      </c>
      <c r="W114" s="69"/>
      <c r="AX114"/>
    </row>
    <row r="115" spans="1:50" x14ac:dyDescent="0.25">
      <c r="A115">
        <v>30019</v>
      </c>
      <c r="B115" s="17" t="s">
        <v>132</v>
      </c>
      <c r="C115" s="45">
        <v>45565</v>
      </c>
      <c r="D115" s="46" t="s">
        <v>37</v>
      </c>
      <c r="E115" s="46" t="s">
        <v>42</v>
      </c>
      <c r="F115" s="63">
        <f t="shared" si="32"/>
        <v>1</v>
      </c>
      <c r="G115" s="49">
        <v>2024118</v>
      </c>
      <c r="H115" s="34" t="s">
        <v>152</v>
      </c>
      <c r="I115" s="28">
        <v>1530</v>
      </c>
      <c r="J115" t="s">
        <v>2</v>
      </c>
      <c r="K115" s="47">
        <v>3100</v>
      </c>
      <c r="L115" s="3" t="str">
        <f t="shared" si="33"/>
        <v>m</v>
      </c>
      <c r="M115" s="33">
        <f t="shared" si="7"/>
        <v>7351.6500000000005</v>
      </c>
      <c r="N115" s="2">
        <f>_xlfn.XLOOKUP(A115,'[1]Prix MP'!$A:$A,'[1]Prix MP'!$T:$T)</f>
        <v>0.37814458402377227</v>
      </c>
      <c r="O115" s="18">
        <f>_xlfn.XLOOKUP(A115,'[1]Prix MP'!$A:$A,'[1]Prix MP'!$U:$U)</f>
        <v>0.37814458402377227</v>
      </c>
      <c r="P115" s="11">
        <f t="shared" si="34"/>
        <v>2779.9866311383657</v>
      </c>
      <c r="Q115" s="7">
        <f t="shared" si="35"/>
        <v>2779.9866311383657</v>
      </c>
      <c r="R115" t="s">
        <v>207</v>
      </c>
      <c r="S115" s="1">
        <f t="shared" si="4"/>
        <v>0</v>
      </c>
      <c r="T115" s="33">
        <f t="shared" si="5"/>
        <v>0</v>
      </c>
      <c r="V115" s="8">
        <f t="shared" si="111"/>
        <v>4743</v>
      </c>
      <c r="W115" s="69"/>
      <c r="AX115"/>
    </row>
    <row r="116" spans="1:50" x14ac:dyDescent="0.25">
      <c r="A116">
        <v>30019</v>
      </c>
      <c r="B116" s="17" t="s">
        <v>132</v>
      </c>
      <c r="C116" s="45">
        <v>45567</v>
      </c>
      <c r="D116" s="46" t="s">
        <v>176</v>
      </c>
      <c r="E116" s="46" t="s">
        <v>42</v>
      </c>
      <c r="F116" s="63">
        <f t="shared" si="32"/>
        <v>-1</v>
      </c>
      <c r="G116" s="49">
        <v>2024118</v>
      </c>
      <c r="H116" s="34" t="s">
        <v>152</v>
      </c>
      <c r="I116" s="28">
        <v>1530</v>
      </c>
      <c r="J116" t="s">
        <v>2</v>
      </c>
      <c r="K116" s="47">
        <v>3100</v>
      </c>
      <c r="L116" s="3" t="str">
        <f t="shared" si="33"/>
        <v>m</v>
      </c>
      <c r="M116" s="33">
        <f t="shared" si="7"/>
        <v>-7351.6500000000005</v>
      </c>
      <c r="N116" s="2">
        <f>_xlfn.XLOOKUP(A116,'[1]Prix MP'!$A:$A,'[1]Prix MP'!$T:$T)</f>
        <v>0.37814458402377227</v>
      </c>
      <c r="O116" s="18">
        <f>_xlfn.XLOOKUP(A116,'[1]Prix MP'!$A:$A,'[1]Prix MP'!$U:$U)</f>
        <v>0.37814458402377227</v>
      </c>
      <c r="P116" s="11">
        <f t="shared" si="34"/>
        <v>-2779.9866311383657</v>
      </c>
      <c r="Q116" s="7">
        <f t="shared" si="35"/>
        <v>-2779.9866311383657</v>
      </c>
      <c r="R116" t="s">
        <v>207</v>
      </c>
      <c r="S116" s="1">
        <f t="shared" si="4"/>
        <v>0</v>
      </c>
      <c r="T116" s="33">
        <f t="shared" si="5"/>
        <v>0</v>
      </c>
      <c r="V116" s="8">
        <f t="shared" si="111"/>
        <v>4743</v>
      </c>
      <c r="W116" s="69"/>
      <c r="AX116"/>
    </row>
    <row r="117" spans="1:50" x14ac:dyDescent="0.25">
      <c r="A117">
        <v>30019</v>
      </c>
      <c r="B117" s="17" t="s">
        <v>132</v>
      </c>
      <c r="C117" s="45">
        <v>45565</v>
      </c>
      <c r="D117" s="46" t="s">
        <v>37</v>
      </c>
      <c r="E117" s="46" t="s">
        <v>42</v>
      </c>
      <c r="F117" s="63">
        <f t="shared" si="32"/>
        <v>1</v>
      </c>
      <c r="G117" s="49">
        <v>2024146</v>
      </c>
      <c r="H117" s="34" t="s">
        <v>153</v>
      </c>
      <c r="I117" s="28">
        <v>1530</v>
      </c>
      <c r="J117" t="s">
        <v>2</v>
      </c>
      <c r="K117" s="47">
        <v>3100</v>
      </c>
      <c r="L117" s="3" t="str">
        <f t="shared" si="33"/>
        <v>m</v>
      </c>
      <c r="M117" s="33">
        <f t="shared" si="7"/>
        <v>7351.6500000000005</v>
      </c>
      <c r="N117" s="2">
        <f>_xlfn.XLOOKUP(A117,'[1]Prix MP'!$A:$A,'[1]Prix MP'!$T:$T)</f>
        <v>0.37814458402377227</v>
      </c>
      <c r="O117" s="18">
        <f>_xlfn.XLOOKUP(A117,'[1]Prix MP'!$A:$A,'[1]Prix MP'!$U:$U)</f>
        <v>0.37814458402377227</v>
      </c>
      <c r="P117" s="11">
        <f t="shared" si="34"/>
        <v>2779.9866311383657</v>
      </c>
      <c r="Q117" s="7">
        <f t="shared" si="35"/>
        <v>2779.9866311383657</v>
      </c>
      <c r="R117" t="s">
        <v>207</v>
      </c>
      <c r="S117" s="1">
        <f t="shared" si="4"/>
        <v>0</v>
      </c>
      <c r="T117" s="33">
        <f t="shared" si="5"/>
        <v>0</v>
      </c>
      <c r="V117" s="8">
        <f t="shared" si="111"/>
        <v>4743</v>
      </c>
      <c r="W117" s="69"/>
      <c r="AX117"/>
    </row>
    <row r="118" spans="1:50" x14ac:dyDescent="0.25">
      <c r="A118">
        <v>30019</v>
      </c>
      <c r="B118" s="17" t="s">
        <v>132</v>
      </c>
      <c r="C118" s="45">
        <v>45588</v>
      </c>
      <c r="D118" s="46" t="s">
        <v>38</v>
      </c>
      <c r="E118" s="46" t="s">
        <v>42</v>
      </c>
      <c r="F118" s="63">
        <f t="shared" si="32"/>
        <v>-1</v>
      </c>
      <c r="G118" s="49">
        <v>2024146</v>
      </c>
      <c r="H118" s="34" t="s">
        <v>153</v>
      </c>
      <c r="I118" s="28">
        <v>1530</v>
      </c>
      <c r="J118" t="s">
        <v>2</v>
      </c>
      <c r="K118" s="47">
        <v>3100</v>
      </c>
      <c r="L118" s="3" t="str">
        <f t="shared" ref="L118" si="142">IF(J118="mm","m","pi")</f>
        <v>m</v>
      </c>
      <c r="M118" s="33">
        <f t="shared" ref="M118" si="143">IF(J118="mm",F118*I118/1000*K118*1.55,F118*I118*12*K118/1000)</f>
        <v>-7351.6500000000005</v>
      </c>
      <c r="N118" s="2">
        <f>_xlfn.XLOOKUP(A118,'[1]Prix MP'!$A:$A,'[1]Prix MP'!$T:$T)</f>
        <v>0.37814458402377227</v>
      </c>
      <c r="O118" s="18">
        <f>_xlfn.XLOOKUP(A118,'[1]Prix MP'!$A:$A,'[1]Prix MP'!$U:$U)</f>
        <v>0.37814458402377227</v>
      </c>
      <c r="P118" s="11">
        <f t="shared" ref="P118" si="144">M118*N118</f>
        <v>-2779.9866311383657</v>
      </c>
      <c r="Q118" s="7">
        <f t="shared" ref="Q118" si="145">M118*O118</f>
        <v>-2779.9866311383657</v>
      </c>
      <c r="R118" t="s">
        <v>207</v>
      </c>
      <c r="S118" s="1">
        <f t="shared" ref="S118" si="146">ROUND(IF(E118="I",0,IF(J118="po",I118,I118/25.4)),2)</f>
        <v>0</v>
      </c>
      <c r="T118" s="33">
        <f t="shared" ref="T118" si="147">ROUND(IF(E118="I",0,IF(J118="po",K118,K118*3.280839895)),0)</f>
        <v>0</v>
      </c>
      <c r="V118" s="8">
        <f t="shared" si="111"/>
        <v>4743</v>
      </c>
      <c r="W118" s="69"/>
      <c r="AX118"/>
    </row>
    <row r="119" spans="1:50" x14ac:dyDescent="0.25">
      <c r="A119">
        <v>30019</v>
      </c>
      <c r="B119" s="17" t="s">
        <v>132</v>
      </c>
      <c r="C119" s="45">
        <v>45565</v>
      </c>
      <c r="D119" s="46" t="s">
        <v>37</v>
      </c>
      <c r="E119" s="46" t="s">
        <v>42</v>
      </c>
      <c r="F119" s="63">
        <f t="shared" si="32"/>
        <v>1</v>
      </c>
      <c r="G119" s="49">
        <v>2024139</v>
      </c>
      <c r="H119" s="34" t="s">
        <v>154</v>
      </c>
      <c r="I119" s="28">
        <v>1530</v>
      </c>
      <c r="J119" t="s">
        <v>2</v>
      </c>
      <c r="K119" s="47">
        <v>3100</v>
      </c>
      <c r="L119" s="3" t="str">
        <f t="shared" si="33"/>
        <v>m</v>
      </c>
      <c r="M119" s="33">
        <f t="shared" si="7"/>
        <v>7351.6500000000005</v>
      </c>
      <c r="N119" s="2">
        <f>_xlfn.XLOOKUP(A119,'[1]Prix MP'!$A:$A,'[1]Prix MP'!$T:$T)</f>
        <v>0.37814458402377227</v>
      </c>
      <c r="O119" s="18">
        <f>_xlfn.XLOOKUP(A119,'[1]Prix MP'!$A:$A,'[1]Prix MP'!$U:$U)</f>
        <v>0.37814458402377227</v>
      </c>
      <c r="P119" s="11">
        <f t="shared" si="34"/>
        <v>2779.9866311383657</v>
      </c>
      <c r="Q119" s="7">
        <f t="shared" si="35"/>
        <v>2779.9866311383657</v>
      </c>
      <c r="R119" t="s">
        <v>207</v>
      </c>
      <c r="S119" s="1">
        <f t="shared" si="4"/>
        <v>0</v>
      </c>
      <c r="T119" s="33">
        <f t="shared" si="5"/>
        <v>0</v>
      </c>
      <c r="V119" s="8">
        <f t="shared" si="111"/>
        <v>4743</v>
      </c>
      <c r="W119" s="69"/>
      <c r="AX119"/>
    </row>
    <row r="120" spans="1:50" x14ac:dyDescent="0.25">
      <c r="A120">
        <v>30019</v>
      </c>
      <c r="B120" s="17" t="s">
        <v>132</v>
      </c>
      <c r="C120" s="45">
        <v>45580</v>
      </c>
      <c r="D120" s="46" t="s">
        <v>38</v>
      </c>
      <c r="E120" s="46" t="s">
        <v>42</v>
      </c>
      <c r="F120" s="63">
        <f t="shared" si="32"/>
        <v>-1</v>
      </c>
      <c r="G120" s="49">
        <v>2024139</v>
      </c>
      <c r="H120" s="34" t="s">
        <v>154</v>
      </c>
      <c r="I120" s="28">
        <v>1530</v>
      </c>
      <c r="J120" t="s">
        <v>2</v>
      </c>
      <c r="K120" s="47">
        <v>3100</v>
      </c>
      <c r="L120" s="3" t="str">
        <f t="shared" ref="L120" si="148">IF(J120="mm","m","pi")</f>
        <v>m</v>
      </c>
      <c r="M120" s="33">
        <f t="shared" ref="M120" si="149">IF(J120="mm",F120*I120/1000*K120*1.55,F120*I120*12*K120/1000)</f>
        <v>-7351.6500000000005</v>
      </c>
      <c r="N120" s="2">
        <f>_xlfn.XLOOKUP(A120,'[1]Prix MP'!$A:$A,'[1]Prix MP'!$T:$T)</f>
        <v>0.37814458402377227</v>
      </c>
      <c r="O120" s="18">
        <f>_xlfn.XLOOKUP(A120,'[1]Prix MP'!$A:$A,'[1]Prix MP'!$U:$U)</f>
        <v>0.37814458402377227</v>
      </c>
      <c r="P120" s="11">
        <f t="shared" ref="P120" si="150">M120*N120</f>
        <v>-2779.9866311383657</v>
      </c>
      <c r="Q120" s="7">
        <f t="shared" ref="Q120" si="151">M120*O120</f>
        <v>-2779.9866311383657</v>
      </c>
      <c r="R120" t="s">
        <v>207</v>
      </c>
      <c r="S120" s="1">
        <f t="shared" ref="S120:S210" si="152">ROUND(IF(E120="I",0,IF(J120="po",I120,I120/25.4)),2)</f>
        <v>0</v>
      </c>
      <c r="T120" s="33">
        <f t="shared" ref="T120:T210" si="153">ROUND(IF(E120="I",0,IF(J120="po",K120,K120*3.280839895)),0)</f>
        <v>0</v>
      </c>
      <c r="V120" s="8">
        <f t="shared" si="111"/>
        <v>4743</v>
      </c>
      <c r="W120" s="69"/>
      <c r="AX120"/>
    </row>
    <row r="121" spans="1:50" x14ac:dyDescent="0.25">
      <c r="A121">
        <v>30019</v>
      </c>
      <c r="B121" s="17" t="s">
        <v>132</v>
      </c>
      <c r="C121" s="45">
        <v>45565</v>
      </c>
      <c r="D121" s="46" t="s">
        <v>37</v>
      </c>
      <c r="E121" s="46" t="s">
        <v>42</v>
      </c>
      <c r="F121" s="63">
        <f t="shared" si="32"/>
        <v>1</v>
      </c>
      <c r="G121" s="49">
        <v>2024139</v>
      </c>
      <c r="H121" s="34" t="s">
        <v>155</v>
      </c>
      <c r="I121" s="28">
        <v>1530</v>
      </c>
      <c r="J121" t="s">
        <v>2</v>
      </c>
      <c r="K121" s="47">
        <v>3100</v>
      </c>
      <c r="L121" s="3" t="str">
        <f t="shared" si="33"/>
        <v>m</v>
      </c>
      <c r="M121" s="33">
        <f t="shared" si="7"/>
        <v>7351.6500000000005</v>
      </c>
      <c r="N121" s="2">
        <f>_xlfn.XLOOKUP(A121,'[1]Prix MP'!$A:$A,'[1]Prix MP'!$T:$T)</f>
        <v>0.37814458402377227</v>
      </c>
      <c r="O121" s="18">
        <f>_xlfn.XLOOKUP(A121,'[1]Prix MP'!$A:$A,'[1]Prix MP'!$U:$U)</f>
        <v>0.37814458402377227</v>
      </c>
      <c r="P121" s="11">
        <f t="shared" si="34"/>
        <v>2779.9866311383657</v>
      </c>
      <c r="Q121" s="7">
        <f t="shared" si="35"/>
        <v>2779.9866311383657</v>
      </c>
      <c r="R121" t="s">
        <v>207</v>
      </c>
      <c r="S121" s="1">
        <f t="shared" si="152"/>
        <v>0</v>
      </c>
      <c r="T121" s="33">
        <f t="shared" si="153"/>
        <v>0</v>
      </c>
      <c r="V121" s="8">
        <f t="shared" si="111"/>
        <v>4743</v>
      </c>
      <c r="W121" s="69"/>
      <c r="AX121"/>
    </row>
    <row r="122" spans="1:50" x14ac:dyDescent="0.25">
      <c r="A122">
        <v>30019</v>
      </c>
      <c r="B122" s="17" t="s">
        <v>132</v>
      </c>
      <c r="C122" s="45">
        <v>45580</v>
      </c>
      <c r="D122" s="46" t="s">
        <v>38</v>
      </c>
      <c r="E122" s="46" t="s">
        <v>42</v>
      </c>
      <c r="F122" s="63">
        <f t="shared" si="32"/>
        <v>-1</v>
      </c>
      <c r="G122" s="49">
        <v>2024139</v>
      </c>
      <c r="H122" s="34" t="s">
        <v>155</v>
      </c>
      <c r="I122" s="28">
        <v>1530</v>
      </c>
      <c r="J122" t="s">
        <v>2</v>
      </c>
      <c r="K122" s="47">
        <v>3100</v>
      </c>
      <c r="L122" s="3" t="str">
        <f t="shared" ref="L122" si="154">IF(J122="mm","m","pi")</f>
        <v>m</v>
      </c>
      <c r="M122" s="33">
        <f t="shared" ref="M122" si="155">IF(J122="mm",F122*I122/1000*K122*1.55,F122*I122*12*K122/1000)</f>
        <v>-7351.6500000000005</v>
      </c>
      <c r="N122" s="2">
        <f>_xlfn.XLOOKUP(A122,'[1]Prix MP'!$A:$A,'[1]Prix MP'!$T:$T)</f>
        <v>0.37814458402377227</v>
      </c>
      <c r="O122" s="18">
        <f>_xlfn.XLOOKUP(A122,'[1]Prix MP'!$A:$A,'[1]Prix MP'!$U:$U)</f>
        <v>0.37814458402377227</v>
      </c>
      <c r="P122" s="11">
        <f t="shared" ref="P122" si="156">M122*N122</f>
        <v>-2779.9866311383657</v>
      </c>
      <c r="Q122" s="7">
        <f t="shared" ref="Q122" si="157">M122*O122</f>
        <v>-2779.9866311383657</v>
      </c>
      <c r="R122" t="s">
        <v>207</v>
      </c>
      <c r="S122" s="1">
        <f t="shared" si="152"/>
        <v>0</v>
      </c>
      <c r="T122" s="33">
        <f t="shared" si="153"/>
        <v>0</v>
      </c>
      <c r="V122" s="8">
        <f t="shared" si="111"/>
        <v>4743</v>
      </c>
      <c r="W122" s="69"/>
      <c r="AX122"/>
    </row>
    <row r="123" spans="1:50" x14ac:dyDescent="0.25">
      <c r="A123">
        <v>30019</v>
      </c>
      <c r="B123" s="17" t="s">
        <v>132</v>
      </c>
      <c r="C123" s="45">
        <v>45565</v>
      </c>
      <c r="D123" s="46" t="s">
        <v>37</v>
      </c>
      <c r="E123" s="46" t="s">
        <v>42</v>
      </c>
      <c r="F123" s="63">
        <f t="shared" si="32"/>
        <v>1</v>
      </c>
      <c r="G123" s="49">
        <v>2024139</v>
      </c>
      <c r="H123" s="34" t="s">
        <v>156</v>
      </c>
      <c r="I123" s="28">
        <v>1530</v>
      </c>
      <c r="J123" t="s">
        <v>2</v>
      </c>
      <c r="K123" s="47">
        <v>3100</v>
      </c>
      <c r="L123" s="3" t="str">
        <f t="shared" si="33"/>
        <v>m</v>
      </c>
      <c r="M123" s="33">
        <f t="shared" si="7"/>
        <v>7351.6500000000005</v>
      </c>
      <c r="N123" s="2">
        <f>_xlfn.XLOOKUP(A123,'[1]Prix MP'!$A:$A,'[1]Prix MP'!$T:$T)</f>
        <v>0.37814458402377227</v>
      </c>
      <c r="O123" s="18">
        <f>_xlfn.XLOOKUP(A123,'[1]Prix MP'!$A:$A,'[1]Prix MP'!$U:$U)</f>
        <v>0.37814458402377227</v>
      </c>
      <c r="P123" s="11">
        <f t="shared" si="34"/>
        <v>2779.9866311383657</v>
      </c>
      <c r="Q123" s="7">
        <f t="shared" si="35"/>
        <v>2779.9866311383657</v>
      </c>
      <c r="R123" t="s">
        <v>207</v>
      </c>
      <c r="S123" s="1">
        <f t="shared" si="152"/>
        <v>0</v>
      </c>
      <c r="T123" s="33">
        <f t="shared" si="153"/>
        <v>0</v>
      </c>
      <c r="V123" s="8">
        <f t="shared" si="111"/>
        <v>4743</v>
      </c>
      <c r="W123" s="69"/>
      <c r="AX123"/>
    </row>
    <row r="124" spans="1:50" x14ac:dyDescent="0.25">
      <c r="A124">
        <v>30019</v>
      </c>
      <c r="B124" s="17" t="s">
        <v>132</v>
      </c>
      <c r="C124" s="45">
        <v>45580</v>
      </c>
      <c r="D124" s="46" t="s">
        <v>38</v>
      </c>
      <c r="E124" s="46" t="s">
        <v>42</v>
      </c>
      <c r="F124" s="63">
        <f t="shared" si="32"/>
        <v>-1</v>
      </c>
      <c r="G124" s="49">
        <v>2024139</v>
      </c>
      <c r="H124" s="34" t="s">
        <v>156</v>
      </c>
      <c r="I124" s="28">
        <v>1530</v>
      </c>
      <c r="J124" t="s">
        <v>2</v>
      </c>
      <c r="K124" s="47">
        <v>3100</v>
      </c>
      <c r="L124" s="3" t="str">
        <f t="shared" ref="L124" si="158">IF(J124="mm","m","pi")</f>
        <v>m</v>
      </c>
      <c r="M124" s="33">
        <f t="shared" ref="M124" si="159">IF(J124="mm",F124*I124/1000*K124*1.55,F124*I124*12*K124/1000)</f>
        <v>-7351.6500000000005</v>
      </c>
      <c r="N124" s="2">
        <f>_xlfn.XLOOKUP(A124,'[1]Prix MP'!$A:$A,'[1]Prix MP'!$T:$T)</f>
        <v>0.37814458402377227</v>
      </c>
      <c r="O124" s="18">
        <f>_xlfn.XLOOKUP(A124,'[1]Prix MP'!$A:$A,'[1]Prix MP'!$U:$U)</f>
        <v>0.37814458402377227</v>
      </c>
      <c r="P124" s="11">
        <f t="shared" ref="P124" si="160">M124*N124</f>
        <v>-2779.9866311383657</v>
      </c>
      <c r="Q124" s="7">
        <f t="shared" ref="Q124" si="161">M124*O124</f>
        <v>-2779.9866311383657</v>
      </c>
      <c r="R124" t="s">
        <v>207</v>
      </c>
      <c r="S124" s="1">
        <f t="shared" si="152"/>
        <v>0</v>
      </c>
      <c r="T124" s="33">
        <f t="shared" si="153"/>
        <v>0</v>
      </c>
      <c r="V124" s="8">
        <f t="shared" si="111"/>
        <v>4743</v>
      </c>
      <c r="W124" s="69"/>
      <c r="AX124"/>
    </row>
    <row r="125" spans="1:50" x14ac:dyDescent="0.25">
      <c r="A125">
        <v>30019</v>
      </c>
      <c r="B125" s="17" t="s">
        <v>132</v>
      </c>
      <c r="C125" s="45">
        <v>45565</v>
      </c>
      <c r="D125" s="46" t="s">
        <v>37</v>
      </c>
      <c r="E125" s="46" t="s">
        <v>42</v>
      </c>
      <c r="F125" s="63">
        <f t="shared" si="32"/>
        <v>1</v>
      </c>
      <c r="G125" s="49">
        <v>2024139</v>
      </c>
      <c r="H125" s="34" t="s">
        <v>157</v>
      </c>
      <c r="I125" s="28">
        <v>1530</v>
      </c>
      <c r="J125" t="s">
        <v>2</v>
      </c>
      <c r="K125" s="47">
        <v>2970</v>
      </c>
      <c r="L125" s="3" t="str">
        <f t="shared" si="33"/>
        <v>m</v>
      </c>
      <c r="M125" s="33">
        <f t="shared" si="7"/>
        <v>7043.3550000000005</v>
      </c>
      <c r="N125" s="2">
        <f>_xlfn.XLOOKUP(A125,'[1]Prix MP'!$A:$A,'[1]Prix MP'!$T:$T)</f>
        <v>0.37814458402377227</v>
      </c>
      <c r="O125" s="18">
        <f>_xlfn.XLOOKUP(A125,'[1]Prix MP'!$A:$A,'[1]Prix MP'!$U:$U)</f>
        <v>0.37814458402377227</v>
      </c>
      <c r="P125" s="11">
        <f t="shared" si="34"/>
        <v>2663.4065466067568</v>
      </c>
      <c r="Q125" s="7">
        <f t="shared" si="35"/>
        <v>2663.4065466067568</v>
      </c>
      <c r="R125" t="s">
        <v>207</v>
      </c>
      <c r="S125" s="1">
        <f t="shared" si="152"/>
        <v>0</v>
      </c>
      <c r="T125" s="33">
        <f t="shared" si="153"/>
        <v>0</v>
      </c>
      <c r="V125" s="8">
        <f t="shared" si="111"/>
        <v>4544.1000000000004</v>
      </c>
      <c r="W125" s="69"/>
      <c r="AX125"/>
    </row>
    <row r="126" spans="1:50" x14ac:dyDescent="0.25">
      <c r="A126">
        <v>30019</v>
      </c>
      <c r="B126" s="17" t="s">
        <v>132</v>
      </c>
      <c r="C126" s="45">
        <v>45580</v>
      </c>
      <c r="D126" s="46" t="s">
        <v>38</v>
      </c>
      <c r="E126" s="46" t="s">
        <v>42</v>
      </c>
      <c r="F126" s="63">
        <f t="shared" si="32"/>
        <v>-1</v>
      </c>
      <c r="G126" s="49">
        <v>2024139</v>
      </c>
      <c r="H126" s="34" t="s">
        <v>157</v>
      </c>
      <c r="I126" s="28">
        <v>1530</v>
      </c>
      <c r="J126" t="s">
        <v>2</v>
      </c>
      <c r="K126" s="47">
        <v>2970</v>
      </c>
      <c r="L126" s="3" t="str">
        <f t="shared" ref="L126" si="162">IF(J126="mm","m","pi")</f>
        <v>m</v>
      </c>
      <c r="M126" s="33">
        <f t="shared" ref="M126" si="163">IF(J126="mm",F126*I126/1000*K126*1.55,F126*I126*12*K126/1000)</f>
        <v>-7043.3550000000005</v>
      </c>
      <c r="N126" s="2">
        <f>_xlfn.XLOOKUP(A126,'[1]Prix MP'!$A:$A,'[1]Prix MP'!$T:$T)</f>
        <v>0.37814458402377227</v>
      </c>
      <c r="O126" s="18">
        <f>_xlfn.XLOOKUP(A126,'[1]Prix MP'!$A:$A,'[1]Prix MP'!$U:$U)</f>
        <v>0.37814458402377227</v>
      </c>
      <c r="P126" s="11">
        <f t="shared" ref="P126" si="164">M126*N126</f>
        <v>-2663.4065466067568</v>
      </c>
      <c r="Q126" s="7">
        <f t="shared" ref="Q126" si="165">M126*O126</f>
        <v>-2663.4065466067568</v>
      </c>
      <c r="R126" t="s">
        <v>207</v>
      </c>
      <c r="S126" s="1">
        <f t="shared" si="152"/>
        <v>0</v>
      </c>
      <c r="T126" s="33">
        <f t="shared" si="153"/>
        <v>0</v>
      </c>
      <c r="V126" s="8">
        <f t="shared" si="111"/>
        <v>4544.1000000000004</v>
      </c>
      <c r="W126" s="69"/>
      <c r="AX126"/>
    </row>
    <row r="127" spans="1:50" x14ac:dyDescent="0.25">
      <c r="A127">
        <v>30019</v>
      </c>
      <c r="B127" s="17" t="s">
        <v>132</v>
      </c>
      <c r="C127" s="45">
        <v>45565</v>
      </c>
      <c r="D127" s="46" t="s">
        <v>37</v>
      </c>
      <c r="E127" s="46" t="s">
        <v>42</v>
      </c>
      <c r="F127" s="63">
        <f t="shared" si="32"/>
        <v>1</v>
      </c>
      <c r="G127" s="49">
        <v>2024118</v>
      </c>
      <c r="H127" s="34" t="s">
        <v>158</v>
      </c>
      <c r="I127" s="28">
        <v>1530</v>
      </c>
      <c r="J127" t="s">
        <v>2</v>
      </c>
      <c r="K127" s="47">
        <v>2900</v>
      </c>
      <c r="L127" s="3" t="str">
        <f t="shared" si="33"/>
        <v>m</v>
      </c>
      <c r="M127" s="33">
        <f t="shared" si="7"/>
        <v>6877.35</v>
      </c>
      <c r="N127" s="2">
        <f>_xlfn.XLOOKUP(A127,'[1]Prix MP'!$A:$A,'[1]Prix MP'!$T:$T)</f>
        <v>0.37814458402377227</v>
      </c>
      <c r="O127" s="18">
        <f>_xlfn.XLOOKUP(A127,'[1]Prix MP'!$A:$A,'[1]Prix MP'!$U:$U)</f>
        <v>0.37814458402377227</v>
      </c>
      <c r="P127" s="11">
        <f t="shared" si="34"/>
        <v>2600.6326549358905</v>
      </c>
      <c r="Q127" s="7">
        <f t="shared" si="35"/>
        <v>2600.6326549358905</v>
      </c>
      <c r="R127" t="s">
        <v>207</v>
      </c>
      <c r="S127" s="1">
        <f t="shared" si="152"/>
        <v>0</v>
      </c>
      <c r="T127" s="33">
        <f t="shared" si="153"/>
        <v>0</v>
      </c>
      <c r="V127" s="8">
        <f t="shared" si="111"/>
        <v>4437</v>
      </c>
      <c r="W127" s="69"/>
      <c r="AX127"/>
    </row>
    <row r="128" spans="1:50" x14ac:dyDescent="0.25">
      <c r="A128">
        <v>30019</v>
      </c>
      <c r="B128" s="17" t="s">
        <v>132</v>
      </c>
      <c r="C128" s="45">
        <v>45567</v>
      </c>
      <c r="D128" s="46" t="s">
        <v>176</v>
      </c>
      <c r="E128" s="46" t="s">
        <v>42</v>
      </c>
      <c r="F128" s="63">
        <f t="shared" si="32"/>
        <v>-1</v>
      </c>
      <c r="G128" s="49">
        <v>2024118</v>
      </c>
      <c r="H128" s="34" t="s">
        <v>158</v>
      </c>
      <c r="I128" s="28">
        <v>1530</v>
      </c>
      <c r="J128" t="s">
        <v>2</v>
      </c>
      <c r="K128" s="47">
        <v>2900</v>
      </c>
      <c r="L128" s="3" t="str">
        <f t="shared" si="33"/>
        <v>m</v>
      </c>
      <c r="M128" s="33">
        <f t="shared" si="7"/>
        <v>-6877.35</v>
      </c>
      <c r="N128" s="2">
        <f>_xlfn.XLOOKUP(A128,'[1]Prix MP'!$A:$A,'[1]Prix MP'!$T:$T)</f>
        <v>0.37814458402377227</v>
      </c>
      <c r="O128" s="18">
        <f>_xlfn.XLOOKUP(A128,'[1]Prix MP'!$A:$A,'[1]Prix MP'!$U:$U)</f>
        <v>0.37814458402377227</v>
      </c>
      <c r="P128" s="11">
        <f t="shared" si="34"/>
        <v>-2600.6326549358905</v>
      </c>
      <c r="Q128" s="7">
        <f t="shared" si="35"/>
        <v>-2600.6326549358905</v>
      </c>
      <c r="R128" t="s">
        <v>207</v>
      </c>
      <c r="S128" s="1">
        <f t="shared" si="152"/>
        <v>0</v>
      </c>
      <c r="T128" s="33">
        <f t="shared" si="153"/>
        <v>0</v>
      </c>
      <c r="V128" s="8">
        <f t="shared" si="111"/>
        <v>4437</v>
      </c>
      <c r="W128" s="69"/>
      <c r="AX128"/>
    </row>
    <row r="129" spans="1:50" x14ac:dyDescent="0.25">
      <c r="A129">
        <v>30019</v>
      </c>
      <c r="B129" s="17" t="s">
        <v>132</v>
      </c>
      <c r="C129" s="45">
        <v>45565</v>
      </c>
      <c r="D129" s="46" t="s">
        <v>37</v>
      </c>
      <c r="E129" s="46" t="s">
        <v>42</v>
      </c>
      <c r="F129" s="63">
        <f t="shared" si="32"/>
        <v>1</v>
      </c>
      <c r="G129" s="49">
        <v>2024146</v>
      </c>
      <c r="H129" s="34" t="s">
        <v>159</v>
      </c>
      <c r="I129" s="28">
        <v>1530</v>
      </c>
      <c r="J129" t="s">
        <v>2</v>
      </c>
      <c r="K129" s="47">
        <v>2850</v>
      </c>
      <c r="L129" s="3" t="str">
        <f t="shared" si="33"/>
        <v>m</v>
      </c>
      <c r="M129" s="33">
        <f t="shared" ref="M129" si="166">IF(J129="mm",F129*I129/1000*K129*1.55,F129*I129*12*K129/1000)</f>
        <v>6758.7750000000005</v>
      </c>
      <c r="N129" s="2">
        <f>_xlfn.XLOOKUP(A129,'[1]Prix MP'!$A:$A,'[1]Prix MP'!$T:$T)</f>
        <v>0.37814458402377227</v>
      </c>
      <c r="O129" s="18">
        <f>_xlfn.XLOOKUP(A129,'[1]Prix MP'!$A:$A,'[1]Prix MP'!$U:$U)</f>
        <v>0.37814458402377227</v>
      </c>
      <c r="P129" s="11">
        <f t="shared" si="34"/>
        <v>2555.7941608852716</v>
      </c>
      <c r="Q129" s="7">
        <f t="shared" si="35"/>
        <v>2555.7941608852716</v>
      </c>
      <c r="R129" t="s">
        <v>207</v>
      </c>
      <c r="S129" s="1">
        <f t="shared" ref="S129" si="167">ROUND(IF(E129="I",0,IF(J129="po",I129,I129/25.4)),2)</f>
        <v>0</v>
      </c>
      <c r="T129" s="33">
        <f t="shared" ref="T129" si="168">ROUND(IF(E129="I",0,IF(J129="po",K129,K129*3.280839895)),0)</f>
        <v>0</v>
      </c>
      <c r="V129" s="8">
        <f t="shared" si="111"/>
        <v>4360.5</v>
      </c>
      <c r="W129" s="69"/>
      <c r="AX129"/>
    </row>
    <row r="130" spans="1:50" x14ac:dyDescent="0.25">
      <c r="A130">
        <v>30019</v>
      </c>
      <c r="B130" s="17" t="s">
        <v>132</v>
      </c>
      <c r="C130" s="45">
        <v>45588</v>
      </c>
      <c r="D130" s="46" t="s">
        <v>38</v>
      </c>
      <c r="E130" s="46" t="s">
        <v>42</v>
      </c>
      <c r="F130" s="63">
        <f t="shared" si="32"/>
        <v>-1</v>
      </c>
      <c r="G130" s="49">
        <v>2024146</v>
      </c>
      <c r="H130" s="34" t="s">
        <v>159</v>
      </c>
      <c r="I130" s="28">
        <v>1530</v>
      </c>
      <c r="J130" t="s">
        <v>2</v>
      </c>
      <c r="K130" s="47">
        <v>2850</v>
      </c>
      <c r="L130" s="3" t="str">
        <f t="shared" ref="L130:L171" si="169">IF(J130="mm","m","pi")</f>
        <v>m</v>
      </c>
      <c r="M130" s="33">
        <f t="shared" si="7"/>
        <v>-6758.7750000000005</v>
      </c>
      <c r="N130" s="2">
        <f>_xlfn.XLOOKUP(A130,'[1]Prix MP'!$A:$A,'[1]Prix MP'!$T:$T)</f>
        <v>0.37814458402377227</v>
      </c>
      <c r="O130" s="18">
        <f>_xlfn.XLOOKUP(A130,'[1]Prix MP'!$A:$A,'[1]Prix MP'!$U:$U)</f>
        <v>0.37814458402377227</v>
      </c>
      <c r="P130" s="11">
        <f t="shared" ref="P130:P171" si="170">M130*N130</f>
        <v>-2555.7941608852716</v>
      </c>
      <c r="Q130" s="7">
        <f t="shared" ref="Q130:Q171" si="171">M130*O130</f>
        <v>-2555.7941608852716</v>
      </c>
      <c r="R130" t="s">
        <v>207</v>
      </c>
      <c r="S130" s="1">
        <f t="shared" si="152"/>
        <v>0</v>
      </c>
      <c r="T130" s="33">
        <f t="shared" si="153"/>
        <v>0</v>
      </c>
      <c r="V130" s="8">
        <f t="shared" si="111"/>
        <v>4360.5</v>
      </c>
      <c r="W130" s="69"/>
      <c r="AX130"/>
    </row>
    <row r="131" spans="1:50" x14ac:dyDescent="0.25">
      <c r="A131">
        <v>30012</v>
      </c>
      <c r="B131" t="s">
        <v>31</v>
      </c>
      <c r="C131" s="45">
        <v>45414</v>
      </c>
      <c r="D131" s="46" t="s">
        <v>37</v>
      </c>
      <c r="E131" s="46" t="s">
        <v>42</v>
      </c>
      <c r="F131" s="63">
        <f t="shared" ref="F131:F171" si="172">IF(D131="in",1,-1)</f>
        <v>1</v>
      </c>
      <c r="G131" s="34"/>
      <c r="H131" s="58" t="s">
        <v>253</v>
      </c>
      <c r="I131" s="28">
        <v>510</v>
      </c>
      <c r="J131" t="s">
        <v>2</v>
      </c>
      <c r="K131" s="47">
        <v>3000</v>
      </c>
      <c r="L131" s="3" t="str">
        <f t="shared" si="169"/>
        <v>m</v>
      </c>
      <c r="M131" s="33">
        <f t="shared" ref="M131:M238" si="173">IF(J131="mm",F131*I131/1000*K131*1.55,F131*I131*12*K131/1000)</f>
        <v>2371.5</v>
      </c>
      <c r="N131" s="2">
        <f>_xlfn.XLOOKUP(A131,'[1]Prix MP'!$A:$A,'[1]Prix MP'!$T:$T)</f>
        <v>0</v>
      </c>
      <c r="O131" s="18">
        <f>_xlfn.XLOOKUP(A131,'[1]Prix MP'!$A:$A,'[1]Prix MP'!$U:$U)</f>
        <v>0.32797457659534618</v>
      </c>
      <c r="P131" s="11">
        <f t="shared" si="170"/>
        <v>0</v>
      </c>
      <c r="Q131" s="7">
        <f t="shared" si="171"/>
        <v>777.79170839586345</v>
      </c>
      <c r="R131" t="s">
        <v>205</v>
      </c>
      <c r="S131" s="1">
        <f t="shared" si="152"/>
        <v>0</v>
      </c>
      <c r="T131" s="33">
        <f t="shared" si="153"/>
        <v>0</v>
      </c>
      <c r="V131" s="8">
        <f t="shared" si="111"/>
        <v>1530</v>
      </c>
      <c r="W131" s="69"/>
      <c r="AG131" s="1"/>
      <c r="AX131"/>
    </row>
    <row r="132" spans="1:50" x14ac:dyDescent="0.25">
      <c r="A132">
        <v>30012</v>
      </c>
      <c r="B132" t="s">
        <v>31</v>
      </c>
      <c r="C132" s="45">
        <v>45643</v>
      </c>
      <c r="D132" s="46" t="s">
        <v>38</v>
      </c>
      <c r="E132" s="46" t="s">
        <v>42</v>
      </c>
      <c r="F132" s="63">
        <f t="shared" ref="F132" si="174">IF(D132="in",1,-1)</f>
        <v>-1</v>
      </c>
      <c r="G132" s="34" t="s">
        <v>598</v>
      </c>
      <c r="H132" s="58" t="s">
        <v>253</v>
      </c>
      <c r="I132" s="28">
        <v>510</v>
      </c>
      <c r="J132" t="s">
        <v>2</v>
      </c>
      <c r="K132" s="47">
        <v>3000</v>
      </c>
      <c r="L132" s="3" t="str">
        <f t="shared" ref="L132" si="175">IF(J132="mm","m","pi")</f>
        <v>m</v>
      </c>
      <c r="M132" s="33">
        <f t="shared" ref="M132" si="176">IF(J132="mm",F132*I132/1000*K132*1.55,F132*I132*12*K132/1000)</f>
        <v>-2371.5</v>
      </c>
      <c r="N132" s="2">
        <f>_xlfn.XLOOKUP(A132,'[1]Prix MP'!$A:$A,'[1]Prix MP'!$T:$T)</f>
        <v>0</v>
      </c>
      <c r="O132" s="18">
        <f>_xlfn.XLOOKUP(A132,'[1]Prix MP'!$A:$A,'[1]Prix MP'!$U:$U)</f>
        <v>0.32797457659534618</v>
      </c>
      <c r="P132" s="11">
        <f t="shared" ref="P132" si="177">M132*N132</f>
        <v>0</v>
      </c>
      <c r="Q132" s="7">
        <f t="shared" ref="Q132" si="178">M132*O132</f>
        <v>-777.79170839586345</v>
      </c>
      <c r="R132" t="s">
        <v>205</v>
      </c>
      <c r="S132" s="1">
        <f t="shared" ref="S132" si="179">ROUND(IF(E132="I",0,IF(J132="po",I132,I132/25.4)),2)</f>
        <v>0</v>
      </c>
      <c r="T132" s="33">
        <f t="shared" ref="T132" si="180">ROUND(IF(E132="I",0,IF(J132="po",K132,K132*3.280839895)),0)</f>
        <v>0</v>
      </c>
      <c r="V132" s="8">
        <f t="shared" ref="V132" si="181">IF(J132="mm",I132*K132/1000,"")</f>
        <v>1530</v>
      </c>
      <c r="W132" s="69"/>
      <c r="AG132" s="1"/>
      <c r="AX132"/>
    </row>
    <row r="133" spans="1:50" x14ac:dyDescent="0.25">
      <c r="A133">
        <v>30012</v>
      </c>
      <c r="B133" t="s">
        <v>31</v>
      </c>
      <c r="C133" s="45">
        <v>45414</v>
      </c>
      <c r="D133" s="46" t="s">
        <v>37</v>
      </c>
      <c r="E133" s="46" t="s">
        <v>42</v>
      </c>
      <c r="F133" s="63">
        <f t="shared" si="172"/>
        <v>1</v>
      </c>
      <c r="G133" s="34"/>
      <c r="H133" s="58" t="s">
        <v>254</v>
      </c>
      <c r="I133" s="28">
        <v>510</v>
      </c>
      <c r="J133" t="s">
        <v>2</v>
      </c>
      <c r="K133" s="47">
        <v>3000</v>
      </c>
      <c r="L133" s="3" t="str">
        <f t="shared" si="169"/>
        <v>m</v>
      </c>
      <c r="M133" s="33">
        <f t="shared" si="173"/>
        <v>2371.5</v>
      </c>
      <c r="N133" s="2">
        <f>_xlfn.XLOOKUP(A133,'[1]Prix MP'!$A:$A,'[1]Prix MP'!$T:$T)</f>
        <v>0</v>
      </c>
      <c r="O133" s="18">
        <f>_xlfn.XLOOKUP(A133,'[1]Prix MP'!$A:$A,'[1]Prix MP'!$U:$U)</f>
        <v>0.32797457659534618</v>
      </c>
      <c r="P133" s="11">
        <f t="shared" si="170"/>
        <v>0</v>
      </c>
      <c r="Q133" s="7">
        <f t="shared" si="171"/>
        <v>777.79170839586345</v>
      </c>
      <c r="R133" t="s">
        <v>205</v>
      </c>
      <c r="S133" s="1">
        <f t="shared" si="152"/>
        <v>0</v>
      </c>
      <c r="T133" s="33">
        <f t="shared" si="153"/>
        <v>0</v>
      </c>
      <c r="V133" s="8">
        <f t="shared" si="111"/>
        <v>1530</v>
      </c>
      <c r="W133" s="69"/>
      <c r="AG133" s="1"/>
      <c r="AX133"/>
    </row>
    <row r="134" spans="1:50" x14ac:dyDescent="0.25">
      <c r="A134">
        <v>30012</v>
      </c>
      <c r="B134" t="s">
        <v>31</v>
      </c>
      <c r="C134" s="45">
        <v>45643</v>
      </c>
      <c r="D134" s="46" t="s">
        <v>38</v>
      </c>
      <c r="E134" s="46" t="s">
        <v>42</v>
      </c>
      <c r="F134" s="63">
        <f t="shared" si="172"/>
        <v>-1</v>
      </c>
      <c r="G134" s="34" t="s">
        <v>598</v>
      </c>
      <c r="H134" s="58" t="s">
        <v>254</v>
      </c>
      <c r="I134" s="28">
        <v>510</v>
      </c>
      <c r="J134" t="s">
        <v>2</v>
      </c>
      <c r="K134" s="47">
        <v>3000</v>
      </c>
      <c r="L134" s="3" t="str">
        <f t="shared" ref="L134" si="182">IF(J134="mm","m","pi")</f>
        <v>m</v>
      </c>
      <c r="M134" s="33">
        <f t="shared" ref="M134" si="183">IF(J134="mm",F134*I134/1000*K134*1.55,F134*I134*12*K134/1000)</f>
        <v>-2371.5</v>
      </c>
      <c r="N134" s="2">
        <f>_xlfn.XLOOKUP(A134,'[1]Prix MP'!$A:$A,'[1]Prix MP'!$T:$T)</f>
        <v>0</v>
      </c>
      <c r="O134" s="18">
        <f>_xlfn.XLOOKUP(A134,'[1]Prix MP'!$A:$A,'[1]Prix MP'!$U:$U)</f>
        <v>0.32797457659534618</v>
      </c>
      <c r="P134" s="11">
        <f t="shared" ref="P134" si="184">M134*N134</f>
        <v>0</v>
      </c>
      <c r="Q134" s="7">
        <f t="shared" ref="Q134" si="185">M134*O134</f>
        <v>-777.79170839586345</v>
      </c>
      <c r="R134" t="s">
        <v>205</v>
      </c>
      <c r="S134" s="1">
        <f t="shared" ref="S134" si="186">ROUND(IF(E134="I",0,IF(J134="po",I134,I134/25.4)),2)</f>
        <v>0</v>
      </c>
      <c r="T134" s="33">
        <f t="shared" ref="T134" si="187">ROUND(IF(E134="I",0,IF(J134="po",K134,K134*3.280839895)),0)</f>
        <v>0</v>
      </c>
      <c r="V134" s="8">
        <f t="shared" ref="V134" si="188">IF(J134="mm",I134*K134/1000,"")</f>
        <v>1530</v>
      </c>
      <c r="W134" s="69"/>
      <c r="AG134" s="1"/>
      <c r="AX134"/>
    </row>
    <row r="135" spans="1:50" x14ac:dyDescent="0.25">
      <c r="A135">
        <v>30012</v>
      </c>
      <c r="B135" t="s">
        <v>31</v>
      </c>
      <c r="C135" s="45">
        <v>45414</v>
      </c>
      <c r="D135" s="46" t="s">
        <v>37</v>
      </c>
      <c r="E135" s="46" t="s">
        <v>42</v>
      </c>
      <c r="F135" s="63">
        <f t="shared" si="172"/>
        <v>1</v>
      </c>
      <c r="G135" s="34"/>
      <c r="H135" s="58" t="s">
        <v>255</v>
      </c>
      <c r="I135" s="28">
        <v>510</v>
      </c>
      <c r="J135" t="s">
        <v>2</v>
      </c>
      <c r="K135" s="47">
        <v>3000</v>
      </c>
      <c r="L135" s="3" t="str">
        <f t="shared" si="169"/>
        <v>m</v>
      </c>
      <c r="M135" s="33">
        <f t="shared" si="173"/>
        <v>2371.5</v>
      </c>
      <c r="N135" s="2">
        <f>_xlfn.XLOOKUP(A135,'[1]Prix MP'!$A:$A,'[1]Prix MP'!$T:$T)</f>
        <v>0</v>
      </c>
      <c r="O135" s="18">
        <f>_xlfn.XLOOKUP(A135,'[1]Prix MP'!$A:$A,'[1]Prix MP'!$U:$U)</f>
        <v>0.32797457659534618</v>
      </c>
      <c r="P135" s="11">
        <f t="shared" si="170"/>
        <v>0</v>
      </c>
      <c r="Q135" s="7">
        <f t="shared" si="171"/>
        <v>777.79170839586345</v>
      </c>
      <c r="R135" t="s">
        <v>205</v>
      </c>
      <c r="S135" s="1">
        <f t="shared" si="152"/>
        <v>0</v>
      </c>
      <c r="T135" s="33">
        <f t="shared" si="153"/>
        <v>0</v>
      </c>
      <c r="V135" s="8">
        <f t="shared" si="111"/>
        <v>1530</v>
      </c>
      <c r="W135" s="69"/>
      <c r="AG135" s="1"/>
      <c r="AX135"/>
    </row>
    <row r="136" spans="1:50" x14ac:dyDescent="0.25">
      <c r="A136">
        <v>30012</v>
      </c>
      <c r="B136" t="s">
        <v>31</v>
      </c>
      <c r="C136" s="45">
        <v>45573</v>
      </c>
      <c r="D136" s="46" t="s">
        <v>38</v>
      </c>
      <c r="E136" s="46" t="s">
        <v>42</v>
      </c>
      <c r="F136" s="63">
        <f t="shared" si="172"/>
        <v>-1</v>
      </c>
      <c r="G136" s="34">
        <v>2024131</v>
      </c>
      <c r="H136" s="58" t="s">
        <v>255</v>
      </c>
      <c r="I136" s="28">
        <v>510</v>
      </c>
      <c r="J136" t="s">
        <v>2</v>
      </c>
      <c r="K136" s="47">
        <v>3000</v>
      </c>
      <c r="L136" s="3" t="str">
        <f t="shared" si="169"/>
        <v>m</v>
      </c>
      <c r="M136" s="33">
        <f t="shared" si="173"/>
        <v>-2371.5</v>
      </c>
      <c r="N136" s="2">
        <f>_xlfn.XLOOKUP(A136,'[1]Prix MP'!$A:$A,'[1]Prix MP'!$T:$T)</f>
        <v>0</v>
      </c>
      <c r="O136" s="18">
        <f>_xlfn.XLOOKUP(A136,'[1]Prix MP'!$A:$A,'[1]Prix MP'!$U:$U)</f>
        <v>0.32797457659534618</v>
      </c>
      <c r="P136" s="11">
        <f t="shared" si="170"/>
        <v>0</v>
      </c>
      <c r="Q136" s="7">
        <f t="shared" si="171"/>
        <v>-777.79170839586345</v>
      </c>
      <c r="R136" t="s">
        <v>205</v>
      </c>
      <c r="S136" s="1">
        <f t="shared" si="152"/>
        <v>0</v>
      </c>
      <c r="T136" s="33">
        <f t="shared" si="153"/>
        <v>0</v>
      </c>
      <c r="V136" s="8">
        <f t="shared" si="111"/>
        <v>1530</v>
      </c>
      <c r="W136" s="69"/>
      <c r="AG136" s="11"/>
      <c r="AX136"/>
    </row>
    <row r="137" spans="1:50" x14ac:dyDescent="0.25">
      <c r="A137">
        <v>30012</v>
      </c>
      <c r="B137" t="s">
        <v>31</v>
      </c>
      <c r="C137" s="45">
        <v>45414</v>
      </c>
      <c r="D137" s="46" t="s">
        <v>37</v>
      </c>
      <c r="E137" s="46" t="s">
        <v>42</v>
      </c>
      <c r="F137" s="63">
        <f t="shared" si="172"/>
        <v>1</v>
      </c>
      <c r="G137" s="34"/>
      <c r="H137" s="58" t="s">
        <v>256</v>
      </c>
      <c r="I137" s="28">
        <v>510</v>
      </c>
      <c r="J137" t="s">
        <v>2</v>
      </c>
      <c r="K137" s="47">
        <v>3000</v>
      </c>
      <c r="L137" s="3" t="str">
        <f t="shared" si="169"/>
        <v>m</v>
      </c>
      <c r="M137" s="33">
        <f t="shared" si="173"/>
        <v>2371.5</v>
      </c>
      <c r="N137" s="2">
        <f>_xlfn.XLOOKUP(A137,'[1]Prix MP'!$A:$A,'[1]Prix MP'!$T:$T)</f>
        <v>0</v>
      </c>
      <c r="O137" s="18">
        <f>_xlfn.XLOOKUP(A137,'[1]Prix MP'!$A:$A,'[1]Prix MP'!$U:$U)</f>
        <v>0.32797457659534618</v>
      </c>
      <c r="P137" s="11">
        <f t="shared" si="170"/>
        <v>0</v>
      </c>
      <c r="Q137" s="7">
        <f t="shared" si="171"/>
        <v>777.79170839586345</v>
      </c>
      <c r="R137" t="s">
        <v>205</v>
      </c>
      <c r="S137" s="1">
        <f t="shared" si="152"/>
        <v>0</v>
      </c>
      <c r="T137" s="33">
        <f t="shared" si="153"/>
        <v>0</v>
      </c>
      <c r="V137" s="8">
        <f t="shared" si="111"/>
        <v>1530</v>
      </c>
      <c r="W137" s="69"/>
      <c r="AG137" s="11"/>
      <c r="AX137"/>
    </row>
    <row r="138" spans="1:50" x14ac:dyDescent="0.25">
      <c r="A138">
        <v>30012</v>
      </c>
      <c r="B138" t="s">
        <v>31</v>
      </c>
      <c r="C138" s="45">
        <v>45643</v>
      </c>
      <c r="D138" s="46" t="s">
        <v>38</v>
      </c>
      <c r="E138" s="46" t="s">
        <v>42</v>
      </c>
      <c r="F138" s="63">
        <f t="shared" ref="F138" si="189">IF(D138="in",1,-1)</f>
        <v>-1</v>
      </c>
      <c r="G138" s="34" t="s">
        <v>598</v>
      </c>
      <c r="H138" s="58" t="s">
        <v>256</v>
      </c>
      <c r="I138" s="28">
        <v>510</v>
      </c>
      <c r="J138" t="s">
        <v>2</v>
      </c>
      <c r="K138" s="47">
        <v>3000</v>
      </c>
      <c r="L138" s="3" t="str">
        <f t="shared" ref="L138" si="190">IF(J138="mm","m","pi")</f>
        <v>m</v>
      </c>
      <c r="M138" s="33">
        <f t="shared" ref="M138" si="191">IF(J138="mm",F138*I138/1000*K138*1.55,F138*I138*12*K138/1000)</f>
        <v>-2371.5</v>
      </c>
      <c r="N138" s="2">
        <f>_xlfn.XLOOKUP(A138,'[1]Prix MP'!$A:$A,'[1]Prix MP'!$T:$T)</f>
        <v>0</v>
      </c>
      <c r="O138" s="18">
        <f>_xlfn.XLOOKUP(A138,'[1]Prix MP'!$A:$A,'[1]Prix MP'!$U:$U)</f>
        <v>0.32797457659534618</v>
      </c>
      <c r="P138" s="11">
        <f t="shared" ref="P138" si="192">M138*N138</f>
        <v>0</v>
      </c>
      <c r="Q138" s="7">
        <f t="shared" ref="Q138" si="193">M138*O138</f>
        <v>-777.79170839586345</v>
      </c>
      <c r="R138" t="s">
        <v>205</v>
      </c>
      <c r="S138" s="1">
        <f t="shared" ref="S138" si="194">ROUND(IF(E138="I",0,IF(J138="po",I138,I138/25.4)),2)</f>
        <v>0</v>
      </c>
      <c r="T138" s="33">
        <f t="shared" ref="T138" si="195">ROUND(IF(E138="I",0,IF(J138="po",K138,K138*3.280839895)),0)</f>
        <v>0</v>
      </c>
      <c r="V138" s="8">
        <f t="shared" ref="V138" si="196">IF(J138="mm",I138*K138/1000,"")</f>
        <v>1530</v>
      </c>
      <c r="W138" s="69"/>
      <c r="AG138" s="11"/>
      <c r="AX138"/>
    </row>
    <row r="139" spans="1:50" x14ac:dyDescent="0.25">
      <c r="A139">
        <v>30012</v>
      </c>
      <c r="B139" t="s">
        <v>31</v>
      </c>
      <c r="C139" s="45">
        <v>45414</v>
      </c>
      <c r="D139" s="46" t="s">
        <v>37</v>
      </c>
      <c r="E139" s="46" t="s">
        <v>42</v>
      </c>
      <c r="F139" s="63">
        <f t="shared" si="172"/>
        <v>1</v>
      </c>
      <c r="G139" s="34"/>
      <c r="H139" s="58" t="s">
        <v>257</v>
      </c>
      <c r="I139" s="28">
        <v>510</v>
      </c>
      <c r="J139" t="s">
        <v>2</v>
      </c>
      <c r="K139" s="47">
        <v>3000</v>
      </c>
      <c r="L139" s="3" t="str">
        <f t="shared" si="169"/>
        <v>m</v>
      </c>
      <c r="M139" s="33">
        <f t="shared" si="173"/>
        <v>2371.5</v>
      </c>
      <c r="N139" s="2">
        <f>_xlfn.XLOOKUP(A139,'[1]Prix MP'!$A:$A,'[1]Prix MP'!$T:$T)</f>
        <v>0</v>
      </c>
      <c r="O139" s="18">
        <f>_xlfn.XLOOKUP(A139,'[1]Prix MP'!$A:$A,'[1]Prix MP'!$U:$U)</f>
        <v>0.32797457659534618</v>
      </c>
      <c r="P139" s="11">
        <f t="shared" si="170"/>
        <v>0</v>
      </c>
      <c r="Q139" s="7">
        <f t="shared" si="171"/>
        <v>777.79170839586345</v>
      </c>
      <c r="R139" t="s">
        <v>205</v>
      </c>
      <c r="S139" s="1">
        <f t="shared" si="152"/>
        <v>0</v>
      </c>
      <c r="T139" s="33">
        <f t="shared" si="153"/>
        <v>0</v>
      </c>
      <c r="V139" s="8">
        <f t="shared" si="111"/>
        <v>1530</v>
      </c>
      <c r="W139" s="69"/>
      <c r="AG139" s="11"/>
      <c r="AX139"/>
    </row>
    <row r="140" spans="1:50" x14ac:dyDescent="0.25">
      <c r="A140">
        <v>30012</v>
      </c>
      <c r="B140" t="s">
        <v>31</v>
      </c>
      <c r="C140" s="45">
        <v>45643</v>
      </c>
      <c r="D140" s="46" t="s">
        <v>38</v>
      </c>
      <c r="E140" s="46" t="s">
        <v>42</v>
      </c>
      <c r="F140" s="63">
        <f t="shared" ref="F140" si="197">IF(D140="in",1,-1)</f>
        <v>-1</v>
      </c>
      <c r="G140" s="34" t="s">
        <v>598</v>
      </c>
      <c r="H140" s="58" t="s">
        <v>257</v>
      </c>
      <c r="I140" s="28">
        <v>510</v>
      </c>
      <c r="J140" t="s">
        <v>2</v>
      </c>
      <c r="K140" s="47">
        <v>3000</v>
      </c>
      <c r="L140" s="3" t="str">
        <f t="shared" ref="L140" si="198">IF(J140="mm","m","pi")</f>
        <v>m</v>
      </c>
      <c r="M140" s="33">
        <f t="shared" ref="M140" si="199">IF(J140="mm",F140*I140/1000*K140*1.55,F140*I140*12*K140/1000)</f>
        <v>-2371.5</v>
      </c>
      <c r="N140" s="2">
        <f>_xlfn.XLOOKUP(A140,'[1]Prix MP'!$A:$A,'[1]Prix MP'!$T:$T)</f>
        <v>0</v>
      </c>
      <c r="O140" s="18">
        <f>_xlfn.XLOOKUP(A140,'[1]Prix MP'!$A:$A,'[1]Prix MP'!$U:$U)</f>
        <v>0.32797457659534618</v>
      </c>
      <c r="P140" s="11">
        <f t="shared" ref="P140" si="200">M140*N140</f>
        <v>0</v>
      </c>
      <c r="Q140" s="7">
        <f t="shared" ref="Q140" si="201">M140*O140</f>
        <v>-777.79170839586345</v>
      </c>
      <c r="R140" t="s">
        <v>205</v>
      </c>
      <c r="S140" s="1">
        <f t="shared" ref="S140" si="202">ROUND(IF(E140="I",0,IF(J140="po",I140,I140/25.4)),2)</f>
        <v>0</v>
      </c>
      <c r="T140" s="33">
        <f t="shared" ref="T140" si="203">ROUND(IF(E140="I",0,IF(J140="po",K140,K140*3.280839895)),0)</f>
        <v>0</v>
      </c>
      <c r="V140" s="8">
        <f t="shared" ref="V140" si="204">IF(J140="mm",I140*K140/1000,"")</f>
        <v>1530</v>
      </c>
      <c r="W140" s="69"/>
      <c r="AG140" s="11"/>
      <c r="AX140"/>
    </row>
    <row r="141" spans="1:50" x14ac:dyDescent="0.25">
      <c r="A141">
        <v>30012</v>
      </c>
      <c r="B141" t="s">
        <v>31</v>
      </c>
      <c r="C141" s="45">
        <v>45414</v>
      </c>
      <c r="D141" s="46" t="s">
        <v>37</v>
      </c>
      <c r="E141" s="46" t="s">
        <v>41</v>
      </c>
      <c r="F141" s="63">
        <f t="shared" si="172"/>
        <v>1</v>
      </c>
      <c r="G141" s="34"/>
      <c r="H141" s="58" t="s">
        <v>258</v>
      </c>
      <c r="I141" s="28">
        <v>510</v>
      </c>
      <c r="J141" t="s">
        <v>2</v>
      </c>
      <c r="K141" s="47">
        <v>3000</v>
      </c>
      <c r="L141" s="3" t="str">
        <f t="shared" si="169"/>
        <v>m</v>
      </c>
      <c r="M141" s="33">
        <f t="shared" si="173"/>
        <v>2371.5</v>
      </c>
      <c r="N141" s="2">
        <f>_xlfn.XLOOKUP(A141,'[1]Prix MP'!$A:$A,'[1]Prix MP'!$T:$T)</f>
        <v>0</v>
      </c>
      <c r="O141" s="18">
        <f>_xlfn.XLOOKUP(A141,'[1]Prix MP'!$A:$A,'[1]Prix MP'!$U:$U)</f>
        <v>0.32797457659534618</v>
      </c>
      <c r="P141" s="11">
        <f t="shared" si="170"/>
        <v>0</v>
      </c>
      <c r="Q141" s="7">
        <f t="shared" si="171"/>
        <v>777.79170839586345</v>
      </c>
      <c r="R141" t="s">
        <v>205</v>
      </c>
      <c r="S141" s="1">
        <f t="shared" si="152"/>
        <v>20.079999999999998</v>
      </c>
      <c r="T141" s="33">
        <f t="shared" si="153"/>
        <v>9843</v>
      </c>
      <c r="V141" s="8">
        <f t="shared" si="111"/>
        <v>1530</v>
      </c>
      <c r="W141" s="69"/>
      <c r="AG141" s="11"/>
      <c r="AX141"/>
    </row>
    <row r="142" spans="1:50" x14ac:dyDescent="0.25">
      <c r="A142">
        <v>30012</v>
      </c>
      <c r="B142" t="s">
        <v>31</v>
      </c>
      <c r="C142" s="45">
        <v>45414</v>
      </c>
      <c r="D142" s="46" t="s">
        <v>37</v>
      </c>
      <c r="E142" s="46" t="s">
        <v>41</v>
      </c>
      <c r="F142" s="63">
        <f t="shared" si="172"/>
        <v>1</v>
      </c>
      <c r="G142" s="34"/>
      <c r="H142" s="58" t="s">
        <v>259</v>
      </c>
      <c r="I142" s="28">
        <v>510</v>
      </c>
      <c r="J142" t="s">
        <v>2</v>
      </c>
      <c r="K142" s="47">
        <v>3000</v>
      </c>
      <c r="L142" s="3" t="str">
        <f t="shared" si="169"/>
        <v>m</v>
      </c>
      <c r="M142" s="33">
        <f t="shared" si="173"/>
        <v>2371.5</v>
      </c>
      <c r="N142" s="2">
        <f>_xlfn.XLOOKUP(A142,'[1]Prix MP'!$A:$A,'[1]Prix MP'!$T:$T)</f>
        <v>0</v>
      </c>
      <c r="O142" s="18">
        <f>_xlfn.XLOOKUP(A142,'[1]Prix MP'!$A:$A,'[1]Prix MP'!$U:$U)</f>
        <v>0.32797457659534618</v>
      </c>
      <c r="P142" s="11">
        <f t="shared" si="170"/>
        <v>0</v>
      </c>
      <c r="Q142" s="7">
        <f t="shared" si="171"/>
        <v>777.79170839586345</v>
      </c>
      <c r="R142" t="s">
        <v>205</v>
      </c>
      <c r="S142" s="1">
        <f t="shared" si="152"/>
        <v>20.079999999999998</v>
      </c>
      <c r="T142" s="33">
        <f t="shared" si="153"/>
        <v>9843</v>
      </c>
      <c r="V142" s="8">
        <f t="shared" si="111"/>
        <v>1530</v>
      </c>
      <c r="W142" s="69"/>
      <c r="AG142" s="11"/>
      <c r="AX142"/>
    </row>
    <row r="143" spans="1:50" x14ac:dyDescent="0.25">
      <c r="A143">
        <v>30012</v>
      </c>
      <c r="B143" t="s">
        <v>31</v>
      </c>
      <c r="C143" s="45">
        <v>45414</v>
      </c>
      <c r="D143" s="46" t="s">
        <v>37</v>
      </c>
      <c r="E143" s="46" t="s">
        <v>41</v>
      </c>
      <c r="F143" s="63">
        <f t="shared" si="172"/>
        <v>1</v>
      </c>
      <c r="G143" s="34"/>
      <c r="H143" s="58" t="s">
        <v>260</v>
      </c>
      <c r="I143" s="28">
        <v>510</v>
      </c>
      <c r="J143" t="s">
        <v>2</v>
      </c>
      <c r="K143" s="47">
        <v>3000</v>
      </c>
      <c r="L143" s="3" t="str">
        <f t="shared" si="169"/>
        <v>m</v>
      </c>
      <c r="M143" s="33">
        <f t="shared" si="173"/>
        <v>2371.5</v>
      </c>
      <c r="N143" s="2">
        <f>_xlfn.XLOOKUP(A143,'[1]Prix MP'!$A:$A,'[1]Prix MP'!$T:$T)</f>
        <v>0</v>
      </c>
      <c r="O143" s="18">
        <f>_xlfn.XLOOKUP(A143,'[1]Prix MP'!$A:$A,'[1]Prix MP'!$U:$U)</f>
        <v>0.32797457659534618</v>
      </c>
      <c r="P143" s="11">
        <f t="shared" si="170"/>
        <v>0</v>
      </c>
      <c r="Q143" s="7">
        <f t="shared" si="171"/>
        <v>777.79170839586345</v>
      </c>
      <c r="R143" t="s">
        <v>205</v>
      </c>
      <c r="S143" s="1">
        <f t="shared" si="152"/>
        <v>20.079999999999998</v>
      </c>
      <c r="T143" s="33">
        <f t="shared" si="153"/>
        <v>9843</v>
      </c>
      <c r="V143" s="8">
        <f t="shared" si="111"/>
        <v>1530</v>
      </c>
      <c r="W143" s="69"/>
      <c r="AG143" s="11"/>
      <c r="AX143"/>
    </row>
    <row r="144" spans="1:50" x14ac:dyDescent="0.25">
      <c r="A144">
        <v>30012</v>
      </c>
      <c r="B144" t="s">
        <v>31</v>
      </c>
      <c r="C144" s="45">
        <v>45414</v>
      </c>
      <c r="D144" s="46" t="s">
        <v>37</v>
      </c>
      <c r="E144" s="46" t="s">
        <v>41</v>
      </c>
      <c r="F144" s="63">
        <f t="shared" si="172"/>
        <v>1</v>
      </c>
      <c r="G144" s="34"/>
      <c r="H144" s="58" t="s">
        <v>261</v>
      </c>
      <c r="I144" s="28">
        <v>510</v>
      </c>
      <c r="J144" t="s">
        <v>2</v>
      </c>
      <c r="K144" s="47">
        <v>3000</v>
      </c>
      <c r="L144" s="3" t="str">
        <f t="shared" si="169"/>
        <v>m</v>
      </c>
      <c r="M144" s="33">
        <f t="shared" si="173"/>
        <v>2371.5</v>
      </c>
      <c r="N144" s="2">
        <f>_xlfn.XLOOKUP(A144,'[1]Prix MP'!$A:$A,'[1]Prix MP'!$T:$T)</f>
        <v>0</v>
      </c>
      <c r="O144" s="18">
        <f>_xlfn.XLOOKUP(A144,'[1]Prix MP'!$A:$A,'[1]Prix MP'!$U:$U)</f>
        <v>0.32797457659534618</v>
      </c>
      <c r="P144" s="11">
        <f t="shared" si="170"/>
        <v>0</v>
      </c>
      <c r="Q144" s="7">
        <f t="shared" si="171"/>
        <v>777.79170839586345</v>
      </c>
      <c r="R144" t="s">
        <v>205</v>
      </c>
      <c r="S144" s="1">
        <f t="shared" si="152"/>
        <v>20.079999999999998</v>
      </c>
      <c r="T144" s="33">
        <f t="shared" si="153"/>
        <v>9843</v>
      </c>
      <c r="V144" s="8">
        <f t="shared" si="111"/>
        <v>1530</v>
      </c>
      <c r="W144" s="69"/>
      <c r="AG144" s="11"/>
      <c r="AX144"/>
    </row>
    <row r="145" spans="1:50" x14ac:dyDescent="0.25">
      <c r="A145">
        <v>30012</v>
      </c>
      <c r="B145" t="s">
        <v>31</v>
      </c>
      <c r="C145" s="45">
        <v>45414</v>
      </c>
      <c r="D145" s="46" t="s">
        <v>37</v>
      </c>
      <c r="E145" s="46" t="s">
        <v>41</v>
      </c>
      <c r="F145" s="63">
        <f t="shared" si="172"/>
        <v>1</v>
      </c>
      <c r="G145" s="34"/>
      <c r="H145" s="58" t="s">
        <v>262</v>
      </c>
      <c r="I145" s="28">
        <v>1530</v>
      </c>
      <c r="J145" t="s">
        <v>2</v>
      </c>
      <c r="K145" s="47">
        <v>3000</v>
      </c>
      <c r="L145" s="3" t="str">
        <f t="shared" si="169"/>
        <v>m</v>
      </c>
      <c r="M145" s="33">
        <f t="shared" si="173"/>
        <v>7114.5</v>
      </c>
      <c r="N145" s="2">
        <f>_xlfn.XLOOKUP(A145,'[1]Prix MP'!$A:$A,'[1]Prix MP'!$T:$T)</f>
        <v>0</v>
      </c>
      <c r="O145" s="18">
        <f>_xlfn.XLOOKUP(A145,'[1]Prix MP'!$A:$A,'[1]Prix MP'!$U:$U)</f>
        <v>0.32797457659534618</v>
      </c>
      <c r="P145" s="11">
        <f t="shared" si="170"/>
        <v>0</v>
      </c>
      <c r="Q145" s="7">
        <f t="shared" si="171"/>
        <v>2333.3751251875906</v>
      </c>
      <c r="R145" t="s">
        <v>205</v>
      </c>
      <c r="S145" s="1">
        <f t="shared" si="152"/>
        <v>60.24</v>
      </c>
      <c r="T145" s="33">
        <f t="shared" si="153"/>
        <v>9843</v>
      </c>
      <c r="V145" s="8">
        <f t="shared" si="111"/>
        <v>4590</v>
      </c>
      <c r="W145" s="69"/>
      <c r="AG145" s="11"/>
      <c r="AX145"/>
    </row>
    <row r="146" spans="1:50" x14ac:dyDescent="0.25">
      <c r="A146">
        <v>30012</v>
      </c>
      <c r="B146" t="s">
        <v>31</v>
      </c>
      <c r="C146" s="45">
        <v>45414</v>
      </c>
      <c r="D146" s="46" t="s">
        <v>37</v>
      </c>
      <c r="E146" s="46" t="s">
        <v>41</v>
      </c>
      <c r="F146" s="63">
        <f t="shared" si="172"/>
        <v>1</v>
      </c>
      <c r="G146" s="34"/>
      <c r="H146" s="58" t="s">
        <v>263</v>
      </c>
      <c r="I146" s="28">
        <v>1530</v>
      </c>
      <c r="J146" t="s">
        <v>2</v>
      </c>
      <c r="K146" s="47">
        <v>3000</v>
      </c>
      <c r="L146" s="3" t="str">
        <f t="shared" si="169"/>
        <v>m</v>
      </c>
      <c r="M146" s="33">
        <f t="shared" si="173"/>
        <v>7114.5</v>
      </c>
      <c r="N146" s="2">
        <f>_xlfn.XLOOKUP(A146,'[1]Prix MP'!$A:$A,'[1]Prix MP'!$T:$T)</f>
        <v>0</v>
      </c>
      <c r="O146" s="18">
        <f>_xlfn.XLOOKUP(A146,'[1]Prix MP'!$A:$A,'[1]Prix MP'!$U:$U)</f>
        <v>0.32797457659534618</v>
      </c>
      <c r="P146" s="11">
        <f t="shared" si="170"/>
        <v>0</v>
      </c>
      <c r="Q146" s="7">
        <f t="shared" si="171"/>
        <v>2333.3751251875906</v>
      </c>
      <c r="R146" t="s">
        <v>205</v>
      </c>
      <c r="S146" s="1">
        <f t="shared" si="152"/>
        <v>60.24</v>
      </c>
      <c r="T146" s="33">
        <f t="shared" si="153"/>
        <v>9843</v>
      </c>
      <c r="V146" s="8">
        <f t="shared" si="111"/>
        <v>4590</v>
      </c>
      <c r="W146" s="69"/>
      <c r="AG146" s="11"/>
      <c r="AX146"/>
    </row>
    <row r="147" spans="1:50" x14ac:dyDescent="0.25">
      <c r="A147">
        <v>30012</v>
      </c>
      <c r="B147" t="s">
        <v>31</v>
      </c>
      <c r="C147" s="45">
        <v>45414</v>
      </c>
      <c r="D147" s="46" t="s">
        <v>37</v>
      </c>
      <c r="E147" s="46" t="s">
        <v>42</v>
      </c>
      <c r="F147" s="63">
        <f t="shared" si="172"/>
        <v>1</v>
      </c>
      <c r="G147" s="34">
        <v>2024128</v>
      </c>
      <c r="H147" s="58" t="s">
        <v>264</v>
      </c>
      <c r="I147" s="28">
        <v>1530</v>
      </c>
      <c r="J147" t="s">
        <v>2</v>
      </c>
      <c r="K147" s="47">
        <v>3000</v>
      </c>
      <c r="L147" s="3" t="str">
        <f t="shared" si="169"/>
        <v>m</v>
      </c>
      <c r="M147" s="33">
        <f t="shared" si="173"/>
        <v>7114.5</v>
      </c>
      <c r="N147" s="2">
        <f>_xlfn.XLOOKUP(A147,'[1]Prix MP'!$A:$A,'[1]Prix MP'!$T:$T)</f>
        <v>0</v>
      </c>
      <c r="O147" s="18">
        <f>_xlfn.XLOOKUP(A147,'[1]Prix MP'!$A:$A,'[1]Prix MP'!$U:$U)</f>
        <v>0.32797457659534618</v>
      </c>
      <c r="P147" s="11">
        <f t="shared" si="170"/>
        <v>0</v>
      </c>
      <c r="Q147" s="7">
        <f t="shared" si="171"/>
        <v>2333.3751251875906</v>
      </c>
      <c r="R147" t="s">
        <v>205</v>
      </c>
      <c r="S147" s="1">
        <f t="shared" si="152"/>
        <v>0</v>
      </c>
      <c r="T147" s="33">
        <f t="shared" si="153"/>
        <v>0</v>
      </c>
      <c r="V147" s="8">
        <f t="shared" si="111"/>
        <v>4590</v>
      </c>
      <c r="W147" s="69"/>
      <c r="AG147" s="11"/>
      <c r="AX147"/>
    </row>
    <row r="148" spans="1:50" x14ac:dyDescent="0.25">
      <c r="A148">
        <v>30012</v>
      </c>
      <c r="B148" t="s">
        <v>31</v>
      </c>
      <c r="C148" s="45">
        <v>45575</v>
      </c>
      <c r="D148" s="46" t="s">
        <v>38</v>
      </c>
      <c r="E148" s="46" t="s">
        <v>42</v>
      </c>
      <c r="F148" s="63">
        <f t="shared" si="172"/>
        <v>-1</v>
      </c>
      <c r="G148" s="34">
        <v>2024128</v>
      </c>
      <c r="H148" s="58" t="s">
        <v>264</v>
      </c>
      <c r="I148" s="28">
        <v>1530</v>
      </c>
      <c r="J148" t="s">
        <v>2</v>
      </c>
      <c r="K148" s="47">
        <v>3000</v>
      </c>
      <c r="L148" s="3" t="str">
        <f t="shared" si="169"/>
        <v>m</v>
      </c>
      <c r="M148" s="33">
        <f t="shared" si="173"/>
        <v>-7114.5</v>
      </c>
      <c r="N148" s="2">
        <f>_xlfn.XLOOKUP(A148,'[1]Prix MP'!$A:$A,'[1]Prix MP'!$T:$T)</f>
        <v>0</v>
      </c>
      <c r="O148" s="18">
        <f>_xlfn.XLOOKUP(A148,'[1]Prix MP'!$A:$A,'[1]Prix MP'!$U:$U)</f>
        <v>0.32797457659534618</v>
      </c>
      <c r="P148" s="11">
        <f t="shared" si="170"/>
        <v>0</v>
      </c>
      <c r="Q148" s="7">
        <f t="shared" si="171"/>
        <v>-2333.3751251875906</v>
      </c>
      <c r="R148" t="s">
        <v>205</v>
      </c>
      <c r="S148" s="1">
        <f t="shared" si="152"/>
        <v>0</v>
      </c>
      <c r="T148" s="33">
        <f t="shared" si="153"/>
        <v>0</v>
      </c>
      <c r="V148" s="8">
        <f t="shared" si="111"/>
        <v>4590</v>
      </c>
      <c r="W148" s="69"/>
      <c r="AG148" s="11"/>
      <c r="AX148"/>
    </row>
    <row r="149" spans="1:50" x14ac:dyDescent="0.25">
      <c r="A149">
        <v>30012</v>
      </c>
      <c r="B149" t="s">
        <v>31</v>
      </c>
      <c r="C149" s="45">
        <v>45414</v>
      </c>
      <c r="D149" s="46" t="s">
        <v>37</v>
      </c>
      <c r="E149" s="46" t="s">
        <v>41</v>
      </c>
      <c r="F149" s="63">
        <f t="shared" si="172"/>
        <v>1</v>
      </c>
      <c r="G149" s="34">
        <v>2024128</v>
      </c>
      <c r="H149" s="58" t="s">
        <v>208</v>
      </c>
      <c r="I149" s="28">
        <v>7.5</v>
      </c>
      <c r="J149" t="s">
        <v>36</v>
      </c>
      <c r="K149" s="47">
        <v>4800</v>
      </c>
      <c r="L149" s="3" t="str">
        <f t="shared" si="169"/>
        <v>pi</v>
      </c>
      <c r="M149" s="33">
        <f t="shared" si="173"/>
        <v>432</v>
      </c>
      <c r="N149" s="2">
        <f>_xlfn.XLOOKUP(A149,'[1]Prix MP'!$A:$A,'[1]Prix MP'!$T:$T)</f>
        <v>0</v>
      </c>
      <c r="O149" s="18">
        <f>_xlfn.XLOOKUP(A149,'[1]Prix MP'!$A:$A,'[1]Prix MP'!$U:$U)</f>
        <v>0.32797457659534618</v>
      </c>
      <c r="P149" s="11">
        <f t="shared" si="170"/>
        <v>0</v>
      </c>
      <c r="Q149" s="7">
        <f t="shared" si="171"/>
        <v>141.68501708918956</v>
      </c>
      <c r="R149" t="s">
        <v>205</v>
      </c>
      <c r="S149" s="1">
        <f t="shared" si="152"/>
        <v>7.5</v>
      </c>
      <c r="T149" s="33">
        <f t="shared" si="153"/>
        <v>4800</v>
      </c>
      <c r="V149" s="8" t="str">
        <f t="shared" si="111"/>
        <v/>
      </c>
      <c r="W149" s="69"/>
      <c r="AG149" s="11"/>
      <c r="AX149"/>
    </row>
    <row r="150" spans="1:50" x14ac:dyDescent="0.25">
      <c r="A150">
        <v>30012</v>
      </c>
      <c r="B150" t="s">
        <v>31</v>
      </c>
      <c r="C150" s="45">
        <v>45414</v>
      </c>
      <c r="D150" s="46" t="s">
        <v>37</v>
      </c>
      <c r="E150" s="46" t="s">
        <v>41</v>
      </c>
      <c r="F150" s="63">
        <f t="shared" si="172"/>
        <v>1</v>
      </c>
      <c r="G150" s="34">
        <v>2024128</v>
      </c>
      <c r="H150" s="58" t="s">
        <v>209</v>
      </c>
      <c r="I150" s="28">
        <v>7.5</v>
      </c>
      <c r="J150" t="s">
        <v>36</v>
      </c>
      <c r="K150" s="47">
        <v>4900</v>
      </c>
      <c r="L150" s="3" t="str">
        <f t="shared" si="169"/>
        <v>pi</v>
      </c>
      <c r="M150" s="33">
        <f t="shared" si="173"/>
        <v>441</v>
      </c>
      <c r="N150" s="2">
        <f>_xlfn.XLOOKUP(A150,'[1]Prix MP'!$A:$A,'[1]Prix MP'!$T:$T)</f>
        <v>0</v>
      </c>
      <c r="O150" s="18">
        <f>_xlfn.XLOOKUP(A150,'[1]Prix MP'!$A:$A,'[1]Prix MP'!$U:$U)</f>
        <v>0.32797457659534618</v>
      </c>
      <c r="P150" s="11">
        <f t="shared" si="170"/>
        <v>0</v>
      </c>
      <c r="Q150" s="7">
        <f t="shared" si="171"/>
        <v>144.63678827854767</v>
      </c>
      <c r="R150" t="s">
        <v>205</v>
      </c>
      <c r="S150" s="1">
        <f t="shared" si="152"/>
        <v>7.5</v>
      </c>
      <c r="T150" s="33">
        <f t="shared" si="153"/>
        <v>4900</v>
      </c>
      <c r="V150" s="8" t="str">
        <f t="shared" si="111"/>
        <v/>
      </c>
      <c r="W150" s="69"/>
      <c r="AG150" s="11"/>
      <c r="AX150"/>
    </row>
    <row r="151" spans="1:50" x14ac:dyDescent="0.25">
      <c r="A151">
        <v>30012</v>
      </c>
      <c r="B151" t="s">
        <v>31</v>
      </c>
      <c r="C151" s="45">
        <v>45414</v>
      </c>
      <c r="D151" s="46" t="s">
        <v>37</v>
      </c>
      <c r="E151" s="46" t="s">
        <v>41</v>
      </c>
      <c r="F151" s="63">
        <f t="shared" si="172"/>
        <v>1</v>
      </c>
      <c r="G151" s="34"/>
      <c r="H151" s="58" t="s">
        <v>265</v>
      </c>
      <c r="I151" s="28">
        <v>1530</v>
      </c>
      <c r="J151" t="s">
        <v>2</v>
      </c>
      <c r="K151" s="47">
        <v>3000</v>
      </c>
      <c r="L151" s="3" t="str">
        <f t="shared" si="169"/>
        <v>m</v>
      </c>
      <c r="M151" s="33">
        <f t="shared" si="173"/>
        <v>7114.5</v>
      </c>
      <c r="N151" s="2">
        <f>_xlfn.XLOOKUP(A151,'[1]Prix MP'!$A:$A,'[1]Prix MP'!$T:$T)</f>
        <v>0</v>
      </c>
      <c r="O151" s="18">
        <f>_xlfn.XLOOKUP(A151,'[1]Prix MP'!$A:$A,'[1]Prix MP'!$U:$U)</f>
        <v>0.32797457659534618</v>
      </c>
      <c r="P151" s="11">
        <f t="shared" si="170"/>
        <v>0</v>
      </c>
      <c r="Q151" s="7">
        <f t="shared" si="171"/>
        <v>2333.3751251875906</v>
      </c>
      <c r="R151" t="s">
        <v>205</v>
      </c>
      <c r="S151" s="1">
        <f t="shared" si="152"/>
        <v>60.24</v>
      </c>
      <c r="T151" s="33">
        <f t="shared" si="153"/>
        <v>9843</v>
      </c>
      <c r="V151" s="8">
        <f t="shared" si="111"/>
        <v>4590</v>
      </c>
      <c r="W151" s="69"/>
      <c r="AG151" s="11"/>
      <c r="AX151"/>
    </row>
    <row r="152" spans="1:50" x14ac:dyDescent="0.25">
      <c r="A152">
        <v>30012</v>
      </c>
      <c r="B152" t="s">
        <v>31</v>
      </c>
      <c r="C152" s="45">
        <v>45414</v>
      </c>
      <c r="D152" s="46" t="s">
        <v>37</v>
      </c>
      <c r="E152" s="46" t="s">
        <v>42</v>
      </c>
      <c r="F152" s="63">
        <f t="shared" si="172"/>
        <v>1</v>
      </c>
      <c r="G152" s="34">
        <v>2024128</v>
      </c>
      <c r="H152" s="58" t="s">
        <v>266</v>
      </c>
      <c r="I152" s="28">
        <v>1530</v>
      </c>
      <c r="J152" t="s">
        <v>2</v>
      </c>
      <c r="K152" s="47">
        <v>3000</v>
      </c>
      <c r="L152" s="3" t="str">
        <f t="shared" si="169"/>
        <v>m</v>
      </c>
      <c r="M152" s="33">
        <f t="shared" si="173"/>
        <v>7114.5</v>
      </c>
      <c r="N152" s="2">
        <f>_xlfn.XLOOKUP(A152,'[1]Prix MP'!$A:$A,'[1]Prix MP'!$T:$T)</f>
        <v>0</v>
      </c>
      <c r="O152" s="18">
        <f>_xlfn.XLOOKUP(A152,'[1]Prix MP'!$A:$A,'[1]Prix MP'!$U:$U)</f>
        <v>0.32797457659534618</v>
      </c>
      <c r="P152" s="11">
        <f t="shared" si="170"/>
        <v>0</v>
      </c>
      <c r="Q152" s="7">
        <f t="shared" si="171"/>
        <v>2333.3751251875906</v>
      </c>
      <c r="R152" t="s">
        <v>205</v>
      </c>
      <c r="S152" s="1">
        <f t="shared" si="152"/>
        <v>0</v>
      </c>
      <c r="T152" s="33">
        <f t="shared" si="153"/>
        <v>0</v>
      </c>
      <c r="V152" s="8">
        <f t="shared" si="111"/>
        <v>4590</v>
      </c>
      <c r="W152" s="69"/>
      <c r="AG152" s="11"/>
      <c r="AX152"/>
    </row>
    <row r="153" spans="1:50" x14ac:dyDescent="0.25">
      <c r="A153">
        <v>30012</v>
      </c>
      <c r="B153" t="s">
        <v>31</v>
      </c>
      <c r="C153" s="45">
        <v>45575</v>
      </c>
      <c r="D153" s="46" t="s">
        <v>38</v>
      </c>
      <c r="E153" s="46" t="s">
        <v>42</v>
      </c>
      <c r="F153" s="63">
        <f t="shared" si="172"/>
        <v>-1</v>
      </c>
      <c r="G153" s="34">
        <v>2024128</v>
      </c>
      <c r="H153" s="58" t="s">
        <v>266</v>
      </c>
      <c r="I153" s="28">
        <v>1530</v>
      </c>
      <c r="J153" t="s">
        <v>2</v>
      </c>
      <c r="K153" s="47">
        <v>3000</v>
      </c>
      <c r="L153" s="3" t="str">
        <f t="shared" si="169"/>
        <v>m</v>
      </c>
      <c r="M153" s="33">
        <f t="shared" si="173"/>
        <v>-7114.5</v>
      </c>
      <c r="N153" s="2">
        <f>_xlfn.XLOOKUP(A153,'[1]Prix MP'!$A:$A,'[1]Prix MP'!$T:$T)</f>
        <v>0</v>
      </c>
      <c r="O153" s="18">
        <f>_xlfn.XLOOKUP(A153,'[1]Prix MP'!$A:$A,'[1]Prix MP'!$U:$U)</f>
        <v>0.32797457659534618</v>
      </c>
      <c r="P153" s="11">
        <f t="shared" si="170"/>
        <v>0</v>
      </c>
      <c r="Q153" s="7">
        <f t="shared" si="171"/>
        <v>-2333.3751251875906</v>
      </c>
      <c r="R153" t="s">
        <v>205</v>
      </c>
      <c r="S153" s="1">
        <f t="shared" si="152"/>
        <v>0</v>
      </c>
      <c r="T153" s="33">
        <f t="shared" si="153"/>
        <v>0</v>
      </c>
      <c r="V153" s="8">
        <f t="shared" si="111"/>
        <v>4590</v>
      </c>
      <c r="W153" s="69"/>
      <c r="AG153" s="11"/>
      <c r="AX153"/>
    </row>
    <row r="154" spans="1:50" x14ac:dyDescent="0.25">
      <c r="A154">
        <v>30012</v>
      </c>
      <c r="B154" t="s">
        <v>31</v>
      </c>
      <c r="C154" s="45">
        <v>45575</v>
      </c>
      <c r="D154" s="46" t="s">
        <v>37</v>
      </c>
      <c r="E154" s="46" t="s">
        <v>41</v>
      </c>
      <c r="F154" s="63">
        <f t="shared" si="172"/>
        <v>1</v>
      </c>
      <c r="G154" s="34">
        <v>2024128</v>
      </c>
      <c r="H154" s="58" t="s">
        <v>272</v>
      </c>
      <c r="I154" s="28">
        <v>7.5</v>
      </c>
      <c r="J154" t="s">
        <v>36</v>
      </c>
      <c r="K154" s="47">
        <v>4800</v>
      </c>
      <c r="L154" s="3" t="str">
        <f t="shared" si="169"/>
        <v>pi</v>
      </c>
      <c r="M154" s="33">
        <f t="shared" si="173"/>
        <v>432</v>
      </c>
      <c r="N154" s="2">
        <f>_xlfn.XLOOKUP(A154,'[1]Prix MP'!$A:$A,'[1]Prix MP'!$T:$T)</f>
        <v>0</v>
      </c>
      <c r="O154" s="18">
        <f>_xlfn.XLOOKUP(A154,'[1]Prix MP'!$A:$A,'[1]Prix MP'!$U:$U)</f>
        <v>0.32797457659534618</v>
      </c>
      <c r="P154" s="11">
        <f t="shared" si="170"/>
        <v>0</v>
      </c>
      <c r="Q154" s="7">
        <f t="shared" si="171"/>
        <v>141.68501708918956</v>
      </c>
      <c r="R154" t="s">
        <v>205</v>
      </c>
      <c r="S154" s="1">
        <f t="shared" si="152"/>
        <v>7.5</v>
      </c>
      <c r="T154" s="33">
        <f t="shared" si="153"/>
        <v>4800</v>
      </c>
      <c r="V154" s="8" t="str">
        <f t="shared" si="111"/>
        <v/>
      </c>
      <c r="W154" s="69"/>
      <c r="AG154" s="11"/>
      <c r="AX154"/>
    </row>
    <row r="155" spans="1:50" x14ac:dyDescent="0.25">
      <c r="A155">
        <v>30012</v>
      </c>
      <c r="B155" t="s">
        <v>31</v>
      </c>
      <c r="C155" s="45">
        <v>45575</v>
      </c>
      <c r="D155" s="46" t="s">
        <v>37</v>
      </c>
      <c r="E155" s="46" t="s">
        <v>42</v>
      </c>
      <c r="F155" s="63">
        <f t="shared" si="172"/>
        <v>1</v>
      </c>
      <c r="G155" s="34">
        <v>2024128</v>
      </c>
      <c r="H155" s="58" t="s">
        <v>273</v>
      </c>
      <c r="I155" s="28">
        <v>60.24</v>
      </c>
      <c r="J155" t="s">
        <v>36</v>
      </c>
      <c r="K155" s="47">
        <v>4900</v>
      </c>
      <c r="L155" s="3" t="str">
        <f t="shared" si="169"/>
        <v>pi</v>
      </c>
      <c r="M155" s="33">
        <f t="shared" si="173"/>
        <v>3542.1120000000001</v>
      </c>
      <c r="N155" s="2">
        <f>_xlfn.XLOOKUP(A155,'[1]Prix MP'!$A:$A,'[1]Prix MP'!$T:$T)</f>
        <v>0</v>
      </c>
      <c r="O155" s="18">
        <f>_xlfn.XLOOKUP(A155,'[1]Prix MP'!$A:$A,'[1]Prix MP'!$U:$U)</f>
        <v>0.32797457659534618</v>
      </c>
      <c r="P155" s="11">
        <f t="shared" si="170"/>
        <v>0</v>
      </c>
      <c r="Q155" s="7">
        <f t="shared" si="171"/>
        <v>1161.7226834532948</v>
      </c>
      <c r="R155" t="s">
        <v>205</v>
      </c>
      <c r="S155" s="1">
        <f t="shared" si="152"/>
        <v>0</v>
      </c>
      <c r="T155" s="33">
        <f t="shared" si="153"/>
        <v>0</v>
      </c>
      <c r="V155" s="8" t="str">
        <f t="shared" si="111"/>
        <v/>
      </c>
      <c r="W155" s="69"/>
      <c r="AG155" s="11"/>
      <c r="AX155"/>
    </row>
    <row r="156" spans="1:50" x14ac:dyDescent="0.25">
      <c r="A156">
        <v>30012</v>
      </c>
      <c r="B156" s="17" t="s">
        <v>31</v>
      </c>
      <c r="C156" s="45">
        <v>45608</v>
      </c>
      <c r="D156" s="46" t="s">
        <v>176</v>
      </c>
      <c r="E156" s="46" t="s">
        <v>42</v>
      </c>
      <c r="F156" s="64">
        <v>-1</v>
      </c>
      <c r="G156" s="49" t="s">
        <v>525</v>
      </c>
      <c r="H156" s="58" t="s">
        <v>526</v>
      </c>
      <c r="I156" s="28">
        <v>60.24</v>
      </c>
      <c r="J156" t="s">
        <v>36</v>
      </c>
      <c r="K156" s="47">
        <v>4900</v>
      </c>
      <c r="L156" s="3" t="s">
        <v>372</v>
      </c>
      <c r="M156" s="33">
        <f t="shared" ref="M156:M157" si="205">IF(J156="mm",F156*I156/1000*K156*1.55,F156*I156*12*K156/1000)</f>
        <v>-3542.1120000000001</v>
      </c>
      <c r="N156" s="2">
        <f>_xlfn.XLOOKUP(A156,'[1]Prix MP'!$A:$A,'[1]Prix MP'!$T:$T)</f>
        <v>0</v>
      </c>
      <c r="O156" s="18">
        <f>_xlfn.XLOOKUP(A156,'[1]Prix MP'!$A:$A,'[1]Prix MP'!$U:$U)</f>
        <v>0.32797457659534618</v>
      </c>
      <c r="P156" s="11">
        <f t="shared" ref="P156:P157" si="206">M156*N156</f>
        <v>0</v>
      </c>
      <c r="Q156" s="7">
        <f t="shared" ref="Q156:Q157" si="207">M156*O156</f>
        <v>-1161.7226834532948</v>
      </c>
      <c r="R156" t="s">
        <v>205</v>
      </c>
      <c r="S156" s="1">
        <f t="shared" ref="S156:S157" si="208">ROUND(IF(E156="I",0,IF(J156="po",I156,I156/25.4)),2)</f>
        <v>0</v>
      </c>
      <c r="T156" s="33">
        <f t="shared" ref="T156:T157" si="209">ROUND(IF(E156="I",0,IF(J156="po",K156,K156*3.280839895)),0)</f>
        <v>0</v>
      </c>
      <c r="V156" s="8"/>
      <c r="W156" s="69"/>
      <c r="AG156" s="11"/>
      <c r="AX156"/>
    </row>
    <row r="157" spans="1:50" x14ac:dyDescent="0.25">
      <c r="A157">
        <v>30012</v>
      </c>
      <c r="B157" s="17" t="s">
        <v>31</v>
      </c>
      <c r="C157" s="45">
        <v>45608</v>
      </c>
      <c r="D157" s="46" t="s">
        <v>373</v>
      </c>
      <c r="E157" s="46" t="s">
        <v>41</v>
      </c>
      <c r="F157" s="64">
        <v>1</v>
      </c>
      <c r="G157" s="49" t="s">
        <v>525</v>
      </c>
      <c r="H157" s="58" t="s">
        <v>527</v>
      </c>
      <c r="I157" s="28">
        <v>8.8000000000000007</v>
      </c>
      <c r="J157" t="s">
        <v>36</v>
      </c>
      <c r="K157" s="47">
        <v>4850</v>
      </c>
      <c r="L157" s="3" t="s">
        <v>372</v>
      </c>
      <c r="M157" s="33">
        <f t="shared" si="205"/>
        <v>512.16000000000008</v>
      </c>
      <c r="N157" s="2">
        <f>_xlfn.XLOOKUP(A157,'[1]Prix MP'!$A:$A,'[1]Prix MP'!$T:$T)</f>
        <v>0</v>
      </c>
      <c r="O157" s="18">
        <f>_xlfn.XLOOKUP(A157,'[1]Prix MP'!$A:$A,'[1]Prix MP'!$U:$U)</f>
        <v>0.32797457659534618</v>
      </c>
      <c r="P157" s="11">
        <f t="shared" si="206"/>
        <v>0</v>
      </c>
      <c r="Q157" s="7">
        <f t="shared" si="207"/>
        <v>167.97545914907252</v>
      </c>
      <c r="R157" t="s">
        <v>205</v>
      </c>
      <c r="S157" s="1">
        <f t="shared" si="208"/>
        <v>8.8000000000000007</v>
      </c>
      <c r="T157" s="33">
        <f t="shared" si="209"/>
        <v>4850</v>
      </c>
      <c r="V157" s="8"/>
      <c r="W157" s="69"/>
      <c r="AG157" s="11"/>
      <c r="AX157"/>
    </row>
    <row r="158" spans="1:50" x14ac:dyDescent="0.25">
      <c r="A158">
        <v>30012</v>
      </c>
      <c r="B158" t="s">
        <v>31</v>
      </c>
      <c r="C158" s="45">
        <v>45414</v>
      </c>
      <c r="D158" s="46" t="s">
        <v>37</v>
      </c>
      <c r="E158" s="46" t="s">
        <v>41</v>
      </c>
      <c r="F158" s="63">
        <f t="shared" si="172"/>
        <v>1</v>
      </c>
      <c r="G158" s="34"/>
      <c r="H158" s="58" t="s">
        <v>267</v>
      </c>
      <c r="I158" s="28">
        <v>1530</v>
      </c>
      <c r="J158" t="s">
        <v>2</v>
      </c>
      <c r="K158" s="47">
        <v>3000</v>
      </c>
      <c r="L158" s="3" t="str">
        <f t="shared" si="169"/>
        <v>m</v>
      </c>
      <c r="M158" s="33">
        <f t="shared" si="173"/>
        <v>7114.5</v>
      </c>
      <c r="N158" s="2">
        <f>_xlfn.XLOOKUP(A158,'[1]Prix MP'!$A:$A,'[1]Prix MP'!$T:$T)</f>
        <v>0</v>
      </c>
      <c r="O158" s="18">
        <f>_xlfn.XLOOKUP(A158,'[1]Prix MP'!$A:$A,'[1]Prix MP'!$U:$U)</f>
        <v>0.32797457659534618</v>
      </c>
      <c r="P158" s="11">
        <f t="shared" si="170"/>
        <v>0</v>
      </c>
      <c r="Q158" s="7">
        <f t="shared" si="171"/>
        <v>2333.3751251875906</v>
      </c>
      <c r="R158" t="s">
        <v>205</v>
      </c>
      <c r="S158" s="1">
        <f t="shared" si="152"/>
        <v>60.24</v>
      </c>
      <c r="T158" s="33">
        <f t="shared" si="153"/>
        <v>9843</v>
      </c>
      <c r="V158" s="8">
        <f t="shared" si="111"/>
        <v>4590</v>
      </c>
      <c r="W158" s="69"/>
      <c r="AG158" s="11"/>
      <c r="AX158"/>
    </row>
    <row r="159" spans="1:50" x14ac:dyDescent="0.25">
      <c r="A159">
        <v>30012</v>
      </c>
      <c r="B159" t="s">
        <v>31</v>
      </c>
      <c r="C159" s="45">
        <v>45414</v>
      </c>
      <c r="D159" s="46" t="s">
        <v>37</v>
      </c>
      <c r="E159" s="46" t="s">
        <v>42</v>
      </c>
      <c r="F159" s="63">
        <f t="shared" si="172"/>
        <v>1</v>
      </c>
      <c r="G159" s="34"/>
      <c r="H159" s="58" t="s">
        <v>268</v>
      </c>
      <c r="I159" s="28">
        <v>1530</v>
      </c>
      <c r="J159" t="s">
        <v>2</v>
      </c>
      <c r="K159" s="47">
        <v>3000</v>
      </c>
      <c r="L159" s="3" t="str">
        <f t="shared" si="169"/>
        <v>m</v>
      </c>
      <c r="M159" s="33">
        <f t="shared" si="173"/>
        <v>7114.5</v>
      </c>
      <c r="N159" s="2">
        <f>_xlfn.XLOOKUP(A159,'[1]Prix MP'!$A:$A,'[1]Prix MP'!$T:$T)</f>
        <v>0</v>
      </c>
      <c r="O159" s="18">
        <f>_xlfn.XLOOKUP(A159,'[1]Prix MP'!$A:$A,'[1]Prix MP'!$U:$U)</f>
        <v>0.32797457659534618</v>
      </c>
      <c r="P159" s="11">
        <f t="shared" si="170"/>
        <v>0</v>
      </c>
      <c r="Q159" s="7">
        <f t="shared" si="171"/>
        <v>2333.3751251875906</v>
      </c>
      <c r="R159" t="s">
        <v>205</v>
      </c>
      <c r="S159" s="1">
        <f t="shared" si="152"/>
        <v>0</v>
      </c>
      <c r="T159" s="33">
        <f t="shared" si="153"/>
        <v>0</v>
      </c>
      <c r="V159" s="8">
        <f t="shared" si="111"/>
        <v>4590</v>
      </c>
      <c r="W159" s="69"/>
      <c r="AG159" s="11"/>
      <c r="AX159"/>
    </row>
    <row r="160" spans="1:50" x14ac:dyDescent="0.25">
      <c r="A160">
        <v>30012</v>
      </c>
      <c r="B160" s="17" t="s">
        <v>31</v>
      </c>
      <c r="C160" s="45">
        <v>45608</v>
      </c>
      <c r="D160" s="46" t="s">
        <v>176</v>
      </c>
      <c r="E160" s="46" t="s">
        <v>42</v>
      </c>
      <c r="F160" s="64">
        <v>-1</v>
      </c>
      <c r="G160" s="49" t="s">
        <v>525</v>
      </c>
      <c r="H160" s="58" t="s">
        <v>530</v>
      </c>
      <c r="I160" s="28">
        <v>1530</v>
      </c>
      <c r="J160" t="s">
        <v>2</v>
      </c>
      <c r="K160" s="47">
        <v>3000</v>
      </c>
      <c r="L160" s="3" t="str">
        <f t="shared" ref="L160" si="210">IF(J160="mm","m","pi")</f>
        <v>m</v>
      </c>
      <c r="M160" s="33">
        <f t="shared" ref="M160:M161" si="211">IF(J160="mm",F160*I160/1000*K160*1.55,F160*I160*12*K160/1000)</f>
        <v>-7114.5</v>
      </c>
      <c r="N160" s="2">
        <f>_xlfn.XLOOKUP(A160,'[1]Prix MP'!$A:$A,'[1]Prix MP'!$T:$T)</f>
        <v>0</v>
      </c>
      <c r="O160" s="18">
        <f>_xlfn.XLOOKUP(A160,'[1]Prix MP'!$A:$A,'[1]Prix MP'!$U:$U)</f>
        <v>0.32797457659534618</v>
      </c>
      <c r="P160" s="11">
        <f t="shared" ref="P160:P161" si="212">M160*N160</f>
        <v>0</v>
      </c>
      <c r="Q160" s="7">
        <f t="shared" ref="Q160:Q161" si="213">M160*O160</f>
        <v>-2333.3751251875906</v>
      </c>
      <c r="R160" t="s">
        <v>205</v>
      </c>
      <c r="S160" s="1">
        <f t="shared" ref="S160:S161" si="214">ROUND(IF(E160="I",0,IF(J160="po",I160,I160/25.4)),2)</f>
        <v>0</v>
      </c>
      <c r="T160" s="33">
        <f t="shared" ref="T160:T161" si="215">ROUND(IF(E160="I",0,IF(J160="po",K160,K160*3.280839895)),0)</f>
        <v>0</v>
      </c>
      <c r="V160" s="8"/>
      <c r="W160" s="69"/>
      <c r="AG160" s="11"/>
      <c r="AX160"/>
    </row>
    <row r="161" spans="1:50" x14ac:dyDescent="0.25">
      <c r="A161">
        <v>30012</v>
      </c>
      <c r="B161" s="17" t="s">
        <v>31</v>
      </c>
      <c r="C161" s="45">
        <v>45608</v>
      </c>
      <c r="D161" s="46" t="s">
        <v>373</v>
      </c>
      <c r="E161" s="46" t="s">
        <v>41</v>
      </c>
      <c r="F161" s="64">
        <v>1</v>
      </c>
      <c r="G161" s="49" t="s">
        <v>525</v>
      </c>
      <c r="H161" s="58" t="s">
        <v>531</v>
      </c>
      <c r="I161" s="28">
        <v>8.8000000000000007</v>
      </c>
      <c r="J161" t="s">
        <v>36</v>
      </c>
      <c r="K161" s="47">
        <v>9640</v>
      </c>
      <c r="L161" s="3" t="s">
        <v>372</v>
      </c>
      <c r="M161" s="33">
        <f t="shared" si="211"/>
        <v>1017.9840000000002</v>
      </c>
      <c r="N161" s="2">
        <f>_xlfn.XLOOKUP(A161,'[1]Prix MP'!$A:$A,'[1]Prix MP'!$T:$T)</f>
        <v>0</v>
      </c>
      <c r="O161" s="18">
        <f>_xlfn.XLOOKUP(A161,'[1]Prix MP'!$A:$A,'[1]Prix MP'!$U:$U)</f>
        <v>0.32797457659534618</v>
      </c>
      <c r="P161" s="11">
        <f t="shared" si="212"/>
        <v>0</v>
      </c>
      <c r="Q161" s="7">
        <f t="shared" si="213"/>
        <v>333.87287138083695</v>
      </c>
      <c r="R161" t="s">
        <v>205</v>
      </c>
      <c r="S161" s="1">
        <f t="shared" si="214"/>
        <v>8.8000000000000007</v>
      </c>
      <c r="T161" s="33">
        <f t="shared" si="215"/>
        <v>9640</v>
      </c>
      <c r="V161" s="8"/>
      <c r="W161" s="69"/>
      <c r="AG161" s="11"/>
      <c r="AX161"/>
    </row>
    <row r="162" spans="1:50" x14ac:dyDescent="0.25">
      <c r="A162">
        <v>30012</v>
      </c>
      <c r="B162" t="s">
        <v>31</v>
      </c>
      <c r="C162" s="45">
        <v>45481</v>
      </c>
      <c r="D162" s="46" t="s">
        <v>37</v>
      </c>
      <c r="E162" s="46" t="s">
        <v>42</v>
      </c>
      <c r="F162" s="63">
        <f t="shared" si="172"/>
        <v>1</v>
      </c>
      <c r="G162" s="34">
        <v>2024071</v>
      </c>
      <c r="H162" s="58" t="s">
        <v>240</v>
      </c>
      <c r="I162" s="28">
        <v>60.24</v>
      </c>
      <c r="J162" t="s">
        <v>36</v>
      </c>
      <c r="K162" s="47">
        <v>4643</v>
      </c>
      <c r="L162" s="3" t="str">
        <f t="shared" si="169"/>
        <v>pi</v>
      </c>
      <c r="M162" s="33">
        <f t="shared" si="173"/>
        <v>3356.3318399999998</v>
      </c>
      <c r="N162" s="2">
        <f>_xlfn.XLOOKUP(A162,'[1]Prix MP'!$A:$A,'[1]Prix MP'!$T:$T)</f>
        <v>0</v>
      </c>
      <c r="O162" s="18">
        <f>_xlfn.XLOOKUP(A162,'[1]Prix MP'!$A:$A,'[1]Prix MP'!$U:$U)</f>
        <v>0.32797457659534618</v>
      </c>
      <c r="P162" s="11">
        <f t="shared" si="170"/>
        <v>0</v>
      </c>
      <c r="Q162" s="7">
        <f t="shared" si="171"/>
        <v>1100.7915141374792</v>
      </c>
      <c r="R162" t="s">
        <v>205</v>
      </c>
      <c r="S162" s="1">
        <f t="shared" si="152"/>
        <v>0</v>
      </c>
      <c r="T162" s="33">
        <f t="shared" si="153"/>
        <v>0</v>
      </c>
      <c r="V162" s="8" t="str">
        <f t="shared" si="111"/>
        <v/>
      </c>
      <c r="W162" s="69"/>
      <c r="AG162" s="11"/>
      <c r="AX162"/>
    </row>
    <row r="163" spans="1:50" x14ac:dyDescent="0.25">
      <c r="A163">
        <v>30012</v>
      </c>
      <c r="B163" s="17" t="s">
        <v>31</v>
      </c>
      <c r="C163" s="45">
        <v>45608</v>
      </c>
      <c r="D163" s="46" t="s">
        <v>176</v>
      </c>
      <c r="E163" s="46" t="s">
        <v>42</v>
      </c>
      <c r="F163" s="64">
        <v>-1</v>
      </c>
      <c r="G163" s="49" t="s">
        <v>525</v>
      </c>
      <c r="H163" s="58" t="s">
        <v>528</v>
      </c>
      <c r="I163" s="28">
        <v>60.24</v>
      </c>
      <c r="J163" t="s">
        <v>36</v>
      </c>
      <c r="K163" s="47">
        <v>4643</v>
      </c>
      <c r="L163" s="3" t="s">
        <v>372</v>
      </c>
      <c r="M163" s="33">
        <f t="shared" ref="M163:M164" si="216">IF(J163="mm",F163*I163/1000*K163*1.55,F163*I163*12*K163/1000)</f>
        <v>-3356.3318399999998</v>
      </c>
      <c r="N163" s="2">
        <f>_xlfn.XLOOKUP(A163,'[1]Prix MP'!$A:$A,'[1]Prix MP'!$T:$T)</f>
        <v>0</v>
      </c>
      <c r="O163" s="18">
        <f>_xlfn.XLOOKUP(A163,'[1]Prix MP'!$A:$A,'[1]Prix MP'!$U:$U)</f>
        <v>0.32797457659534618</v>
      </c>
      <c r="P163" s="11">
        <f t="shared" ref="P163:P164" si="217">M163*N163</f>
        <v>0</v>
      </c>
      <c r="Q163" s="7">
        <f t="shared" ref="Q163:Q164" si="218">M163*O163</f>
        <v>-1100.7915141374792</v>
      </c>
      <c r="R163" t="s">
        <v>205</v>
      </c>
      <c r="S163" s="1">
        <f t="shared" ref="S163:S164" si="219">ROUND(IF(E163="I",0,IF(J163="po",I163,I163/25.4)),2)</f>
        <v>0</v>
      </c>
      <c r="T163" s="33">
        <f t="shared" ref="T163:T164" si="220">ROUND(IF(E163="I",0,IF(J163="po",K163,K163*3.280839895)),0)</f>
        <v>0</v>
      </c>
      <c r="V163" s="8"/>
      <c r="W163" s="69"/>
      <c r="AG163" s="11"/>
      <c r="AX163"/>
    </row>
    <row r="164" spans="1:50" x14ac:dyDescent="0.25">
      <c r="A164">
        <v>30012</v>
      </c>
      <c r="B164" s="17" t="s">
        <v>31</v>
      </c>
      <c r="C164" s="45">
        <v>45608</v>
      </c>
      <c r="D164" s="46" t="s">
        <v>373</v>
      </c>
      <c r="E164" s="46" t="s">
        <v>41</v>
      </c>
      <c r="F164" s="64">
        <v>1</v>
      </c>
      <c r="G164" s="49" t="s">
        <v>525</v>
      </c>
      <c r="H164" s="58" t="s">
        <v>529</v>
      </c>
      <c r="I164" s="28">
        <v>8.4</v>
      </c>
      <c r="J164" t="s">
        <v>36</v>
      </c>
      <c r="K164" s="47">
        <v>4500</v>
      </c>
      <c r="L164" s="3" t="s">
        <v>372</v>
      </c>
      <c r="M164" s="33">
        <f t="shared" si="216"/>
        <v>453.60000000000008</v>
      </c>
      <c r="N164" s="2">
        <f>_xlfn.XLOOKUP(A164,'[1]Prix MP'!$A:$A,'[1]Prix MP'!$T:$T)</f>
        <v>0</v>
      </c>
      <c r="O164" s="18">
        <f>_xlfn.XLOOKUP(A164,'[1]Prix MP'!$A:$A,'[1]Prix MP'!$U:$U)</f>
        <v>0.32797457659534618</v>
      </c>
      <c r="P164" s="11">
        <f t="shared" si="217"/>
        <v>0</v>
      </c>
      <c r="Q164" s="7">
        <f t="shared" si="218"/>
        <v>148.76926794364906</v>
      </c>
      <c r="R164" t="s">
        <v>205</v>
      </c>
      <c r="S164" s="1">
        <f t="shared" si="219"/>
        <v>8.4</v>
      </c>
      <c r="T164" s="33">
        <f t="shared" si="220"/>
        <v>4500</v>
      </c>
      <c r="V164" s="8"/>
      <c r="W164" s="69"/>
      <c r="AG164" s="11"/>
      <c r="AX164"/>
    </row>
    <row r="165" spans="1:50" x14ac:dyDescent="0.25">
      <c r="A165">
        <v>30012</v>
      </c>
      <c r="B165" t="s">
        <v>31</v>
      </c>
      <c r="C165" s="45">
        <v>45520</v>
      </c>
      <c r="D165" s="46" t="s">
        <v>37</v>
      </c>
      <c r="E165" s="46" t="s">
        <v>42</v>
      </c>
      <c r="F165" s="63">
        <f t="shared" si="172"/>
        <v>1</v>
      </c>
      <c r="G165" s="34" t="s">
        <v>168</v>
      </c>
      <c r="H165" s="58" t="s">
        <v>241</v>
      </c>
      <c r="I165" s="28">
        <v>13</v>
      </c>
      <c r="J165" t="s">
        <v>36</v>
      </c>
      <c r="K165" s="47">
        <v>4300</v>
      </c>
      <c r="L165" s="3" t="str">
        <f t="shared" si="169"/>
        <v>pi</v>
      </c>
      <c r="M165" s="33">
        <f t="shared" si="173"/>
        <v>670.8</v>
      </c>
      <c r="N165" s="2">
        <f>_xlfn.XLOOKUP(A165,'[1]Prix MP'!$A:$A,'[1]Prix MP'!$T:$T)</f>
        <v>0</v>
      </c>
      <c r="O165" s="18">
        <f>_xlfn.XLOOKUP(A165,'[1]Prix MP'!$A:$A,'[1]Prix MP'!$U:$U)</f>
        <v>0.32797457659534618</v>
      </c>
      <c r="P165" s="11">
        <f t="shared" si="170"/>
        <v>0</v>
      </c>
      <c r="Q165" s="7">
        <f t="shared" si="171"/>
        <v>220.00534598015821</v>
      </c>
      <c r="R165" t="s">
        <v>205</v>
      </c>
      <c r="S165" s="1">
        <f t="shared" si="152"/>
        <v>0</v>
      </c>
      <c r="T165" s="33">
        <f t="shared" si="153"/>
        <v>0</v>
      </c>
      <c r="V165" s="8" t="str">
        <f t="shared" si="111"/>
        <v/>
      </c>
      <c r="W165" s="69"/>
      <c r="AG165" s="11"/>
      <c r="AX165"/>
    </row>
    <row r="166" spans="1:50" x14ac:dyDescent="0.25">
      <c r="A166">
        <v>30012</v>
      </c>
      <c r="B166" t="s">
        <v>31</v>
      </c>
      <c r="C166" s="45">
        <v>45566</v>
      </c>
      <c r="D166" s="46" t="s">
        <v>38</v>
      </c>
      <c r="E166" s="46" t="s">
        <v>42</v>
      </c>
      <c r="F166" s="63">
        <f t="shared" si="172"/>
        <v>-1</v>
      </c>
      <c r="G166" s="34" t="s">
        <v>175</v>
      </c>
      <c r="H166" s="58" t="s">
        <v>241</v>
      </c>
      <c r="I166" s="28">
        <v>13</v>
      </c>
      <c r="J166" t="s">
        <v>36</v>
      </c>
      <c r="K166" s="47">
        <v>4300</v>
      </c>
      <c r="L166" s="3" t="str">
        <f t="shared" si="169"/>
        <v>pi</v>
      </c>
      <c r="M166" s="33">
        <f t="shared" si="173"/>
        <v>-670.8</v>
      </c>
      <c r="N166" s="2">
        <f>_xlfn.XLOOKUP(A166,'[1]Prix MP'!$A:$A,'[1]Prix MP'!$T:$T)</f>
        <v>0</v>
      </c>
      <c r="O166" s="18">
        <f>_xlfn.XLOOKUP(A166,'[1]Prix MP'!$A:$A,'[1]Prix MP'!$U:$U)</f>
        <v>0.32797457659534618</v>
      </c>
      <c r="P166" s="11">
        <f t="shared" si="170"/>
        <v>0</v>
      </c>
      <c r="Q166" s="7">
        <f t="shared" si="171"/>
        <v>-220.00534598015821</v>
      </c>
      <c r="R166" t="s">
        <v>205</v>
      </c>
      <c r="S166" s="1">
        <f t="shared" si="152"/>
        <v>0</v>
      </c>
      <c r="T166" s="33">
        <f t="shared" si="153"/>
        <v>0</v>
      </c>
      <c r="V166" s="8" t="str">
        <f t="shared" si="111"/>
        <v/>
      </c>
      <c r="W166" s="69"/>
      <c r="AG166" s="11"/>
      <c r="AX166"/>
    </row>
    <row r="167" spans="1:50" x14ac:dyDescent="0.25">
      <c r="A167">
        <v>30012</v>
      </c>
      <c r="B167" t="s">
        <v>31</v>
      </c>
      <c r="C167" s="45">
        <v>45566</v>
      </c>
      <c r="D167" s="46" t="s">
        <v>37</v>
      </c>
      <c r="E167" s="46" t="s">
        <v>41</v>
      </c>
      <c r="F167" s="63">
        <f t="shared" si="172"/>
        <v>1</v>
      </c>
      <c r="G167" s="34" t="s">
        <v>175</v>
      </c>
      <c r="H167" s="58" t="s">
        <v>242</v>
      </c>
      <c r="I167" s="28">
        <v>5.5</v>
      </c>
      <c r="J167" t="s">
        <v>36</v>
      </c>
      <c r="K167" s="47">
        <v>3100</v>
      </c>
      <c r="L167" s="3" t="str">
        <f t="shared" si="169"/>
        <v>pi</v>
      </c>
      <c r="M167" s="33">
        <f t="shared" si="173"/>
        <v>204.6</v>
      </c>
      <c r="N167" s="2">
        <f>_xlfn.XLOOKUP(A167,'[1]Prix MP'!$A:$A,'[1]Prix MP'!$T:$T)</f>
        <v>0</v>
      </c>
      <c r="O167" s="18">
        <f>_xlfn.XLOOKUP(A167,'[1]Prix MP'!$A:$A,'[1]Prix MP'!$U:$U)</f>
        <v>0.32797457659534618</v>
      </c>
      <c r="P167" s="11">
        <f t="shared" si="170"/>
        <v>0</v>
      </c>
      <c r="Q167" s="7">
        <f t="shared" si="171"/>
        <v>67.103598371407827</v>
      </c>
      <c r="R167" t="s">
        <v>205</v>
      </c>
      <c r="S167" s="1">
        <f t="shared" si="152"/>
        <v>5.5</v>
      </c>
      <c r="T167" s="33">
        <f t="shared" si="153"/>
        <v>3100</v>
      </c>
      <c r="V167" s="8" t="str">
        <f t="shared" si="111"/>
        <v/>
      </c>
      <c r="W167" s="69"/>
      <c r="AG167" s="11"/>
      <c r="AX167"/>
    </row>
    <row r="168" spans="1:50" x14ac:dyDescent="0.25">
      <c r="A168">
        <v>30012</v>
      </c>
      <c r="B168" t="s">
        <v>31</v>
      </c>
      <c r="C168" s="45">
        <v>45554</v>
      </c>
      <c r="D168" s="46" t="s">
        <v>37</v>
      </c>
      <c r="E168" s="46" t="s">
        <v>41</v>
      </c>
      <c r="F168" s="63">
        <f t="shared" si="172"/>
        <v>1</v>
      </c>
      <c r="G168" s="34" t="s">
        <v>130</v>
      </c>
      <c r="H168" s="58" t="s">
        <v>243</v>
      </c>
      <c r="I168" s="28">
        <v>10.82</v>
      </c>
      <c r="J168" t="s">
        <v>36</v>
      </c>
      <c r="K168" s="47">
        <v>9200</v>
      </c>
      <c r="L168" s="3" t="str">
        <f t="shared" si="169"/>
        <v>pi</v>
      </c>
      <c r="M168" s="33">
        <f t="shared" si="173"/>
        <v>1194.528</v>
      </c>
      <c r="N168" s="2">
        <f>_xlfn.XLOOKUP(A168,'[1]Prix MP'!$A:$A,'[1]Prix MP'!$T:$T)</f>
        <v>0</v>
      </c>
      <c r="O168" s="18">
        <f>_xlfn.XLOOKUP(A168,'[1]Prix MP'!$A:$A,'[1]Prix MP'!$U:$U)</f>
        <v>0.32797457659534618</v>
      </c>
      <c r="P168" s="11">
        <f t="shared" si="170"/>
        <v>0</v>
      </c>
      <c r="Q168" s="7">
        <f t="shared" si="171"/>
        <v>391.7748150312857</v>
      </c>
      <c r="R168" t="s">
        <v>205</v>
      </c>
      <c r="S168" s="1">
        <f t="shared" si="152"/>
        <v>10.82</v>
      </c>
      <c r="T168" s="33">
        <f t="shared" si="153"/>
        <v>9200</v>
      </c>
      <c r="V168" s="8" t="str">
        <f t="shared" si="111"/>
        <v/>
      </c>
      <c r="W168" s="69"/>
      <c r="AG168" s="11"/>
      <c r="AX168"/>
    </row>
    <row r="169" spans="1:50" x14ac:dyDescent="0.25">
      <c r="A169">
        <v>30012</v>
      </c>
      <c r="B169" t="s">
        <v>31</v>
      </c>
      <c r="C169" s="45">
        <v>45414</v>
      </c>
      <c r="D169" s="46" t="s">
        <v>37</v>
      </c>
      <c r="E169" s="46" t="s">
        <v>41</v>
      </c>
      <c r="F169" s="63">
        <f t="shared" si="172"/>
        <v>1</v>
      </c>
      <c r="G169" s="34"/>
      <c r="H169" s="58" t="s">
        <v>269</v>
      </c>
      <c r="I169" s="28">
        <v>1530</v>
      </c>
      <c r="J169" t="s">
        <v>2</v>
      </c>
      <c r="K169" s="47">
        <v>6000</v>
      </c>
      <c r="L169" s="3" t="str">
        <f t="shared" si="169"/>
        <v>m</v>
      </c>
      <c r="M169" s="33">
        <f t="shared" si="173"/>
        <v>14229</v>
      </c>
      <c r="N169" s="2">
        <f>_xlfn.XLOOKUP(A169,'[1]Prix MP'!$A:$A,'[1]Prix MP'!$T:$T)</f>
        <v>0</v>
      </c>
      <c r="O169" s="18">
        <f>_xlfn.XLOOKUP(A169,'[1]Prix MP'!$A:$A,'[1]Prix MP'!$U:$U)</f>
        <v>0.32797457659534618</v>
      </c>
      <c r="P169" s="11">
        <f t="shared" si="170"/>
        <v>0</v>
      </c>
      <c r="Q169" s="7">
        <f t="shared" si="171"/>
        <v>4666.7502503751812</v>
      </c>
      <c r="R169" t="s">
        <v>205</v>
      </c>
      <c r="S169" s="1">
        <f t="shared" si="152"/>
        <v>60.24</v>
      </c>
      <c r="T169" s="33">
        <f t="shared" si="153"/>
        <v>19685</v>
      </c>
      <c r="V169" s="8">
        <f t="shared" si="111"/>
        <v>9180</v>
      </c>
      <c r="W169" s="69"/>
      <c r="AG169" s="11"/>
      <c r="AX169"/>
    </row>
    <row r="170" spans="1:50" x14ac:dyDescent="0.25">
      <c r="A170">
        <v>30012</v>
      </c>
      <c r="B170" t="s">
        <v>31</v>
      </c>
      <c r="C170" s="45">
        <v>45414</v>
      </c>
      <c r="D170" s="46" t="s">
        <v>37</v>
      </c>
      <c r="E170" s="46" t="s">
        <v>41</v>
      </c>
      <c r="F170" s="63">
        <f t="shared" si="172"/>
        <v>1</v>
      </c>
      <c r="G170" s="34"/>
      <c r="H170" s="58" t="s">
        <v>270</v>
      </c>
      <c r="I170" s="28">
        <v>1530</v>
      </c>
      <c r="J170" t="s">
        <v>2</v>
      </c>
      <c r="K170" s="47">
        <v>6000</v>
      </c>
      <c r="L170" s="3" t="str">
        <f t="shared" si="169"/>
        <v>m</v>
      </c>
      <c r="M170" s="33">
        <f t="shared" si="173"/>
        <v>14229</v>
      </c>
      <c r="N170" s="2">
        <f>_xlfn.XLOOKUP(A170,'[1]Prix MP'!$A:$A,'[1]Prix MP'!$T:$T)</f>
        <v>0</v>
      </c>
      <c r="O170" s="18">
        <f>_xlfn.XLOOKUP(A170,'[1]Prix MP'!$A:$A,'[1]Prix MP'!$U:$U)</f>
        <v>0.32797457659534618</v>
      </c>
      <c r="P170" s="11">
        <f t="shared" si="170"/>
        <v>0</v>
      </c>
      <c r="Q170" s="7">
        <f t="shared" si="171"/>
        <v>4666.7502503751812</v>
      </c>
      <c r="R170" t="s">
        <v>205</v>
      </c>
      <c r="S170" s="1">
        <f t="shared" si="152"/>
        <v>60.24</v>
      </c>
      <c r="T170" s="33">
        <f t="shared" si="153"/>
        <v>19685</v>
      </c>
      <c r="V170" s="8">
        <f t="shared" si="111"/>
        <v>9180</v>
      </c>
      <c r="W170" s="69"/>
      <c r="AG170" s="11"/>
      <c r="AX170"/>
    </row>
    <row r="171" spans="1:50" x14ac:dyDescent="0.25">
      <c r="A171">
        <v>30012</v>
      </c>
      <c r="B171" t="s">
        <v>31</v>
      </c>
      <c r="C171" s="45">
        <v>45414</v>
      </c>
      <c r="D171" s="46" t="s">
        <v>37</v>
      </c>
      <c r="E171" s="46" t="s">
        <v>41</v>
      </c>
      <c r="F171" s="63">
        <f t="shared" si="172"/>
        <v>1</v>
      </c>
      <c r="G171" s="34"/>
      <c r="H171" s="58" t="s">
        <v>271</v>
      </c>
      <c r="I171" s="28">
        <v>1530</v>
      </c>
      <c r="J171" t="s">
        <v>2</v>
      </c>
      <c r="K171" s="47">
        <v>6000</v>
      </c>
      <c r="L171" s="3" t="str">
        <f t="shared" si="169"/>
        <v>m</v>
      </c>
      <c r="M171" s="33">
        <f t="shared" si="173"/>
        <v>14229</v>
      </c>
      <c r="N171" s="2">
        <f>_xlfn.XLOOKUP(A171,'[1]Prix MP'!$A:$A,'[1]Prix MP'!$T:$T)</f>
        <v>0</v>
      </c>
      <c r="O171" s="18">
        <f>_xlfn.XLOOKUP(A171,'[1]Prix MP'!$A:$A,'[1]Prix MP'!$U:$U)</f>
        <v>0.32797457659534618</v>
      </c>
      <c r="P171" s="11">
        <f t="shared" si="170"/>
        <v>0</v>
      </c>
      <c r="Q171" s="7">
        <f t="shared" si="171"/>
        <v>4666.7502503751812</v>
      </c>
      <c r="R171" t="s">
        <v>205</v>
      </c>
      <c r="S171" s="1">
        <f t="shared" si="152"/>
        <v>60.24</v>
      </c>
      <c r="T171" s="33">
        <f t="shared" si="153"/>
        <v>19685</v>
      </c>
      <c r="V171" s="8">
        <f t="shared" si="111"/>
        <v>9180</v>
      </c>
      <c r="W171" s="69"/>
      <c r="AG171" s="11"/>
      <c r="AX171"/>
    </row>
    <row r="172" spans="1:50" x14ac:dyDescent="0.25">
      <c r="A172">
        <v>30014</v>
      </c>
      <c r="B172" t="s">
        <v>32</v>
      </c>
      <c r="C172" s="45">
        <v>45421</v>
      </c>
      <c r="D172" s="46" t="s">
        <v>37</v>
      </c>
      <c r="E172" s="46" t="s">
        <v>41</v>
      </c>
      <c r="F172" s="63">
        <f t="shared" ref="F172:F210" si="221">IF(D172="in",1,-1)</f>
        <v>1</v>
      </c>
      <c r="G172" s="34"/>
      <c r="H172" s="58" t="s">
        <v>114</v>
      </c>
      <c r="I172" s="28">
        <v>1530</v>
      </c>
      <c r="J172" t="s">
        <v>2</v>
      </c>
      <c r="K172" s="47">
        <v>6000</v>
      </c>
      <c r="L172" s="3" t="str">
        <f t="shared" ref="L172:L210" si="222">IF(J172="mm","m","pi")</f>
        <v>m</v>
      </c>
      <c r="M172" s="33">
        <f t="shared" si="173"/>
        <v>14229</v>
      </c>
      <c r="N172" s="2">
        <f>_xlfn.XLOOKUP(A172,'[1]Prix MP'!$A:$A,'[1]Prix MP'!$T:$T)</f>
        <v>0.26001875721560863</v>
      </c>
      <c r="O172" s="18">
        <f>_xlfn.XLOOKUP(A172,'[1]Prix MP'!$A:$A,'[1]Prix MP'!$U:$U)</f>
        <v>0.26001875721560863</v>
      </c>
      <c r="P172" s="11">
        <f t="shared" ref="P172:P235" si="223">M172*N172</f>
        <v>3699.8068964208951</v>
      </c>
      <c r="Q172" s="7">
        <f t="shared" ref="Q172:Q235" si="224">M172*O172</f>
        <v>3699.8068964208951</v>
      </c>
      <c r="R172" t="s">
        <v>200</v>
      </c>
      <c r="S172" s="1">
        <f t="shared" si="152"/>
        <v>60.24</v>
      </c>
      <c r="T172" s="33">
        <f t="shared" si="153"/>
        <v>19685</v>
      </c>
      <c r="V172" s="8">
        <f t="shared" ref="V172:V268" si="225">IF(J172="mm",I172*K172/1000,"")</f>
        <v>9180</v>
      </c>
      <c r="W172" s="69"/>
      <c r="AG172" s="11"/>
      <c r="AX172"/>
    </row>
    <row r="173" spans="1:50" x14ac:dyDescent="0.25">
      <c r="A173">
        <v>30014</v>
      </c>
      <c r="B173" t="s">
        <v>32</v>
      </c>
      <c r="C173" s="45">
        <v>45421</v>
      </c>
      <c r="D173" s="46" t="s">
        <v>37</v>
      </c>
      <c r="E173" s="46" t="s">
        <v>41</v>
      </c>
      <c r="F173" s="63">
        <f t="shared" si="221"/>
        <v>1</v>
      </c>
      <c r="G173" s="34"/>
      <c r="H173" s="58" t="s">
        <v>115</v>
      </c>
      <c r="I173" s="28">
        <v>1530</v>
      </c>
      <c r="J173" t="s">
        <v>2</v>
      </c>
      <c r="K173" s="47">
        <v>6000</v>
      </c>
      <c r="L173" s="3" t="str">
        <f t="shared" si="222"/>
        <v>m</v>
      </c>
      <c r="M173" s="33">
        <f t="shared" si="173"/>
        <v>14229</v>
      </c>
      <c r="N173" s="2">
        <f>_xlfn.XLOOKUP(A173,'[1]Prix MP'!$A:$A,'[1]Prix MP'!$T:$T)</f>
        <v>0.26001875721560863</v>
      </c>
      <c r="O173" s="18">
        <f>_xlfn.XLOOKUP(A173,'[1]Prix MP'!$A:$A,'[1]Prix MP'!$U:$U)</f>
        <v>0.26001875721560863</v>
      </c>
      <c r="P173" s="11">
        <f t="shared" si="223"/>
        <v>3699.8068964208951</v>
      </c>
      <c r="Q173" s="7">
        <f t="shared" si="224"/>
        <v>3699.8068964208951</v>
      </c>
      <c r="R173" t="s">
        <v>200</v>
      </c>
      <c r="S173" s="1">
        <f t="shared" si="152"/>
        <v>60.24</v>
      </c>
      <c r="T173" s="33">
        <f t="shared" si="153"/>
        <v>19685</v>
      </c>
      <c r="V173" s="8">
        <f t="shared" si="225"/>
        <v>9180</v>
      </c>
      <c r="W173" s="69"/>
      <c r="AG173" s="11"/>
      <c r="AX173"/>
    </row>
    <row r="174" spans="1:50" x14ac:dyDescent="0.25">
      <c r="A174">
        <v>30014</v>
      </c>
      <c r="B174" t="s">
        <v>32</v>
      </c>
      <c r="C174" s="45">
        <v>45421</v>
      </c>
      <c r="D174" s="46" t="s">
        <v>37</v>
      </c>
      <c r="E174" s="46" t="s">
        <v>41</v>
      </c>
      <c r="F174" s="63">
        <f t="shared" si="221"/>
        <v>1</v>
      </c>
      <c r="G174" s="34"/>
      <c r="H174" s="58" t="s">
        <v>116</v>
      </c>
      <c r="I174" s="28">
        <v>1530</v>
      </c>
      <c r="J174" t="s">
        <v>2</v>
      </c>
      <c r="K174" s="47">
        <v>6000</v>
      </c>
      <c r="L174" s="3" t="str">
        <f t="shared" si="222"/>
        <v>m</v>
      </c>
      <c r="M174" s="33">
        <f t="shared" si="173"/>
        <v>14229</v>
      </c>
      <c r="N174" s="2">
        <f>_xlfn.XLOOKUP(A174,'[1]Prix MP'!$A:$A,'[1]Prix MP'!$T:$T)</f>
        <v>0.26001875721560863</v>
      </c>
      <c r="O174" s="18">
        <f>_xlfn.XLOOKUP(A174,'[1]Prix MP'!$A:$A,'[1]Prix MP'!$U:$U)</f>
        <v>0.26001875721560863</v>
      </c>
      <c r="P174" s="11">
        <f t="shared" si="223"/>
        <v>3699.8068964208951</v>
      </c>
      <c r="Q174" s="7">
        <f t="shared" si="224"/>
        <v>3699.8068964208951</v>
      </c>
      <c r="R174" t="s">
        <v>200</v>
      </c>
      <c r="S174" s="1">
        <f t="shared" si="152"/>
        <v>60.24</v>
      </c>
      <c r="T174" s="33">
        <f t="shared" si="153"/>
        <v>19685</v>
      </c>
      <c r="V174" s="8">
        <f t="shared" si="225"/>
        <v>9180</v>
      </c>
      <c r="W174" s="69"/>
      <c r="AG174" s="11"/>
      <c r="AX174"/>
    </row>
    <row r="175" spans="1:50" x14ac:dyDescent="0.25">
      <c r="A175">
        <v>30014</v>
      </c>
      <c r="B175" t="s">
        <v>32</v>
      </c>
      <c r="C175" s="45">
        <v>45421</v>
      </c>
      <c r="D175" s="46" t="s">
        <v>37</v>
      </c>
      <c r="E175" s="46" t="s">
        <v>41</v>
      </c>
      <c r="F175" s="63">
        <f t="shared" si="221"/>
        <v>1</v>
      </c>
      <c r="G175" s="34"/>
      <c r="H175" s="56" t="s">
        <v>52</v>
      </c>
      <c r="I175" s="28">
        <v>1530</v>
      </c>
      <c r="J175" t="s">
        <v>2</v>
      </c>
      <c r="K175" s="47">
        <v>6050</v>
      </c>
      <c r="L175" s="3" t="str">
        <f t="shared" si="222"/>
        <v>m</v>
      </c>
      <c r="M175" s="33">
        <f t="shared" si="173"/>
        <v>14347.575000000001</v>
      </c>
      <c r="N175" s="2">
        <f>_xlfn.XLOOKUP(A175,'[1]Prix MP'!$A:$A,'[1]Prix MP'!$T:$T)</f>
        <v>0.26001875721560863</v>
      </c>
      <c r="O175" s="18">
        <f>_xlfn.XLOOKUP(A175,'[1]Prix MP'!$A:$A,'[1]Prix MP'!$U:$U)</f>
        <v>0.26001875721560863</v>
      </c>
      <c r="P175" s="11">
        <f t="shared" si="223"/>
        <v>3730.638620557736</v>
      </c>
      <c r="Q175" s="7">
        <f t="shared" si="224"/>
        <v>3730.638620557736</v>
      </c>
      <c r="R175" t="s">
        <v>200</v>
      </c>
      <c r="S175" s="1">
        <f t="shared" si="152"/>
        <v>60.24</v>
      </c>
      <c r="T175" s="33">
        <f t="shared" si="153"/>
        <v>19849</v>
      </c>
      <c r="V175" s="8">
        <f t="shared" si="225"/>
        <v>9256.5</v>
      </c>
      <c r="W175" s="69"/>
      <c r="AG175" s="11"/>
      <c r="AX175"/>
    </row>
    <row r="176" spans="1:50" x14ac:dyDescent="0.25">
      <c r="A176">
        <v>30014</v>
      </c>
      <c r="B176" t="s">
        <v>32</v>
      </c>
      <c r="C176" s="45">
        <v>45425</v>
      </c>
      <c r="D176" s="46" t="s">
        <v>37</v>
      </c>
      <c r="E176" s="46" t="s">
        <v>41</v>
      </c>
      <c r="F176" s="63">
        <f t="shared" si="221"/>
        <v>1</v>
      </c>
      <c r="G176" s="49">
        <v>2024055</v>
      </c>
      <c r="H176" s="58" t="s">
        <v>244</v>
      </c>
      <c r="I176" s="28">
        <v>1530</v>
      </c>
      <c r="J176" t="s">
        <v>2</v>
      </c>
      <c r="K176" s="47">
        <v>2743</v>
      </c>
      <c r="L176" s="3" t="str">
        <f t="shared" si="222"/>
        <v>m</v>
      </c>
      <c r="M176" s="33">
        <f t="shared" si="173"/>
        <v>6505.0245000000004</v>
      </c>
      <c r="N176" s="2">
        <f>_xlfn.XLOOKUP(A176,'[1]Prix MP'!$A:$A,'[1]Prix MP'!$T:$T)</f>
        <v>0.26001875721560863</v>
      </c>
      <c r="O176" s="18">
        <f>_xlfn.XLOOKUP(A176,'[1]Prix MP'!$A:$A,'[1]Prix MP'!$U:$U)</f>
        <v>0.26001875721560863</v>
      </c>
      <c r="P176" s="11">
        <f t="shared" si="223"/>
        <v>1691.428386147086</v>
      </c>
      <c r="Q176" s="7">
        <f t="shared" si="224"/>
        <v>1691.428386147086</v>
      </c>
      <c r="R176" t="s">
        <v>200</v>
      </c>
      <c r="S176" s="1">
        <f t="shared" si="152"/>
        <v>60.24</v>
      </c>
      <c r="T176" s="33">
        <f t="shared" si="153"/>
        <v>8999</v>
      </c>
      <c r="V176" s="8">
        <f t="shared" si="225"/>
        <v>4196.79</v>
      </c>
      <c r="W176" s="69"/>
      <c r="AG176" s="11"/>
      <c r="AX176"/>
    </row>
    <row r="177" spans="1:50" x14ac:dyDescent="0.25">
      <c r="A177">
        <v>30014</v>
      </c>
      <c r="B177" t="s">
        <v>32</v>
      </c>
      <c r="C177" s="45">
        <v>45425</v>
      </c>
      <c r="D177" s="46" t="s">
        <v>37</v>
      </c>
      <c r="E177" s="46" t="s">
        <v>41</v>
      </c>
      <c r="F177" s="63">
        <f t="shared" si="221"/>
        <v>1</v>
      </c>
      <c r="G177" s="49">
        <v>2024055</v>
      </c>
      <c r="H177" s="58" t="s">
        <v>245</v>
      </c>
      <c r="I177" s="28">
        <v>44.25</v>
      </c>
      <c r="J177" t="s">
        <v>36</v>
      </c>
      <c r="K177" s="47">
        <v>9000</v>
      </c>
      <c r="L177" s="3" t="str">
        <f t="shared" si="222"/>
        <v>pi</v>
      </c>
      <c r="M177" s="33">
        <f t="shared" si="173"/>
        <v>4779</v>
      </c>
      <c r="N177" s="2">
        <f>_xlfn.XLOOKUP(A177,'[1]Prix MP'!$A:$A,'[1]Prix MP'!$T:$T)</f>
        <v>0.26001875721560863</v>
      </c>
      <c r="O177" s="18">
        <f>_xlfn.XLOOKUP(A177,'[1]Prix MP'!$A:$A,'[1]Prix MP'!$U:$U)</f>
        <v>0.26001875721560863</v>
      </c>
      <c r="P177" s="11">
        <f t="shared" si="223"/>
        <v>1242.6296407333937</v>
      </c>
      <c r="Q177" s="7">
        <f t="shared" si="224"/>
        <v>1242.6296407333937</v>
      </c>
      <c r="R177" t="s">
        <v>200</v>
      </c>
      <c r="S177" s="1">
        <f t="shared" si="152"/>
        <v>44.25</v>
      </c>
      <c r="T177" s="33">
        <f t="shared" si="153"/>
        <v>9000</v>
      </c>
      <c r="V177" s="8" t="str">
        <f t="shared" si="225"/>
        <v/>
      </c>
      <c r="W177" s="69"/>
      <c r="AG177" s="11"/>
      <c r="AX177"/>
    </row>
    <row r="178" spans="1:50" x14ac:dyDescent="0.25">
      <c r="A178">
        <v>30014</v>
      </c>
      <c r="B178" t="s">
        <v>32</v>
      </c>
      <c r="C178" s="45">
        <v>45421</v>
      </c>
      <c r="D178" s="46" t="s">
        <v>37</v>
      </c>
      <c r="E178" s="46" t="s">
        <v>41</v>
      </c>
      <c r="F178" s="63">
        <f t="shared" si="221"/>
        <v>1</v>
      </c>
      <c r="G178" s="34"/>
      <c r="H178" s="58" t="s">
        <v>53</v>
      </c>
      <c r="I178" s="28">
        <v>1530</v>
      </c>
      <c r="J178" t="s">
        <v>2</v>
      </c>
      <c r="K178" s="47">
        <v>5960</v>
      </c>
      <c r="L178" s="3" t="str">
        <f t="shared" si="222"/>
        <v>m</v>
      </c>
      <c r="M178" s="33">
        <f t="shared" si="173"/>
        <v>14134.14</v>
      </c>
      <c r="N178" s="2">
        <f>_xlfn.XLOOKUP(A178,'[1]Prix MP'!$A:$A,'[1]Prix MP'!$T:$T)</f>
        <v>0.26001875721560863</v>
      </c>
      <c r="O178" s="18">
        <f>_xlfn.XLOOKUP(A178,'[1]Prix MP'!$A:$A,'[1]Prix MP'!$U:$U)</f>
        <v>0.26001875721560863</v>
      </c>
      <c r="P178" s="11">
        <f t="shared" si="223"/>
        <v>3675.1415171114222</v>
      </c>
      <c r="Q178" s="7">
        <f t="shared" si="224"/>
        <v>3675.1415171114222</v>
      </c>
      <c r="R178" t="s">
        <v>200</v>
      </c>
      <c r="S178" s="1">
        <f t="shared" si="152"/>
        <v>60.24</v>
      </c>
      <c r="T178" s="33">
        <f t="shared" si="153"/>
        <v>19554</v>
      </c>
      <c r="V178" s="8">
        <f t="shared" si="225"/>
        <v>9118.7999999999993</v>
      </c>
      <c r="W178" s="69"/>
      <c r="AG178" s="11"/>
      <c r="AX178"/>
    </row>
    <row r="179" spans="1:50" x14ac:dyDescent="0.25">
      <c r="A179">
        <v>30015</v>
      </c>
      <c r="B179" t="s">
        <v>33</v>
      </c>
      <c r="C179" s="45">
        <v>45421</v>
      </c>
      <c r="D179" s="46" t="s">
        <v>37</v>
      </c>
      <c r="E179" s="46" t="s">
        <v>42</v>
      </c>
      <c r="F179" s="63">
        <f t="shared" si="221"/>
        <v>1</v>
      </c>
      <c r="G179" s="34"/>
      <c r="H179" s="58" t="s">
        <v>55</v>
      </c>
      <c r="I179" s="28">
        <v>1530</v>
      </c>
      <c r="J179" t="s">
        <v>2</v>
      </c>
      <c r="K179" s="47">
        <v>6080</v>
      </c>
      <c r="L179" s="3" t="str">
        <f t="shared" si="222"/>
        <v>m</v>
      </c>
      <c r="M179" s="33">
        <f t="shared" si="173"/>
        <v>14418.72</v>
      </c>
      <c r="N179" s="2">
        <f>_xlfn.XLOOKUP(A179,'[1]Prix MP'!$A:$A,'[1]Prix MP'!$T:$T)</f>
        <v>0.26885424108657641</v>
      </c>
      <c r="O179" s="18">
        <f>_xlfn.XLOOKUP(A179,'[1]Prix MP'!$A:$A,'[1]Prix MP'!$U:$U)</f>
        <v>0.26885424108657641</v>
      </c>
      <c r="P179" s="11">
        <f t="shared" si="223"/>
        <v>3876.5340230398406</v>
      </c>
      <c r="Q179" s="7">
        <f t="shared" si="224"/>
        <v>3876.5340230398406</v>
      </c>
      <c r="R179" t="s">
        <v>201</v>
      </c>
      <c r="S179" s="1">
        <f t="shared" si="152"/>
        <v>0</v>
      </c>
      <c r="T179" s="33">
        <f t="shared" si="153"/>
        <v>0</v>
      </c>
      <c r="V179" s="8">
        <f t="shared" si="225"/>
        <v>9302.4</v>
      </c>
      <c r="W179" s="69"/>
      <c r="AG179" s="11"/>
      <c r="AX179"/>
    </row>
    <row r="180" spans="1:50" x14ac:dyDescent="0.25">
      <c r="A180">
        <v>30015</v>
      </c>
      <c r="B180" s="17" t="s">
        <v>33</v>
      </c>
      <c r="C180" s="45">
        <v>45618</v>
      </c>
      <c r="D180" s="46" t="s">
        <v>176</v>
      </c>
      <c r="E180" s="46" t="s">
        <v>42</v>
      </c>
      <c r="F180" s="64">
        <v>-1</v>
      </c>
      <c r="G180" s="49" t="s">
        <v>462</v>
      </c>
      <c r="H180" s="58" t="s">
        <v>463</v>
      </c>
      <c r="I180" s="28">
        <v>60.24</v>
      </c>
      <c r="J180" t="s">
        <v>36</v>
      </c>
      <c r="K180" s="47">
        <v>19948</v>
      </c>
      <c r="L180" s="3" t="s">
        <v>372</v>
      </c>
      <c r="M180" s="33">
        <f>IF(J180="mm",F180*I180/1000*K180*1.55,F180*I180*12*K180/1000)</f>
        <v>-14420.01024</v>
      </c>
      <c r="N180" s="2">
        <f>_xlfn.XLOOKUP(A180,'[1]Prix MP'!$A:$A,'[1]Prix MP'!$T:$T)</f>
        <v>0.26885424108657641</v>
      </c>
      <c r="O180" s="18">
        <f>_xlfn.XLOOKUP(A180,'[1]Prix MP'!$A:$A,'[1]Prix MP'!$U:$U)</f>
        <v>0.26885424108657641</v>
      </c>
      <c r="P180" s="11">
        <f>M180*N180</f>
        <v>-3876.8809095358606</v>
      </c>
      <c r="Q180" s="7">
        <f t="shared" ref="Q180" si="226">M180*O180</f>
        <v>-3876.8809095358606</v>
      </c>
      <c r="R180" t="s">
        <v>201</v>
      </c>
      <c r="S180" s="1">
        <f>ROUND(IF(E180="I",0,IF(J180="po",I180,I180/25.4)),2)</f>
        <v>0</v>
      </c>
      <c r="T180" s="33">
        <f>ROUND(IF(E180="I",0,IF(J180="po",K180,K180*3.280839895)),0)</f>
        <v>0</v>
      </c>
      <c r="V180" s="8"/>
      <c r="W180" s="69"/>
      <c r="AG180" s="11"/>
      <c r="AX180"/>
    </row>
    <row r="181" spans="1:50" x14ac:dyDescent="0.25">
      <c r="A181">
        <v>30015</v>
      </c>
      <c r="B181" s="17" t="s">
        <v>33</v>
      </c>
      <c r="C181" s="45">
        <v>45618</v>
      </c>
      <c r="D181" s="46" t="s">
        <v>373</v>
      </c>
      <c r="E181" s="46" t="s">
        <v>42</v>
      </c>
      <c r="F181" s="64">
        <v>1</v>
      </c>
      <c r="G181" s="49" t="s">
        <v>462</v>
      </c>
      <c r="H181" s="58" t="s">
        <v>464</v>
      </c>
      <c r="I181" s="28">
        <v>60.24</v>
      </c>
      <c r="J181" t="s">
        <v>36</v>
      </c>
      <c r="K181" s="47">
        <v>14800</v>
      </c>
      <c r="L181" s="3" t="s">
        <v>372</v>
      </c>
      <c r="M181" s="33">
        <f>IF(J181="mm",F181*I181/1000*K181*1.55,F181*I181*12*K181/1000)</f>
        <v>10698.624</v>
      </c>
      <c r="N181" s="2">
        <f>_xlfn.XLOOKUP(A181,'[1]Prix MP'!$A:$A,'[1]Prix MP'!$T:$T)</f>
        <v>0.26885424108657641</v>
      </c>
      <c r="O181" s="18">
        <f>_xlfn.XLOOKUP(A181,'[1]Prix MP'!$A:$A,'[1]Prix MP'!$U:$U)</f>
        <v>0.26885424108657641</v>
      </c>
      <c r="P181" s="11">
        <f>M181*N181</f>
        <v>2876.3704361906325</v>
      </c>
      <c r="Q181" s="7">
        <f t="shared" ref="Q181" si="227">M181*O181</f>
        <v>2876.3704361906325</v>
      </c>
      <c r="R181" t="s">
        <v>201</v>
      </c>
      <c r="S181" s="1">
        <f>ROUND(IF(E181="I",0,IF(J181="po",I181,I181/25.4)),2)</f>
        <v>0</v>
      </c>
      <c r="T181" s="33">
        <f>ROUND(IF(E181="I",0,IF(J181="po",K181,K181*3.280839895)),0)</f>
        <v>0</v>
      </c>
      <c r="V181" s="8"/>
      <c r="W181" s="69"/>
      <c r="AG181" s="11"/>
      <c r="AX181"/>
    </row>
    <row r="182" spans="1:50" x14ac:dyDescent="0.25">
      <c r="A182">
        <v>30015</v>
      </c>
      <c r="B182" s="17" t="s">
        <v>33</v>
      </c>
      <c r="C182" s="45">
        <v>45621</v>
      </c>
      <c r="D182" s="46" t="s">
        <v>176</v>
      </c>
      <c r="E182" s="46" t="s">
        <v>42</v>
      </c>
      <c r="F182" s="64">
        <v>-1</v>
      </c>
      <c r="G182" s="49" t="s">
        <v>470</v>
      </c>
      <c r="H182" s="58" t="s">
        <v>464</v>
      </c>
      <c r="I182" s="28">
        <v>60.24</v>
      </c>
      <c r="J182" t="s">
        <v>36</v>
      </c>
      <c r="K182" s="47">
        <v>14800</v>
      </c>
      <c r="L182" s="3" t="s">
        <v>372</v>
      </c>
      <c r="M182" s="33">
        <f t="shared" ref="M182:M183" si="228">IF(J182="mm",F182*I182/1000*K182*1.55,F182*I182*12*K182/1000)</f>
        <v>-10698.624</v>
      </c>
      <c r="N182" s="2">
        <f>_xlfn.XLOOKUP(A182,'[1]Prix MP'!$A:$A,'[1]Prix MP'!$T:$T)</f>
        <v>0.26885424108657641</v>
      </c>
      <c r="O182" s="18">
        <f>_xlfn.XLOOKUP(A182,'[1]Prix MP'!$A:$A,'[1]Prix MP'!$U:$U)</f>
        <v>0.26885424108657641</v>
      </c>
      <c r="P182" s="11">
        <f t="shared" ref="P182:P183" si="229">M182*N182</f>
        <v>-2876.3704361906325</v>
      </c>
      <c r="Q182" s="7">
        <f t="shared" ref="Q182:Q183" si="230">M182*O182</f>
        <v>-2876.3704361906325</v>
      </c>
      <c r="R182" t="s">
        <v>201</v>
      </c>
      <c r="S182" s="1">
        <f t="shared" ref="S182:S183" si="231">ROUND(IF(E182="I",0,IF(J182="po",I182,I182/25.4)),2)</f>
        <v>0</v>
      </c>
      <c r="T182" s="33">
        <f t="shared" ref="T182:T183" si="232">ROUND(IF(E182="I",0,IF(J182="po",K182,K182*3.280839895)),0)</f>
        <v>0</v>
      </c>
      <c r="V182" s="8"/>
      <c r="W182" s="69"/>
      <c r="AG182" s="11"/>
      <c r="AX182"/>
    </row>
    <row r="183" spans="1:50" x14ac:dyDescent="0.25">
      <c r="A183">
        <v>30015</v>
      </c>
      <c r="B183" s="17" t="s">
        <v>33</v>
      </c>
      <c r="C183" s="45">
        <v>45621</v>
      </c>
      <c r="D183" s="46" t="s">
        <v>373</v>
      </c>
      <c r="E183" s="46" t="s">
        <v>42</v>
      </c>
      <c r="F183" s="64">
        <v>1</v>
      </c>
      <c r="G183" s="49" t="s">
        <v>470</v>
      </c>
      <c r="H183" s="58" t="s">
        <v>471</v>
      </c>
      <c r="I183" s="28">
        <v>60.24</v>
      </c>
      <c r="J183" t="s">
        <v>36</v>
      </c>
      <c r="K183" s="47">
        <v>5000</v>
      </c>
      <c r="L183" s="3" t="s">
        <v>372</v>
      </c>
      <c r="M183" s="33">
        <f t="shared" si="228"/>
        <v>3614.4</v>
      </c>
      <c r="N183" s="2">
        <f>_xlfn.XLOOKUP(A183,'[1]Prix MP'!$A:$A,'[1]Prix MP'!$T:$T)</f>
        <v>0.26885424108657641</v>
      </c>
      <c r="O183" s="18">
        <f>_xlfn.XLOOKUP(A183,'[1]Prix MP'!$A:$A,'[1]Prix MP'!$U:$U)</f>
        <v>0.26885424108657641</v>
      </c>
      <c r="P183" s="11">
        <f t="shared" si="229"/>
        <v>971.74676898332177</v>
      </c>
      <c r="Q183" s="7">
        <f t="shared" si="230"/>
        <v>971.74676898332177</v>
      </c>
      <c r="R183" t="s">
        <v>201</v>
      </c>
      <c r="S183" s="1">
        <f t="shared" si="231"/>
        <v>0</v>
      </c>
      <c r="T183" s="33">
        <f t="shared" si="232"/>
        <v>0</v>
      </c>
      <c r="V183" s="8"/>
      <c r="W183" s="69"/>
      <c r="AG183" s="11"/>
      <c r="AX183"/>
    </row>
    <row r="184" spans="1:50" x14ac:dyDescent="0.25">
      <c r="A184">
        <v>30015</v>
      </c>
      <c r="B184" s="17" t="s">
        <v>33</v>
      </c>
      <c r="C184" s="45">
        <v>45636</v>
      </c>
      <c r="D184" s="46" t="s">
        <v>176</v>
      </c>
      <c r="E184" s="46" t="s">
        <v>42</v>
      </c>
      <c r="F184" s="64">
        <v>-1</v>
      </c>
      <c r="G184" s="49" t="s">
        <v>558</v>
      </c>
      <c r="H184" s="58" t="s">
        <v>471</v>
      </c>
      <c r="I184" s="28">
        <v>60.24</v>
      </c>
      <c r="J184" t="s">
        <v>36</v>
      </c>
      <c r="K184" s="47">
        <v>5000</v>
      </c>
      <c r="L184" s="3" t="s">
        <v>372</v>
      </c>
      <c r="M184" s="33">
        <f>IF(J184="mm",F184*I184/1000*K184*1.55,F184*I184*12*K184/1000)</f>
        <v>-3614.4</v>
      </c>
      <c r="N184" s="2">
        <f>_xlfn.XLOOKUP(A184,'[1]Prix MP'!$A:$A,'[1]Prix MP'!$T:$T)</f>
        <v>0.26885424108657641</v>
      </c>
      <c r="O184" s="18">
        <f>_xlfn.XLOOKUP(A184,'[1]Prix MP'!$A:$A,'[1]Prix MP'!$U:$U)</f>
        <v>0.26885424108657641</v>
      </c>
      <c r="P184" s="11">
        <f>M184*N184</f>
        <v>-971.74676898332177</v>
      </c>
      <c r="Q184" s="7">
        <f t="shared" ref="Q184" si="233">M184*O184</f>
        <v>-971.74676898332177</v>
      </c>
      <c r="R184" t="s">
        <v>201</v>
      </c>
      <c r="S184" s="1">
        <f>ROUND(IF(E184="I",0,IF(J184="po",I184,I184/25.4)),2)</f>
        <v>0</v>
      </c>
      <c r="T184" s="33">
        <f>ROUND(IF(E184="I",0,IF(J184="po",K184,K184*3.280839895)),0)</f>
        <v>0</v>
      </c>
      <c r="V184" s="8"/>
      <c r="W184" s="69"/>
      <c r="AG184" s="11"/>
      <c r="AX184"/>
    </row>
    <row r="185" spans="1:50" x14ac:dyDescent="0.25">
      <c r="A185">
        <v>30015</v>
      </c>
      <c r="B185" t="s">
        <v>33</v>
      </c>
      <c r="C185" s="45">
        <v>45421</v>
      </c>
      <c r="D185" s="46" t="s">
        <v>37</v>
      </c>
      <c r="E185" s="46" t="s">
        <v>42</v>
      </c>
      <c r="F185" s="63">
        <f t="shared" si="221"/>
        <v>1</v>
      </c>
      <c r="G185" s="34">
        <v>2024132</v>
      </c>
      <c r="H185" s="58" t="s">
        <v>117</v>
      </c>
      <c r="I185" s="28">
        <v>1530</v>
      </c>
      <c r="J185" t="s">
        <v>2</v>
      </c>
      <c r="K185" s="47">
        <v>6000</v>
      </c>
      <c r="L185" s="3" t="str">
        <f t="shared" si="222"/>
        <v>m</v>
      </c>
      <c r="M185" s="33">
        <f t="shared" si="173"/>
        <v>14229</v>
      </c>
      <c r="N185" s="2">
        <f>_xlfn.XLOOKUP(A185,'[1]Prix MP'!$A:$A,'[1]Prix MP'!$T:$T)</f>
        <v>0.26885424108657641</v>
      </c>
      <c r="O185" s="18">
        <f>_xlfn.XLOOKUP(A185,'[1]Prix MP'!$A:$A,'[1]Prix MP'!$U:$U)</f>
        <v>0.26885424108657641</v>
      </c>
      <c r="P185" s="11">
        <f t="shared" si="223"/>
        <v>3825.5269964208956</v>
      </c>
      <c r="Q185" s="7">
        <f t="shared" si="224"/>
        <v>3825.5269964208956</v>
      </c>
      <c r="R185" t="s">
        <v>201</v>
      </c>
      <c r="S185" s="1">
        <f t="shared" si="152"/>
        <v>0</v>
      </c>
      <c r="T185" s="33">
        <f t="shared" si="153"/>
        <v>0</v>
      </c>
      <c r="V185" s="8">
        <f t="shared" si="225"/>
        <v>9180</v>
      </c>
      <c r="W185" s="69"/>
      <c r="AG185" s="1"/>
      <c r="AX185"/>
    </row>
    <row r="186" spans="1:50" x14ac:dyDescent="0.25">
      <c r="A186">
        <v>30015</v>
      </c>
      <c r="B186" t="s">
        <v>33</v>
      </c>
      <c r="C186" s="45">
        <v>45576</v>
      </c>
      <c r="D186" s="46" t="s">
        <v>38</v>
      </c>
      <c r="E186" s="46" t="s">
        <v>42</v>
      </c>
      <c r="F186" s="63">
        <f t="shared" ref="F186" si="234">IF(D186="in",1,-1)</f>
        <v>-1</v>
      </c>
      <c r="G186" s="34">
        <v>2024132</v>
      </c>
      <c r="H186" s="58" t="s">
        <v>117</v>
      </c>
      <c r="I186" s="28">
        <v>1530</v>
      </c>
      <c r="J186" t="s">
        <v>2</v>
      </c>
      <c r="K186" s="47">
        <v>6000</v>
      </c>
      <c r="L186" s="3" t="str">
        <f t="shared" ref="L186" si="235">IF(J186="mm","m","pi")</f>
        <v>m</v>
      </c>
      <c r="M186" s="33">
        <f t="shared" ref="M186" si="236">IF(J186="mm",F186*I186/1000*K186*1.55,F186*I186*12*K186/1000)</f>
        <v>-14229</v>
      </c>
      <c r="N186" s="2">
        <f>_xlfn.XLOOKUP(A186,'[1]Prix MP'!$A:$A,'[1]Prix MP'!$T:$T)</f>
        <v>0.26885424108657641</v>
      </c>
      <c r="O186" s="18">
        <f>_xlfn.XLOOKUP(A186,'[1]Prix MP'!$A:$A,'[1]Prix MP'!$U:$U)</f>
        <v>0.26885424108657641</v>
      </c>
      <c r="P186" s="11">
        <f t="shared" ref="P186" si="237">M186*N186</f>
        <v>-3825.5269964208956</v>
      </c>
      <c r="Q186" s="7">
        <f t="shared" ref="Q186" si="238">M186*O186</f>
        <v>-3825.5269964208956</v>
      </c>
      <c r="R186" t="s">
        <v>201</v>
      </c>
      <c r="S186" s="1">
        <f t="shared" si="152"/>
        <v>0</v>
      </c>
      <c r="T186" s="33">
        <f t="shared" si="153"/>
        <v>0</v>
      </c>
      <c r="V186" s="8">
        <f t="shared" si="225"/>
        <v>9180</v>
      </c>
      <c r="W186" s="69"/>
      <c r="AG186" s="1"/>
      <c r="AX186"/>
    </row>
    <row r="187" spans="1:50" x14ac:dyDescent="0.25">
      <c r="A187">
        <v>30015</v>
      </c>
      <c r="B187" t="s">
        <v>33</v>
      </c>
      <c r="C187" s="45">
        <v>45555</v>
      </c>
      <c r="D187" s="46" t="s">
        <v>37</v>
      </c>
      <c r="E187" s="46" t="s">
        <v>42</v>
      </c>
      <c r="F187" s="63">
        <f t="shared" si="221"/>
        <v>1</v>
      </c>
      <c r="G187" s="34" t="s">
        <v>370</v>
      </c>
      <c r="H187" s="58" t="s">
        <v>246</v>
      </c>
      <c r="I187" s="28">
        <v>60.24</v>
      </c>
      <c r="J187" t="s">
        <v>36</v>
      </c>
      <c r="K187" s="47">
        <v>4200</v>
      </c>
      <c r="L187" s="3" t="str">
        <f t="shared" si="222"/>
        <v>pi</v>
      </c>
      <c r="M187" s="33">
        <f t="shared" si="173"/>
        <v>3036.096</v>
      </c>
      <c r="N187" s="2">
        <f>_xlfn.XLOOKUP(A187,'[1]Prix MP'!$A:$A,'[1]Prix MP'!$T:$T)</f>
        <v>0.26885424108657641</v>
      </c>
      <c r="O187" s="18">
        <f>_xlfn.XLOOKUP(A187,'[1]Prix MP'!$A:$A,'[1]Prix MP'!$U:$U)</f>
        <v>0.26885424108657641</v>
      </c>
      <c r="P187" s="11">
        <f t="shared" si="223"/>
        <v>816.26728594599024</v>
      </c>
      <c r="Q187" s="7">
        <f t="shared" si="224"/>
        <v>816.26728594599024</v>
      </c>
      <c r="R187" t="s">
        <v>201</v>
      </c>
      <c r="S187" s="1">
        <f t="shared" si="152"/>
        <v>0</v>
      </c>
      <c r="T187" s="33">
        <f t="shared" si="153"/>
        <v>0</v>
      </c>
      <c r="V187" s="8" t="str">
        <f t="shared" si="225"/>
        <v/>
      </c>
      <c r="W187" s="69"/>
      <c r="AG187" s="1"/>
      <c r="AX187"/>
    </row>
    <row r="188" spans="1:50" x14ac:dyDescent="0.25">
      <c r="A188">
        <v>30015</v>
      </c>
      <c r="B188" t="s">
        <v>33</v>
      </c>
      <c r="C188" s="45">
        <v>45594</v>
      </c>
      <c r="D188" s="46" t="s">
        <v>38</v>
      </c>
      <c r="E188" s="46" t="s">
        <v>42</v>
      </c>
      <c r="F188" s="63">
        <f t="shared" ref="F188" si="239">IF(D188="in",1,-1)</f>
        <v>-1</v>
      </c>
      <c r="G188" s="34" t="s">
        <v>370</v>
      </c>
      <c r="H188" s="58" t="s">
        <v>246</v>
      </c>
      <c r="I188" s="28">
        <v>60.24</v>
      </c>
      <c r="J188" t="s">
        <v>36</v>
      </c>
      <c r="K188" s="47">
        <v>4200</v>
      </c>
      <c r="L188" s="3" t="str">
        <f t="shared" ref="L188" si="240">IF(J188="mm","m","pi")</f>
        <v>pi</v>
      </c>
      <c r="M188" s="33">
        <f t="shared" ref="M188" si="241">IF(J188="mm",F188*I188/1000*K188*1.55,F188*I188*12*K188/1000)</f>
        <v>-3036.096</v>
      </c>
      <c r="N188" s="2">
        <f>_xlfn.XLOOKUP(A188,'[1]Prix MP'!$A:$A,'[1]Prix MP'!$T:$T)</f>
        <v>0.26885424108657641</v>
      </c>
      <c r="O188" s="18">
        <f>_xlfn.XLOOKUP(A188,'[1]Prix MP'!$A:$A,'[1]Prix MP'!$U:$U)</f>
        <v>0.26885424108657641</v>
      </c>
      <c r="P188" s="11">
        <f t="shared" ref="P188" si="242">M188*N188</f>
        <v>-816.26728594599024</v>
      </c>
      <c r="Q188" s="7">
        <f t="shared" ref="Q188" si="243">M188*O188</f>
        <v>-816.26728594599024</v>
      </c>
      <c r="R188" t="s">
        <v>201</v>
      </c>
      <c r="S188" s="1">
        <f t="shared" ref="S188" si="244">ROUND(IF(E188="I",0,IF(J188="po",I188,I188/25.4)),2)</f>
        <v>0</v>
      </c>
      <c r="T188" s="33">
        <f t="shared" ref="T188" si="245">ROUND(IF(E188="I",0,IF(J188="po",K188,K188*3.280839895)),0)</f>
        <v>0</v>
      </c>
      <c r="V188" s="8" t="str">
        <f t="shared" si="225"/>
        <v/>
      </c>
      <c r="W188" s="69"/>
      <c r="AG188" s="1"/>
      <c r="AX188"/>
    </row>
    <row r="189" spans="1:50" x14ac:dyDescent="0.25">
      <c r="A189">
        <v>30015</v>
      </c>
      <c r="B189" t="s">
        <v>33</v>
      </c>
      <c r="C189" s="45">
        <v>45530</v>
      </c>
      <c r="D189" s="46" t="s">
        <v>37</v>
      </c>
      <c r="E189" s="46" t="s">
        <v>42</v>
      </c>
      <c r="F189" s="63">
        <f t="shared" si="221"/>
        <v>1</v>
      </c>
      <c r="G189" s="34" t="s">
        <v>188</v>
      </c>
      <c r="H189" s="58" t="s">
        <v>247</v>
      </c>
      <c r="I189" s="28">
        <v>15.75</v>
      </c>
      <c r="J189" t="s">
        <v>36</v>
      </c>
      <c r="K189" s="47">
        <v>2600</v>
      </c>
      <c r="L189" s="3" t="str">
        <f t="shared" si="222"/>
        <v>pi</v>
      </c>
      <c r="M189" s="33">
        <f t="shared" si="173"/>
        <v>491.4</v>
      </c>
      <c r="N189" s="2">
        <f>_xlfn.XLOOKUP(A189,'[1]Prix MP'!$A:$A,'[1]Prix MP'!$T:$T)</f>
        <v>0.26885424108657641</v>
      </c>
      <c r="O189" s="18">
        <f>_xlfn.XLOOKUP(A189,'[1]Prix MP'!$A:$A,'[1]Prix MP'!$U:$U)</f>
        <v>0.26885424108657641</v>
      </c>
      <c r="P189" s="11">
        <f t="shared" si="223"/>
        <v>132.11497406994363</v>
      </c>
      <c r="Q189" s="7">
        <f t="shared" si="224"/>
        <v>132.11497406994363</v>
      </c>
      <c r="R189" t="s">
        <v>201</v>
      </c>
      <c r="S189" s="1">
        <f t="shared" si="152"/>
        <v>0</v>
      </c>
      <c r="T189" s="33">
        <f t="shared" si="153"/>
        <v>0</v>
      </c>
      <c r="V189" s="8" t="str">
        <f t="shared" si="225"/>
        <v/>
      </c>
      <c r="W189" s="69"/>
      <c r="AG189" s="1"/>
      <c r="AX189"/>
    </row>
    <row r="190" spans="1:50" x14ac:dyDescent="0.25">
      <c r="A190">
        <v>30015</v>
      </c>
      <c r="B190" t="s">
        <v>33</v>
      </c>
      <c r="C190" s="45">
        <v>45569</v>
      </c>
      <c r="D190" s="46" t="s">
        <v>38</v>
      </c>
      <c r="E190" s="46" t="s">
        <v>42</v>
      </c>
      <c r="F190" s="63">
        <f t="shared" si="221"/>
        <v>-1</v>
      </c>
      <c r="G190" s="34" t="s">
        <v>188</v>
      </c>
      <c r="H190" s="58" t="s">
        <v>247</v>
      </c>
      <c r="I190" s="28">
        <v>15.75</v>
      </c>
      <c r="J190" t="s">
        <v>36</v>
      </c>
      <c r="K190" s="47">
        <v>2600</v>
      </c>
      <c r="L190" s="3" t="str">
        <f t="shared" si="222"/>
        <v>pi</v>
      </c>
      <c r="M190" s="33">
        <f t="shared" si="173"/>
        <v>-491.4</v>
      </c>
      <c r="N190" s="2">
        <f>_xlfn.XLOOKUP(A190,'[1]Prix MP'!$A:$A,'[1]Prix MP'!$T:$T)</f>
        <v>0.26885424108657641</v>
      </c>
      <c r="O190" s="18">
        <f>_xlfn.XLOOKUP(A190,'[1]Prix MP'!$A:$A,'[1]Prix MP'!$U:$U)</f>
        <v>0.26885424108657641</v>
      </c>
      <c r="P190" s="11">
        <f t="shared" si="223"/>
        <v>-132.11497406994363</v>
      </c>
      <c r="Q190" s="7">
        <f t="shared" si="224"/>
        <v>-132.11497406994363</v>
      </c>
      <c r="R190" t="s">
        <v>201</v>
      </c>
      <c r="S190" s="1">
        <f t="shared" si="152"/>
        <v>0</v>
      </c>
      <c r="T190" s="33">
        <f t="shared" si="153"/>
        <v>0</v>
      </c>
      <c r="V190" s="8" t="str">
        <f t="shared" si="225"/>
        <v/>
      </c>
      <c r="W190" s="69"/>
      <c r="AG190" s="1"/>
      <c r="AX190"/>
    </row>
    <row r="191" spans="1:50" x14ac:dyDescent="0.25">
      <c r="A191">
        <v>30015</v>
      </c>
      <c r="B191" t="s">
        <v>33</v>
      </c>
      <c r="C191" s="45">
        <v>45569</v>
      </c>
      <c r="D191" s="46" t="s">
        <v>37</v>
      </c>
      <c r="E191" s="46" t="s">
        <v>41</v>
      </c>
      <c r="F191" s="63">
        <f t="shared" si="221"/>
        <v>1</v>
      </c>
      <c r="G191" s="34" t="s">
        <v>188</v>
      </c>
      <c r="H191" s="58" t="s">
        <v>189</v>
      </c>
      <c r="I191" s="28">
        <v>8.6</v>
      </c>
      <c r="J191" t="s">
        <v>36</v>
      </c>
      <c r="K191" s="47">
        <v>2550</v>
      </c>
      <c r="L191" s="3" t="str">
        <f t="shared" si="222"/>
        <v>pi</v>
      </c>
      <c r="M191" s="33">
        <f t="shared" si="173"/>
        <v>263.16000000000003</v>
      </c>
      <c r="N191" s="2">
        <f>_xlfn.XLOOKUP(A191,'[1]Prix MP'!$A:$A,'[1]Prix MP'!$T:$T)</f>
        <v>0.26885424108657641</v>
      </c>
      <c r="O191" s="18">
        <f>_xlfn.XLOOKUP(A191,'[1]Prix MP'!$A:$A,'[1]Prix MP'!$U:$U)</f>
        <v>0.26885424108657641</v>
      </c>
      <c r="P191" s="11">
        <f t="shared" si="223"/>
        <v>70.751682084343457</v>
      </c>
      <c r="Q191" s="7">
        <f t="shared" si="224"/>
        <v>70.751682084343457</v>
      </c>
      <c r="R191" t="s">
        <v>201</v>
      </c>
      <c r="S191" s="1">
        <f t="shared" si="152"/>
        <v>8.6</v>
      </c>
      <c r="T191" s="33">
        <f t="shared" si="153"/>
        <v>2550</v>
      </c>
      <c r="V191" s="8" t="str">
        <f t="shared" si="225"/>
        <v/>
      </c>
      <c r="W191" s="69"/>
      <c r="AG191" s="1"/>
      <c r="AX191"/>
    </row>
    <row r="192" spans="1:50" x14ac:dyDescent="0.25">
      <c r="A192">
        <v>30015</v>
      </c>
      <c r="B192" t="s">
        <v>33</v>
      </c>
      <c r="C192" s="45">
        <v>45429</v>
      </c>
      <c r="D192" s="46" t="s">
        <v>37</v>
      </c>
      <c r="E192" s="46" t="s">
        <v>41</v>
      </c>
      <c r="F192" s="63">
        <f t="shared" si="221"/>
        <v>1</v>
      </c>
      <c r="G192" s="34">
        <v>2024059</v>
      </c>
      <c r="H192" s="58" t="s">
        <v>248</v>
      </c>
      <c r="I192" s="28">
        <v>30.5</v>
      </c>
      <c r="J192" t="s">
        <v>36</v>
      </c>
      <c r="K192" s="47">
        <v>5000</v>
      </c>
      <c r="L192" s="3" t="str">
        <f t="shared" si="222"/>
        <v>pi</v>
      </c>
      <c r="M192" s="33">
        <f t="shared" si="173"/>
        <v>1830</v>
      </c>
      <c r="N192" s="2">
        <f>_xlfn.XLOOKUP(A192,'[1]Prix MP'!$A:$A,'[1]Prix MP'!$T:$T)</f>
        <v>0.26885424108657641</v>
      </c>
      <c r="O192" s="18">
        <f>_xlfn.XLOOKUP(A192,'[1]Prix MP'!$A:$A,'[1]Prix MP'!$U:$U)</f>
        <v>0.26885424108657641</v>
      </c>
      <c r="P192" s="11">
        <f t="shared" si="223"/>
        <v>492.00326118843481</v>
      </c>
      <c r="Q192" s="7">
        <f t="shared" si="224"/>
        <v>492.00326118843481</v>
      </c>
      <c r="R192" t="s">
        <v>201</v>
      </c>
      <c r="S192" s="1">
        <f t="shared" si="152"/>
        <v>30.5</v>
      </c>
      <c r="T192" s="33">
        <f t="shared" si="153"/>
        <v>5000</v>
      </c>
      <c r="V192" s="8" t="str">
        <f t="shared" si="225"/>
        <v/>
      </c>
      <c r="W192" s="69"/>
      <c r="AG192" s="1"/>
      <c r="AX192"/>
    </row>
    <row r="193" spans="1:50" x14ac:dyDescent="0.25">
      <c r="A193">
        <v>30015</v>
      </c>
      <c r="B193" t="s">
        <v>33</v>
      </c>
      <c r="C193" s="45">
        <v>45481</v>
      </c>
      <c r="D193" s="46" t="s">
        <v>37</v>
      </c>
      <c r="E193" s="46" t="s">
        <v>42</v>
      </c>
      <c r="F193" s="63">
        <f t="shared" si="221"/>
        <v>1</v>
      </c>
      <c r="G193" s="34" t="s">
        <v>327</v>
      </c>
      <c r="H193" s="58" t="s">
        <v>249</v>
      </c>
      <c r="I193" s="28">
        <v>30.5</v>
      </c>
      <c r="J193" t="s">
        <v>36</v>
      </c>
      <c r="K193" s="47">
        <v>4685</v>
      </c>
      <c r="L193" s="3" t="str">
        <f t="shared" si="222"/>
        <v>pi</v>
      </c>
      <c r="M193" s="33">
        <f t="shared" si="173"/>
        <v>1714.71</v>
      </c>
      <c r="N193" s="2">
        <f>_xlfn.XLOOKUP(A193,'[1]Prix MP'!$A:$A,'[1]Prix MP'!$T:$T)</f>
        <v>0.26885424108657641</v>
      </c>
      <c r="O193" s="18">
        <f>_xlfn.XLOOKUP(A193,'[1]Prix MP'!$A:$A,'[1]Prix MP'!$U:$U)</f>
        <v>0.26885424108657641</v>
      </c>
      <c r="P193" s="11">
        <f t="shared" si="223"/>
        <v>461.00705573356345</v>
      </c>
      <c r="Q193" s="7">
        <f t="shared" si="224"/>
        <v>461.00705573356345</v>
      </c>
      <c r="R193" t="s">
        <v>201</v>
      </c>
      <c r="S193" s="1">
        <f t="shared" si="152"/>
        <v>0</v>
      </c>
      <c r="T193" s="33">
        <f t="shared" si="153"/>
        <v>0</v>
      </c>
      <c r="V193" s="8" t="str">
        <f t="shared" si="225"/>
        <v/>
      </c>
      <c r="W193" s="69"/>
      <c r="AG193" s="1"/>
      <c r="AX193"/>
    </row>
    <row r="194" spans="1:50" x14ac:dyDescent="0.25">
      <c r="A194">
        <v>30015</v>
      </c>
      <c r="B194" t="s">
        <v>33</v>
      </c>
      <c r="C194" s="45">
        <v>45582</v>
      </c>
      <c r="D194" s="46" t="s">
        <v>38</v>
      </c>
      <c r="E194" s="46" t="s">
        <v>42</v>
      </c>
      <c r="F194" s="63">
        <f t="shared" ref="F194:F197" si="246">IF(D194="in",1,-1)</f>
        <v>-1</v>
      </c>
      <c r="G194" s="34" t="s">
        <v>327</v>
      </c>
      <c r="H194" s="58" t="s">
        <v>249</v>
      </c>
      <c r="I194" s="28">
        <v>30.5</v>
      </c>
      <c r="J194" t="s">
        <v>36</v>
      </c>
      <c r="K194" s="47">
        <v>4685</v>
      </c>
      <c r="L194" s="3" t="str">
        <f t="shared" ref="L194:L197" si="247">IF(J194="mm","m","pi")</f>
        <v>pi</v>
      </c>
      <c r="M194" s="33">
        <f t="shared" ref="M194:M197" si="248">IF(J194="mm",F194*I194/1000*K194*1.55,F194*I194*12*K194/1000)</f>
        <v>-1714.71</v>
      </c>
      <c r="N194" s="2">
        <f>_xlfn.XLOOKUP(A194,'[1]Prix MP'!$A:$A,'[1]Prix MP'!$T:$T)</f>
        <v>0.26885424108657641</v>
      </c>
      <c r="O194" s="18">
        <f>_xlfn.XLOOKUP(A194,'[1]Prix MP'!$A:$A,'[1]Prix MP'!$U:$U)</f>
        <v>0.26885424108657641</v>
      </c>
      <c r="P194" s="11">
        <f t="shared" ref="P194:P197" si="249">M194*N194</f>
        <v>-461.00705573356345</v>
      </c>
      <c r="Q194" s="7">
        <f t="shared" ref="Q194:Q197" si="250">M194*O194</f>
        <v>-461.00705573356345</v>
      </c>
      <c r="R194" t="s">
        <v>201</v>
      </c>
      <c r="S194" s="1">
        <f t="shared" si="152"/>
        <v>0</v>
      </c>
      <c r="T194" s="33">
        <f t="shared" si="153"/>
        <v>0</v>
      </c>
      <c r="V194" s="8" t="str">
        <f t="shared" si="225"/>
        <v/>
      </c>
      <c r="W194" s="69"/>
      <c r="AG194" s="1"/>
      <c r="AX194"/>
    </row>
    <row r="195" spans="1:50" x14ac:dyDescent="0.25">
      <c r="A195">
        <v>30015</v>
      </c>
      <c r="B195" t="s">
        <v>33</v>
      </c>
      <c r="C195" s="45">
        <v>45582</v>
      </c>
      <c r="D195" s="46" t="s">
        <v>37</v>
      </c>
      <c r="E195" s="46" t="s">
        <v>42</v>
      </c>
      <c r="F195" s="63">
        <f t="shared" si="246"/>
        <v>1</v>
      </c>
      <c r="G195" s="34" t="s">
        <v>327</v>
      </c>
      <c r="H195" s="58" t="s">
        <v>328</v>
      </c>
      <c r="I195" s="28">
        <v>17.25</v>
      </c>
      <c r="J195" t="s">
        <v>36</v>
      </c>
      <c r="K195" s="47">
        <v>2250</v>
      </c>
      <c r="L195" s="3" t="str">
        <f t="shared" si="247"/>
        <v>pi</v>
      </c>
      <c r="M195" s="33">
        <f t="shared" si="248"/>
        <v>465.75</v>
      </c>
      <c r="N195" s="2">
        <f>_xlfn.XLOOKUP(A195,'[1]Prix MP'!$A:$A,'[1]Prix MP'!$T:$T)</f>
        <v>0.26885424108657641</v>
      </c>
      <c r="O195" s="18">
        <f>_xlfn.XLOOKUP(A195,'[1]Prix MP'!$A:$A,'[1]Prix MP'!$U:$U)</f>
        <v>0.26885424108657641</v>
      </c>
      <c r="P195" s="11">
        <f t="shared" si="249"/>
        <v>125.21886278607296</v>
      </c>
      <c r="Q195" s="7">
        <f t="shared" si="250"/>
        <v>125.21886278607296</v>
      </c>
      <c r="R195" t="s">
        <v>201</v>
      </c>
      <c r="S195" s="1">
        <f t="shared" si="152"/>
        <v>0</v>
      </c>
      <c r="T195" s="33">
        <f t="shared" si="153"/>
        <v>0</v>
      </c>
      <c r="V195" s="8" t="str">
        <f t="shared" si="225"/>
        <v/>
      </c>
      <c r="W195" s="69"/>
      <c r="AG195" s="1"/>
      <c r="AX195"/>
    </row>
    <row r="196" spans="1:50" x14ac:dyDescent="0.25">
      <c r="A196">
        <v>30015</v>
      </c>
      <c r="B196" s="17" t="s">
        <v>33</v>
      </c>
      <c r="C196" s="45">
        <v>45624</v>
      </c>
      <c r="D196" s="46" t="s">
        <v>176</v>
      </c>
      <c r="E196" s="46" t="s">
        <v>42</v>
      </c>
      <c r="F196" s="64">
        <v>-1</v>
      </c>
      <c r="G196" s="49" t="s">
        <v>483</v>
      </c>
      <c r="H196" s="58" t="s">
        <v>484</v>
      </c>
      <c r="I196" s="28">
        <v>17.25</v>
      </c>
      <c r="J196" t="s">
        <v>36</v>
      </c>
      <c r="K196" s="47">
        <v>2250</v>
      </c>
      <c r="L196" s="3" t="s">
        <v>372</v>
      </c>
      <c r="M196" s="33">
        <f>IF(J196="mm",F196*I196/1000*K196*1.55,F196*I196*12*K196/1000)</f>
        <v>-465.75</v>
      </c>
      <c r="N196" s="2">
        <f>_xlfn.XLOOKUP(A196,'[1]Prix MP'!$A:$A,'[1]Prix MP'!$T:$T)</f>
        <v>0.26885424108657641</v>
      </c>
      <c r="O196" s="18">
        <f>_xlfn.XLOOKUP(A196,'[1]Prix MP'!$A:$A,'[1]Prix MP'!$U:$U)</f>
        <v>0.26885424108657641</v>
      </c>
      <c r="P196" s="11">
        <f>M196*N196</f>
        <v>-125.21886278607296</v>
      </c>
      <c r="Q196" s="7">
        <f t="shared" ref="Q196" si="251">M196*O196</f>
        <v>-125.21886278607296</v>
      </c>
      <c r="R196" t="s">
        <v>201</v>
      </c>
      <c r="S196" s="1">
        <f>ROUND(IF(E196="I",0,IF(J196="po",I196,I196/25.4)),2)</f>
        <v>0</v>
      </c>
      <c r="T196" s="33">
        <f>ROUND(IF(E196="I",0,IF(J196="po",K196,K196*3.280839895)),0)</f>
        <v>0</v>
      </c>
      <c r="V196" s="8"/>
      <c r="W196" s="69"/>
      <c r="AG196" s="1"/>
      <c r="AX196"/>
    </row>
    <row r="197" spans="1:50" x14ac:dyDescent="0.25">
      <c r="A197">
        <v>30015</v>
      </c>
      <c r="B197" s="17" t="s">
        <v>33</v>
      </c>
      <c r="C197" s="45">
        <v>45582</v>
      </c>
      <c r="D197" s="46" t="s">
        <v>37</v>
      </c>
      <c r="E197" s="46" t="s">
        <v>42</v>
      </c>
      <c r="F197" s="64">
        <f t="shared" si="246"/>
        <v>1</v>
      </c>
      <c r="G197" s="49" t="s">
        <v>327</v>
      </c>
      <c r="H197" s="58" t="s">
        <v>329</v>
      </c>
      <c r="I197" s="28">
        <v>30.5</v>
      </c>
      <c r="J197" t="s">
        <v>36</v>
      </c>
      <c r="K197" s="47">
        <v>2350</v>
      </c>
      <c r="L197" s="3" t="str">
        <f t="shared" si="247"/>
        <v>pi</v>
      </c>
      <c r="M197" s="33">
        <f t="shared" si="248"/>
        <v>860.1</v>
      </c>
      <c r="N197" s="2">
        <f>_xlfn.XLOOKUP(A197,'[1]Prix MP'!$A:$A,'[1]Prix MP'!$T:$T)</f>
        <v>0.26885424108657641</v>
      </c>
      <c r="O197" s="18">
        <f>_xlfn.XLOOKUP(A197,'[1]Prix MP'!$A:$A,'[1]Prix MP'!$U:$U)</f>
        <v>0.26885424108657641</v>
      </c>
      <c r="P197" s="11">
        <f t="shared" si="249"/>
        <v>231.24153275856438</v>
      </c>
      <c r="Q197" s="7">
        <f t="shared" si="250"/>
        <v>231.24153275856438</v>
      </c>
      <c r="R197" t="s">
        <v>201</v>
      </c>
      <c r="S197" s="1">
        <f t="shared" si="152"/>
        <v>0</v>
      </c>
      <c r="T197" s="33">
        <f t="shared" si="153"/>
        <v>0</v>
      </c>
      <c r="V197" s="8" t="str">
        <f t="shared" si="225"/>
        <v/>
      </c>
      <c r="W197" s="69"/>
      <c r="AG197" s="1"/>
      <c r="AX197"/>
    </row>
    <row r="198" spans="1:50" x14ac:dyDescent="0.25">
      <c r="A198">
        <v>30015</v>
      </c>
      <c r="B198" s="17" t="s">
        <v>33</v>
      </c>
      <c r="C198" s="45">
        <v>45629</v>
      </c>
      <c r="D198" s="46" t="s">
        <v>176</v>
      </c>
      <c r="E198" s="46" t="s">
        <v>42</v>
      </c>
      <c r="F198" s="64">
        <v>-1</v>
      </c>
      <c r="G198" s="49" t="s">
        <v>513</v>
      </c>
      <c r="H198" s="58" t="s">
        <v>514</v>
      </c>
      <c r="I198" s="28">
        <v>30.5</v>
      </c>
      <c r="J198" t="s">
        <v>36</v>
      </c>
      <c r="K198" s="47">
        <v>2350</v>
      </c>
      <c r="L198" s="3" t="s">
        <v>372</v>
      </c>
      <c r="M198" s="33">
        <f t="shared" ref="M198:M199" si="252">IF(J198="mm",F198*I198/1000*K198*1.55,F198*I198*12*K198/1000)</f>
        <v>-860.1</v>
      </c>
      <c r="N198" s="2">
        <f>_xlfn.XLOOKUP(A198,'[1]Prix MP'!$A:$A,'[1]Prix MP'!$T:$T)</f>
        <v>0.26885424108657641</v>
      </c>
      <c r="O198" s="18">
        <f>_xlfn.XLOOKUP(A198,'[1]Prix MP'!$A:$A,'[1]Prix MP'!$U:$U)</f>
        <v>0.26885424108657641</v>
      </c>
      <c r="P198" s="11">
        <f t="shared" ref="P198:P199" si="253">M198*N198</f>
        <v>-231.24153275856438</v>
      </c>
      <c r="Q198" s="7">
        <f t="shared" ref="Q198:Q199" si="254">M198*O198</f>
        <v>-231.24153275856438</v>
      </c>
      <c r="R198" t="s">
        <v>201</v>
      </c>
      <c r="S198" s="1">
        <f t="shared" ref="S198:S199" si="255">ROUND(IF(E198="I",0,IF(J198="po",I198,I198/25.4)),2)</f>
        <v>0</v>
      </c>
      <c r="T198" s="33">
        <f t="shared" ref="T198:T199" si="256">ROUND(IF(E198="I",0,IF(J198="po",K198,K198*3.280839895)),0)</f>
        <v>0</v>
      </c>
      <c r="V198" s="8"/>
      <c r="W198" s="69"/>
      <c r="AG198" s="1"/>
      <c r="AX198"/>
    </row>
    <row r="199" spans="1:50" x14ac:dyDescent="0.25">
      <c r="A199">
        <v>30015</v>
      </c>
      <c r="B199" s="17" t="s">
        <v>33</v>
      </c>
      <c r="C199" s="45">
        <v>45629</v>
      </c>
      <c r="D199" s="46" t="s">
        <v>373</v>
      </c>
      <c r="E199" s="46" t="s">
        <v>42</v>
      </c>
      <c r="F199" s="64">
        <v>1</v>
      </c>
      <c r="G199" s="49" t="s">
        <v>513</v>
      </c>
      <c r="H199" s="58" t="s">
        <v>515</v>
      </c>
      <c r="I199" s="28">
        <v>20.25</v>
      </c>
      <c r="J199" t="s">
        <v>36</v>
      </c>
      <c r="K199" s="47">
        <v>2300</v>
      </c>
      <c r="L199" s="3" t="s">
        <v>372</v>
      </c>
      <c r="M199" s="33">
        <f t="shared" si="252"/>
        <v>558.9</v>
      </c>
      <c r="N199" s="2">
        <f>_xlfn.XLOOKUP(A199,'[1]Prix MP'!$A:$A,'[1]Prix MP'!$T:$T)</f>
        <v>0.26885424108657641</v>
      </c>
      <c r="O199" s="18">
        <f>_xlfn.XLOOKUP(A199,'[1]Prix MP'!$A:$A,'[1]Prix MP'!$U:$U)</f>
        <v>0.26885424108657641</v>
      </c>
      <c r="P199" s="11">
        <f t="shared" si="253"/>
        <v>150.26263534328754</v>
      </c>
      <c r="Q199" s="7">
        <f t="shared" si="254"/>
        <v>150.26263534328754</v>
      </c>
      <c r="R199" t="s">
        <v>201</v>
      </c>
      <c r="S199" s="1">
        <f t="shared" si="255"/>
        <v>0</v>
      </c>
      <c r="T199" s="33">
        <f t="shared" si="256"/>
        <v>0</v>
      </c>
      <c r="V199" s="8"/>
      <c r="W199" s="69"/>
      <c r="AG199" s="1"/>
      <c r="AX199"/>
    </row>
    <row r="200" spans="1:50" x14ac:dyDescent="0.25">
      <c r="A200">
        <v>30015</v>
      </c>
      <c r="B200" s="17" t="s">
        <v>33</v>
      </c>
      <c r="C200" s="45">
        <v>45667</v>
      </c>
      <c r="D200" s="46" t="s">
        <v>176</v>
      </c>
      <c r="E200" s="46" t="s">
        <v>42</v>
      </c>
      <c r="F200" s="64">
        <v>-1</v>
      </c>
      <c r="G200" s="49" t="s">
        <v>628</v>
      </c>
      <c r="H200" s="58" t="s">
        <v>515</v>
      </c>
      <c r="I200" s="28">
        <v>20.25</v>
      </c>
      <c r="J200" t="s">
        <v>36</v>
      </c>
      <c r="K200" s="47">
        <v>2300</v>
      </c>
      <c r="L200" s="3" t="s">
        <v>372</v>
      </c>
      <c r="M200" s="33">
        <f>IF(J200="mm",F200*I200/1000*K200*1.55,F200*I200*12*K200/1000)</f>
        <v>-558.9</v>
      </c>
      <c r="N200" s="2">
        <f>_xlfn.XLOOKUP(A200,'[1]Prix MP'!$A:$A,'[1]Prix MP'!$T:$T)</f>
        <v>0.26885424108657641</v>
      </c>
      <c r="O200" s="18">
        <f>_xlfn.XLOOKUP(A200,'[1]Prix MP'!$A:$A,'[1]Prix MP'!$U:$U)</f>
        <v>0.26885424108657641</v>
      </c>
      <c r="P200" s="11">
        <f>M200*N200</f>
        <v>-150.26263534328754</v>
      </c>
      <c r="Q200" s="7">
        <f t="shared" ref="Q200:Q201" si="257">M200*O200</f>
        <v>-150.26263534328754</v>
      </c>
      <c r="R200" t="s">
        <v>201</v>
      </c>
      <c r="S200" s="1">
        <f>ROUND(IF(E200="I",0,IF(J200="po",I200,I200/25.4)),2)</f>
        <v>0</v>
      </c>
      <c r="T200" s="33">
        <f>ROUND(IF(E200="I",0,IF(J200="po",K200,K200*3.280839895)),0)</f>
        <v>0</v>
      </c>
      <c r="V200" s="8"/>
      <c r="W200" s="69"/>
      <c r="AG200" s="1"/>
      <c r="AX200"/>
    </row>
    <row r="201" spans="1:50" x14ac:dyDescent="0.25">
      <c r="A201">
        <v>30015</v>
      </c>
      <c r="B201" s="17" t="s">
        <v>33</v>
      </c>
      <c r="C201" s="45">
        <v>45667</v>
      </c>
      <c r="D201" s="46" t="s">
        <v>373</v>
      </c>
      <c r="E201" s="46" t="s">
        <v>41</v>
      </c>
      <c r="F201" s="64">
        <v>1</v>
      </c>
      <c r="G201" s="49" t="s">
        <v>628</v>
      </c>
      <c r="H201" s="58" t="s">
        <v>629</v>
      </c>
      <c r="I201" s="28">
        <v>7.08</v>
      </c>
      <c r="J201" t="s">
        <v>36</v>
      </c>
      <c r="K201" s="47">
        <v>2250</v>
      </c>
      <c r="L201" s="3" t="s">
        <v>372</v>
      </c>
      <c r="M201" s="33">
        <f>IF(J201="mm",F201*I201/1000*K201*1.55,F201*I201*12*K201/1000)</f>
        <v>191.16000000000003</v>
      </c>
      <c r="N201" s="2">
        <f>_xlfn.XLOOKUP(A201,'[1]Prix MP'!$A:$A,'[1]Prix MP'!$T:$T)</f>
        <v>0.26885424108657641</v>
      </c>
      <c r="O201" s="18">
        <f>_xlfn.XLOOKUP(A201,'[1]Prix MP'!$A:$A,'[1]Prix MP'!$U:$U)</f>
        <v>0.26885424108657641</v>
      </c>
      <c r="P201" s="11">
        <f>M201*N201</f>
        <v>51.394176726109954</v>
      </c>
      <c r="Q201" s="7">
        <f t="shared" si="257"/>
        <v>51.394176726109954</v>
      </c>
      <c r="R201" t="s">
        <v>201</v>
      </c>
      <c r="S201" s="1">
        <f>ROUND(IF(E201="I",0,IF(J201="po",I201,I201/25.4)),2)</f>
        <v>7.08</v>
      </c>
      <c r="T201" s="33">
        <f>ROUND(IF(E201="I",0,IF(J201="po",K201,K201*3.280839895)),0)</f>
        <v>2250</v>
      </c>
      <c r="V201" s="8"/>
      <c r="W201" s="69"/>
      <c r="AG201" s="1"/>
      <c r="AX201"/>
    </row>
    <row r="202" spans="1:50" x14ac:dyDescent="0.25">
      <c r="A202">
        <v>30015</v>
      </c>
      <c r="B202" s="17" t="s">
        <v>33</v>
      </c>
      <c r="C202" s="45">
        <v>45421</v>
      </c>
      <c r="D202" s="46" t="s">
        <v>37</v>
      </c>
      <c r="E202" s="46" t="s">
        <v>42</v>
      </c>
      <c r="F202" s="64">
        <f t="shared" si="221"/>
        <v>1</v>
      </c>
      <c r="G202" s="49"/>
      <c r="H202" s="58" t="s">
        <v>118</v>
      </c>
      <c r="I202" s="28">
        <v>1530</v>
      </c>
      <c r="J202" t="s">
        <v>2</v>
      </c>
      <c r="K202" s="47">
        <v>6060</v>
      </c>
      <c r="L202" s="3" t="str">
        <f t="shared" si="222"/>
        <v>m</v>
      </c>
      <c r="M202" s="33">
        <f t="shared" si="173"/>
        <v>14371.289999999999</v>
      </c>
      <c r="N202" s="2">
        <f>_xlfn.XLOOKUP(A202,'[1]Prix MP'!$A:$A,'[1]Prix MP'!$T:$T)</f>
        <v>0.26885424108657641</v>
      </c>
      <c r="O202" s="18">
        <f>_xlfn.XLOOKUP(A202,'[1]Prix MP'!$A:$A,'[1]Prix MP'!$U:$U)</f>
        <v>0.26885424108657641</v>
      </c>
      <c r="P202" s="11">
        <f t="shared" si="223"/>
        <v>3863.7822663851043</v>
      </c>
      <c r="Q202" s="7">
        <f t="shared" si="224"/>
        <v>3863.7822663851043</v>
      </c>
      <c r="R202" t="s">
        <v>201</v>
      </c>
      <c r="S202" s="1">
        <f t="shared" si="152"/>
        <v>0</v>
      </c>
      <c r="T202" s="33">
        <f t="shared" si="153"/>
        <v>0</v>
      </c>
      <c r="V202" s="8">
        <f t="shared" si="225"/>
        <v>9271.7999999999993</v>
      </c>
      <c r="W202" s="69"/>
      <c r="AG202" s="1"/>
      <c r="AX202"/>
    </row>
    <row r="203" spans="1:50" x14ac:dyDescent="0.25">
      <c r="A203">
        <v>30015</v>
      </c>
      <c r="B203" t="s">
        <v>33</v>
      </c>
      <c r="C203" s="45">
        <v>45610</v>
      </c>
      <c r="D203" s="46" t="s">
        <v>38</v>
      </c>
      <c r="E203" s="46" t="s">
        <v>42</v>
      </c>
      <c r="F203" s="63">
        <f t="shared" ref="F203" si="258">IF(D203="in",1,-1)</f>
        <v>-1</v>
      </c>
      <c r="G203" s="34" t="s">
        <v>452</v>
      </c>
      <c r="H203" s="58" t="s">
        <v>118</v>
      </c>
      <c r="I203" s="28">
        <v>1530</v>
      </c>
      <c r="J203" t="s">
        <v>2</v>
      </c>
      <c r="K203" s="47">
        <v>6060</v>
      </c>
      <c r="L203" s="3" t="str">
        <f t="shared" ref="L203" si="259">IF(J203="mm","m","pi")</f>
        <v>m</v>
      </c>
      <c r="M203" s="33">
        <f t="shared" ref="M203" si="260">IF(J203="mm",F203*I203/1000*K203*1.55,F203*I203*12*K203/1000)</f>
        <v>-14371.289999999999</v>
      </c>
      <c r="N203" s="2">
        <f>_xlfn.XLOOKUP(A203,'[1]Prix MP'!$A:$A,'[1]Prix MP'!$T:$T)</f>
        <v>0.26885424108657641</v>
      </c>
      <c r="O203" s="18">
        <f>_xlfn.XLOOKUP(A203,'[1]Prix MP'!$A:$A,'[1]Prix MP'!$U:$U)</f>
        <v>0.26885424108657641</v>
      </c>
      <c r="P203" s="11">
        <f t="shared" ref="P203" si="261">M203*N203</f>
        <v>-3863.7822663851043</v>
      </c>
      <c r="Q203" s="7">
        <f t="shared" ref="Q203" si="262">M203*O203</f>
        <v>-3863.7822663851043</v>
      </c>
      <c r="R203" t="s">
        <v>201</v>
      </c>
      <c r="S203" s="1">
        <f t="shared" ref="S203" si="263">ROUND(IF(E203="I",0,IF(J203="po",I203,I203/25.4)),2)</f>
        <v>0</v>
      </c>
      <c r="T203" s="33">
        <f t="shared" ref="T203" si="264">ROUND(IF(E203="I",0,IF(J203="po",K203,K203*3.280839895)),0)</f>
        <v>0</v>
      </c>
      <c r="V203" s="8">
        <f t="shared" si="225"/>
        <v>9271.7999999999993</v>
      </c>
      <c r="W203" s="69"/>
      <c r="AG203" s="1"/>
      <c r="AX203"/>
    </row>
    <row r="204" spans="1:50" x14ac:dyDescent="0.25">
      <c r="A204">
        <v>30015</v>
      </c>
      <c r="B204" t="s">
        <v>33</v>
      </c>
      <c r="C204" s="45">
        <v>45610</v>
      </c>
      <c r="D204" s="46" t="s">
        <v>373</v>
      </c>
      <c r="E204" s="46" t="s">
        <v>42</v>
      </c>
      <c r="F204" s="63">
        <v>1</v>
      </c>
      <c r="G204" s="34" t="s">
        <v>452</v>
      </c>
      <c r="H204" s="58" t="s">
        <v>453</v>
      </c>
      <c r="I204" s="28">
        <v>60.24</v>
      </c>
      <c r="J204" t="s">
        <v>36</v>
      </c>
      <c r="K204" s="47">
        <v>9700</v>
      </c>
      <c r="L204" s="3" t="s">
        <v>372</v>
      </c>
      <c r="M204" s="33">
        <f>IF(J204="mm",F204*I204/1000*K204*1.55,F204*I204*12*K204/1000)</f>
        <v>7011.9359999999997</v>
      </c>
      <c r="N204" s="2">
        <f>_xlfn.XLOOKUP(A204,'[1]Prix MP'!$A:$A,'[1]Prix MP'!$T:$T)</f>
        <v>0.26885424108657641</v>
      </c>
      <c r="O204" s="18">
        <f>_xlfn.XLOOKUP(A204,'[1]Prix MP'!$A:$A,'[1]Prix MP'!$U:$U)</f>
        <v>0.26885424108657641</v>
      </c>
      <c r="P204" s="11">
        <f>M204*N204</f>
        <v>1885.1887318276442</v>
      </c>
      <c r="Q204" s="7">
        <f t="shared" ref="Q204" si="265">M204*O204</f>
        <v>1885.1887318276442</v>
      </c>
      <c r="R204" t="s">
        <v>201</v>
      </c>
      <c r="S204" s="1">
        <f>ROUND(IF(E204="I",0,IF(J204="po",I204,I204/25.4)),2)</f>
        <v>0</v>
      </c>
      <c r="T204" s="33">
        <f>ROUND(IF(E204="I",0,IF(J204="po",K204,K204*3.280839895)),0)</f>
        <v>0</v>
      </c>
      <c r="V204" s="8"/>
      <c r="W204" s="69"/>
      <c r="AG204" s="1"/>
      <c r="AX204"/>
    </row>
    <row r="205" spans="1:50" x14ac:dyDescent="0.25">
      <c r="A205">
        <v>30015</v>
      </c>
      <c r="B205" s="17" t="s">
        <v>33</v>
      </c>
      <c r="C205" s="45">
        <v>45615</v>
      </c>
      <c r="D205" s="46" t="s">
        <v>176</v>
      </c>
      <c r="E205" s="46" t="s">
        <v>42</v>
      </c>
      <c r="F205" s="64">
        <v>-1</v>
      </c>
      <c r="G205" s="49" t="s">
        <v>459</v>
      </c>
      <c r="H205" s="58" t="s">
        <v>453</v>
      </c>
      <c r="I205" s="28">
        <v>60.24</v>
      </c>
      <c r="J205" t="s">
        <v>36</v>
      </c>
      <c r="K205" s="47">
        <v>9700</v>
      </c>
      <c r="L205" s="3" t="s">
        <v>372</v>
      </c>
      <c r="M205" s="33">
        <f t="shared" ref="M205:M206" si="266">IF(J205="mm",F205*I205/1000*K205*1.55,F205*I205*12*K205/1000)</f>
        <v>-7011.9359999999997</v>
      </c>
      <c r="N205" s="2">
        <f>_xlfn.XLOOKUP(A205,'[1]Prix MP'!$A:$A,'[1]Prix MP'!$T:$T)</f>
        <v>0.26885424108657641</v>
      </c>
      <c r="O205" s="18">
        <f>_xlfn.XLOOKUP(A205,'[1]Prix MP'!$A:$A,'[1]Prix MP'!$U:$U)</f>
        <v>0.26885424108657641</v>
      </c>
      <c r="P205" s="11">
        <f t="shared" ref="P205:P206" si="267">M205*N205</f>
        <v>-1885.1887318276442</v>
      </c>
      <c r="Q205" s="7">
        <f t="shared" ref="Q205:Q206" si="268">M205*O205</f>
        <v>-1885.1887318276442</v>
      </c>
      <c r="R205" t="s">
        <v>201</v>
      </c>
      <c r="S205" s="1">
        <f t="shared" ref="S205:S206" si="269">ROUND(IF(E205="I",0,IF(J205="po",I205,I205/25.4)),2)</f>
        <v>0</v>
      </c>
      <c r="T205" s="33">
        <f t="shared" ref="T205:T206" si="270">ROUND(IF(E205="I",0,IF(J205="po",K205,K205*3.280839895)),0)</f>
        <v>0</v>
      </c>
      <c r="V205" s="8"/>
      <c r="W205" s="69"/>
      <c r="AG205" s="1"/>
      <c r="AX205"/>
    </row>
    <row r="206" spans="1:50" x14ac:dyDescent="0.25">
      <c r="A206">
        <v>30015</v>
      </c>
      <c r="B206" s="17" t="s">
        <v>33</v>
      </c>
      <c r="C206" s="45">
        <v>45615</v>
      </c>
      <c r="D206" s="46" t="s">
        <v>373</v>
      </c>
      <c r="E206" s="46" t="s">
        <v>42</v>
      </c>
      <c r="F206" s="64">
        <v>1</v>
      </c>
      <c r="G206" s="49" t="s">
        <v>459</v>
      </c>
      <c r="H206" s="58" t="s">
        <v>460</v>
      </c>
      <c r="I206" s="28">
        <v>60.24</v>
      </c>
      <c r="J206" t="s">
        <v>36</v>
      </c>
      <c r="K206" s="47">
        <v>4750</v>
      </c>
      <c r="L206" s="3" t="s">
        <v>372</v>
      </c>
      <c r="M206" s="33">
        <f t="shared" si="266"/>
        <v>3433.68</v>
      </c>
      <c r="N206" s="2">
        <f>_xlfn.XLOOKUP(A206,'[1]Prix MP'!$A:$A,'[1]Prix MP'!$T:$T)</f>
        <v>0.26885424108657641</v>
      </c>
      <c r="O206" s="18">
        <f>_xlfn.XLOOKUP(A206,'[1]Prix MP'!$A:$A,'[1]Prix MP'!$U:$U)</f>
        <v>0.26885424108657641</v>
      </c>
      <c r="P206" s="11">
        <f t="shared" si="267"/>
        <v>923.1594305341556</v>
      </c>
      <c r="Q206" s="7">
        <f t="shared" si="268"/>
        <v>923.1594305341556</v>
      </c>
      <c r="R206" t="s">
        <v>201</v>
      </c>
      <c r="S206" s="1">
        <f t="shared" si="269"/>
        <v>0</v>
      </c>
      <c r="T206" s="33">
        <f t="shared" si="270"/>
        <v>0</v>
      </c>
      <c r="V206" s="8"/>
      <c r="W206" s="69"/>
      <c r="AG206" s="1"/>
      <c r="AX206"/>
    </row>
    <row r="207" spans="1:50" x14ac:dyDescent="0.25">
      <c r="A207">
        <v>30015</v>
      </c>
      <c r="B207" s="17" t="s">
        <v>33</v>
      </c>
      <c r="C207" s="45">
        <v>45617</v>
      </c>
      <c r="D207" s="46" t="s">
        <v>176</v>
      </c>
      <c r="E207" s="46" t="s">
        <v>42</v>
      </c>
      <c r="F207" s="64">
        <v>-1</v>
      </c>
      <c r="G207" s="49" t="s">
        <v>461</v>
      </c>
      <c r="H207" s="58" t="s">
        <v>460</v>
      </c>
      <c r="I207" s="28">
        <v>60.24</v>
      </c>
      <c r="J207" t="s">
        <v>36</v>
      </c>
      <c r="K207" s="47">
        <v>4750</v>
      </c>
      <c r="L207" s="3" t="s">
        <v>372</v>
      </c>
      <c r="M207" s="33">
        <f>IF(J207="mm",F207*I207/1000*K207*1.55,F207*I207*12*K207/1000)</f>
        <v>-3433.68</v>
      </c>
      <c r="N207" s="2">
        <f>_xlfn.XLOOKUP(A207,'[1]Prix MP'!$A:$A,'[1]Prix MP'!$T:$T)</f>
        <v>0.26885424108657641</v>
      </c>
      <c r="O207" s="18">
        <f>_xlfn.XLOOKUP(A207,'[1]Prix MP'!$A:$A,'[1]Prix MP'!$U:$U)</f>
        <v>0.26885424108657641</v>
      </c>
      <c r="P207" s="11">
        <f>M207*N207</f>
        <v>-923.1594305341556</v>
      </c>
      <c r="Q207" s="7">
        <f t="shared" ref="Q207" si="271">M207*O207</f>
        <v>-923.1594305341556</v>
      </c>
      <c r="R207" t="s">
        <v>201</v>
      </c>
      <c r="S207" s="1">
        <f>ROUND(IF(E207="I",0,IF(J207="po",I207,I207/25.4)),2)</f>
        <v>0</v>
      </c>
      <c r="T207" s="33">
        <f>ROUND(IF(E207="I",0,IF(J207="po",K207,K207*3.280839895)),0)</f>
        <v>0</v>
      </c>
      <c r="V207" s="8"/>
      <c r="W207" s="69"/>
      <c r="AG207" s="1"/>
      <c r="AX207"/>
    </row>
    <row r="208" spans="1:50" x14ac:dyDescent="0.25">
      <c r="A208">
        <v>30015</v>
      </c>
      <c r="B208" t="s">
        <v>33</v>
      </c>
      <c r="C208" s="45">
        <v>45421</v>
      </c>
      <c r="D208" s="46" t="s">
        <v>37</v>
      </c>
      <c r="E208" s="46" t="s">
        <v>42</v>
      </c>
      <c r="F208" s="63">
        <f t="shared" si="221"/>
        <v>1</v>
      </c>
      <c r="G208" s="34" t="s">
        <v>274</v>
      </c>
      <c r="H208" s="58" t="s">
        <v>119</v>
      </c>
      <c r="I208" s="28">
        <v>1530</v>
      </c>
      <c r="J208" t="s">
        <v>2</v>
      </c>
      <c r="K208" s="47">
        <v>6060</v>
      </c>
      <c r="L208" s="3" t="str">
        <f t="shared" si="222"/>
        <v>m</v>
      </c>
      <c r="M208" s="33">
        <f t="shared" si="173"/>
        <v>14371.289999999999</v>
      </c>
      <c r="N208" s="2">
        <f>_xlfn.XLOOKUP(A208,'[1]Prix MP'!$A:$A,'[1]Prix MP'!$T:$T)</f>
        <v>0.26885424108657641</v>
      </c>
      <c r="O208" s="18">
        <f>_xlfn.XLOOKUP(A208,'[1]Prix MP'!$A:$A,'[1]Prix MP'!$U:$U)</f>
        <v>0.26885424108657641</v>
      </c>
      <c r="P208" s="11">
        <f t="shared" si="223"/>
        <v>3863.7822663851043</v>
      </c>
      <c r="Q208" s="7">
        <f t="shared" si="224"/>
        <v>3863.7822663851043</v>
      </c>
      <c r="R208" t="s">
        <v>201</v>
      </c>
      <c r="S208" s="1">
        <f t="shared" si="152"/>
        <v>0</v>
      </c>
      <c r="T208" s="33">
        <f t="shared" si="153"/>
        <v>0</v>
      </c>
      <c r="V208" s="8">
        <f t="shared" si="225"/>
        <v>9271.7999999999993</v>
      </c>
      <c r="W208" s="69"/>
      <c r="AG208" s="1"/>
      <c r="AX208"/>
    </row>
    <row r="209" spans="1:50" x14ac:dyDescent="0.25">
      <c r="A209">
        <v>30015</v>
      </c>
      <c r="B209" t="s">
        <v>33</v>
      </c>
      <c r="C209" s="45">
        <v>45576</v>
      </c>
      <c r="D209" s="46" t="s">
        <v>38</v>
      </c>
      <c r="E209" s="46" t="s">
        <v>42</v>
      </c>
      <c r="F209" s="63">
        <f t="shared" si="221"/>
        <v>-1</v>
      </c>
      <c r="G209" s="34" t="s">
        <v>274</v>
      </c>
      <c r="H209" s="58" t="s">
        <v>119</v>
      </c>
      <c r="I209" s="28">
        <v>1530</v>
      </c>
      <c r="J209" t="s">
        <v>2</v>
      </c>
      <c r="K209" s="47">
        <v>6060</v>
      </c>
      <c r="L209" s="3" t="str">
        <f t="shared" si="222"/>
        <v>m</v>
      </c>
      <c r="M209" s="33">
        <f t="shared" si="173"/>
        <v>-14371.289999999999</v>
      </c>
      <c r="N209" s="2">
        <f>_xlfn.XLOOKUP(A209,'[1]Prix MP'!$A:$A,'[1]Prix MP'!$T:$T)</f>
        <v>0.26885424108657641</v>
      </c>
      <c r="O209" s="18">
        <f>_xlfn.XLOOKUP(A209,'[1]Prix MP'!$A:$A,'[1]Prix MP'!$U:$U)</f>
        <v>0.26885424108657641</v>
      </c>
      <c r="P209" s="11">
        <f t="shared" si="223"/>
        <v>-3863.7822663851043</v>
      </c>
      <c r="Q209" s="7">
        <f t="shared" si="224"/>
        <v>-3863.7822663851043</v>
      </c>
      <c r="R209" t="s">
        <v>201</v>
      </c>
      <c r="S209" s="1">
        <f t="shared" si="152"/>
        <v>0</v>
      </c>
      <c r="T209" s="33">
        <f t="shared" si="153"/>
        <v>0</v>
      </c>
      <c r="V209" s="8">
        <f t="shared" si="225"/>
        <v>9271.7999999999993</v>
      </c>
      <c r="W209" s="69"/>
      <c r="AG209" s="1"/>
      <c r="AX209"/>
    </row>
    <row r="210" spans="1:50" x14ac:dyDescent="0.25">
      <c r="A210">
        <v>30015</v>
      </c>
      <c r="B210" t="s">
        <v>33</v>
      </c>
      <c r="C210" s="45">
        <v>45572</v>
      </c>
      <c r="D210" s="46" t="s">
        <v>37</v>
      </c>
      <c r="E210" s="46" t="s">
        <v>42</v>
      </c>
      <c r="F210" s="63">
        <f t="shared" si="221"/>
        <v>1</v>
      </c>
      <c r="G210" s="34" t="s">
        <v>274</v>
      </c>
      <c r="H210" s="58" t="s">
        <v>180</v>
      </c>
      <c r="I210" s="28">
        <v>60.24</v>
      </c>
      <c r="J210" t="s">
        <v>36</v>
      </c>
      <c r="K210" s="47">
        <v>14900</v>
      </c>
      <c r="L210" s="3" t="str">
        <f t="shared" si="222"/>
        <v>pi</v>
      </c>
      <c r="M210" s="33">
        <f t="shared" si="173"/>
        <v>10770.912</v>
      </c>
      <c r="N210" s="2">
        <f>_xlfn.XLOOKUP(A210,'[1]Prix MP'!$A:$A,'[1]Prix MP'!$T:$T)</f>
        <v>0.26885424108657641</v>
      </c>
      <c r="O210" s="18">
        <f>_xlfn.XLOOKUP(A210,'[1]Prix MP'!$A:$A,'[1]Prix MP'!$U:$U)</f>
        <v>0.26885424108657641</v>
      </c>
      <c r="P210" s="11">
        <f t="shared" si="223"/>
        <v>2895.805371570299</v>
      </c>
      <c r="Q210" s="7">
        <f t="shared" si="224"/>
        <v>2895.805371570299</v>
      </c>
      <c r="R210" t="s">
        <v>201</v>
      </c>
      <c r="S210" s="1">
        <f t="shared" si="152"/>
        <v>0</v>
      </c>
      <c r="T210" s="33">
        <f t="shared" si="153"/>
        <v>0</v>
      </c>
      <c r="V210" s="8" t="str">
        <f t="shared" si="225"/>
        <v/>
      </c>
      <c r="W210" s="69"/>
      <c r="AG210" s="1"/>
      <c r="AX210"/>
    </row>
    <row r="211" spans="1:50" x14ac:dyDescent="0.25">
      <c r="A211">
        <v>30015</v>
      </c>
      <c r="B211" t="s">
        <v>33</v>
      </c>
      <c r="C211" s="45">
        <v>45576</v>
      </c>
      <c r="D211" s="46" t="s">
        <v>38</v>
      </c>
      <c r="E211" s="46" t="s">
        <v>42</v>
      </c>
      <c r="F211" s="63">
        <f t="shared" ref="F211:F212" si="272">IF(D211="in",1,-1)</f>
        <v>-1</v>
      </c>
      <c r="G211" s="34" t="s">
        <v>274</v>
      </c>
      <c r="H211" s="58" t="s">
        <v>180</v>
      </c>
      <c r="I211" s="28">
        <v>60.24</v>
      </c>
      <c r="J211" t="s">
        <v>36</v>
      </c>
      <c r="K211" s="47">
        <v>14900</v>
      </c>
      <c r="L211" s="3" t="str">
        <f t="shared" ref="L211:L212" si="273">IF(J211="mm","m","pi")</f>
        <v>pi</v>
      </c>
      <c r="M211" s="33">
        <f t="shared" si="173"/>
        <v>-10770.912</v>
      </c>
      <c r="N211" s="2">
        <f>_xlfn.XLOOKUP(A211,'[1]Prix MP'!$A:$A,'[1]Prix MP'!$T:$T)</f>
        <v>0.26885424108657641</v>
      </c>
      <c r="O211" s="18">
        <f>_xlfn.XLOOKUP(A211,'[1]Prix MP'!$A:$A,'[1]Prix MP'!$U:$U)</f>
        <v>0.26885424108657641</v>
      </c>
      <c r="P211" s="11">
        <f t="shared" si="223"/>
        <v>-2895.805371570299</v>
      </c>
      <c r="Q211" s="7">
        <f t="shared" si="224"/>
        <v>-2895.805371570299</v>
      </c>
      <c r="R211" t="s">
        <v>201</v>
      </c>
      <c r="S211" s="1">
        <f t="shared" ref="S211:S299" si="274">ROUND(IF(E211="I",0,IF(J211="po",I211,I211/25.4)),2)</f>
        <v>0</v>
      </c>
      <c r="T211" s="33">
        <f t="shared" ref="T211:T299" si="275">ROUND(IF(E211="I",0,IF(J211="po",K211,K211*3.280839895)),0)</f>
        <v>0</v>
      </c>
      <c r="V211" s="8" t="str">
        <f t="shared" si="225"/>
        <v/>
      </c>
      <c r="W211" s="69"/>
      <c r="AG211" s="1"/>
      <c r="AX211"/>
    </row>
    <row r="212" spans="1:50" x14ac:dyDescent="0.25">
      <c r="A212">
        <v>30015</v>
      </c>
      <c r="B212" t="s">
        <v>33</v>
      </c>
      <c r="C212" s="45">
        <v>45576</v>
      </c>
      <c r="D212" s="46" t="s">
        <v>37</v>
      </c>
      <c r="E212" s="46" t="s">
        <v>42</v>
      </c>
      <c r="F212" s="63">
        <f t="shared" si="272"/>
        <v>1</v>
      </c>
      <c r="G212" s="34" t="s">
        <v>274</v>
      </c>
      <c r="H212" s="58" t="s">
        <v>210</v>
      </c>
      <c r="I212" s="28">
        <v>60.24</v>
      </c>
      <c r="J212" t="s">
        <v>36</v>
      </c>
      <c r="K212" s="47">
        <v>10000</v>
      </c>
      <c r="L212" s="3" t="str">
        <f t="shared" si="273"/>
        <v>pi</v>
      </c>
      <c r="M212" s="33">
        <f t="shared" si="173"/>
        <v>7228.8</v>
      </c>
      <c r="N212" s="2">
        <f>_xlfn.XLOOKUP(A212,'[1]Prix MP'!$A:$A,'[1]Prix MP'!$T:$T)</f>
        <v>0.26885424108657641</v>
      </c>
      <c r="O212" s="18">
        <f>_xlfn.XLOOKUP(A212,'[1]Prix MP'!$A:$A,'[1]Prix MP'!$U:$U)</f>
        <v>0.26885424108657641</v>
      </c>
      <c r="P212" s="11">
        <f t="shared" si="223"/>
        <v>1943.4935379666435</v>
      </c>
      <c r="Q212" s="7">
        <f t="shared" si="224"/>
        <v>1943.4935379666435</v>
      </c>
      <c r="R212" t="s">
        <v>201</v>
      </c>
      <c r="S212" s="1">
        <f t="shared" si="274"/>
        <v>0</v>
      </c>
      <c r="T212" s="33">
        <f t="shared" si="275"/>
        <v>0</v>
      </c>
      <c r="V212" s="8" t="str">
        <f t="shared" si="225"/>
        <v/>
      </c>
      <c r="W212" s="69"/>
      <c r="AG212" s="1"/>
      <c r="AX212"/>
    </row>
    <row r="213" spans="1:50" x14ac:dyDescent="0.25">
      <c r="A213">
        <v>30015</v>
      </c>
      <c r="B213" t="s">
        <v>33</v>
      </c>
      <c r="C213" s="45">
        <v>45576</v>
      </c>
      <c r="D213" s="46" t="s">
        <v>38</v>
      </c>
      <c r="E213" s="46" t="s">
        <v>42</v>
      </c>
      <c r="F213" s="63">
        <f t="shared" ref="F213" si="276">IF(D213="in",1,-1)</f>
        <v>-1</v>
      </c>
      <c r="G213" s="34" t="s">
        <v>274</v>
      </c>
      <c r="H213" s="58" t="s">
        <v>210</v>
      </c>
      <c r="I213" s="28">
        <v>60.24</v>
      </c>
      <c r="J213" t="s">
        <v>36</v>
      </c>
      <c r="K213" s="47">
        <v>10000</v>
      </c>
      <c r="L213" s="3" t="str">
        <f t="shared" ref="L213" si="277">IF(J213="mm","m","pi")</f>
        <v>pi</v>
      </c>
      <c r="M213" s="33">
        <f t="shared" ref="M213" si="278">IF(J213="mm",F213*I213/1000*K213*1.55,F213*I213*12*K213/1000)</f>
        <v>-7228.8</v>
      </c>
      <c r="N213" s="2">
        <f>_xlfn.XLOOKUP(A213,'[1]Prix MP'!$A:$A,'[1]Prix MP'!$T:$T)</f>
        <v>0.26885424108657641</v>
      </c>
      <c r="O213" s="18">
        <f>_xlfn.XLOOKUP(A213,'[1]Prix MP'!$A:$A,'[1]Prix MP'!$U:$U)</f>
        <v>0.26885424108657641</v>
      </c>
      <c r="P213" s="11">
        <f t="shared" ref="P213" si="279">M213*N213</f>
        <v>-1943.4935379666435</v>
      </c>
      <c r="Q213" s="7">
        <f t="shared" ref="Q213" si="280">M213*O213</f>
        <v>-1943.4935379666435</v>
      </c>
      <c r="R213" t="s">
        <v>201</v>
      </c>
      <c r="S213" s="1">
        <f t="shared" si="274"/>
        <v>0</v>
      </c>
      <c r="T213" s="33">
        <f t="shared" si="275"/>
        <v>0</v>
      </c>
      <c r="V213" s="8" t="str">
        <f t="shared" si="225"/>
        <v/>
      </c>
      <c r="W213" s="69"/>
      <c r="AG213" s="1"/>
      <c r="AX213"/>
    </row>
    <row r="214" spans="1:50" x14ac:dyDescent="0.25">
      <c r="A214">
        <v>30011</v>
      </c>
      <c r="B214" t="s">
        <v>29</v>
      </c>
      <c r="C214" s="45">
        <v>45484</v>
      </c>
      <c r="D214" s="46" t="s">
        <v>37</v>
      </c>
      <c r="E214" s="46" t="s">
        <v>41</v>
      </c>
      <c r="F214" s="63">
        <f t="shared" ref="F214:F271" si="281">IF(D214="in",1,-1)</f>
        <v>1</v>
      </c>
      <c r="G214" s="34">
        <v>2024077</v>
      </c>
      <c r="H214" s="58" t="s">
        <v>250</v>
      </c>
      <c r="I214" s="28">
        <v>60.24</v>
      </c>
      <c r="J214" t="s">
        <v>36</v>
      </c>
      <c r="K214" s="47">
        <v>4643</v>
      </c>
      <c r="L214" s="3" t="str">
        <f t="shared" ref="L214:L271" si="282">IF(J214="mm","m","pi")</f>
        <v>pi</v>
      </c>
      <c r="M214" s="33">
        <f t="shared" si="173"/>
        <v>3356.3318399999998</v>
      </c>
      <c r="N214" s="2">
        <f>_xlfn.XLOOKUP(A214,'[1]Prix MP'!$A:$A,'[1]Prix MP'!$T:$T)</f>
        <v>0</v>
      </c>
      <c r="O214" s="18">
        <f>_xlfn.XLOOKUP(A214,'[1]Prix MP'!$A:$A,'[1]Prix MP'!$U:$U)</f>
        <v>0.2835786407993599</v>
      </c>
      <c r="P214" s="11">
        <f t="shared" si="223"/>
        <v>0</v>
      </c>
      <c r="Q214" s="7">
        <f t="shared" si="224"/>
        <v>951.78402125881462</v>
      </c>
      <c r="R214" t="s">
        <v>202</v>
      </c>
      <c r="S214" s="1">
        <f t="shared" si="274"/>
        <v>60.24</v>
      </c>
      <c r="T214" s="33">
        <f t="shared" si="275"/>
        <v>4643</v>
      </c>
      <c r="V214" s="8" t="str">
        <f t="shared" si="225"/>
        <v/>
      </c>
      <c r="W214" s="69"/>
      <c r="AG214" s="1"/>
      <c r="AX214"/>
    </row>
    <row r="215" spans="1:50" x14ac:dyDescent="0.25">
      <c r="A215">
        <v>30011</v>
      </c>
      <c r="B215" t="s">
        <v>29</v>
      </c>
      <c r="C215" s="45">
        <v>45356</v>
      </c>
      <c r="D215" s="46" t="s">
        <v>37</v>
      </c>
      <c r="E215" s="46" t="s">
        <v>42</v>
      </c>
      <c r="F215" s="63">
        <f t="shared" si="281"/>
        <v>1</v>
      </c>
      <c r="G215" s="34"/>
      <c r="H215" s="58" t="s">
        <v>95</v>
      </c>
      <c r="I215" s="28">
        <v>1530</v>
      </c>
      <c r="J215" t="s">
        <v>2</v>
      </c>
      <c r="K215" s="47">
        <v>3000</v>
      </c>
      <c r="L215" s="3" t="str">
        <f t="shared" si="282"/>
        <v>m</v>
      </c>
      <c r="M215" s="33">
        <f t="shared" si="173"/>
        <v>7114.5</v>
      </c>
      <c r="N215" s="2">
        <f>_xlfn.XLOOKUP(A215,'[1]Prix MP'!$A:$A,'[1]Prix MP'!$T:$T)</f>
        <v>0</v>
      </c>
      <c r="O215" s="18">
        <f>_xlfn.XLOOKUP(A215,'[1]Prix MP'!$A:$A,'[1]Prix MP'!$U:$U)</f>
        <v>0.2835786407993599</v>
      </c>
      <c r="P215" s="11">
        <f t="shared" si="223"/>
        <v>0</v>
      </c>
      <c r="Q215" s="7">
        <f t="shared" si="224"/>
        <v>2017.5202399670461</v>
      </c>
      <c r="R215" t="s">
        <v>202</v>
      </c>
      <c r="S215" s="1">
        <f t="shared" si="274"/>
        <v>0</v>
      </c>
      <c r="T215" s="33">
        <f t="shared" si="275"/>
        <v>0</v>
      </c>
      <c r="V215" s="8">
        <f t="shared" si="225"/>
        <v>4590</v>
      </c>
      <c r="W215" s="69"/>
      <c r="AG215" s="1"/>
      <c r="AX215"/>
    </row>
    <row r="216" spans="1:50" x14ac:dyDescent="0.25">
      <c r="A216">
        <v>30011</v>
      </c>
      <c r="B216" s="17" t="s">
        <v>29</v>
      </c>
      <c r="C216" s="45">
        <v>45621</v>
      </c>
      <c r="D216" s="46" t="s">
        <v>176</v>
      </c>
      <c r="E216" s="46" t="s">
        <v>42</v>
      </c>
      <c r="F216" s="64">
        <v>-1</v>
      </c>
      <c r="G216" s="49" t="s">
        <v>474</v>
      </c>
      <c r="H216" s="58" t="s">
        <v>95</v>
      </c>
      <c r="I216" s="28">
        <v>1530</v>
      </c>
      <c r="J216" t="s">
        <v>2</v>
      </c>
      <c r="K216" s="47">
        <v>3000</v>
      </c>
      <c r="L216" s="3" t="str">
        <f t="shared" ref="L216" si="283">IF(J216="mm","m","pi")</f>
        <v>m</v>
      </c>
      <c r="M216" s="33">
        <f>IF(J216="mm",F216*I216/1000*K216*1.55,F216*I216*12*K216/1000)</f>
        <v>-7114.5</v>
      </c>
      <c r="N216" s="2">
        <f>_xlfn.XLOOKUP(A216,'[1]Prix MP'!$A:$A,'[1]Prix MP'!$T:$T)</f>
        <v>0</v>
      </c>
      <c r="O216" s="18">
        <f>_xlfn.XLOOKUP(A216,'[1]Prix MP'!$A:$A,'[1]Prix MP'!$U:$U)</f>
        <v>0.2835786407993599</v>
      </c>
      <c r="P216" s="11">
        <f>M216*N216</f>
        <v>0</v>
      </c>
      <c r="Q216" s="7">
        <f t="shared" ref="Q216" si="284">M216*O216</f>
        <v>-2017.5202399670461</v>
      </c>
      <c r="R216" t="s">
        <v>202</v>
      </c>
      <c r="S216" s="1">
        <f>ROUND(IF(E216="I",0,IF(J216="po",I216,I216/25.4)),2)</f>
        <v>0</v>
      </c>
      <c r="T216" s="33">
        <f>ROUND(IF(E216="I",0,IF(J216="po",K216,K216*3.280839895)),0)</f>
        <v>0</v>
      </c>
      <c r="V216" s="8"/>
      <c r="W216" s="69"/>
      <c r="AG216" s="1"/>
      <c r="AX216"/>
    </row>
    <row r="217" spans="1:50" x14ac:dyDescent="0.25">
      <c r="A217">
        <v>30011</v>
      </c>
      <c r="B217" t="s">
        <v>29</v>
      </c>
      <c r="C217" s="45">
        <v>45356</v>
      </c>
      <c r="D217" s="46" t="s">
        <v>37</v>
      </c>
      <c r="E217" s="46" t="s">
        <v>41</v>
      </c>
      <c r="F217" s="63">
        <f t="shared" si="281"/>
        <v>1</v>
      </c>
      <c r="G217" s="34"/>
      <c r="H217" s="58" t="s">
        <v>96</v>
      </c>
      <c r="I217" s="28">
        <v>1530</v>
      </c>
      <c r="J217" t="s">
        <v>2</v>
      </c>
      <c r="K217" s="47">
        <v>3000</v>
      </c>
      <c r="L217" s="3" t="str">
        <f t="shared" si="282"/>
        <v>m</v>
      </c>
      <c r="M217" s="33">
        <f t="shared" si="173"/>
        <v>7114.5</v>
      </c>
      <c r="N217" s="2">
        <f>_xlfn.XLOOKUP(A217,'[1]Prix MP'!$A:$A,'[1]Prix MP'!$T:$T)</f>
        <v>0</v>
      </c>
      <c r="O217" s="18">
        <f>_xlfn.XLOOKUP(A217,'[1]Prix MP'!$A:$A,'[1]Prix MP'!$U:$U)</f>
        <v>0.2835786407993599</v>
      </c>
      <c r="P217" s="11">
        <f t="shared" si="223"/>
        <v>0</v>
      </c>
      <c r="Q217" s="7">
        <f t="shared" si="224"/>
        <v>2017.5202399670461</v>
      </c>
      <c r="R217" t="s">
        <v>202</v>
      </c>
      <c r="S217" s="1">
        <f t="shared" si="274"/>
        <v>60.24</v>
      </c>
      <c r="T217" s="33">
        <f t="shared" si="275"/>
        <v>9843</v>
      </c>
      <c r="V217" s="8">
        <f t="shared" si="225"/>
        <v>4590</v>
      </c>
      <c r="W217" s="69"/>
      <c r="AG217" s="1"/>
      <c r="AX217"/>
    </row>
    <row r="218" spans="1:50" x14ac:dyDescent="0.25">
      <c r="A218">
        <v>30011</v>
      </c>
      <c r="B218" t="s">
        <v>29</v>
      </c>
      <c r="C218" s="45">
        <v>45356</v>
      </c>
      <c r="D218" s="46" t="s">
        <v>37</v>
      </c>
      <c r="E218" s="46" t="s">
        <v>42</v>
      </c>
      <c r="F218" s="63">
        <f t="shared" si="281"/>
        <v>1</v>
      </c>
      <c r="G218" s="34"/>
      <c r="H218" s="58" t="s">
        <v>97</v>
      </c>
      <c r="I218" s="28">
        <v>1530</v>
      </c>
      <c r="J218" t="s">
        <v>2</v>
      </c>
      <c r="K218" s="47">
        <v>3000</v>
      </c>
      <c r="L218" s="3" t="str">
        <f t="shared" si="282"/>
        <v>m</v>
      </c>
      <c r="M218" s="33">
        <f t="shared" si="173"/>
        <v>7114.5</v>
      </c>
      <c r="N218" s="2">
        <f>_xlfn.XLOOKUP(A218,'[1]Prix MP'!$A:$A,'[1]Prix MP'!$T:$T)</f>
        <v>0</v>
      </c>
      <c r="O218" s="18">
        <f>_xlfn.XLOOKUP(A218,'[1]Prix MP'!$A:$A,'[1]Prix MP'!$U:$U)</f>
        <v>0.2835786407993599</v>
      </c>
      <c r="P218" s="11">
        <f t="shared" si="223"/>
        <v>0</v>
      </c>
      <c r="Q218" s="7">
        <f t="shared" si="224"/>
        <v>2017.5202399670461</v>
      </c>
      <c r="R218" t="s">
        <v>202</v>
      </c>
      <c r="S218" s="1">
        <f t="shared" si="274"/>
        <v>0</v>
      </c>
      <c r="T218" s="33">
        <f t="shared" si="275"/>
        <v>0</v>
      </c>
      <c r="V218" s="8">
        <f t="shared" si="225"/>
        <v>4590</v>
      </c>
      <c r="W218" s="69"/>
      <c r="AG218" s="1"/>
      <c r="AX218"/>
    </row>
    <row r="219" spans="1:50" x14ac:dyDescent="0.25">
      <c r="A219">
        <v>30011</v>
      </c>
      <c r="B219" s="17" t="s">
        <v>29</v>
      </c>
      <c r="C219" s="45">
        <v>45664</v>
      </c>
      <c r="D219" s="46" t="s">
        <v>176</v>
      </c>
      <c r="E219" s="46" t="s">
        <v>42</v>
      </c>
      <c r="F219" s="64">
        <v>-1</v>
      </c>
      <c r="G219" s="49" t="s">
        <v>623</v>
      </c>
      <c r="H219" s="58" t="s">
        <v>97</v>
      </c>
      <c r="I219" s="28">
        <v>1530</v>
      </c>
      <c r="J219" t="s">
        <v>2</v>
      </c>
      <c r="K219" s="47">
        <v>3000</v>
      </c>
      <c r="L219" s="3" t="str">
        <f t="shared" ref="L219" si="285">IF(J219="mm","m","pi")</f>
        <v>m</v>
      </c>
      <c r="M219" s="33">
        <f>IF(J219="mm",F219*I219/1000*K219*1.55,F219*I219*12*K219/1000)</f>
        <v>-7114.5</v>
      </c>
      <c r="N219" s="2">
        <f>_xlfn.XLOOKUP(A219,'[1]Prix MP'!$A:$A,'[1]Prix MP'!$T:$T)</f>
        <v>0</v>
      </c>
      <c r="O219" s="18">
        <f>_xlfn.XLOOKUP(A219,'[1]Prix MP'!$A:$A,'[1]Prix MP'!$U:$U)</f>
        <v>0.2835786407993599</v>
      </c>
      <c r="P219" s="11">
        <f>M219*N219</f>
        <v>0</v>
      </c>
      <c r="Q219" s="7">
        <f t="shared" ref="Q219" si="286">M219*O219</f>
        <v>-2017.5202399670461</v>
      </c>
      <c r="R219" t="s">
        <v>202</v>
      </c>
      <c r="S219" s="1">
        <f>ROUND(IF(E219="I",0,IF(J219="po",I219,I219/25.4)),2)</f>
        <v>0</v>
      </c>
      <c r="T219" s="33">
        <f>ROUND(IF(E219="I",0,IF(J219="po",K219,K219*3.280839895)),0)</f>
        <v>0</v>
      </c>
      <c r="V219" s="8"/>
      <c r="W219" s="69"/>
      <c r="AG219" s="1"/>
      <c r="AX219"/>
    </row>
    <row r="220" spans="1:50" x14ac:dyDescent="0.25">
      <c r="A220">
        <v>30011</v>
      </c>
      <c r="B220" t="s">
        <v>29</v>
      </c>
      <c r="C220" s="45">
        <v>45356</v>
      </c>
      <c r="D220" s="46" t="s">
        <v>37</v>
      </c>
      <c r="E220" s="46" t="s">
        <v>42</v>
      </c>
      <c r="F220" s="63">
        <f t="shared" si="281"/>
        <v>1</v>
      </c>
      <c r="G220" s="34"/>
      <c r="H220" s="58" t="s">
        <v>98</v>
      </c>
      <c r="I220" s="28">
        <v>1530</v>
      </c>
      <c r="J220" t="s">
        <v>2</v>
      </c>
      <c r="K220" s="47">
        <v>3000</v>
      </c>
      <c r="L220" s="3" t="str">
        <f t="shared" si="282"/>
        <v>m</v>
      </c>
      <c r="M220" s="33">
        <f t="shared" si="173"/>
        <v>7114.5</v>
      </c>
      <c r="N220" s="2">
        <f>_xlfn.XLOOKUP(A220,'[1]Prix MP'!$A:$A,'[1]Prix MP'!$T:$T)</f>
        <v>0</v>
      </c>
      <c r="O220" s="18">
        <f>_xlfn.XLOOKUP(A220,'[1]Prix MP'!$A:$A,'[1]Prix MP'!$U:$U)</f>
        <v>0.2835786407993599</v>
      </c>
      <c r="P220" s="11">
        <f t="shared" si="223"/>
        <v>0</v>
      </c>
      <c r="Q220" s="7">
        <f t="shared" si="224"/>
        <v>2017.5202399670461</v>
      </c>
      <c r="R220" t="s">
        <v>202</v>
      </c>
      <c r="S220" s="1">
        <f t="shared" si="274"/>
        <v>0</v>
      </c>
      <c r="T220" s="33">
        <f t="shared" si="275"/>
        <v>0</v>
      </c>
      <c r="V220" s="8">
        <f t="shared" si="225"/>
        <v>4590</v>
      </c>
      <c r="W220" s="69"/>
      <c r="AG220" s="1"/>
      <c r="AX220"/>
    </row>
    <row r="221" spans="1:50" x14ac:dyDescent="0.25">
      <c r="A221">
        <v>30011</v>
      </c>
      <c r="B221" s="17" t="s">
        <v>29</v>
      </c>
      <c r="C221" s="45">
        <v>45615</v>
      </c>
      <c r="D221" s="46" t="s">
        <v>176</v>
      </c>
      <c r="E221" s="46" t="s">
        <v>42</v>
      </c>
      <c r="F221" s="64">
        <v>-1</v>
      </c>
      <c r="G221" s="49" t="s">
        <v>456</v>
      </c>
      <c r="H221" s="58" t="s">
        <v>98</v>
      </c>
      <c r="I221" s="28">
        <v>1530</v>
      </c>
      <c r="J221" t="s">
        <v>2</v>
      </c>
      <c r="K221" s="47">
        <v>3000</v>
      </c>
      <c r="L221" s="3" t="str">
        <f t="shared" ref="L221" si="287">IF(J221="mm","m","pi")</f>
        <v>m</v>
      </c>
      <c r="M221" s="33">
        <f t="shared" ref="M221:M222" si="288">IF(J221="mm",F221*I221/1000*K221*1.55,F221*I221*12*K221/1000)</f>
        <v>-7114.5</v>
      </c>
      <c r="N221" s="2">
        <f>_xlfn.XLOOKUP(A221,'[1]Prix MP'!$A:$A,'[1]Prix MP'!$T:$T)</f>
        <v>0</v>
      </c>
      <c r="O221" s="18">
        <f>_xlfn.XLOOKUP(A221,'[1]Prix MP'!$A:$A,'[1]Prix MP'!$U:$U)</f>
        <v>0.2835786407993599</v>
      </c>
      <c r="P221" s="11">
        <f t="shared" ref="P221:P222" si="289">M221*N221</f>
        <v>0</v>
      </c>
      <c r="Q221" s="7">
        <f t="shared" ref="Q221:Q222" si="290">M221*O221</f>
        <v>-2017.5202399670461</v>
      </c>
      <c r="R221" t="s">
        <v>202</v>
      </c>
      <c r="S221" s="1">
        <f t="shared" ref="S221:S222" si="291">ROUND(IF(E221="I",0,IF(J221="po",I221,I221/25.4)),2)</f>
        <v>0</v>
      </c>
      <c r="T221" s="33">
        <f t="shared" ref="T221:T222" si="292">ROUND(IF(E221="I",0,IF(J221="po",K221,K221*3.280839895)),0)</f>
        <v>0</v>
      </c>
      <c r="V221" s="8"/>
      <c r="W221" s="69"/>
      <c r="AG221" s="1"/>
      <c r="AX221"/>
    </row>
    <row r="222" spans="1:50" x14ac:dyDescent="0.25">
      <c r="A222">
        <v>30011</v>
      </c>
      <c r="B222" s="17" t="s">
        <v>29</v>
      </c>
      <c r="C222" s="45">
        <v>45615</v>
      </c>
      <c r="D222" s="46" t="s">
        <v>373</v>
      </c>
      <c r="E222" s="46" t="s">
        <v>42</v>
      </c>
      <c r="F222" s="64">
        <v>1</v>
      </c>
      <c r="G222" s="49" t="s">
        <v>456</v>
      </c>
      <c r="H222" s="58" t="s">
        <v>457</v>
      </c>
      <c r="I222" s="28">
        <v>60.24</v>
      </c>
      <c r="J222" t="s">
        <v>36</v>
      </c>
      <c r="K222" s="47">
        <v>4850</v>
      </c>
      <c r="L222" s="3" t="s">
        <v>372</v>
      </c>
      <c r="M222" s="33">
        <f t="shared" si="288"/>
        <v>3505.9679999999998</v>
      </c>
      <c r="N222" s="2">
        <f>_xlfn.XLOOKUP(A222,'[1]Prix MP'!$A:$A,'[1]Prix MP'!$T:$T)</f>
        <v>0</v>
      </c>
      <c r="O222" s="18">
        <f>_xlfn.XLOOKUP(A222,'[1]Prix MP'!$A:$A,'[1]Prix MP'!$U:$U)</f>
        <v>0.2835786407993599</v>
      </c>
      <c r="P222" s="11">
        <f t="shared" si="289"/>
        <v>0</v>
      </c>
      <c r="Q222" s="7">
        <f t="shared" si="290"/>
        <v>994.21764012605024</v>
      </c>
      <c r="R222" t="s">
        <v>202</v>
      </c>
      <c r="S222" s="1">
        <f t="shared" si="291"/>
        <v>0</v>
      </c>
      <c r="T222" s="33">
        <f t="shared" si="292"/>
        <v>0</v>
      </c>
      <c r="V222" s="8"/>
      <c r="W222" s="69"/>
      <c r="AG222" s="1"/>
      <c r="AX222"/>
    </row>
    <row r="223" spans="1:50" x14ac:dyDescent="0.25">
      <c r="A223">
        <v>30011</v>
      </c>
      <c r="B223" s="17" t="s">
        <v>29</v>
      </c>
      <c r="C223" s="45">
        <v>45615</v>
      </c>
      <c r="D223" s="46" t="s">
        <v>176</v>
      </c>
      <c r="E223" s="46" t="s">
        <v>42</v>
      </c>
      <c r="F223" s="64">
        <v>-1</v>
      </c>
      <c r="G223" s="49" t="s">
        <v>458</v>
      </c>
      <c r="H223" s="58" t="s">
        <v>457</v>
      </c>
      <c r="I223" s="28">
        <v>60.24</v>
      </c>
      <c r="J223" t="s">
        <v>36</v>
      </c>
      <c r="K223" s="47">
        <v>4850</v>
      </c>
      <c r="L223" s="3" t="s">
        <v>372</v>
      </c>
      <c r="M223" s="33">
        <f>IF(J223="mm",F223*I223/1000*K223*1.55,F223*I223*12*K223/1000)</f>
        <v>-3505.9679999999998</v>
      </c>
      <c r="N223" s="2">
        <f>_xlfn.XLOOKUP(A223,'[1]Prix MP'!$A:$A,'[1]Prix MP'!$T:$T)</f>
        <v>0</v>
      </c>
      <c r="O223" s="18">
        <f>_xlfn.XLOOKUP(A223,'[1]Prix MP'!$A:$A,'[1]Prix MP'!$U:$U)</f>
        <v>0.2835786407993599</v>
      </c>
      <c r="P223" s="11">
        <f>M223*N223</f>
        <v>0</v>
      </c>
      <c r="Q223" s="7">
        <f t="shared" ref="Q223" si="293">M223*O223</f>
        <v>-994.21764012605024</v>
      </c>
      <c r="R223" t="s">
        <v>202</v>
      </c>
      <c r="S223" s="1">
        <f>ROUND(IF(E223="I",0,IF(J223="po",I223,I223/25.4)),2)</f>
        <v>0</v>
      </c>
      <c r="T223" s="33">
        <f>ROUND(IF(E223="I",0,IF(J223="po",K223,K223*3.280839895)),0)</f>
        <v>0</v>
      </c>
      <c r="V223" s="8"/>
      <c r="W223" s="69"/>
      <c r="AG223" s="1"/>
      <c r="AX223"/>
    </row>
    <row r="224" spans="1:50" x14ac:dyDescent="0.25">
      <c r="A224">
        <v>30011</v>
      </c>
      <c r="B224" t="s">
        <v>29</v>
      </c>
      <c r="C224" s="45">
        <v>45356</v>
      </c>
      <c r="D224" s="46" t="s">
        <v>37</v>
      </c>
      <c r="E224" s="46" t="s">
        <v>42</v>
      </c>
      <c r="F224" s="63">
        <f t="shared" si="281"/>
        <v>1</v>
      </c>
      <c r="G224" s="34"/>
      <c r="H224" s="58" t="s">
        <v>99</v>
      </c>
      <c r="I224" s="28">
        <v>1530</v>
      </c>
      <c r="J224" t="s">
        <v>2</v>
      </c>
      <c r="K224" s="47">
        <v>3000</v>
      </c>
      <c r="L224" s="3" t="str">
        <f t="shared" si="282"/>
        <v>m</v>
      </c>
      <c r="M224" s="33">
        <f t="shared" si="173"/>
        <v>7114.5</v>
      </c>
      <c r="N224" s="2">
        <f>_xlfn.XLOOKUP(A224,'[1]Prix MP'!$A:$A,'[1]Prix MP'!$T:$T)</f>
        <v>0</v>
      </c>
      <c r="O224" s="18">
        <f>_xlfn.XLOOKUP(A224,'[1]Prix MP'!$A:$A,'[1]Prix MP'!$U:$U)</f>
        <v>0.2835786407993599</v>
      </c>
      <c r="P224" s="11">
        <f t="shared" si="223"/>
        <v>0</v>
      </c>
      <c r="Q224" s="7">
        <f t="shared" si="224"/>
        <v>2017.5202399670461</v>
      </c>
      <c r="R224" t="s">
        <v>202</v>
      </c>
      <c r="S224" s="1">
        <f t="shared" si="274"/>
        <v>0</v>
      </c>
      <c r="T224" s="33">
        <f t="shared" si="275"/>
        <v>0</v>
      </c>
      <c r="V224" s="8">
        <f t="shared" si="225"/>
        <v>4590</v>
      </c>
      <c r="W224" s="69"/>
      <c r="AG224" s="1"/>
      <c r="AX224"/>
    </row>
    <row r="225" spans="1:50" x14ac:dyDescent="0.25">
      <c r="A225">
        <v>30011</v>
      </c>
      <c r="B225" s="17" t="s">
        <v>29</v>
      </c>
      <c r="C225" s="45">
        <v>45623</v>
      </c>
      <c r="D225" s="46" t="s">
        <v>176</v>
      </c>
      <c r="E225" s="46" t="s">
        <v>42</v>
      </c>
      <c r="F225" s="64">
        <v>-1</v>
      </c>
      <c r="G225" s="49" t="s">
        <v>477</v>
      </c>
      <c r="H225" s="58" t="s">
        <v>99</v>
      </c>
      <c r="I225" s="28">
        <v>1530</v>
      </c>
      <c r="J225" t="s">
        <v>2</v>
      </c>
      <c r="K225" s="47">
        <v>3000</v>
      </c>
      <c r="L225" s="3" t="str">
        <f t="shared" ref="L225" si="294">IF(J225="mm","m","pi")</f>
        <v>m</v>
      </c>
      <c r="M225" s="33">
        <f t="shared" ref="M225" si="295">IF(J225="mm",F225*I225/1000*K225*1.55,F225*I225*12*K225/1000)</f>
        <v>-7114.5</v>
      </c>
      <c r="N225" s="2">
        <f>_xlfn.XLOOKUP(A225,'[1]Prix MP'!$A:$A,'[1]Prix MP'!$T:$T)</f>
        <v>0</v>
      </c>
      <c r="O225" s="18">
        <f>_xlfn.XLOOKUP(A225,'[1]Prix MP'!$A:$A,'[1]Prix MP'!$U:$U)</f>
        <v>0.2835786407993599</v>
      </c>
      <c r="P225" s="11">
        <f t="shared" ref="P225" si="296">M225*N225</f>
        <v>0</v>
      </c>
      <c r="Q225" s="7">
        <f t="shared" ref="Q225" si="297">M225*O225</f>
        <v>-2017.5202399670461</v>
      </c>
      <c r="R225" t="s">
        <v>202</v>
      </c>
      <c r="S225" s="1">
        <f t="shared" ref="S225:S226" si="298">ROUND(IF(E225="I",0,IF(J225="po",I225,I225/25.4)),2)</f>
        <v>0</v>
      </c>
      <c r="T225" s="33">
        <f t="shared" ref="T225:T226" si="299">ROUND(IF(E225="I",0,IF(J225="po",K225,K225*3.280839895)),0)</f>
        <v>0</v>
      </c>
      <c r="V225" s="8"/>
      <c r="W225" s="69"/>
      <c r="AG225" s="1"/>
      <c r="AX225"/>
    </row>
    <row r="226" spans="1:50" x14ac:dyDescent="0.25">
      <c r="A226">
        <v>30011</v>
      </c>
      <c r="B226" s="17" t="s">
        <v>29</v>
      </c>
      <c r="C226" s="45">
        <v>45623</v>
      </c>
      <c r="D226" s="46" t="s">
        <v>373</v>
      </c>
      <c r="E226" s="46" t="s">
        <v>42</v>
      </c>
      <c r="F226" s="64">
        <v>1</v>
      </c>
      <c r="G226" s="49" t="s">
        <v>477</v>
      </c>
      <c r="H226" s="58" t="s">
        <v>478</v>
      </c>
      <c r="I226" s="28">
        <v>60.24</v>
      </c>
      <c r="J226" t="s">
        <v>36</v>
      </c>
      <c r="K226" s="47">
        <v>4750</v>
      </c>
      <c r="L226" s="3" t="s">
        <v>372</v>
      </c>
      <c r="M226" s="33">
        <f t="shared" ref="M226" si="300">IF(J226="mm",F226*I226/1000*K226*1.55,F226*I226*12*K226/1000)</f>
        <v>3433.68</v>
      </c>
      <c r="N226" s="2">
        <f>_xlfn.XLOOKUP(A226,'[1]Prix MP'!$A:$A,'[1]Prix MP'!$T:$T)</f>
        <v>0</v>
      </c>
      <c r="O226" s="18">
        <f>_xlfn.XLOOKUP(A226,'[1]Prix MP'!$A:$A,'[1]Prix MP'!$U:$U)</f>
        <v>0.2835786407993599</v>
      </c>
      <c r="P226" s="11">
        <f t="shared" ref="P226" si="301">M226*N226</f>
        <v>0</v>
      </c>
      <c r="Q226" s="7">
        <f t="shared" ref="Q226" si="302">M226*O226</f>
        <v>973.71830733994602</v>
      </c>
      <c r="R226" t="s">
        <v>202</v>
      </c>
      <c r="S226" s="1">
        <f t="shared" si="298"/>
        <v>0</v>
      </c>
      <c r="T226" s="33">
        <f t="shared" si="299"/>
        <v>0</v>
      </c>
      <c r="V226" s="8"/>
      <c r="W226" s="69"/>
      <c r="AG226" s="1"/>
      <c r="AX226"/>
    </row>
    <row r="227" spans="1:50" x14ac:dyDescent="0.25">
      <c r="A227">
        <v>30011</v>
      </c>
      <c r="B227" s="17" t="s">
        <v>29</v>
      </c>
      <c r="C227" s="45">
        <v>45629</v>
      </c>
      <c r="D227" s="46" t="s">
        <v>176</v>
      </c>
      <c r="E227" s="46" t="s">
        <v>42</v>
      </c>
      <c r="F227" s="64">
        <v>-1</v>
      </c>
      <c r="G227" s="49" t="s">
        <v>519</v>
      </c>
      <c r="H227" s="58" t="s">
        <v>478</v>
      </c>
      <c r="I227" s="28">
        <v>60.24</v>
      </c>
      <c r="J227" t="s">
        <v>36</v>
      </c>
      <c r="K227" s="47">
        <v>4750</v>
      </c>
      <c r="L227" s="3" t="s">
        <v>372</v>
      </c>
      <c r="M227" s="33">
        <f>IF(J227="mm",F227*I227/1000*K227*1.55,F227*I227*12*K227/1000)</f>
        <v>-3433.68</v>
      </c>
      <c r="N227" s="2">
        <f>_xlfn.XLOOKUP(A227,'[1]Prix MP'!$A:$A,'[1]Prix MP'!$T:$T)</f>
        <v>0</v>
      </c>
      <c r="O227" s="18">
        <f>_xlfn.XLOOKUP(A227,'[1]Prix MP'!$A:$A,'[1]Prix MP'!$U:$U)</f>
        <v>0.2835786407993599</v>
      </c>
      <c r="P227" s="11">
        <f>M227*N227</f>
        <v>0</v>
      </c>
      <c r="Q227" s="7">
        <f t="shared" ref="Q227" si="303">M227*O227</f>
        <v>-973.71830733994602</v>
      </c>
      <c r="R227" t="s">
        <v>202</v>
      </c>
      <c r="S227" s="1">
        <f>ROUND(IF(E227="I",0,IF(J227="po",I227,I227/25.4)),2)</f>
        <v>0</v>
      </c>
      <c r="T227" s="33">
        <f>ROUND(IF(E227="I",0,IF(J227="po",K227,K227*3.280839895)),0)</f>
        <v>0</v>
      </c>
      <c r="V227" s="8"/>
      <c r="W227" s="69"/>
      <c r="AG227" s="1"/>
      <c r="AX227"/>
    </row>
    <row r="228" spans="1:50" x14ac:dyDescent="0.25">
      <c r="A228">
        <v>30011</v>
      </c>
      <c r="B228" t="s">
        <v>29</v>
      </c>
      <c r="C228" s="45">
        <v>45356</v>
      </c>
      <c r="D228" s="46" t="s">
        <v>37</v>
      </c>
      <c r="E228" s="46" t="s">
        <v>42</v>
      </c>
      <c r="F228" s="63">
        <f t="shared" si="281"/>
        <v>1</v>
      </c>
      <c r="G228" s="34"/>
      <c r="H228" s="58" t="s">
        <v>100</v>
      </c>
      <c r="I228" s="28">
        <v>1530</v>
      </c>
      <c r="J228" t="s">
        <v>2</v>
      </c>
      <c r="K228" s="47">
        <v>3000</v>
      </c>
      <c r="L228" s="3" t="str">
        <f t="shared" si="282"/>
        <v>m</v>
      </c>
      <c r="M228" s="33">
        <f t="shared" si="173"/>
        <v>7114.5</v>
      </c>
      <c r="N228" s="2">
        <f>_xlfn.XLOOKUP(A228,'[1]Prix MP'!$A:$A,'[1]Prix MP'!$T:$T)</f>
        <v>0</v>
      </c>
      <c r="O228" s="18">
        <f>_xlfn.XLOOKUP(A228,'[1]Prix MP'!$A:$A,'[1]Prix MP'!$U:$U)</f>
        <v>0.2835786407993599</v>
      </c>
      <c r="P228" s="11">
        <f t="shared" si="223"/>
        <v>0</v>
      </c>
      <c r="Q228" s="7">
        <f t="shared" si="224"/>
        <v>2017.5202399670461</v>
      </c>
      <c r="R228" t="s">
        <v>202</v>
      </c>
      <c r="S228" s="1">
        <f t="shared" si="274"/>
        <v>0</v>
      </c>
      <c r="T228" s="33">
        <f t="shared" si="275"/>
        <v>0</v>
      </c>
      <c r="V228" s="8">
        <f t="shared" si="225"/>
        <v>4590</v>
      </c>
      <c r="W228" s="69"/>
      <c r="AL228" s="1"/>
      <c r="AX228"/>
    </row>
    <row r="229" spans="1:50" x14ac:dyDescent="0.25">
      <c r="A229">
        <v>30011</v>
      </c>
      <c r="B229" s="17" t="s">
        <v>29</v>
      </c>
      <c r="C229" s="45">
        <v>45678</v>
      </c>
      <c r="D229" s="46" t="s">
        <v>176</v>
      </c>
      <c r="E229" s="46" t="s">
        <v>42</v>
      </c>
      <c r="F229" s="64">
        <v>-1</v>
      </c>
      <c r="G229" s="34" t="s">
        <v>681</v>
      </c>
      <c r="H229" s="58" t="s">
        <v>100</v>
      </c>
      <c r="I229" s="28">
        <v>1530</v>
      </c>
      <c r="J229" t="s">
        <v>2</v>
      </c>
      <c r="K229" s="47">
        <v>3000</v>
      </c>
      <c r="L229" s="3" t="str">
        <f t="shared" ref="L229" si="304">IF(J229="mm","m","pi")</f>
        <v>m</v>
      </c>
      <c r="M229" s="33">
        <f>IF(J229="mm",F229*I229/1000*K229*1.55,F229*I229*12*K229/1000)</f>
        <v>-7114.5</v>
      </c>
      <c r="N229" s="2">
        <f>_xlfn.XLOOKUP(A229,'[1]Prix MP'!$A:$A,'[1]Prix MP'!$T:$T)</f>
        <v>0</v>
      </c>
      <c r="O229" s="18">
        <f>_xlfn.XLOOKUP(A229,'[1]Prix MP'!$A:$A,'[1]Prix MP'!$U:$U)</f>
        <v>0.2835786407993599</v>
      </c>
      <c r="P229" s="11">
        <f>M229*N229</f>
        <v>0</v>
      </c>
      <c r="Q229" s="7">
        <f t="shared" ref="Q229" si="305">M229*O229</f>
        <v>-2017.5202399670461</v>
      </c>
      <c r="R229" t="s">
        <v>202</v>
      </c>
      <c r="S229" s="1">
        <f>ROUND(IF(E229="I",0,IF(J229="po",I229,I229/25.4)),2)</f>
        <v>0</v>
      </c>
      <c r="T229" s="33">
        <f>ROUND(IF(E229="I",0,IF(J229="po",K229,K229*3.280839895)),0)</f>
        <v>0</v>
      </c>
      <c r="V229" s="8"/>
      <c r="W229" s="69"/>
      <c r="AL229" s="1"/>
      <c r="AX229"/>
    </row>
    <row r="230" spans="1:50" x14ac:dyDescent="0.25">
      <c r="A230">
        <v>30011</v>
      </c>
      <c r="B230" t="s">
        <v>29</v>
      </c>
      <c r="C230" s="45">
        <v>45356</v>
      </c>
      <c r="D230" s="46" t="s">
        <v>37</v>
      </c>
      <c r="E230" s="46" t="s">
        <v>41</v>
      </c>
      <c r="F230" s="63">
        <f t="shared" si="281"/>
        <v>1</v>
      </c>
      <c r="G230" s="34"/>
      <c r="H230" s="58" t="s">
        <v>101</v>
      </c>
      <c r="I230" s="28">
        <v>1530</v>
      </c>
      <c r="J230" t="s">
        <v>2</v>
      </c>
      <c r="K230" s="47">
        <v>3000</v>
      </c>
      <c r="L230" s="3" t="str">
        <f t="shared" si="282"/>
        <v>m</v>
      </c>
      <c r="M230" s="33">
        <f t="shared" si="173"/>
        <v>7114.5</v>
      </c>
      <c r="N230" s="2">
        <f>_xlfn.XLOOKUP(A230,'[1]Prix MP'!$A:$A,'[1]Prix MP'!$T:$T)</f>
        <v>0</v>
      </c>
      <c r="O230" s="18">
        <f>_xlfn.XLOOKUP(A230,'[1]Prix MP'!$A:$A,'[1]Prix MP'!$U:$U)</f>
        <v>0.2835786407993599</v>
      </c>
      <c r="P230" s="11">
        <f t="shared" si="223"/>
        <v>0</v>
      </c>
      <c r="Q230" s="7">
        <f t="shared" si="224"/>
        <v>2017.5202399670461</v>
      </c>
      <c r="R230" t="s">
        <v>202</v>
      </c>
      <c r="S230" s="1">
        <f t="shared" si="274"/>
        <v>60.24</v>
      </c>
      <c r="T230" s="33">
        <f t="shared" si="275"/>
        <v>9843</v>
      </c>
      <c r="V230" s="8">
        <f t="shared" si="225"/>
        <v>4590</v>
      </c>
      <c r="W230" s="69"/>
      <c r="AL230" s="1"/>
      <c r="AX230"/>
    </row>
    <row r="231" spans="1:50" x14ac:dyDescent="0.25">
      <c r="A231">
        <v>30011</v>
      </c>
      <c r="B231" t="s">
        <v>29</v>
      </c>
      <c r="C231" s="45">
        <v>45356</v>
      </c>
      <c r="D231" s="46" t="s">
        <v>37</v>
      </c>
      <c r="E231" s="46" t="s">
        <v>42</v>
      </c>
      <c r="F231" s="63">
        <f t="shared" si="281"/>
        <v>1</v>
      </c>
      <c r="G231" s="34"/>
      <c r="H231" s="58" t="s">
        <v>102</v>
      </c>
      <c r="I231" s="28">
        <v>1530</v>
      </c>
      <c r="J231" t="s">
        <v>2</v>
      </c>
      <c r="K231" s="47">
        <v>3000</v>
      </c>
      <c r="L231" s="3" t="str">
        <f t="shared" si="282"/>
        <v>m</v>
      </c>
      <c r="M231" s="33">
        <f t="shared" si="173"/>
        <v>7114.5</v>
      </c>
      <c r="N231" s="2">
        <f>_xlfn.XLOOKUP(A231,'[1]Prix MP'!$A:$A,'[1]Prix MP'!$T:$T)</f>
        <v>0</v>
      </c>
      <c r="O231" s="18">
        <f>_xlfn.XLOOKUP(A231,'[1]Prix MP'!$A:$A,'[1]Prix MP'!$U:$U)</f>
        <v>0.2835786407993599</v>
      </c>
      <c r="P231" s="11">
        <f t="shared" si="223"/>
        <v>0</v>
      </c>
      <c r="Q231" s="7">
        <f t="shared" si="224"/>
        <v>2017.5202399670461</v>
      </c>
      <c r="R231" t="s">
        <v>202</v>
      </c>
      <c r="S231" s="1">
        <f t="shared" si="274"/>
        <v>0</v>
      </c>
      <c r="T231" s="33">
        <f t="shared" si="275"/>
        <v>0</v>
      </c>
      <c r="V231" s="8">
        <f t="shared" si="225"/>
        <v>4590</v>
      </c>
      <c r="W231" s="69"/>
      <c r="AL231" s="1"/>
      <c r="AX231"/>
    </row>
    <row r="232" spans="1:50" x14ac:dyDescent="0.25">
      <c r="A232">
        <v>30011</v>
      </c>
      <c r="B232" t="s">
        <v>29</v>
      </c>
      <c r="C232" s="45">
        <v>45678</v>
      </c>
      <c r="D232" t="s">
        <v>176</v>
      </c>
      <c r="E232" s="46" t="s">
        <v>42</v>
      </c>
      <c r="F232" s="64">
        <v>-1</v>
      </c>
      <c r="G232" s="34" t="s">
        <v>681</v>
      </c>
      <c r="H232" s="58" t="s">
        <v>102</v>
      </c>
      <c r="I232" s="28">
        <v>1530</v>
      </c>
      <c r="J232" t="s">
        <v>2</v>
      </c>
      <c r="K232" s="47">
        <v>3000</v>
      </c>
      <c r="L232" s="3"/>
      <c r="M232" s="33">
        <f>IF(J232="mm",F232*I232/1000*K232*1.55,F232*I232*12*K232/1000)</f>
        <v>-7114.5</v>
      </c>
      <c r="N232" s="2">
        <f>_xlfn.XLOOKUP(A232,'[1]Prix MP'!$A:$A,'[1]Prix MP'!$T:$T)</f>
        <v>0</v>
      </c>
      <c r="O232" s="18">
        <f>_xlfn.XLOOKUP(A232,'[1]Prix MP'!$A:$A,'[1]Prix MP'!$U:$U)</f>
        <v>0.2835786407993599</v>
      </c>
      <c r="P232" s="11">
        <f>M232*N232</f>
        <v>0</v>
      </c>
      <c r="Q232" s="7">
        <f t="shared" ref="Q232" si="306">M232*O232</f>
        <v>-2017.5202399670461</v>
      </c>
      <c r="R232" t="s">
        <v>202</v>
      </c>
      <c r="S232" s="1">
        <f>ROUND(IF(E232="I",0,IF(J232="po",I232,I232/25.4)),2)</f>
        <v>0</v>
      </c>
      <c r="T232" s="33">
        <f>ROUND(IF(E232="I",0,IF(J232="po",K232,K232*3.280839895)),0)</f>
        <v>0</v>
      </c>
      <c r="V232" s="8"/>
      <c r="W232" s="69"/>
      <c r="AL232" s="1"/>
      <c r="AX232"/>
    </row>
    <row r="233" spans="1:50" x14ac:dyDescent="0.25">
      <c r="A233">
        <v>30011</v>
      </c>
      <c r="B233" t="s">
        <v>29</v>
      </c>
      <c r="C233" s="45">
        <v>45356</v>
      </c>
      <c r="D233" s="46" t="s">
        <v>37</v>
      </c>
      <c r="E233" s="46" t="s">
        <v>42</v>
      </c>
      <c r="F233" s="63">
        <f t="shared" si="281"/>
        <v>1</v>
      </c>
      <c r="G233" s="34"/>
      <c r="H233" s="58" t="s">
        <v>103</v>
      </c>
      <c r="I233" s="28">
        <v>1530</v>
      </c>
      <c r="J233" t="s">
        <v>2</v>
      </c>
      <c r="K233" s="47">
        <v>3000</v>
      </c>
      <c r="L233" s="3" t="str">
        <f t="shared" si="282"/>
        <v>m</v>
      </c>
      <c r="M233" s="33">
        <f t="shared" si="173"/>
        <v>7114.5</v>
      </c>
      <c r="N233" s="2">
        <f>_xlfn.XLOOKUP(A233,'[1]Prix MP'!$A:$A,'[1]Prix MP'!$T:$T)</f>
        <v>0</v>
      </c>
      <c r="O233" s="18">
        <f>_xlfn.XLOOKUP(A233,'[1]Prix MP'!$A:$A,'[1]Prix MP'!$U:$U)</f>
        <v>0.2835786407993599</v>
      </c>
      <c r="P233" s="11">
        <f t="shared" si="223"/>
        <v>0</v>
      </c>
      <c r="Q233" s="7">
        <f t="shared" si="224"/>
        <v>2017.5202399670461</v>
      </c>
      <c r="R233" t="s">
        <v>202</v>
      </c>
      <c r="S233" s="1">
        <f t="shared" si="274"/>
        <v>0</v>
      </c>
      <c r="T233" s="33">
        <f t="shared" si="275"/>
        <v>0</v>
      </c>
      <c r="V233" s="8">
        <f t="shared" si="225"/>
        <v>4590</v>
      </c>
      <c r="W233" s="69"/>
      <c r="AL233" s="1"/>
      <c r="AX233"/>
    </row>
    <row r="234" spans="1:50" x14ac:dyDescent="0.25">
      <c r="A234">
        <v>30011</v>
      </c>
      <c r="B234" s="17" t="s">
        <v>29</v>
      </c>
      <c r="C234" s="45">
        <v>45674</v>
      </c>
      <c r="D234" s="46" t="s">
        <v>176</v>
      </c>
      <c r="E234" s="46" t="s">
        <v>42</v>
      </c>
      <c r="F234" s="64">
        <v>-1</v>
      </c>
      <c r="G234" s="34" t="s">
        <v>677</v>
      </c>
      <c r="H234" s="58" t="s">
        <v>103</v>
      </c>
      <c r="I234" s="28">
        <v>1530</v>
      </c>
      <c r="J234" t="s">
        <v>2</v>
      </c>
      <c r="K234" s="47">
        <v>3000</v>
      </c>
      <c r="L234" s="3" t="str">
        <f t="shared" ref="L234" si="307">IF(J234="mm","m","pi")</f>
        <v>m</v>
      </c>
      <c r="M234" s="33">
        <f t="shared" ref="M234" si="308">IF(J234="mm",F234*I234/1000*K234*1.55,F234*I234*12*K234/1000)</f>
        <v>-7114.5</v>
      </c>
      <c r="N234" s="2">
        <f>_xlfn.XLOOKUP(A234,'[1]Prix MP'!$A:$A,'[1]Prix MP'!$T:$T)</f>
        <v>0</v>
      </c>
      <c r="O234" s="18">
        <f>_xlfn.XLOOKUP(A234,'[1]Prix MP'!$A:$A,'[1]Prix MP'!$U:$U)</f>
        <v>0.2835786407993599</v>
      </c>
      <c r="P234" s="11">
        <f t="shared" ref="P234" si="309">M234*N234</f>
        <v>0</v>
      </c>
      <c r="Q234" s="7">
        <f t="shared" ref="Q234" si="310">M234*O234</f>
        <v>-2017.5202399670461</v>
      </c>
      <c r="R234" t="s">
        <v>202</v>
      </c>
      <c r="S234" s="1">
        <f>ROUND(IF(E234="I",0,IF(J234="po",I234,I234/25.4)),2)</f>
        <v>0</v>
      </c>
      <c r="T234" s="33">
        <f>ROUND(IF(E234="I",0,IF(J234="po",K234,K234*3.280839895)),0)</f>
        <v>0</v>
      </c>
      <c r="V234" s="8"/>
      <c r="W234" s="69"/>
      <c r="AL234" s="1"/>
      <c r="AX234"/>
    </row>
    <row r="235" spans="1:50" x14ac:dyDescent="0.25">
      <c r="A235">
        <v>30011</v>
      </c>
      <c r="B235" t="s">
        <v>29</v>
      </c>
      <c r="C235" s="45">
        <v>45541</v>
      </c>
      <c r="D235" s="46" t="s">
        <v>37</v>
      </c>
      <c r="E235" s="46" t="s">
        <v>42</v>
      </c>
      <c r="F235" s="63">
        <f t="shared" si="281"/>
        <v>1</v>
      </c>
      <c r="G235" s="34" t="s">
        <v>364</v>
      </c>
      <c r="H235" s="58" t="s">
        <v>129</v>
      </c>
      <c r="I235" s="28">
        <v>47</v>
      </c>
      <c r="J235" t="s">
        <v>36</v>
      </c>
      <c r="K235" s="47">
        <v>5000</v>
      </c>
      <c r="L235" s="3" t="str">
        <f t="shared" si="282"/>
        <v>pi</v>
      </c>
      <c r="M235" s="33">
        <f t="shared" si="173"/>
        <v>2820</v>
      </c>
      <c r="N235" s="2">
        <f>_xlfn.XLOOKUP(A235,'[1]Prix MP'!$A:$A,'[1]Prix MP'!$T:$T)</f>
        <v>0</v>
      </c>
      <c r="O235" s="18">
        <f>_xlfn.XLOOKUP(A235,'[1]Prix MP'!$A:$A,'[1]Prix MP'!$U:$U)</f>
        <v>0.2835786407993599</v>
      </c>
      <c r="P235" s="11">
        <f t="shared" si="223"/>
        <v>0</v>
      </c>
      <c r="Q235" s="7">
        <f t="shared" si="224"/>
        <v>799.69176705419488</v>
      </c>
      <c r="R235" t="s">
        <v>202</v>
      </c>
      <c r="S235" s="1">
        <f t="shared" si="274"/>
        <v>0</v>
      </c>
      <c r="T235" s="33">
        <f t="shared" si="275"/>
        <v>0</v>
      </c>
      <c r="V235" s="8" t="str">
        <f t="shared" si="225"/>
        <v/>
      </c>
      <c r="W235" s="69"/>
      <c r="AL235" s="1"/>
      <c r="AX235"/>
    </row>
    <row r="236" spans="1:50" x14ac:dyDescent="0.25">
      <c r="A236">
        <v>30011</v>
      </c>
      <c r="B236" t="s">
        <v>29</v>
      </c>
      <c r="C236" s="45">
        <v>45590</v>
      </c>
      <c r="D236" s="46" t="s">
        <v>38</v>
      </c>
      <c r="E236" s="46" t="s">
        <v>42</v>
      </c>
      <c r="F236" s="63">
        <f t="shared" ref="F236:F237" si="311">IF(D236="in",1,-1)</f>
        <v>-1</v>
      </c>
      <c r="G236" s="34" t="s">
        <v>364</v>
      </c>
      <c r="H236" s="58" t="s">
        <v>129</v>
      </c>
      <c r="I236" s="28">
        <v>47</v>
      </c>
      <c r="J236" t="s">
        <v>36</v>
      </c>
      <c r="K236" s="47">
        <v>5000</v>
      </c>
      <c r="L236" s="3" t="str">
        <f t="shared" ref="L236:L237" si="312">IF(J236="mm","m","pi")</f>
        <v>pi</v>
      </c>
      <c r="M236" s="33">
        <f t="shared" ref="M236:M237" si="313">IF(J236="mm",F236*I236/1000*K236*1.55,F236*I236*12*K236/1000)</f>
        <v>-2820</v>
      </c>
      <c r="N236" s="2">
        <f>_xlfn.XLOOKUP(A236,'[1]Prix MP'!$A:$A,'[1]Prix MP'!$T:$T)</f>
        <v>0</v>
      </c>
      <c r="O236" s="18">
        <f>_xlfn.XLOOKUP(A236,'[1]Prix MP'!$A:$A,'[1]Prix MP'!$U:$U)</f>
        <v>0.2835786407993599</v>
      </c>
      <c r="P236" s="11">
        <f t="shared" ref="P236:P237" si="314">M236*N236</f>
        <v>0</v>
      </c>
      <c r="Q236" s="7">
        <f t="shared" ref="Q236:Q237" si="315">M236*O236</f>
        <v>-799.69176705419488</v>
      </c>
      <c r="R236" t="s">
        <v>202</v>
      </c>
      <c r="S236" s="1">
        <f t="shared" ref="S236:S237" si="316">ROUND(IF(E236="I",0,IF(J236="po",I236,I236/25.4)),2)</f>
        <v>0</v>
      </c>
      <c r="T236" s="33">
        <f t="shared" ref="T236:T237" si="317">ROUND(IF(E236="I",0,IF(J236="po",K236,K236*3.280839895)),0)</f>
        <v>0</v>
      </c>
      <c r="V236" s="8" t="str">
        <f t="shared" si="225"/>
        <v/>
      </c>
      <c r="W236" s="69"/>
      <c r="AL236" s="1"/>
      <c r="AX236"/>
    </row>
    <row r="237" spans="1:50" x14ac:dyDescent="0.25">
      <c r="A237">
        <v>30011</v>
      </c>
      <c r="B237" t="s">
        <v>29</v>
      </c>
      <c r="C237" s="45">
        <v>45590</v>
      </c>
      <c r="D237" s="46" t="s">
        <v>37</v>
      </c>
      <c r="E237" s="46" t="s">
        <v>41</v>
      </c>
      <c r="F237" s="63">
        <f t="shared" si="311"/>
        <v>1</v>
      </c>
      <c r="G237" s="34" t="s">
        <v>364</v>
      </c>
      <c r="H237" s="58" t="s">
        <v>365</v>
      </c>
      <c r="I237" s="28">
        <v>33.75</v>
      </c>
      <c r="J237" t="s">
        <v>36</v>
      </c>
      <c r="K237" s="47">
        <v>4950</v>
      </c>
      <c r="L237" s="3" t="str">
        <f t="shared" si="312"/>
        <v>pi</v>
      </c>
      <c r="M237" s="33">
        <f t="shared" si="313"/>
        <v>2004.75</v>
      </c>
      <c r="N237" s="2">
        <f>_xlfn.XLOOKUP(A237,'[1]Prix MP'!$A:$A,'[1]Prix MP'!$T:$T)</f>
        <v>0</v>
      </c>
      <c r="O237" s="18">
        <f>_xlfn.XLOOKUP(A237,'[1]Prix MP'!$A:$A,'[1]Prix MP'!$U:$U)</f>
        <v>0.2835786407993599</v>
      </c>
      <c r="P237" s="11">
        <f t="shared" si="314"/>
        <v>0</v>
      </c>
      <c r="Q237" s="7">
        <f t="shared" si="315"/>
        <v>568.50428014251679</v>
      </c>
      <c r="R237" t="s">
        <v>202</v>
      </c>
      <c r="S237" s="1">
        <f t="shared" si="316"/>
        <v>33.75</v>
      </c>
      <c r="T237" s="33">
        <f t="shared" si="317"/>
        <v>4950</v>
      </c>
      <c r="V237" s="8" t="str">
        <f t="shared" si="225"/>
        <v/>
      </c>
      <c r="W237" s="69">
        <f>47-26</f>
        <v>21</v>
      </c>
      <c r="AL237" s="1"/>
      <c r="AX237"/>
    </row>
    <row r="238" spans="1:50" x14ac:dyDescent="0.25">
      <c r="A238">
        <v>30011</v>
      </c>
      <c r="B238" t="s">
        <v>29</v>
      </c>
      <c r="C238" s="45">
        <v>45541</v>
      </c>
      <c r="D238" s="46" t="s">
        <v>37</v>
      </c>
      <c r="E238" s="46" t="s">
        <v>42</v>
      </c>
      <c r="F238" s="63">
        <f t="shared" si="281"/>
        <v>1</v>
      </c>
      <c r="G238" s="34">
        <v>2024107</v>
      </c>
      <c r="H238" s="58" t="s">
        <v>561</v>
      </c>
      <c r="I238" s="28">
        <v>60.24</v>
      </c>
      <c r="J238" t="s">
        <v>36</v>
      </c>
      <c r="K238" s="47">
        <v>4600</v>
      </c>
      <c r="L238" s="3" t="str">
        <f t="shared" si="282"/>
        <v>pi</v>
      </c>
      <c r="M238" s="33">
        <f t="shared" si="173"/>
        <v>3325.248</v>
      </c>
      <c r="N238" s="2">
        <f>_xlfn.XLOOKUP(A238,'[1]Prix MP'!$A:$A,'[1]Prix MP'!$T:$T)</f>
        <v>0</v>
      </c>
      <c r="O238" s="18">
        <f>_xlfn.XLOOKUP(A238,'[1]Prix MP'!$A:$A,'[1]Prix MP'!$U:$U)</f>
        <v>0.2835786407993599</v>
      </c>
      <c r="P238" s="11">
        <f t="shared" ref="P238:P282" si="318">M238*N238</f>
        <v>0</v>
      </c>
      <c r="Q238" s="7">
        <f t="shared" ref="Q238:Q282" si="319">M238*O238</f>
        <v>942.96930816078998</v>
      </c>
      <c r="R238" t="s">
        <v>202</v>
      </c>
      <c r="S238" s="1">
        <f t="shared" si="274"/>
        <v>0</v>
      </c>
      <c r="T238" s="33">
        <f t="shared" si="275"/>
        <v>0</v>
      </c>
      <c r="V238" s="8" t="str">
        <f t="shared" si="225"/>
        <v/>
      </c>
      <c r="W238" s="69"/>
      <c r="AL238" s="1"/>
      <c r="AX238"/>
    </row>
    <row r="239" spans="1:50" x14ac:dyDescent="0.25">
      <c r="A239">
        <v>30011</v>
      </c>
      <c r="B239" s="17" t="s">
        <v>29</v>
      </c>
      <c r="C239" s="45">
        <v>45636</v>
      </c>
      <c r="D239" s="46" t="s">
        <v>176</v>
      </c>
      <c r="E239" s="46" t="s">
        <v>42</v>
      </c>
      <c r="F239" s="64">
        <v>-1</v>
      </c>
      <c r="G239" s="49" t="s">
        <v>560</v>
      </c>
      <c r="H239" s="58" t="s">
        <v>561</v>
      </c>
      <c r="I239" s="28">
        <v>60.24</v>
      </c>
      <c r="J239" t="s">
        <v>36</v>
      </c>
      <c r="K239" s="47">
        <v>4600</v>
      </c>
      <c r="L239" s="3" t="s">
        <v>372</v>
      </c>
      <c r="M239" s="33">
        <f>IF(J239="mm",F239*I239/1000*K239*1.55,F239*I239*12*K239/1000)</f>
        <v>-3325.248</v>
      </c>
      <c r="N239" s="2">
        <f>_xlfn.XLOOKUP(A239,'[1]Prix MP'!$A:$A,'[1]Prix MP'!$T:$T)</f>
        <v>0</v>
      </c>
      <c r="O239" s="18">
        <f>_xlfn.XLOOKUP(A239,'[1]Prix MP'!$A:$A,'[1]Prix MP'!$U:$U)</f>
        <v>0.2835786407993599</v>
      </c>
      <c r="P239" s="11">
        <f>M239*N239</f>
        <v>0</v>
      </c>
      <c r="Q239" s="7">
        <f t="shared" ref="Q239" si="320">M239*O239</f>
        <v>-942.96930816078998</v>
      </c>
      <c r="R239" t="s">
        <v>202</v>
      </c>
      <c r="S239" s="1">
        <f>ROUND(IF(E239="I",0,IF(J239="po",I239,I239/25.4)),2)</f>
        <v>0</v>
      </c>
      <c r="T239" s="33">
        <f>ROUND(IF(E239="I",0,IF(J239="po",K239,K239*3.280839895)),0)</f>
        <v>0</v>
      </c>
      <c r="V239" s="8"/>
      <c r="W239" s="69"/>
      <c r="AL239" s="1"/>
      <c r="AX239"/>
    </row>
    <row r="240" spans="1:50" x14ac:dyDescent="0.25">
      <c r="A240">
        <v>30011</v>
      </c>
      <c r="B240" t="s">
        <v>29</v>
      </c>
      <c r="C240" s="45">
        <v>45356</v>
      </c>
      <c r="D240" s="46" t="s">
        <v>37</v>
      </c>
      <c r="E240" s="46" t="s">
        <v>42</v>
      </c>
      <c r="F240" s="63">
        <f t="shared" si="281"/>
        <v>1</v>
      </c>
      <c r="G240" s="34"/>
      <c r="H240" s="58" t="s">
        <v>104</v>
      </c>
      <c r="I240" s="28">
        <v>1530</v>
      </c>
      <c r="J240" t="s">
        <v>2</v>
      </c>
      <c r="K240" s="47">
        <v>3000</v>
      </c>
      <c r="L240" s="3" t="str">
        <f t="shared" si="282"/>
        <v>m</v>
      </c>
      <c r="M240" s="33">
        <f t="shared" ref="M240:M324" si="321">IF(J240="mm",F240*I240/1000*K240*1.55,F240*I240*12*K240/1000)</f>
        <v>7114.5</v>
      </c>
      <c r="N240" s="2">
        <f>_xlfn.XLOOKUP(A240,'[1]Prix MP'!$A:$A,'[1]Prix MP'!$T:$T)</f>
        <v>0</v>
      </c>
      <c r="O240" s="18">
        <f>_xlfn.XLOOKUP(A240,'[1]Prix MP'!$A:$A,'[1]Prix MP'!$U:$U)</f>
        <v>0.2835786407993599</v>
      </c>
      <c r="P240" s="11">
        <f t="shared" si="318"/>
        <v>0</v>
      </c>
      <c r="Q240" s="7">
        <f t="shared" si="319"/>
        <v>2017.5202399670461</v>
      </c>
      <c r="R240" t="s">
        <v>202</v>
      </c>
      <c r="S240" s="1">
        <f t="shared" si="274"/>
        <v>0</v>
      </c>
      <c r="T240" s="33">
        <f t="shared" si="275"/>
        <v>0</v>
      </c>
      <c r="V240" s="8">
        <f t="shared" si="225"/>
        <v>4590</v>
      </c>
      <c r="W240" s="69"/>
      <c r="AG240" s="1"/>
      <c r="AX240"/>
    </row>
    <row r="241" spans="1:50" x14ac:dyDescent="0.25">
      <c r="A241">
        <v>30011</v>
      </c>
      <c r="B241" s="17" t="s">
        <v>29</v>
      </c>
      <c r="C241" s="45">
        <v>45679</v>
      </c>
      <c r="D241" s="46" t="s">
        <v>176</v>
      </c>
      <c r="E241" s="46" t="s">
        <v>42</v>
      </c>
      <c r="F241" s="64">
        <v>-1</v>
      </c>
      <c r="G241" s="49" t="s">
        <v>684</v>
      </c>
      <c r="H241" s="58" t="s">
        <v>104</v>
      </c>
      <c r="I241" s="28">
        <v>1530</v>
      </c>
      <c r="J241" t="s">
        <v>2</v>
      </c>
      <c r="K241" s="47">
        <v>3000</v>
      </c>
      <c r="L241" s="3" t="str">
        <f t="shared" ref="L241" si="322">IF(J241="mm","m","pi")</f>
        <v>m</v>
      </c>
      <c r="M241" s="33">
        <f>IF(J241="mm",F241*I241/1000*K241*1.55,F241*I241*12*K241/1000)</f>
        <v>-7114.5</v>
      </c>
      <c r="N241" s="2">
        <f>_xlfn.XLOOKUP(A241,'[1]Prix MP'!$A:$A,'[1]Prix MP'!$T:$T)</f>
        <v>0</v>
      </c>
      <c r="O241" s="18">
        <f>_xlfn.XLOOKUP(A241,'[1]Prix MP'!$A:$A,'[1]Prix MP'!$U:$U)</f>
        <v>0.2835786407993599</v>
      </c>
      <c r="P241" s="11">
        <f>M241*N241</f>
        <v>0</v>
      </c>
      <c r="Q241" s="7">
        <f t="shared" ref="Q241" si="323">M241*O241</f>
        <v>-2017.5202399670461</v>
      </c>
      <c r="R241" t="s">
        <v>202</v>
      </c>
      <c r="S241" s="1">
        <f>ROUND(IF(E241="I",0,IF(J241="po",I241,I241/25.4)),2)</f>
        <v>0</v>
      </c>
      <c r="T241" s="33">
        <f>ROUND(IF(E241="I",0,IF(J241="po",K241,K241*3.280839895)),0)</f>
        <v>0</v>
      </c>
      <c r="V241" s="8"/>
      <c r="W241" s="69"/>
      <c r="AG241" s="1"/>
      <c r="AX241"/>
    </row>
    <row r="242" spans="1:50" x14ac:dyDescent="0.25">
      <c r="A242">
        <v>30011</v>
      </c>
      <c r="B242" t="s">
        <v>29</v>
      </c>
      <c r="C242" s="57">
        <v>45356</v>
      </c>
      <c r="D242" s="46" t="s">
        <v>37</v>
      </c>
      <c r="E242" s="46" t="s">
        <v>41</v>
      </c>
      <c r="F242" s="63">
        <f t="shared" si="281"/>
        <v>1</v>
      </c>
      <c r="G242" s="59"/>
      <c r="H242" s="68" t="s">
        <v>105</v>
      </c>
      <c r="I242" s="28">
        <v>1530</v>
      </c>
      <c r="J242" t="s">
        <v>2</v>
      </c>
      <c r="K242" s="47">
        <v>3000</v>
      </c>
      <c r="L242" s="3" t="str">
        <f t="shared" si="282"/>
        <v>m</v>
      </c>
      <c r="M242" s="33">
        <f t="shared" si="321"/>
        <v>7114.5</v>
      </c>
      <c r="N242" s="2">
        <f>_xlfn.XLOOKUP(A242,'[1]Prix MP'!$A:$A,'[1]Prix MP'!$T:$T)</f>
        <v>0</v>
      </c>
      <c r="O242" s="18">
        <f>_xlfn.XLOOKUP(A242,'[1]Prix MP'!$A:$A,'[1]Prix MP'!$U:$U)</f>
        <v>0.2835786407993599</v>
      </c>
      <c r="P242" s="11">
        <f t="shared" si="318"/>
        <v>0</v>
      </c>
      <c r="Q242" s="7">
        <f t="shared" si="319"/>
        <v>2017.5202399670461</v>
      </c>
      <c r="R242" t="s">
        <v>202</v>
      </c>
      <c r="S242" s="1">
        <f t="shared" si="274"/>
        <v>60.24</v>
      </c>
      <c r="T242" s="33">
        <f t="shared" si="275"/>
        <v>9843</v>
      </c>
      <c r="V242" s="8">
        <f t="shared" si="225"/>
        <v>4590</v>
      </c>
      <c r="W242" s="69"/>
      <c r="AL242" s="1"/>
      <c r="AX242"/>
    </row>
    <row r="243" spans="1:50" x14ac:dyDescent="0.25">
      <c r="A243">
        <v>30011</v>
      </c>
      <c r="B243" t="s">
        <v>29</v>
      </c>
      <c r="C243" s="57">
        <v>45356</v>
      </c>
      <c r="D243" s="46" t="s">
        <v>37</v>
      </c>
      <c r="E243" s="46" t="s">
        <v>42</v>
      </c>
      <c r="F243" s="63">
        <f t="shared" si="281"/>
        <v>1</v>
      </c>
      <c r="G243" s="59"/>
      <c r="H243" s="68" t="s">
        <v>106</v>
      </c>
      <c r="I243" s="28">
        <v>1530</v>
      </c>
      <c r="J243" t="s">
        <v>2</v>
      </c>
      <c r="K243" s="47">
        <v>3000</v>
      </c>
      <c r="L243" s="3" t="str">
        <f t="shared" si="282"/>
        <v>m</v>
      </c>
      <c r="M243" s="33">
        <f t="shared" si="321"/>
        <v>7114.5</v>
      </c>
      <c r="N243" s="2">
        <f>_xlfn.XLOOKUP(A243,'[1]Prix MP'!$A:$A,'[1]Prix MP'!$T:$T)</f>
        <v>0</v>
      </c>
      <c r="O243" s="18">
        <f>_xlfn.XLOOKUP(A243,'[1]Prix MP'!$A:$A,'[1]Prix MP'!$U:$U)</f>
        <v>0.2835786407993599</v>
      </c>
      <c r="P243" s="11">
        <f t="shared" si="318"/>
        <v>0</v>
      </c>
      <c r="Q243" s="7">
        <f t="shared" si="319"/>
        <v>2017.5202399670461</v>
      </c>
      <c r="R243" t="s">
        <v>202</v>
      </c>
      <c r="S243" s="1">
        <f t="shared" si="274"/>
        <v>0</v>
      </c>
      <c r="T243" s="33">
        <f t="shared" si="275"/>
        <v>0</v>
      </c>
      <c r="V243" s="8">
        <f t="shared" si="225"/>
        <v>4590</v>
      </c>
      <c r="W243" s="69"/>
      <c r="AL243" s="1"/>
      <c r="AX243"/>
    </row>
    <row r="244" spans="1:50" x14ac:dyDescent="0.25">
      <c r="A244">
        <v>30011</v>
      </c>
      <c r="B244" s="17" t="s">
        <v>29</v>
      </c>
      <c r="C244" s="57">
        <v>45680</v>
      </c>
      <c r="D244" s="46" t="s">
        <v>176</v>
      </c>
      <c r="E244" s="46" t="s">
        <v>42</v>
      </c>
      <c r="F244" s="64">
        <v>-1</v>
      </c>
      <c r="G244" s="65" t="s">
        <v>687</v>
      </c>
      <c r="H244" s="68" t="s">
        <v>106</v>
      </c>
      <c r="I244" s="28">
        <v>1530</v>
      </c>
      <c r="J244" t="s">
        <v>2</v>
      </c>
      <c r="K244" s="47">
        <v>3000</v>
      </c>
      <c r="L244" s="3" t="str">
        <f t="shared" ref="L244" si="324">IF(J244="mm","m","pi")</f>
        <v>m</v>
      </c>
      <c r="M244" s="33">
        <f t="shared" ref="M244" si="325">IF(J244="mm",F244*I244/1000*K244*1.55,F244*I244*12*K244/1000)</f>
        <v>-7114.5</v>
      </c>
      <c r="N244" s="2">
        <f>_xlfn.XLOOKUP(A244,'[1]Prix MP'!$A:$A,'[1]Prix MP'!$T:$T)</f>
        <v>0</v>
      </c>
      <c r="O244" s="18">
        <f>_xlfn.XLOOKUP(A244,'[1]Prix MP'!$A:$A,'[1]Prix MP'!$U:$U)</f>
        <v>0.2835786407993599</v>
      </c>
      <c r="P244" s="11">
        <f t="shared" ref="P244" si="326">M244*N244</f>
        <v>0</v>
      </c>
      <c r="Q244" s="7">
        <f t="shared" ref="Q244" si="327">M244*O244</f>
        <v>-2017.5202399670461</v>
      </c>
      <c r="R244" t="s">
        <v>202</v>
      </c>
      <c r="S244" s="1">
        <f>ROUND(IF(E244="I",0,IF(J244="po",I244,I244/25.4)),2)</f>
        <v>0</v>
      </c>
      <c r="T244" s="33">
        <f>ROUND(IF(E244="I",0,IF(J244="po",K244,K244*3.280839895)),0)</f>
        <v>0</v>
      </c>
      <c r="V244" s="8"/>
      <c r="W244" s="69"/>
      <c r="AL244" s="1"/>
      <c r="AX244"/>
    </row>
    <row r="245" spans="1:50" x14ac:dyDescent="0.25">
      <c r="A245">
        <v>30011</v>
      </c>
      <c r="B245" t="s">
        <v>29</v>
      </c>
      <c r="C245" s="57">
        <v>45356</v>
      </c>
      <c r="D245" s="46" t="s">
        <v>37</v>
      </c>
      <c r="E245" s="46" t="s">
        <v>41</v>
      </c>
      <c r="F245" s="63">
        <f t="shared" si="281"/>
        <v>1</v>
      </c>
      <c r="G245" s="59"/>
      <c r="H245" s="68" t="s">
        <v>107</v>
      </c>
      <c r="I245" s="28">
        <v>1530</v>
      </c>
      <c r="J245" t="s">
        <v>2</v>
      </c>
      <c r="K245" s="47">
        <v>3000</v>
      </c>
      <c r="L245" s="3" t="str">
        <f t="shared" si="282"/>
        <v>m</v>
      </c>
      <c r="M245" s="33">
        <f t="shared" si="321"/>
        <v>7114.5</v>
      </c>
      <c r="N245" s="2">
        <f>_xlfn.XLOOKUP(A245,'[1]Prix MP'!$A:$A,'[1]Prix MP'!$T:$T)</f>
        <v>0</v>
      </c>
      <c r="O245" s="18">
        <f>_xlfn.XLOOKUP(A245,'[1]Prix MP'!$A:$A,'[1]Prix MP'!$U:$U)</f>
        <v>0.2835786407993599</v>
      </c>
      <c r="P245" s="11">
        <f t="shared" si="318"/>
        <v>0</v>
      </c>
      <c r="Q245" s="7">
        <f t="shared" si="319"/>
        <v>2017.5202399670461</v>
      </c>
      <c r="R245" t="s">
        <v>202</v>
      </c>
      <c r="S245" s="1">
        <f t="shared" si="274"/>
        <v>60.24</v>
      </c>
      <c r="T245" s="33">
        <f t="shared" si="275"/>
        <v>9843</v>
      </c>
      <c r="V245" s="8">
        <f t="shared" si="225"/>
        <v>4590</v>
      </c>
      <c r="W245" s="69"/>
      <c r="AL245" s="1"/>
      <c r="AX245"/>
    </row>
    <row r="246" spans="1:50" x14ac:dyDescent="0.25">
      <c r="A246">
        <v>30011</v>
      </c>
      <c r="B246" t="s">
        <v>29</v>
      </c>
      <c r="C246" s="57">
        <v>45356</v>
      </c>
      <c r="D246" s="46" t="s">
        <v>37</v>
      </c>
      <c r="E246" s="46" t="s">
        <v>42</v>
      </c>
      <c r="F246" s="63">
        <f t="shared" si="281"/>
        <v>1</v>
      </c>
      <c r="G246" s="59"/>
      <c r="H246" s="68" t="s">
        <v>108</v>
      </c>
      <c r="I246" s="28">
        <v>1530</v>
      </c>
      <c r="J246" t="s">
        <v>2</v>
      </c>
      <c r="K246" s="47">
        <v>3000</v>
      </c>
      <c r="L246" s="3" t="str">
        <f t="shared" si="282"/>
        <v>m</v>
      </c>
      <c r="M246" s="33">
        <f t="shared" si="321"/>
        <v>7114.5</v>
      </c>
      <c r="N246" s="2">
        <f>_xlfn.XLOOKUP(A246,'[1]Prix MP'!$A:$A,'[1]Prix MP'!$T:$T)</f>
        <v>0</v>
      </c>
      <c r="O246" s="18">
        <f>_xlfn.XLOOKUP(A246,'[1]Prix MP'!$A:$A,'[1]Prix MP'!$U:$U)</f>
        <v>0.2835786407993599</v>
      </c>
      <c r="P246" s="11">
        <f t="shared" si="318"/>
        <v>0</v>
      </c>
      <c r="Q246" s="7">
        <f t="shared" si="319"/>
        <v>2017.5202399670461</v>
      </c>
      <c r="R246" t="s">
        <v>202</v>
      </c>
      <c r="S246" s="1">
        <f t="shared" si="274"/>
        <v>0</v>
      </c>
      <c r="T246" s="33">
        <f t="shared" si="275"/>
        <v>0</v>
      </c>
      <c r="V246" s="8">
        <f t="shared" si="225"/>
        <v>4590</v>
      </c>
      <c r="W246" s="69"/>
      <c r="AL246" s="1"/>
      <c r="AX246"/>
    </row>
    <row r="247" spans="1:50" x14ac:dyDescent="0.25">
      <c r="A247">
        <v>30011</v>
      </c>
      <c r="B247" s="17" t="s">
        <v>29</v>
      </c>
      <c r="C247" s="57">
        <v>45665</v>
      </c>
      <c r="D247" s="46" t="s">
        <v>176</v>
      </c>
      <c r="E247" s="46" t="s">
        <v>42</v>
      </c>
      <c r="F247" s="64">
        <v>-1</v>
      </c>
      <c r="G247" s="65" t="s">
        <v>624</v>
      </c>
      <c r="H247" s="68" t="s">
        <v>108</v>
      </c>
      <c r="I247" s="28">
        <v>1530</v>
      </c>
      <c r="J247" t="s">
        <v>2</v>
      </c>
      <c r="K247" s="47">
        <v>3000</v>
      </c>
      <c r="L247" s="3" t="str">
        <f t="shared" ref="L247" si="328">IF(J247="mm","m","pi")</f>
        <v>m</v>
      </c>
      <c r="M247" s="33">
        <f t="shared" ref="M247" si="329">IF(J247="mm",F247*I247/1000*K247*1.55,F247*I247*12*K247/1000)</f>
        <v>-7114.5</v>
      </c>
      <c r="N247" s="2">
        <f>_xlfn.XLOOKUP(A247,'[1]Prix MP'!$A:$A,'[1]Prix MP'!$T:$T)</f>
        <v>0</v>
      </c>
      <c r="O247" s="18">
        <f>_xlfn.XLOOKUP(A247,'[1]Prix MP'!$A:$A,'[1]Prix MP'!$U:$U)</f>
        <v>0.2835786407993599</v>
      </c>
      <c r="P247" s="11">
        <f t="shared" ref="P247" si="330">M247*N247</f>
        <v>0</v>
      </c>
      <c r="Q247" s="7">
        <f t="shared" ref="Q247" si="331">M247*O247</f>
        <v>-2017.5202399670461</v>
      </c>
      <c r="R247" t="s">
        <v>202</v>
      </c>
      <c r="S247" s="1">
        <f>ROUND(IF(E247="I",0,IF(J247="po",I247,I247/25.4)),2)</f>
        <v>0</v>
      </c>
      <c r="T247" s="33">
        <f>ROUND(IF(E247="I",0,IF(J247="po",K247,K247*3.280839895)),0)</f>
        <v>0</v>
      </c>
      <c r="V247" s="8"/>
      <c r="W247" s="69"/>
      <c r="AL247" s="1"/>
      <c r="AX247"/>
    </row>
    <row r="248" spans="1:50" x14ac:dyDescent="0.25">
      <c r="A248">
        <v>30011</v>
      </c>
      <c r="B248" s="17" t="s">
        <v>29</v>
      </c>
      <c r="C248" s="57">
        <v>45665</v>
      </c>
      <c r="D248" s="46" t="s">
        <v>373</v>
      </c>
      <c r="E248" s="46" t="s">
        <v>41</v>
      </c>
      <c r="F248" s="64">
        <v>1</v>
      </c>
      <c r="G248" s="65" t="s">
        <v>624</v>
      </c>
      <c r="H248" s="68" t="s">
        <v>625</v>
      </c>
      <c r="I248" s="28">
        <v>60.24</v>
      </c>
      <c r="J248" t="s">
        <v>36</v>
      </c>
      <c r="K248" s="47">
        <v>4900</v>
      </c>
      <c r="L248" s="3" t="s">
        <v>372</v>
      </c>
      <c r="M248" s="33">
        <f>IF(J248="mm",F248*I248/1000*K248*1.55,F248*I248*12*K248/1000)</f>
        <v>3542.1120000000001</v>
      </c>
      <c r="N248" s="2">
        <f>_xlfn.XLOOKUP(A248,'[1]Prix MP'!$A:$A,'[1]Prix MP'!$T:$T)</f>
        <v>0</v>
      </c>
      <c r="O248" s="18">
        <f>_xlfn.XLOOKUP(A248,'[1]Prix MP'!$A:$A,'[1]Prix MP'!$U:$U)</f>
        <v>0.2835786407993599</v>
      </c>
      <c r="P248" s="11">
        <f>M248*N248</f>
        <v>0</v>
      </c>
      <c r="Q248" s="7">
        <f t="shared" ref="Q248" si="332">M248*O248</f>
        <v>1004.4673065191023</v>
      </c>
      <c r="R248" t="s">
        <v>202</v>
      </c>
      <c r="S248" s="1">
        <f>ROUND(IF(E248="I",0,IF(J248="po",I248,I248/25.4)),2)</f>
        <v>60.24</v>
      </c>
      <c r="T248" s="33">
        <f>ROUND(IF(E248="I",0,IF(J248="po",K248,K248*3.280839895)),0)</f>
        <v>4900</v>
      </c>
      <c r="V248" s="8"/>
      <c r="W248" s="69"/>
      <c r="AL248" s="1"/>
      <c r="AX248"/>
    </row>
    <row r="249" spans="1:50" x14ac:dyDescent="0.25">
      <c r="A249">
        <v>30011</v>
      </c>
      <c r="B249" t="s">
        <v>29</v>
      </c>
      <c r="C249" s="57">
        <v>45356</v>
      </c>
      <c r="D249" s="46" t="s">
        <v>37</v>
      </c>
      <c r="E249" s="46" t="s">
        <v>42</v>
      </c>
      <c r="F249" s="63">
        <f t="shared" si="281"/>
        <v>1</v>
      </c>
      <c r="G249" s="59">
        <v>2024133</v>
      </c>
      <c r="H249" s="68" t="s">
        <v>109</v>
      </c>
      <c r="I249" s="28">
        <v>1530</v>
      </c>
      <c r="J249" t="s">
        <v>2</v>
      </c>
      <c r="K249" s="47">
        <v>3000</v>
      </c>
      <c r="L249" s="3" t="str">
        <f t="shared" si="282"/>
        <v>m</v>
      </c>
      <c r="M249" s="33">
        <f t="shared" si="321"/>
        <v>7114.5</v>
      </c>
      <c r="N249" s="2">
        <f>_xlfn.XLOOKUP(A249,'[1]Prix MP'!$A:$A,'[1]Prix MP'!$T:$T)</f>
        <v>0</v>
      </c>
      <c r="O249" s="18">
        <f>_xlfn.XLOOKUP(A249,'[1]Prix MP'!$A:$A,'[1]Prix MP'!$U:$U)</f>
        <v>0.2835786407993599</v>
      </c>
      <c r="P249" s="11">
        <f t="shared" si="318"/>
        <v>0</v>
      </c>
      <c r="Q249" s="7">
        <f t="shared" si="319"/>
        <v>2017.5202399670461</v>
      </c>
      <c r="R249" t="s">
        <v>202</v>
      </c>
      <c r="S249" s="1">
        <f t="shared" si="274"/>
        <v>0</v>
      </c>
      <c r="T249" s="33">
        <f t="shared" si="275"/>
        <v>0</v>
      </c>
      <c r="V249" s="8">
        <f t="shared" si="225"/>
        <v>4590</v>
      </c>
      <c r="W249" s="69"/>
      <c r="AL249" s="1"/>
      <c r="AX249"/>
    </row>
    <row r="250" spans="1:50" x14ac:dyDescent="0.25">
      <c r="A250">
        <v>30011</v>
      </c>
      <c r="B250" t="s">
        <v>29</v>
      </c>
      <c r="C250" s="57">
        <v>45356</v>
      </c>
      <c r="D250" s="46" t="s">
        <v>38</v>
      </c>
      <c r="E250" s="46" t="s">
        <v>42</v>
      </c>
      <c r="F250" s="63">
        <f t="shared" ref="F250:F251" si="333">IF(D250="in",1,-1)</f>
        <v>-1</v>
      </c>
      <c r="G250" s="59">
        <v>2024133</v>
      </c>
      <c r="H250" s="68" t="s">
        <v>109</v>
      </c>
      <c r="I250" s="28">
        <v>1530</v>
      </c>
      <c r="J250" t="s">
        <v>2</v>
      </c>
      <c r="K250" s="47">
        <v>3000</v>
      </c>
      <c r="L250" s="3" t="str">
        <f t="shared" ref="L250:L251" si="334">IF(J250="mm","m","pi")</f>
        <v>m</v>
      </c>
      <c r="M250" s="33">
        <f t="shared" ref="M250:M251" si="335">IF(J250="mm",F250*I250/1000*K250*1.55,F250*I250*12*K250/1000)</f>
        <v>-7114.5</v>
      </c>
      <c r="N250" s="2">
        <f>_xlfn.XLOOKUP(A250,'[1]Prix MP'!$A:$A,'[1]Prix MP'!$T:$T)</f>
        <v>0</v>
      </c>
      <c r="O250" s="18">
        <f>_xlfn.XLOOKUP(A250,'[1]Prix MP'!$A:$A,'[1]Prix MP'!$U:$U)</f>
        <v>0.2835786407993599</v>
      </c>
      <c r="P250" s="11">
        <f t="shared" ref="P250:P251" si="336">M250*N250</f>
        <v>0</v>
      </c>
      <c r="Q250" s="7">
        <f t="shared" ref="Q250:Q251" si="337">M250*O250</f>
        <v>-2017.5202399670461</v>
      </c>
      <c r="R250" t="s">
        <v>202</v>
      </c>
      <c r="S250" s="1">
        <f t="shared" si="274"/>
        <v>0</v>
      </c>
      <c r="T250" s="33">
        <f t="shared" si="275"/>
        <v>0</v>
      </c>
      <c r="V250" s="8">
        <f t="shared" si="225"/>
        <v>4590</v>
      </c>
      <c r="W250" s="69"/>
      <c r="AL250" s="1"/>
      <c r="AX250"/>
    </row>
    <row r="251" spans="1:50" x14ac:dyDescent="0.25">
      <c r="A251">
        <v>30011</v>
      </c>
      <c r="B251" t="s">
        <v>29</v>
      </c>
      <c r="C251" s="57">
        <v>45356</v>
      </c>
      <c r="D251" s="46" t="s">
        <v>37</v>
      </c>
      <c r="E251" s="46" t="s">
        <v>42</v>
      </c>
      <c r="F251" s="63">
        <f t="shared" si="333"/>
        <v>1</v>
      </c>
      <c r="G251" s="59">
        <v>2024133</v>
      </c>
      <c r="H251" s="68" t="s">
        <v>275</v>
      </c>
      <c r="I251" s="28">
        <v>60.24</v>
      </c>
      <c r="J251" t="s">
        <v>36</v>
      </c>
      <c r="K251" s="47">
        <v>4900</v>
      </c>
      <c r="L251" s="3" t="str">
        <f t="shared" si="334"/>
        <v>pi</v>
      </c>
      <c r="M251" s="33">
        <f t="shared" si="335"/>
        <v>3542.1120000000001</v>
      </c>
      <c r="N251" s="2">
        <f>_xlfn.XLOOKUP(A251,'[1]Prix MP'!$A:$A,'[1]Prix MP'!$T:$T)</f>
        <v>0</v>
      </c>
      <c r="O251" s="18">
        <f>_xlfn.XLOOKUP(A251,'[1]Prix MP'!$A:$A,'[1]Prix MP'!$U:$U)</f>
        <v>0.2835786407993599</v>
      </c>
      <c r="P251" s="11">
        <f t="shared" si="336"/>
        <v>0</v>
      </c>
      <c r="Q251" s="7">
        <f t="shared" si="337"/>
        <v>1004.4673065191023</v>
      </c>
      <c r="R251" t="s">
        <v>202</v>
      </c>
      <c r="S251" s="1">
        <f t="shared" si="274"/>
        <v>0</v>
      </c>
      <c r="T251" s="33">
        <f t="shared" si="275"/>
        <v>0</v>
      </c>
      <c r="V251" s="8" t="str">
        <f t="shared" si="225"/>
        <v/>
      </c>
      <c r="W251" s="69"/>
      <c r="AL251" s="1"/>
      <c r="AX251"/>
    </row>
    <row r="252" spans="1:50" x14ac:dyDescent="0.25">
      <c r="A252">
        <v>30011</v>
      </c>
      <c r="B252" t="s">
        <v>29</v>
      </c>
      <c r="C252" s="57">
        <v>45596</v>
      </c>
      <c r="D252" s="46" t="s">
        <v>176</v>
      </c>
      <c r="E252" s="46" t="s">
        <v>42</v>
      </c>
      <c r="F252" s="63">
        <v>-1</v>
      </c>
      <c r="G252" s="59" t="s">
        <v>408</v>
      </c>
      <c r="H252" s="68" t="s">
        <v>409</v>
      </c>
      <c r="I252" s="28">
        <v>60.24</v>
      </c>
      <c r="J252" t="s">
        <v>36</v>
      </c>
      <c r="K252" s="47">
        <v>4900</v>
      </c>
      <c r="L252" s="3" t="s">
        <v>372</v>
      </c>
      <c r="M252" s="33">
        <f t="shared" ref="M252:M253" si="338">IF(J252="mm",F252*I252/1000*K252*1.55,F252*I252*12*K252/1000)</f>
        <v>-3542.1120000000001</v>
      </c>
      <c r="N252" s="2">
        <f>_xlfn.XLOOKUP(A252,'[1]Prix MP'!$A:$A,'[1]Prix MP'!$T:$T)</f>
        <v>0</v>
      </c>
      <c r="O252" s="18">
        <f>_xlfn.XLOOKUP(A252,'[1]Prix MP'!$A:$A,'[1]Prix MP'!$U:$U)</f>
        <v>0.2835786407993599</v>
      </c>
      <c r="P252" s="11">
        <f t="shared" ref="P252:P253" si="339">M252*N252</f>
        <v>0</v>
      </c>
      <c r="Q252" s="7">
        <f t="shared" ref="Q252:Q253" si="340">M252*O252</f>
        <v>-1004.4673065191023</v>
      </c>
      <c r="R252" t="s">
        <v>202</v>
      </c>
      <c r="S252" s="1">
        <f t="shared" ref="S252:S253" si="341">ROUND(IF(E252="I",0,IF(J252="po",I252,I252/25.4)),2)</f>
        <v>0</v>
      </c>
      <c r="T252" s="33">
        <f t="shared" ref="T252:T253" si="342">ROUND(IF(E252="I",0,IF(J252="po",K252,K252*3.280839895)),0)</f>
        <v>0</v>
      </c>
      <c r="V252" s="8" t="str">
        <f t="shared" si="225"/>
        <v/>
      </c>
      <c r="W252" s="69"/>
      <c r="AL252" s="1"/>
      <c r="AX252"/>
    </row>
    <row r="253" spans="1:50" x14ac:dyDescent="0.25">
      <c r="A253">
        <v>30011</v>
      </c>
      <c r="B253" t="s">
        <v>29</v>
      </c>
      <c r="C253" s="57">
        <v>45596</v>
      </c>
      <c r="D253" s="46" t="s">
        <v>373</v>
      </c>
      <c r="E253" s="46" t="s">
        <v>42</v>
      </c>
      <c r="F253" s="63">
        <v>1</v>
      </c>
      <c r="G253" s="59" t="s">
        <v>408</v>
      </c>
      <c r="H253" s="68" t="s">
        <v>410</v>
      </c>
      <c r="I253" s="28">
        <v>47</v>
      </c>
      <c r="J253" t="s">
        <v>36</v>
      </c>
      <c r="K253" s="47">
        <v>4780</v>
      </c>
      <c r="L253" s="3" t="s">
        <v>372</v>
      </c>
      <c r="M253" s="33">
        <f t="shared" si="338"/>
        <v>2695.92</v>
      </c>
      <c r="N253" s="2">
        <f>_xlfn.XLOOKUP(A253,'[1]Prix MP'!$A:$A,'[1]Prix MP'!$T:$T)</f>
        <v>0</v>
      </c>
      <c r="O253" s="18">
        <f>_xlfn.XLOOKUP(A253,'[1]Prix MP'!$A:$A,'[1]Prix MP'!$U:$U)</f>
        <v>0.2835786407993599</v>
      </c>
      <c r="P253" s="11">
        <f t="shared" si="339"/>
        <v>0</v>
      </c>
      <c r="Q253" s="7">
        <f t="shared" si="340"/>
        <v>764.50532930381041</v>
      </c>
      <c r="R253" t="s">
        <v>202</v>
      </c>
      <c r="S253" s="1">
        <f t="shared" si="341"/>
        <v>0</v>
      </c>
      <c r="T253" s="33">
        <f t="shared" si="342"/>
        <v>0</v>
      </c>
      <c r="V253" s="8" t="str">
        <f t="shared" si="225"/>
        <v/>
      </c>
      <c r="W253" s="69"/>
      <c r="AL253" s="1"/>
      <c r="AX253"/>
    </row>
    <row r="254" spans="1:50" x14ac:dyDescent="0.25">
      <c r="A254">
        <v>30011</v>
      </c>
      <c r="B254" s="17" t="s">
        <v>29</v>
      </c>
      <c r="C254" s="57">
        <v>45629</v>
      </c>
      <c r="D254" s="46" t="s">
        <v>176</v>
      </c>
      <c r="E254" s="46" t="s">
        <v>42</v>
      </c>
      <c r="F254" s="64">
        <v>-1</v>
      </c>
      <c r="G254" s="65" t="s">
        <v>520</v>
      </c>
      <c r="H254" s="68" t="s">
        <v>410</v>
      </c>
      <c r="I254" s="28">
        <v>47</v>
      </c>
      <c r="J254" t="s">
        <v>36</v>
      </c>
      <c r="K254" s="47">
        <v>4780</v>
      </c>
      <c r="L254" s="3" t="s">
        <v>372</v>
      </c>
      <c r="M254" s="33">
        <f t="shared" ref="M254:M255" si="343">IF(J254="mm",F254*I254/1000*K254*1.55,F254*I254*12*K254/1000)</f>
        <v>-2695.92</v>
      </c>
      <c r="N254" s="2">
        <f>_xlfn.XLOOKUP(A254,'[1]Prix MP'!$A:$A,'[1]Prix MP'!$T:$T)</f>
        <v>0</v>
      </c>
      <c r="O254" s="18">
        <f>_xlfn.XLOOKUP(A254,'[1]Prix MP'!$A:$A,'[1]Prix MP'!$U:$U)</f>
        <v>0.2835786407993599</v>
      </c>
      <c r="P254" s="11">
        <f t="shared" ref="P254:P255" si="344">M254*N254</f>
        <v>0</v>
      </c>
      <c r="Q254" s="7">
        <f t="shared" ref="Q254:Q255" si="345">M254*O254</f>
        <v>-764.50532930381041</v>
      </c>
      <c r="R254" t="s">
        <v>202</v>
      </c>
      <c r="S254" s="1">
        <f t="shared" ref="S254:S255" si="346">ROUND(IF(E254="I",0,IF(J254="po",I254,I254/25.4)),2)</f>
        <v>0</v>
      </c>
      <c r="T254" s="33">
        <f t="shared" ref="T254:T255" si="347">ROUND(IF(E254="I",0,IF(J254="po",K254,K254*3.280839895)),0)</f>
        <v>0</v>
      </c>
      <c r="V254" s="8"/>
      <c r="W254" s="69"/>
      <c r="AL254" s="1"/>
      <c r="AX254"/>
    </row>
    <row r="255" spans="1:50" x14ac:dyDescent="0.25">
      <c r="A255">
        <v>30011</v>
      </c>
      <c r="B255" s="17" t="s">
        <v>29</v>
      </c>
      <c r="C255" s="57">
        <v>45629</v>
      </c>
      <c r="D255" s="46" t="s">
        <v>373</v>
      </c>
      <c r="E255" s="46" t="s">
        <v>41</v>
      </c>
      <c r="F255" s="64">
        <v>1</v>
      </c>
      <c r="G255" s="65" t="s">
        <v>520</v>
      </c>
      <c r="H255" s="68" t="s">
        <v>521</v>
      </c>
      <c r="I255" s="28">
        <v>33.75</v>
      </c>
      <c r="J255" t="s">
        <v>36</v>
      </c>
      <c r="K255" s="47">
        <v>4700</v>
      </c>
      <c r="L255" s="3" t="s">
        <v>372</v>
      </c>
      <c r="M255" s="33">
        <f t="shared" si="343"/>
        <v>1903.5</v>
      </c>
      <c r="N255" s="2">
        <f>_xlfn.XLOOKUP(A255,'[1]Prix MP'!$A:$A,'[1]Prix MP'!$T:$T)</f>
        <v>0</v>
      </c>
      <c r="O255" s="18">
        <f>_xlfn.XLOOKUP(A255,'[1]Prix MP'!$A:$A,'[1]Prix MP'!$U:$U)</f>
        <v>0.2835786407993599</v>
      </c>
      <c r="P255" s="11">
        <f t="shared" si="344"/>
        <v>0</v>
      </c>
      <c r="Q255" s="7">
        <f t="shared" si="345"/>
        <v>539.79194276158159</v>
      </c>
      <c r="R255" t="s">
        <v>202</v>
      </c>
      <c r="S255" s="1">
        <f t="shared" si="346"/>
        <v>33.75</v>
      </c>
      <c r="T255" s="33">
        <f t="shared" si="347"/>
        <v>4700</v>
      </c>
      <c r="V255" s="8"/>
      <c r="W255" s="69"/>
      <c r="AL255" s="1"/>
      <c r="AX255"/>
    </row>
    <row r="256" spans="1:50" x14ac:dyDescent="0.25">
      <c r="A256">
        <v>30011</v>
      </c>
      <c r="B256" t="s">
        <v>29</v>
      </c>
      <c r="C256" s="57">
        <v>45356</v>
      </c>
      <c r="D256" s="46" t="s">
        <v>37</v>
      </c>
      <c r="E256" s="46" t="s">
        <v>42</v>
      </c>
      <c r="F256" s="63">
        <f t="shared" si="281"/>
        <v>1</v>
      </c>
      <c r="G256" s="59"/>
      <c r="H256" s="68" t="s">
        <v>110</v>
      </c>
      <c r="I256" s="28">
        <v>1530</v>
      </c>
      <c r="J256" t="s">
        <v>2</v>
      </c>
      <c r="K256" s="47">
        <v>3000</v>
      </c>
      <c r="L256" s="3" t="str">
        <f t="shared" si="282"/>
        <v>m</v>
      </c>
      <c r="M256" s="33">
        <f t="shared" si="321"/>
        <v>7114.5</v>
      </c>
      <c r="N256" s="2">
        <f>_xlfn.XLOOKUP(A256,'[1]Prix MP'!$A:$A,'[1]Prix MP'!$T:$T)</f>
        <v>0</v>
      </c>
      <c r="O256" s="18">
        <f>_xlfn.XLOOKUP(A256,'[1]Prix MP'!$A:$A,'[1]Prix MP'!$U:$U)</f>
        <v>0.2835786407993599</v>
      </c>
      <c r="P256" s="11">
        <f t="shared" si="318"/>
        <v>0</v>
      </c>
      <c r="Q256" s="7">
        <f t="shared" si="319"/>
        <v>2017.5202399670461</v>
      </c>
      <c r="R256" t="s">
        <v>202</v>
      </c>
      <c r="S256" s="1">
        <f t="shared" si="274"/>
        <v>0</v>
      </c>
      <c r="T256" s="33">
        <f t="shared" si="275"/>
        <v>0</v>
      </c>
      <c r="V256" s="8">
        <f t="shared" si="225"/>
        <v>4590</v>
      </c>
      <c r="W256" s="69"/>
      <c r="AL256" s="1"/>
      <c r="AX256"/>
    </row>
    <row r="257" spans="1:50" x14ac:dyDescent="0.25">
      <c r="A257">
        <v>30011</v>
      </c>
      <c r="B257" s="17" t="s">
        <v>29</v>
      </c>
      <c r="C257" s="57">
        <v>45664</v>
      </c>
      <c r="D257" s="46" t="s">
        <v>176</v>
      </c>
      <c r="E257" s="46" t="s">
        <v>42</v>
      </c>
      <c r="F257" s="64">
        <v>-1</v>
      </c>
      <c r="G257" s="65" t="s">
        <v>623</v>
      </c>
      <c r="H257" s="68" t="s">
        <v>110</v>
      </c>
      <c r="I257" s="28">
        <v>1530</v>
      </c>
      <c r="J257" t="s">
        <v>2</v>
      </c>
      <c r="K257" s="47">
        <v>3000</v>
      </c>
      <c r="L257" s="3" t="str">
        <f t="shared" ref="L257" si="348">IF(J257="mm","m","pi")</f>
        <v>m</v>
      </c>
      <c r="M257" s="33">
        <f>IF(J257="mm",F257*I257/1000*K257*1.55,F257*I257*12*K257/1000)</f>
        <v>-7114.5</v>
      </c>
      <c r="N257" s="2">
        <f>_xlfn.XLOOKUP(A257,'[1]Prix MP'!$A:$A,'[1]Prix MP'!$T:$T)</f>
        <v>0</v>
      </c>
      <c r="O257" s="18">
        <f>_xlfn.XLOOKUP(A257,'[1]Prix MP'!$A:$A,'[1]Prix MP'!$U:$U)</f>
        <v>0.2835786407993599</v>
      </c>
      <c r="P257" s="11">
        <f>M257*N257</f>
        <v>0</v>
      </c>
      <c r="Q257" s="7">
        <f t="shared" ref="Q257" si="349">M257*O257</f>
        <v>-2017.5202399670461</v>
      </c>
      <c r="R257" t="s">
        <v>202</v>
      </c>
      <c r="S257" s="1">
        <f t="shared" ref="S257" si="350">ROUND(IF(E257="I",0,IF(J257="po",I257,I257/25.4)),2)</f>
        <v>0</v>
      </c>
      <c r="T257" s="33">
        <f t="shared" ref="T257" si="351">ROUND(IF(E257="I",0,IF(J257="po",K257,K257*3.280839895)),0)</f>
        <v>0</v>
      </c>
      <c r="V257" s="8"/>
      <c r="W257" s="69"/>
      <c r="AL257" s="1"/>
      <c r="AX257"/>
    </row>
    <row r="258" spans="1:50" ht="15" customHeight="1" x14ac:dyDescent="0.25">
      <c r="A258">
        <v>30011</v>
      </c>
      <c r="B258" t="s">
        <v>29</v>
      </c>
      <c r="C258" s="57">
        <v>45457</v>
      </c>
      <c r="D258" s="46" t="s">
        <v>37</v>
      </c>
      <c r="E258" s="46" t="s">
        <v>41</v>
      </c>
      <c r="F258" s="63">
        <f t="shared" si="281"/>
        <v>1</v>
      </c>
      <c r="G258" s="59">
        <v>2024066</v>
      </c>
      <c r="H258" s="68" t="s">
        <v>251</v>
      </c>
      <c r="I258" s="28">
        <v>10</v>
      </c>
      <c r="J258" t="s">
        <v>36</v>
      </c>
      <c r="K258" s="47">
        <v>4990</v>
      </c>
      <c r="L258" s="3" t="str">
        <f t="shared" si="282"/>
        <v>pi</v>
      </c>
      <c r="M258" s="33">
        <f t="shared" si="321"/>
        <v>598.79999999999995</v>
      </c>
      <c r="N258" s="2">
        <f>_xlfn.XLOOKUP(A258,'[1]Prix MP'!$A:$A,'[1]Prix MP'!$T:$T)</f>
        <v>0</v>
      </c>
      <c r="O258" s="18">
        <f>_xlfn.XLOOKUP(A258,'[1]Prix MP'!$A:$A,'[1]Prix MP'!$U:$U)</f>
        <v>0.2835786407993599</v>
      </c>
      <c r="P258" s="11">
        <f t="shared" si="318"/>
        <v>0</v>
      </c>
      <c r="Q258" s="7">
        <f t="shared" si="319"/>
        <v>169.8068901106567</v>
      </c>
      <c r="R258" t="s">
        <v>202</v>
      </c>
      <c r="S258" s="1">
        <f t="shared" si="274"/>
        <v>10</v>
      </c>
      <c r="T258" s="33">
        <f t="shared" si="275"/>
        <v>4990</v>
      </c>
      <c r="V258" s="8" t="str">
        <f t="shared" si="225"/>
        <v/>
      </c>
      <c r="W258" s="69"/>
      <c r="AL258" s="1"/>
      <c r="AX258"/>
    </row>
    <row r="259" spans="1:50" ht="15" customHeight="1" x14ac:dyDescent="0.25">
      <c r="A259">
        <v>30011</v>
      </c>
      <c r="B259" t="s">
        <v>29</v>
      </c>
      <c r="C259" s="57">
        <v>45453</v>
      </c>
      <c r="D259" s="46" t="s">
        <v>37</v>
      </c>
      <c r="E259" s="46" t="s">
        <v>42</v>
      </c>
      <c r="F259" s="63">
        <f t="shared" si="281"/>
        <v>1</v>
      </c>
      <c r="G259" s="59" t="s">
        <v>326</v>
      </c>
      <c r="H259" s="68" t="s">
        <v>252</v>
      </c>
      <c r="I259" s="28">
        <v>34</v>
      </c>
      <c r="J259" t="s">
        <v>36</v>
      </c>
      <c r="K259" s="47">
        <v>2400</v>
      </c>
      <c r="L259" s="3" t="str">
        <f t="shared" si="282"/>
        <v>pi</v>
      </c>
      <c r="M259" s="33">
        <f t="shared" si="321"/>
        <v>979.2</v>
      </c>
      <c r="N259" s="2">
        <f>_xlfn.XLOOKUP(A259,'[1]Prix MP'!$A:$A,'[1]Prix MP'!$T:$T)</f>
        <v>0</v>
      </c>
      <c r="O259" s="18">
        <f>_xlfn.XLOOKUP(A259,'[1]Prix MP'!$A:$A,'[1]Prix MP'!$U:$U)</f>
        <v>0.2835786407993599</v>
      </c>
      <c r="P259" s="11">
        <f t="shared" si="318"/>
        <v>0</v>
      </c>
      <c r="Q259" s="7">
        <f t="shared" si="319"/>
        <v>277.68020507073322</v>
      </c>
      <c r="R259" t="s">
        <v>202</v>
      </c>
      <c r="S259" s="1">
        <f t="shared" si="274"/>
        <v>0</v>
      </c>
      <c r="T259" s="33">
        <f t="shared" si="275"/>
        <v>0</v>
      </c>
      <c r="V259" s="8" t="str">
        <f t="shared" si="225"/>
        <v/>
      </c>
      <c r="W259" s="69"/>
      <c r="AL259" s="1"/>
      <c r="AX259"/>
    </row>
    <row r="260" spans="1:50" x14ac:dyDescent="0.25">
      <c r="A260">
        <v>30011</v>
      </c>
      <c r="B260" t="s">
        <v>29</v>
      </c>
      <c r="C260" s="57">
        <v>45568</v>
      </c>
      <c r="D260" s="46" t="s">
        <v>38</v>
      </c>
      <c r="E260" s="46" t="s">
        <v>42</v>
      </c>
      <c r="F260" s="63">
        <f t="shared" si="281"/>
        <v>-1</v>
      </c>
      <c r="G260" s="59" t="s">
        <v>326</v>
      </c>
      <c r="H260" s="68" t="s">
        <v>252</v>
      </c>
      <c r="I260" s="28">
        <v>34</v>
      </c>
      <c r="J260" t="s">
        <v>36</v>
      </c>
      <c r="K260" s="47">
        <v>2400</v>
      </c>
      <c r="L260" s="3" t="str">
        <f t="shared" si="282"/>
        <v>pi</v>
      </c>
      <c r="M260" s="33">
        <f t="shared" si="321"/>
        <v>-979.2</v>
      </c>
      <c r="N260" s="2">
        <f>_xlfn.XLOOKUP(A260,'[1]Prix MP'!$A:$A,'[1]Prix MP'!$T:$T)</f>
        <v>0</v>
      </c>
      <c r="O260" s="18">
        <f>_xlfn.XLOOKUP(A260,'[1]Prix MP'!$A:$A,'[1]Prix MP'!$U:$U)</f>
        <v>0.2835786407993599</v>
      </c>
      <c r="P260" s="11">
        <f t="shared" si="318"/>
        <v>0</v>
      </c>
      <c r="Q260" s="7">
        <f t="shared" si="319"/>
        <v>-277.68020507073322</v>
      </c>
      <c r="R260" t="s">
        <v>202</v>
      </c>
      <c r="S260" s="1">
        <f t="shared" si="274"/>
        <v>0</v>
      </c>
      <c r="T260" s="33">
        <f t="shared" si="275"/>
        <v>0</v>
      </c>
      <c r="V260" s="8" t="str">
        <f t="shared" si="225"/>
        <v/>
      </c>
      <c r="W260" s="69"/>
      <c r="AL260" s="1"/>
      <c r="AX260"/>
    </row>
    <row r="261" spans="1:50" x14ac:dyDescent="0.25">
      <c r="A261">
        <v>30011</v>
      </c>
      <c r="B261" t="s">
        <v>29</v>
      </c>
      <c r="C261" s="57">
        <v>45568</v>
      </c>
      <c r="D261" s="46" t="s">
        <v>37</v>
      </c>
      <c r="E261" s="46" t="s">
        <v>42</v>
      </c>
      <c r="F261" s="63">
        <f t="shared" si="281"/>
        <v>1</v>
      </c>
      <c r="G261" s="59" t="s">
        <v>326</v>
      </c>
      <c r="H261" s="68" t="s">
        <v>190</v>
      </c>
      <c r="I261" s="28">
        <v>14</v>
      </c>
      <c r="J261" t="s">
        <v>36</v>
      </c>
      <c r="K261" s="47">
        <v>2250</v>
      </c>
      <c r="L261" s="3" t="str">
        <f t="shared" si="282"/>
        <v>pi</v>
      </c>
      <c r="M261" s="33">
        <f t="shared" si="321"/>
        <v>378</v>
      </c>
      <c r="N261" s="2">
        <f>_xlfn.XLOOKUP(A261,'[1]Prix MP'!$A:$A,'[1]Prix MP'!$T:$T)</f>
        <v>0</v>
      </c>
      <c r="O261" s="18">
        <f>_xlfn.XLOOKUP(A261,'[1]Prix MP'!$A:$A,'[1]Prix MP'!$U:$U)</f>
        <v>0.2835786407993599</v>
      </c>
      <c r="P261" s="11">
        <f t="shared" si="318"/>
        <v>0</v>
      </c>
      <c r="Q261" s="7">
        <f t="shared" si="319"/>
        <v>107.19272622215804</v>
      </c>
      <c r="R261" t="s">
        <v>202</v>
      </c>
      <c r="S261" s="1">
        <f t="shared" si="274"/>
        <v>0</v>
      </c>
      <c r="T261" s="33">
        <f t="shared" si="275"/>
        <v>0</v>
      </c>
      <c r="V261" s="8" t="str">
        <f t="shared" si="225"/>
        <v/>
      </c>
      <c r="W261" s="69"/>
      <c r="AL261" s="1"/>
      <c r="AX261"/>
    </row>
    <row r="262" spans="1:50" x14ac:dyDescent="0.25">
      <c r="A262">
        <v>30011</v>
      </c>
      <c r="B262" t="s">
        <v>29</v>
      </c>
      <c r="C262" s="57">
        <v>45582</v>
      </c>
      <c r="D262" s="46" t="s">
        <v>38</v>
      </c>
      <c r="E262" s="46" t="s">
        <v>42</v>
      </c>
      <c r="F262" s="63">
        <f t="shared" ref="F262" si="352">IF(D262="in",1,-1)</f>
        <v>-1</v>
      </c>
      <c r="G262" s="59" t="s">
        <v>326</v>
      </c>
      <c r="H262" s="68" t="s">
        <v>190</v>
      </c>
      <c r="I262" s="28">
        <v>14</v>
      </c>
      <c r="J262" t="s">
        <v>36</v>
      </c>
      <c r="K262" s="47">
        <v>2250</v>
      </c>
      <c r="L262" s="3" t="str">
        <f t="shared" ref="L262" si="353">IF(J262="mm","m","pi")</f>
        <v>pi</v>
      </c>
      <c r="M262" s="33">
        <f t="shared" ref="M262" si="354">IF(J262="mm",F262*I262/1000*K262*1.55,F262*I262*12*K262/1000)</f>
        <v>-378</v>
      </c>
      <c r="N262" s="2">
        <f>_xlfn.XLOOKUP(A262,'[1]Prix MP'!$A:$A,'[1]Prix MP'!$T:$T)</f>
        <v>0</v>
      </c>
      <c r="O262" s="18">
        <f>_xlfn.XLOOKUP(A262,'[1]Prix MP'!$A:$A,'[1]Prix MP'!$U:$U)</f>
        <v>0.2835786407993599</v>
      </c>
      <c r="P262" s="11">
        <f t="shared" ref="P262" si="355">M262*N262</f>
        <v>0</v>
      </c>
      <c r="Q262" s="7">
        <f t="shared" ref="Q262" si="356">M262*O262</f>
        <v>-107.19272622215804</v>
      </c>
      <c r="R262" t="s">
        <v>202</v>
      </c>
      <c r="S262" s="1">
        <f t="shared" si="274"/>
        <v>0</v>
      </c>
      <c r="T262" s="33">
        <f t="shared" si="275"/>
        <v>0</v>
      </c>
      <c r="V262" s="8" t="str">
        <f t="shared" si="225"/>
        <v/>
      </c>
      <c r="W262" s="69"/>
      <c r="AL262" s="1"/>
      <c r="AX262"/>
    </row>
    <row r="263" spans="1:50" x14ac:dyDescent="0.25">
      <c r="A263">
        <v>30011</v>
      </c>
      <c r="B263" t="s">
        <v>29</v>
      </c>
      <c r="C263" s="57">
        <v>45356</v>
      </c>
      <c r="D263" s="46" t="s">
        <v>37</v>
      </c>
      <c r="E263" s="46" t="s">
        <v>41</v>
      </c>
      <c r="F263" s="63">
        <f t="shared" si="281"/>
        <v>1</v>
      </c>
      <c r="G263" s="59"/>
      <c r="H263" s="68" t="s">
        <v>57</v>
      </c>
      <c r="I263" s="28">
        <v>1530</v>
      </c>
      <c r="J263" t="s">
        <v>2</v>
      </c>
      <c r="K263" s="47">
        <v>6000</v>
      </c>
      <c r="L263" s="3" t="str">
        <f t="shared" si="282"/>
        <v>m</v>
      </c>
      <c r="M263" s="33">
        <f t="shared" si="321"/>
        <v>14229</v>
      </c>
      <c r="N263" s="2">
        <f>_xlfn.XLOOKUP(A263,'[1]Prix MP'!$A:$A,'[1]Prix MP'!$T:$T)</f>
        <v>0</v>
      </c>
      <c r="O263" s="18">
        <f>_xlfn.XLOOKUP(A263,'[1]Prix MP'!$A:$A,'[1]Prix MP'!$U:$U)</f>
        <v>0.2835786407993599</v>
      </c>
      <c r="P263" s="11">
        <f t="shared" si="318"/>
        <v>0</v>
      </c>
      <c r="Q263" s="7">
        <f t="shared" si="319"/>
        <v>4035.0404799340922</v>
      </c>
      <c r="R263" t="s">
        <v>202</v>
      </c>
      <c r="S263" s="1">
        <f t="shared" si="274"/>
        <v>60.24</v>
      </c>
      <c r="T263" s="33">
        <f t="shared" si="275"/>
        <v>19685</v>
      </c>
      <c r="V263" s="8">
        <f t="shared" si="225"/>
        <v>9180</v>
      </c>
      <c r="W263" s="69"/>
      <c r="AL263" s="1"/>
      <c r="AX263"/>
    </row>
    <row r="264" spans="1:50" x14ac:dyDescent="0.25">
      <c r="A264">
        <v>30011</v>
      </c>
      <c r="B264" t="s">
        <v>29</v>
      </c>
      <c r="C264" s="57">
        <v>45356</v>
      </c>
      <c r="D264" s="46" t="s">
        <v>37</v>
      </c>
      <c r="E264" s="46" t="s">
        <v>41</v>
      </c>
      <c r="F264" s="63">
        <f t="shared" si="281"/>
        <v>1</v>
      </c>
      <c r="G264" s="59"/>
      <c r="H264" s="68" t="s">
        <v>58</v>
      </c>
      <c r="I264" s="28">
        <v>1530</v>
      </c>
      <c r="J264" t="s">
        <v>2</v>
      </c>
      <c r="K264" s="47">
        <v>6000</v>
      </c>
      <c r="L264" s="3" t="str">
        <f t="shared" si="282"/>
        <v>m</v>
      </c>
      <c r="M264" s="33">
        <f t="shared" si="321"/>
        <v>14229</v>
      </c>
      <c r="N264" s="2">
        <f>_xlfn.XLOOKUP(A264,'[1]Prix MP'!$A:$A,'[1]Prix MP'!$T:$T)</f>
        <v>0</v>
      </c>
      <c r="O264" s="18">
        <f>_xlfn.XLOOKUP(A264,'[1]Prix MP'!$A:$A,'[1]Prix MP'!$U:$U)</f>
        <v>0.2835786407993599</v>
      </c>
      <c r="P264" s="11">
        <f t="shared" si="318"/>
        <v>0</v>
      </c>
      <c r="Q264" s="7">
        <f t="shared" si="319"/>
        <v>4035.0404799340922</v>
      </c>
      <c r="R264" t="s">
        <v>202</v>
      </c>
      <c r="S264" s="1">
        <f t="shared" si="274"/>
        <v>60.24</v>
      </c>
      <c r="T264" s="33">
        <f t="shared" si="275"/>
        <v>19685</v>
      </c>
      <c r="V264" s="8">
        <f t="shared" si="225"/>
        <v>9180</v>
      </c>
      <c r="W264" s="69"/>
      <c r="AL264" s="1"/>
      <c r="AX264"/>
    </row>
    <row r="265" spans="1:50" x14ac:dyDescent="0.25">
      <c r="A265">
        <v>30011</v>
      </c>
      <c r="B265" t="s">
        <v>29</v>
      </c>
      <c r="C265" s="57">
        <v>45356</v>
      </c>
      <c r="D265" s="46" t="s">
        <v>37</v>
      </c>
      <c r="E265" s="46" t="s">
        <v>41</v>
      </c>
      <c r="F265" s="63">
        <f t="shared" si="281"/>
        <v>1</v>
      </c>
      <c r="G265" s="59"/>
      <c r="H265" s="68" t="s">
        <v>59</v>
      </c>
      <c r="I265" s="28">
        <v>1530</v>
      </c>
      <c r="J265" t="s">
        <v>2</v>
      </c>
      <c r="K265" s="47">
        <v>6000</v>
      </c>
      <c r="L265" s="3" t="str">
        <f t="shared" si="282"/>
        <v>m</v>
      </c>
      <c r="M265" s="33">
        <f t="shared" si="321"/>
        <v>14229</v>
      </c>
      <c r="N265" s="2">
        <f>_xlfn.XLOOKUP(A265,'[1]Prix MP'!$A:$A,'[1]Prix MP'!$T:$T)</f>
        <v>0</v>
      </c>
      <c r="O265" s="18">
        <f>_xlfn.XLOOKUP(A265,'[1]Prix MP'!$A:$A,'[1]Prix MP'!$U:$U)</f>
        <v>0.2835786407993599</v>
      </c>
      <c r="P265" s="11">
        <f t="shared" si="318"/>
        <v>0</v>
      </c>
      <c r="Q265" s="7">
        <f t="shared" si="319"/>
        <v>4035.0404799340922</v>
      </c>
      <c r="R265" t="s">
        <v>202</v>
      </c>
      <c r="S265" s="1">
        <f t="shared" si="274"/>
        <v>60.24</v>
      </c>
      <c r="T265" s="33">
        <f t="shared" si="275"/>
        <v>19685</v>
      </c>
      <c r="V265" s="8">
        <f t="shared" si="225"/>
        <v>9180</v>
      </c>
      <c r="W265" s="69"/>
      <c r="AL265" s="1"/>
      <c r="AX265"/>
    </row>
    <row r="266" spans="1:50" x14ac:dyDescent="0.25">
      <c r="A266">
        <v>30011</v>
      </c>
      <c r="B266" t="s">
        <v>29</v>
      </c>
      <c r="C266" s="57">
        <v>45356</v>
      </c>
      <c r="D266" s="46" t="s">
        <v>37</v>
      </c>
      <c r="E266" s="46" t="s">
        <v>41</v>
      </c>
      <c r="F266" s="63">
        <f t="shared" si="281"/>
        <v>1</v>
      </c>
      <c r="G266" s="59"/>
      <c r="H266" s="68" t="s">
        <v>60</v>
      </c>
      <c r="I266" s="28">
        <v>1530</v>
      </c>
      <c r="J266" t="s">
        <v>2</v>
      </c>
      <c r="K266" s="47">
        <v>6000</v>
      </c>
      <c r="L266" s="3" t="str">
        <f t="shared" si="282"/>
        <v>m</v>
      </c>
      <c r="M266" s="33">
        <f t="shared" si="321"/>
        <v>14229</v>
      </c>
      <c r="N266" s="2">
        <f>_xlfn.XLOOKUP(A266,'[1]Prix MP'!$A:$A,'[1]Prix MP'!$T:$T)</f>
        <v>0</v>
      </c>
      <c r="O266" s="18">
        <f>_xlfn.XLOOKUP(A266,'[1]Prix MP'!$A:$A,'[1]Prix MP'!$U:$U)</f>
        <v>0.2835786407993599</v>
      </c>
      <c r="P266" s="11">
        <f t="shared" si="318"/>
        <v>0</v>
      </c>
      <c r="Q266" s="7">
        <f t="shared" si="319"/>
        <v>4035.0404799340922</v>
      </c>
      <c r="R266" t="s">
        <v>202</v>
      </c>
      <c r="S266" s="1">
        <f t="shared" si="274"/>
        <v>60.24</v>
      </c>
      <c r="T266" s="33">
        <f t="shared" si="275"/>
        <v>19685</v>
      </c>
      <c r="V266" s="8">
        <f t="shared" si="225"/>
        <v>9180</v>
      </c>
      <c r="W266" s="69"/>
      <c r="AL266" s="1"/>
      <c r="AX266"/>
    </row>
    <row r="267" spans="1:50" x14ac:dyDescent="0.25">
      <c r="A267">
        <v>30018</v>
      </c>
      <c r="B267" t="s">
        <v>29</v>
      </c>
      <c r="C267" s="57">
        <v>45405</v>
      </c>
      <c r="D267" s="46" t="s">
        <v>37</v>
      </c>
      <c r="E267" s="46" t="s">
        <v>41</v>
      </c>
      <c r="F267" s="63">
        <f t="shared" si="281"/>
        <v>1</v>
      </c>
      <c r="G267" s="59"/>
      <c r="H267" s="68" t="s">
        <v>61</v>
      </c>
      <c r="I267" s="28">
        <v>1530</v>
      </c>
      <c r="J267" t="s">
        <v>2</v>
      </c>
      <c r="K267" s="47">
        <v>3000</v>
      </c>
      <c r="L267" s="3" t="str">
        <f t="shared" si="282"/>
        <v>m</v>
      </c>
      <c r="M267" s="33">
        <f t="shared" si="321"/>
        <v>7114.5</v>
      </c>
      <c r="N267" s="2">
        <f>_xlfn.XLOOKUP(A267,'[1]Prix MP'!$A:$A,'[1]Prix MP'!$T:$T)</f>
        <v>0.26428560241052407</v>
      </c>
      <c r="O267" s="18">
        <f>_xlfn.XLOOKUP(A267,'[1]Prix MP'!$A:$A,'[1]Prix MP'!$U:$U)</f>
        <v>0.26428560241052407</v>
      </c>
      <c r="P267" s="11">
        <f t="shared" si="318"/>
        <v>1880.2599183496734</v>
      </c>
      <c r="Q267" s="7">
        <f t="shared" si="319"/>
        <v>1880.2599183496734</v>
      </c>
      <c r="R267" t="s">
        <v>202</v>
      </c>
      <c r="S267" s="1">
        <f t="shared" si="274"/>
        <v>60.24</v>
      </c>
      <c r="T267" s="33">
        <f t="shared" si="275"/>
        <v>9843</v>
      </c>
      <c r="V267" s="8">
        <f t="shared" si="225"/>
        <v>4590</v>
      </c>
      <c r="W267" s="69"/>
      <c r="AL267" s="1"/>
      <c r="AX267"/>
    </row>
    <row r="268" spans="1:50" x14ac:dyDescent="0.25">
      <c r="A268">
        <v>30018</v>
      </c>
      <c r="B268" s="17" t="s">
        <v>29</v>
      </c>
      <c r="C268" s="57">
        <v>45405</v>
      </c>
      <c r="D268" s="46" t="s">
        <v>37</v>
      </c>
      <c r="E268" s="46" t="s">
        <v>41</v>
      </c>
      <c r="F268" s="63">
        <f t="shared" si="281"/>
        <v>1</v>
      </c>
      <c r="G268" s="65"/>
      <c r="H268" s="59" t="s">
        <v>62</v>
      </c>
      <c r="I268" s="28">
        <v>1530</v>
      </c>
      <c r="J268" t="s">
        <v>2</v>
      </c>
      <c r="K268" s="47">
        <v>3000</v>
      </c>
      <c r="L268" s="3" t="str">
        <f t="shared" si="282"/>
        <v>m</v>
      </c>
      <c r="M268" s="33">
        <f t="shared" si="321"/>
        <v>7114.5</v>
      </c>
      <c r="N268" s="2">
        <f>_xlfn.XLOOKUP(A268,'[1]Prix MP'!$A:$A,'[1]Prix MP'!$T:$T)</f>
        <v>0.26428560241052407</v>
      </c>
      <c r="O268" s="18">
        <f>_xlfn.XLOOKUP(A268,'[1]Prix MP'!$A:$A,'[1]Prix MP'!$U:$U)</f>
        <v>0.26428560241052407</v>
      </c>
      <c r="P268" s="11">
        <f t="shared" si="318"/>
        <v>1880.2599183496734</v>
      </c>
      <c r="Q268" s="7">
        <f t="shared" si="319"/>
        <v>1880.2599183496734</v>
      </c>
      <c r="R268" t="s">
        <v>202</v>
      </c>
      <c r="S268" s="1">
        <f t="shared" si="274"/>
        <v>60.24</v>
      </c>
      <c r="T268" s="33">
        <f t="shared" si="275"/>
        <v>9843</v>
      </c>
      <c r="V268" s="8">
        <f t="shared" si="225"/>
        <v>4590</v>
      </c>
      <c r="W268" s="69"/>
      <c r="AL268" s="1"/>
      <c r="AX268"/>
    </row>
    <row r="269" spans="1:50" x14ac:dyDescent="0.25">
      <c r="A269">
        <v>30018</v>
      </c>
      <c r="B269" s="17" t="s">
        <v>29</v>
      </c>
      <c r="C269" s="45">
        <v>45405</v>
      </c>
      <c r="D269" s="46" t="s">
        <v>37</v>
      </c>
      <c r="E269" s="46" t="s">
        <v>41</v>
      </c>
      <c r="F269" s="63">
        <f t="shared" si="281"/>
        <v>1</v>
      </c>
      <c r="G269" s="49"/>
      <c r="H269" s="34" t="s">
        <v>63</v>
      </c>
      <c r="I269" s="28">
        <v>1530</v>
      </c>
      <c r="J269" t="s">
        <v>2</v>
      </c>
      <c r="K269" s="47">
        <v>3000</v>
      </c>
      <c r="L269" s="3" t="str">
        <f t="shared" si="282"/>
        <v>m</v>
      </c>
      <c r="M269" s="33">
        <f t="shared" si="321"/>
        <v>7114.5</v>
      </c>
      <c r="N269" s="2">
        <f>_xlfn.XLOOKUP(A269,'[1]Prix MP'!$A:$A,'[1]Prix MP'!$T:$T)</f>
        <v>0.26428560241052407</v>
      </c>
      <c r="O269" s="18">
        <f>_xlfn.XLOOKUP(A269,'[1]Prix MP'!$A:$A,'[1]Prix MP'!$U:$U)</f>
        <v>0.26428560241052407</v>
      </c>
      <c r="P269" s="11">
        <f t="shared" si="318"/>
        <v>1880.2599183496734</v>
      </c>
      <c r="Q269" s="7">
        <f t="shared" si="319"/>
        <v>1880.2599183496734</v>
      </c>
      <c r="R269" t="s">
        <v>202</v>
      </c>
      <c r="S269" s="1">
        <f t="shared" si="274"/>
        <v>60.24</v>
      </c>
      <c r="T269" s="33">
        <f t="shared" si="275"/>
        <v>9843</v>
      </c>
      <c r="V269" s="8">
        <f t="shared" ref="V269:V344" si="357">IF(J269="mm",I269*K269/1000,"")</f>
        <v>4590</v>
      </c>
      <c r="W269" s="69"/>
      <c r="AV269" s="1"/>
      <c r="AX269"/>
    </row>
    <row r="270" spans="1:50" x14ac:dyDescent="0.25">
      <c r="A270">
        <v>30018</v>
      </c>
      <c r="B270" s="17" t="s">
        <v>29</v>
      </c>
      <c r="C270" s="45">
        <v>45405</v>
      </c>
      <c r="D270" s="46" t="s">
        <v>37</v>
      </c>
      <c r="E270" s="46" t="s">
        <v>41</v>
      </c>
      <c r="F270" s="63">
        <f t="shared" si="281"/>
        <v>1</v>
      </c>
      <c r="G270" s="49"/>
      <c r="H270" s="34" t="s">
        <v>64</v>
      </c>
      <c r="I270" s="28">
        <v>1530</v>
      </c>
      <c r="J270" t="s">
        <v>2</v>
      </c>
      <c r="K270" s="47">
        <v>3000</v>
      </c>
      <c r="L270" s="3" t="str">
        <f t="shared" si="282"/>
        <v>m</v>
      </c>
      <c r="M270" s="33">
        <f t="shared" si="321"/>
        <v>7114.5</v>
      </c>
      <c r="N270" s="2">
        <f>_xlfn.XLOOKUP(A270,'[1]Prix MP'!$A:$A,'[1]Prix MP'!$T:$T)</f>
        <v>0.26428560241052407</v>
      </c>
      <c r="O270" s="18">
        <f>_xlfn.XLOOKUP(A270,'[1]Prix MP'!$A:$A,'[1]Prix MP'!$U:$U)</f>
        <v>0.26428560241052407</v>
      </c>
      <c r="P270" s="11">
        <f t="shared" si="318"/>
        <v>1880.2599183496734</v>
      </c>
      <c r="Q270" s="7">
        <f t="shared" si="319"/>
        <v>1880.2599183496734</v>
      </c>
      <c r="R270" t="s">
        <v>202</v>
      </c>
      <c r="S270" s="1">
        <f t="shared" si="274"/>
        <v>60.24</v>
      </c>
      <c r="T270" s="33">
        <f t="shared" si="275"/>
        <v>9843</v>
      </c>
      <c r="V270" s="8">
        <f t="shared" si="357"/>
        <v>4590</v>
      </c>
      <c r="W270" s="69"/>
      <c r="AV270" s="1"/>
      <c r="AX270"/>
    </row>
    <row r="271" spans="1:50" x14ac:dyDescent="0.25">
      <c r="A271">
        <v>30018</v>
      </c>
      <c r="B271" s="17" t="s">
        <v>29</v>
      </c>
      <c r="C271" s="45">
        <v>45405</v>
      </c>
      <c r="D271" s="46" t="s">
        <v>37</v>
      </c>
      <c r="E271" s="46" t="s">
        <v>41</v>
      </c>
      <c r="F271" s="63">
        <f t="shared" si="281"/>
        <v>1</v>
      </c>
      <c r="G271" s="49"/>
      <c r="H271" s="34" t="s">
        <v>65</v>
      </c>
      <c r="I271" s="28">
        <v>1530</v>
      </c>
      <c r="J271" t="s">
        <v>2</v>
      </c>
      <c r="K271" s="47">
        <v>3000</v>
      </c>
      <c r="L271" s="3" t="str">
        <f t="shared" si="282"/>
        <v>m</v>
      </c>
      <c r="M271" s="33">
        <f t="shared" si="321"/>
        <v>7114.5</v>
      </c>
      <c r="N271" s="2">
        <f>_xlfn.XLOOKUP(A271,'[1]Prix MP'!$A:$A,'[1]Prix MP'!$T:$T)</f>
        <v>0.26428560241052407</v>
      </c>
      <c r="O271" s="18">
        <f>_xlfn.XLOOKUP(A271,'[1]Prix MP'!$A:$A,'[1]Prix MP'!$U:$U)</f>
        <v>0.26428560241052407</v>
      </c>
      <c r="P271" s="11">
        <f t="shared" si="318"/>
        <v>1880.2599183496734</v>
      </c>
      <c r="Q271" s="7">
        <f t="shared" si="319"/>
        <v>1880.2599183496734</v>
      </c>
      <c r="R271" t="s">
        <v>202</v>
      </c>
      <c r="S271" s="1">
        <f t="shared" si="274"/>
        <v>60.24</v>
      </c>
      <c r="T271" s="33">
        <f t="shared" si="275"/>
        <v>9843</v>
      </c>
      <c r="V271" s="8">
        <f t="shared" si="357"/>
        <v>4590</v>
      </c>
      <c r="W271" s="69"/>
      <c r="AV271" s="1"/>
      <c r="AX271"/>
    </row>
    <row r="272" spans="1:50" x14ac:dyDescent="0.25">
      <c r="A272">
        <v>30018</v>
      </c>
      <c r="B272" s="17" t="s">
        <v>29</v>
      </c>
      <c r="C272" s="45">
        <v>45405</v>
      </c>
      <c r="D272" s="46" t="s">
        <v>37</v>
      </c>
      <c r="E272" s="46" t="s">
        <v>41</v>
      </c>
      <c r="F272" s="63">
        <f t="shared" ref="F272:F305" si="358">IF(D272="in",1,-1)</f>
        <v>1</v>
      </c>
      <c r="G272" s="49"/>
      <c r="H272" s="34" t="s">
        <v>66</v>
      </c>
      <c r="I272" s="28">
        <v>1530</v>
      </c>
      <c r="J272" t="s">
        <v>2</v>
      </c>
      <c r="K272" s="47">
        <v>3000</v>
      </c>
      <c r="L272" s="3" t="str">
        <f t="shared" ref="L272:L305" si="359">IF(J272="mm","m","pi")</f>
        <v>m</v>
      </c>
      <c r="M272" s="33">
        <f t="shared" si="321"/>
        <v>7114.5</v>
      </c>
      <c r="N272" s="2">
        <f>_xlfn.XLOOKUP(A272,'[1]Prix MP'!$A:$A,'[1]Prix MP'!$T:$T)</f>
        <v>0.26428560241052407</v>
      </c>
      <c r="O272" s="18">
        <f>_xlfn.XLOOKUP(A272,'[1]Prix MP'!$A:$A,'[1]Prix MP'!$U:$U)</f>
        <v>0.26428560241052407</v>
      </c>
      <c r="P272" s="11">
        <f t="shared" si="318"/>
        <v>1880.2599183496734</v>
      </c>
      <c r="Q272" s="7">
        <f t="shared" si="319"/>
        <v>1880.2599183496734</v>
      </c>
      <c r="R272" t="s">
        <v>202</v>
      </c>
      <c r="S272" s="1">
        <f t="shared" si="274"/>
        <v>60.24</v>
      </c>
      <c r="T272" s="33">
        <f t="shared" si="275"/>
        <v>9843</v>
      </c>
      <c r="V272" s="8">
        <f t="shared" si="357"/>
        <v>4590</v>
      </c>
      <c r="W272" s="69"/>
      <c r="AV272" s="1"/>
      <c r="AX272"/>
    </row>
    <row r="273" spans="1:50" x14ac:dyDescent="0.25">
      <c r="A273">
        <v>30018</v>
      </c>
      <c r="B273" s="17" t="s">
        <v>29</v>
      </c>
      <c r="C273" s="45">
        <v>45405</v>
      </c>
      <c r="D273" s="46" t="s">
        <v>37</v>
      </c>
      <c r="E273" s="46" t="s">
        <v>41</v>
      </c>
      <c r="F273" s="63">
        <f t="shared" si="358"/>
        <v>1</v>
      </c>
      <c r="G273" s="49"/>
      <c r="H273" s="34" t="s">
        <v>67</v>
      </c>
      <c r="I273" s="28">
        <v>1530</v>
      </c>
      <c r="J273" t="s">
        <v>2</v>
      </c>
      <c r="K273" s="47">
        <v>3000</v>
      </c>
      <c r="L273" s="3" t="str">
        <f t="shared" si="359"/>
        <v>m</v>
      </c>
      <c r="M273" s="33">
        <f t="shared" si="321"/>
        <v>7114.5</v>
      </c>
      <c r="N273" s="2">
        <f>_xlfn.XLOOKUP(A273,'[1]Prix MP'!$A:$A,'[1]Prix MP'!$T:$T)</f>
        <v>0.26428560241052407</v>
      </c>
      <c r="O273" s="18">
        <f>_xlfn.XLOOKUP(A273,'[1]Prix MP'!$A:$A,'[1]Prix MP'!$U:$U)</f>
        <v>0.26428560241052407</v>
      </c>
      <c r="P273" s="11">
        <f t="shared" si="318"/>
        <v>1880.2599183496734</v>
      </c>
      <c r="Q273" s="7">
        <f t="shared" si="319"/>
        <v>1880.2599183496734</v>
      </c>
      <c r="R273" t="s">
        <v>202</v>
      </c>
      <c r="S273" s="1">
        <f t="shared" si="274"/>
        <v>60.24</v>
      </c>
      <c r="T273" s="33">
        <f t="shared" si="275"/>
        <v>9843</v>
      </c>
      <c r="V273" s="8">
        <f t="shared" si="357"/>
        <v>4590</v>
      </c>
      <c r="W273" s="69"/>
      <c r="AV273" s="1"/>
      <c r="AX273"/>
    </row>
    <row r="274" spans="1:50" x14ac:dyDescent="0.25">
      <c r="A274">
        <v>30018</v>
      </c>
      <c r="B274" s="17" t="s">
        <v>29</v>
      </c>
      <c r="C274" s="45">
        <v>45405</v>
      </c>
      <c r="D274" s="46" t="s">
        <v>37</v>
      </c>
      <c r="E274" s="46" t="s">
        <v>41</v>
      </c>
      <c r="F274" s="63">
        <f t="shared" si="358"/>
        <v>1</v>
      </c>
      <c r="G274" s="49"/>
      <c r="H274" s="34" t="s">
        <v>68</v>
      </c>
      <c r="I274" s="28">
        <v>1530</v>
      </c>
      <c r="J274" t="s">
        <v>2</v>
      </c>
      <c r="K274" s="47">
        <v>3000</v>
      </c>
      <c r="L274" s="3" t="str">
        <f t="shared" si="359"/>
        <v>m</v>
      </c>
      <c r="M274" s="33">
        <f t="shared" si="321"/>
        <v>7114.5</v>
      </c>
      <c r="N274" s="2">
        <f>_xlfn.XLOOKUP(A274,'[1]Prix MP'!$A:$A,'[1]Prix MP'!$T:$T)</f>
        <v>0.26428560241052407</v>
      </c>
      <c r="O274" s="18">
        <f>_xlfn.XLOOKUP(A274,'[1]Prix MP'!$A:$A,'[1]Prix MP'!$U:$U)</f>
        <v>0.26428560241052407</v>
      </c>
      <c r="P274" s="11">
        <f t="shared" si="318"/>
        <v>1880.2599183496734</v>
      </c>
      <c r="Q274" s="7">
        <f t="shared" si="319"/>
        <v>1880.2599183496734</v>
      </c>
      <c r="R274" t="s">
        <v>202</v>
      </c>
      <c r="S274" s="1">
        <f t="shared" si="274"/>
        <v>60.24</v>
      </c>
      <c r="T274" s="33">
        <f t="shared" si="275"/>
        <v>9843</v>
      </c>
      <c r="V274" s="8">
        <f t="shared" si="357"/>
        <v>4590</v>
      </c>
      <c r="W274" s="69"/>
      <c r="AV274" s="1"/>
      <c r="AX274"/>
    </row>
    <row r="275" spans="1:50" x14ac:dyDescent="0.25">
      <c r="A275">
        <v>30018</v>
      </c>
      <c r="B275" s="17" t="s">
        <v>29</v>
      </c>
      <c r="C275" s="45">
        <v>45405</v>
      </c>
      <c r="D275" s="46" t="s">
        <v>37</v>
      </c>
      <c r="E275" s="46" t="s">
        <v>41</v>
      </c>
      <c r="F275" s="63">
        <f t="shared" si="358"/>
        <v>1</v>
      </c>
      <c r="G275" s="49"/>
      <c r="H275" s="34" t="s">
        <v>69</v>
      </c>
      <c r="I275" s="28">
        <v>1530</v>
      </c>
      <c r="J275" t="s">
        <v>2</v>
      </c>
      <c r="K275" s="47">
        <v>3000</v>
      </c>
      <c r="L275" s="3" t="str">
        <f t="shared" si="359"/>
        <v>m</v>
      </c>
      <c r="M275" s="33">
        <f t="shared" si="321"/>
        <v>7114.5</v>
      </c>
      <c r="N275" s="2">
        <f>_xlfn.XLOOKUP(A275,'[1]Prix MP'!$A:$A,'[1]Prix MP'!$T:$T)</f>
        <v>0.26428560241052407</v>
      </c>
      <c r="O275" s="18">
        <f>_xlfn.XLOOKUP(A275,'[1]Prix MP'!$A:$A,'[1]Prix MP'!$U:$U)</f>
        <v>0.26428560241052407</v>
      </c>
      <c r="P275" s="11">
        <f t="shared" si="318"/>
        <v>1880.2599183496734</v>
      </c>
      <c r="Q275" s="7">
        <f t="shared" si="319"/>
        <v>1880.2599183496734</v>
      </c>
      <c r="R275" t="s">
        <v>202</v>
      </c>
      <c r="S275" s="1">
        <f t="shared" si="274"/>
        <v>60.24</v>
      </c>
      <c r="T275" s="33">
        <f t="shared" si="275"/>
        <v>9843</v>
      </c>
      <c r="V275" s="8">
        <f t="shared" si="357"/>
        <v>4590</v>
      </c>
      <c r="W275" s="69"/>
      <c r="AV275" s="1"/>
      <c r="AX275"/>
    </row>
    <row r="276" spans="1:50" x14ac:dyDescent="0.25">
      <c r="A276">
        <v>30018</v>
      </c>
      <c r="B276" s="17" t="s">
        <v>29</v>
      </c>
      <c r="C276" s="45">
        <v>45405</v>
      </c>
      <c r="D276" s="46" t="s">
        <v>37</v>
      </c>
      <c r="E276" s="46" t="s">
        <v>41</v>
      </c>
      <c r="F276" s="63">
        <f t="shared" si="358"/>
        <v>1</v>
      </c>
      <c r="G276" s="49"/>
      <c r="H276" s="34" t="s">
        <v>70</v>
      </c>
      <c r="I276" s="28">
        <v>1530</v>
      </c>
      <c r="J276" t="s">
        <v>2</v>
      </c>
      <c r="K276" s="47">
        <v>3000</v>
      </c>
      <c r="L276" s="3" t="str">
        <f t="shared" si="359"/>
        <v>m</v>
      </c>
      <c r="M276" s="33">
        <f t="shared" si="321"/>
        <v>7114.5</v>
      </c>
      <c r="N276" s="2">
        <f>_xlfn.XLOOKUP(A276,'[1]Prix MP'!$A:$A,'[1]Prix MP'!$T:$T)</f>
        <v>0.26428560241052407</v>
      </c>
      <c r="O276" s="18">
        <f>_xlfn.XLOOKUP(A276,'[1]Prix MP'!$A:$A,'[1]Prix MP'!$U:$U)</f>
        <v>0.26428560241052407</v>
      </c>
      <c r="P276" s="11">
        <f t="shared" si="318"/>
        <v>1880.2599183496734</v>
      </c>
      <c r="Q276" s="7">
        <f t="shared" si="319"/>
        <v>1880.2599183496734</v>
      </c>
      <c r="R276" t="s">
        <v>202</v>
      </c>
      <c r="S276" s="1">
        <f t="shared" si="274"/>
        <v>60.24</v>
      </c>
      <c r="T276" s="33">
        <f t="shared" si="275"/>
        <v>9843</v>
      </c>
      <c r="V276" s="8">
        <f t="shared" si="357"/>
        <v>4590</v>
      </c>
      <c r="W276" s="69"/>
      <c r="AV276" s="1"/>
      <c r="AX276"/>
    </row>
    <row r="277" spans="1:50" x14ac:dyDescent="0.25">
      <c r="A277">
        <v>30018</v>
      </c>
      <c r="B277" s="17" t="s">
        <v>29</v>
      </c>
      <c r="C277" s="45">
        <v>45405</v>
      </c>
      <c r="D277" s="46" t="s">
        <v>37</v>
      </c>
      <c r="E277" s="46" t="s">
        <v>41</v>
      </c>
      <c r="F277" s="63">
        <f t="shared" si="358"/>
        <v>1</v>
      </c>
      <c r="G277" s="49"/>
      <c r="H277" s="34" t="s">
        <v>71</v>
      </c>
      <c r="I277" s="28">
        <v>1530</v>
      </c>
      <c r="J277" t="s">
        <v>2</v>
      </c>
      <c r="K277" s="47">
        <v>3000</v>
      </c>
      <c r="L277" s="3" t="str">
        <f t="shared" si="359"/>
        <v>m</v>
      </c>
      <c r="M277" s="33">
        <f t="shared" si="321"/>
        <v>7114.5</v>
      </c>
      <c r="N277" s="2">
        <f>_xlfn.XLOOKUP(A277,'[1]Prix MP'!$A:$A,'[1]Prix MP'!$T:$T)</f>
        <v>0.26428560241052407</v>
      </c>
      <c r="O277" s="18">
        <f>_xlfn.XLOOKUP(A277,'[1]Prix MP'!$A:$A,'[1]Prix MP'!$U:$U)</f>
        <v>0.26428560241052407</v>
      </c>
      <c r="P277" s="11">
        <f t="shared" si="318"/>
        <v>1880.2599183496734</v>
      </c>
      <c r="Q277" s="7">
        <f t="shared" si="319"/>
        <v>1880.2599183496734</v>
      </c>
      <c r="R277" t="s">
        <v>202</v>
      </c>
      <c r="S277" s="1">
        <f t="shared" si="274"/>
        <v>60.24</v>
      </c>
      <c r="T277" s="33">
        <f t="shared" si="275"/>
        <v>9843</v>
      </c>
      <c r="V277" s="8">
        <f t="shared" si="357"/>
        <v>4590</v>
      </c>
      <c r="W277" s="69"/>
      <c r="AV277" s="1"/>
      <c r="AX277"/>
    </row>
    <row r="278" spans="1:50" x14ac:dyDescent="0.25">
      <c r="A278">
        <v>30018</v>
      </c>
      <c r="B278" s="17" t="s">
        <v>29</v>
      </c>
      <c r="C278" s="45">
        <v>45405</v>
      </c>
      <c r="D278" s="46" t="s">
        <v>37</v>
      </c>
      <c r="E278" s="46" t="s">
        <v>41</v>
      </c>
      <c r="F278" s="63">
        <f t="shared" si="358"/>
        <v>1</v>
      </c>
      <c r="G278" s="49"/>
      <c r="H278" s="34" t="s">
        <v>72</v>
      </c>
      <c r="I278" s="28">
        <v>1530</v>
      </c>
      <c r="J278" t="s">
        <v>2</v>
      </c>
      <c r="K278" s="47">
        <v>3000</v>
      </c>
      <c r="L278" s="3" t="str">
        <f t="shared" si="359"/>
        <v>m</v>
      </c>
      <c r="M278" s="33">
        <f t="shared" si="321"/>
        <v>7114.5</v>
      </c>
      <c r="N278" s="2">
        <f>_xlfn.XLOOKUP(A278,'[1]Prix MP'!$A:$A,'[1]Prix MP'!$T:$T)</f>
        <v>0.26428560241052407</v>
      </c>
      <c r="O278" s="18">
        <f>_xlfn.XLOOKUP(A278,'[1]Prix MP'!$A:$A,'[1]Prix MP'!$U:$U)</f>
        <v>0.26428560241052407</v>
      </c>
      <c r="P278" s="11">
        <f t="shared" si="318"/>
        <v>1880.2599183496734</v>
      </c>
      <c r="Q278" s="7">
        <f t="shared" si="319"/>
        <v>1880.2599183496734</v>
      </c>
      <c r="R278" t="s">
        <v>202</v>
      </c>
      <c r="S278" s="1">
        <f t="shared" si="274"/>
        <v>60.24</v>
      </c>
      <c r="T278" s="33">
        <f t="shared" si="275"/>
        <v>9843</v>
      </c>
      <c r="V278" s="8">
        <f t="shared" si="357"/>
        <v>4590</v>
      </c>
      <c r="W278" s="69"/>
      <c r="AV278" s="1"/>
      <c r="AX278"/>
    </row>
    <row r="279" spans="1:50" x14ac:dyDescent="0.25">
      <c r="A279">
        <v>30018</v>
      </c>
      <c r="B279" s="17" t="s">
        <v>29</v>
      </c>
      <c r="C279" s="45">
        <v>45405</v>
      </c>
      <c r="D279" s="46" t="s">
        <v>37</v>
      </c>
      <c r="E279" s="46" t="s">
        <v>41</v>
      </c>
      <c r="F279" s="63">
        <f t="shared" si="358"/>
        <v>1</v>
      </c>
      <c r="G279" s="49"/>
      <c r="H279" s="34" t="s">
        <v>73</v>
      </c>
      <c r="I279" s="28">
        <v>1530</v>
      </c>
      <c r="J279" t="s">
        <v>2</v>
      </c>
      <c r="K279" s="47">
        <v>3000</v>
      </c>
      <c r="L279" s="3" t="str">
        <f t="shared" si="359"/>
        <v>m</v>
      </c>
      <c r="M279" s="33">
        <f t="shared" si="321"/>
        <v>7114.5</v>
      </c>
      <c r="N279" s="2">
        <f>_xlfn.XLOOKUP(A279,'[1]Prix MP'!$A:$A,'[1]Prix MP'!$T:$T)</f>
        <v>0.26428560241052407</v>
      </c>
      <c r="O279" s="18">
        <f>_xlfn.XLOOKUP(A279,'[1]Prix MP'!$A:$A,'[1]Prix MP'!$U:$U)</f>
        <v>0.26428560241052407</v>
      </c>
      <c r="P279" s="11">
        <f t="shared" si="318"/>
        <v>1880.2599183496734</v>
      </c>
      <c r="Q279" s="7">
        <f t="shared" si="319"/>
        <v>1880.2599183496734</v>
      </c>
      <c r="R279" t="s">
        <v>202</v>
      </c>
      <c r="S279" s="1">
        <f t="shared" si="274"/>
        <v>60.24</v>
      </c>
      <c r="T279" s="33">
        <f t="shared" si="275"/>
        <v>9843</v>
      </c>
      <c r="V279" s="8">
        <f t="shared" si="357"/>
        <v>4590</v>
      </c>
      <c r="W279" s="69"/>
      <c r="AV279" s="1"/>
      <c r="AX279"/>
    </row>
    <row r="280" spans="1:50" x14ac:dyDescent="0.25">
      <c r="A280">
        <v>30018</v>
      </c>
      <c r="B280" s="17" t="s">
        <v>29</v>
      </c>
      <c r="C280" s="45">
        <v>45405</v>
      </c>
      <c r="D280" s="46" t="s">
        <v>37</v>
      </c>
      <c r="E280" s="46" t="s">
        <v>41</v>
      </c>
      <c r="F280" s="63">
        <f t="shared" si="358"/>
        <v>1</v>
      </c>
      <c r="G280" s="49"/>
      <c r="H280" s="34" t="s">
        <v>74</v>
      </c>
      <c r="I280" s="28">
        <v>1530</v>
      </c>
      <c r="J280" t="s">
        <v>2</v>
      </c>
      <c r="K280" s="47">
        <v>3000</v>
      </c>
      <c r="L280" s="3" t="str">
        <f t="shared" si="359"/>
        <v>m</v>
      </c>
      <c r="M280" s="33">
        <f t="shared" si="321"/>
        <v>7114.5</v>
      </c>
      <c r="N280" s="2">
        <f>_xlfn.XLOOKUP(A280,'[1]Prix MP'!$A:$A,'[1]Prix MP'!$T:$T)</f>
        <v>0.26428560241052407</v>
      </c>
      <c r="O280" s="18">
        <f>_xlfn.XLOOKUP(A280,'[1]Prix MP'!$A:$A,'[1]Prix MP'!$U:$U)</f>
        <v>0.26428560241052407</v>
      </c>
      <c r="P280" s="11">
        <f t="shared" si="318"/>
        <v>1880.2599183496734</v>
      </c>
      <c r="Q280" s="7">
        <f t="shared" si="319"/>
        <v>1880.2599183496734</v>
      </c>
      <c r="R280" t="s">
        <v>202</v>
      </c>
      <c r="S280" s="1">
        <f t="shared" si="274"/>
        <v>60.24</v>
      </c>
      <c r="T280" s="33">
        <f t="shared" si="275"/>
        <v>9843</v>
      </c>
      <c r="V280" s="8">
        <f t="shared" si="357"/>
        <v>4590</v>
      </c>
      <c r="W280" s="69"/>
      <c r="AV280" s="1"/>
      <c r="AX280"/>
    </row>
    <row r="281" spans="1:50" x14ac:dyDescent="0.25">
      <c r="A281">
        <v>30018</v>
      </c>
      <c r="B281" s="17" t="s">
        <v>29</v>
      </c>
      <c r="C281" s="45">
        <v>45405</v>
      </c>
      <c r="D281" s="46" t="s">
        <v>37</v>
      </c>
      <c r="E281" s="46" t="s">
        <v>41</v>
      </c>
      <c r="F281" s="63">
        <f t="shared" si="358"/>
        <v>1</v>
      </c>
      <c r="G281" s="49"/>
      <c r="H281" s="34" t="s">
        <v>75</v>
      </c>
      <c r="I281" s="28">
        <v>1530</v>
      </c>
      <c r="J281" t="s">
        <v>2</v>
      </c>
      <c r="K281" s="47">
        <v>3000</v>
      </c>
      <c r="L281" s="3" t="str">
        <f t="shared" si="359"/>
        <v>m</v>
      </c>
      <c r="M281" s="33">
        <f t="shared" si="321"/>
        <v>7114.5</v>
      </c>
      <c r="N281" s="2">
        <f>_xlfn.XLOOKUP(A281,'[1]Prix MP'!$A:$A,'[1]Prix MP'!$T:$T)</f>
        <v>0.26428560241052407</v>
      </c>
      <c r="O281" s="18">
        <f>_xlfn.XLOOKUP(A281,'[1]Prix MP'!$A:$A,'[1]Prix MP'!$U:$U)</f>
        <v>0.26428560241052407</v>
      </c>
      <c r="P281" s="11">
        <f t="shared" si="318"/>
        <v>1880.2599183496734</v>
      </c>
      <c r="Q281" s="7">
        <f t="shared" si="319"/>
        <v>1880.2599183496734</v>
      </c>
      <c r="R281" t="s">
        <v>202</v>
      </c>
      <c r="S281" s="1">
        <f t="shared" si="274"/>
        <v>60.24</v>
      </c>
      <c r="T281" s="33">
        <f t="shared" si="275"/>
        <v>9843</v>
      </c>
      <c r="V281" s="8">
        <f t="shared" si="357"/>
        <v>4590</v>
      </c>
      <c r="W281" s="69"/>
      <c r="AV281" s="1"/>
      <c r="AX281"/>
    </row>
    <row r="282" spans="1:50" x14ac:dyDescent="0.25">
      <c r="A282">
        <v>30018</v>
      </c>
      <c r="B282" s="17" t="s">
        <v>29</v>
      </c>
      <c r="C282" s="45">
        <v>45405</v>
      </c>
      <c r="D282" s="46" t="s">
        <v>37</v>
      </c>
      <c r="E282" s="46" t="s">
        <v>41</v>
      </c>
      <c r="F282" s="63">
        <f t="shared" si="358"/>
        <v>1</v>
      </c>
      <c r="G282" s="49"/>
      <c r="H282" s="34" t="s">
        <v>76</v>
      </c>
      <c r="I282" s="28">
        <v>1530</v>
      </c>
      <c r="J282" t="s">
        <v>2</v>
      </c>
      <c r="K282" s="47">
        <v>3000</v>
      </c>
      <c r="L282" s="3" t="str">
        <f t="shared" si="359"/>
        <v>m</v>
      </c>
      <c r="M282" s="33">
        <f t="shared" si="321"/>
        <v>7114.5</v>
      </c>
      <c r="N282" s="2">
        <f>_xlfn.XLOOKUP(A282,'[1]Prix MP'!$A:$A,'[1]Prix MP'!$T:$T)</f>
        <v>0.26428560241052407</v>
      </c>
      <c r="O282" s="18">
        <f>_xlfn.XLOOKUP(A282,'[1]Prix MP'!$A:$A,'[1]Prix MP'!$U:$U)</f>
        <v>0.26428560241052407</v>
      </c>
      <c r="P282" s="11">
        <f t="shared" si="318"/>
        <v>1880.2599183496734</v>
      </c>
      <c r="Q282" s="7">
        <f t="shared" si="319"/>
        <v>1880.2599183496734</v>
      </c>
      <c r="R282" t="s">
        <v>202</v>
      </c>
      <c r="S282" s="1">
        <f t="shared" si="274"/>
        <v>60.24</v>
      </c>
      <c r="T282" s="33">
        <f t="shared" si="275"/>
        <v>9843</v>
      </c>
      <c r="V282" s="8">
        <f t="shared" si="357"/>
        <v>4590</v>
      </c>
      <c r="W282" s="69"/>
      <c r="AV282" s="1"/>
      <c r="AX282"/>
    </row>
    <row r="283" spans="1:50" x14ac:dyDescent="0.25">
      <c r="A283">
        <v>30018</v>
      </c>
      <c r="B283" s="17" t="s">
        <v>29</v>
      </c>
      <c r="C283" s="45">
        <v>45405</v>
      </c>
      <c r="D283" s="46" t="s">
        <v>37</v>
      </c>
      <c r="E283" s="46" t="s">
        <v>41</v>
      </c>
      <c r="F283" s="63">
        <f t="shared" si="358"/>
        <v>1</v>
      </c>
      <c r="G283" s="49"/>
      <c r="H283" s="34" t="s">
        <v>77</v>
      </c>
      <c r="I283" s="28">
        <v>1530</v>
      </c>
      <c r="J283" t="s">
        <v>2</v>
      </c>
      <c r="K283" s="47">
        <v>3000</v>
      </c>
      <c r="L283" s="3" t="str">
        <f t="shared" si="359"/>
        <v>m</v>
      </c>
      <c r="M283" s="33">
        <f t="shared" si="321"/>
        <v>7114.5</v>
      </c>
      <c r="N283" s="2">
        <f>_xlfn.XLOOKUP(A283,'[1]Prix MP'!$A:$A,'[1]Prix MP'!$T:$T)</f>
        <v>0.26428560241052407</v>
      </c>
      <c r="O283" s="18">
        <f>_xlfn.XLOOKUP(A283,'[1]Prix MP'!$A:$A,'[1]Prix MP'!$U:$U)</f>
        <v>0.26428560241052407</v>
      </c>
      <c r="P283" s="11">
        <f t="shared" ref="P283:P324" si="360">M283*N283</f>
        <v>1880.2599183496734</v>
      </c>
      <c r="Q283" s="7">
        <f t="shared" ref="Q283:Q323" si="361">M283*O283</f>
        <v>1880.2599183496734</v>
      </c>
      <c r="R283" t="s">
        <v>202</v>
      </c>
      <c r="S283" s="1">
        <f t="shared" si="274"/>
        <v>60.24</v>
      </c>
      <c r="T283" s="33">
        <f t="shared" si="275"/>
        <v>9843</v>
      </c>
      <c r="V283" s="8">
        <f t="shared" si="357"/>
        <v>4590</v>
      </c>
      <c r="W283" s="69"/>
      <c r="AV283" s="1"/>
      <c r="AX283"/>
    </row>
    <row r="284" spans="1:50" x14ac:dyDescent="0.25">
      <c r="A284">
        <v>30018</v>
      </c>
      <c r="B284" s="17" t="s">
        <v>29</v>
      </c>
      <c r="C284" s="45">
        <v>45405</v>
      </c>
      <c r="D284" s="46" t="s">
        <v>37</v>
      </c>
      <c r="E284" s="46" t="s">
        <v>42</v>
      </c>
      <c r="F284" s="63">
        <f t="shared" si="358"/>
        <v>1</v>
      </c>
      <c r="G284" s="49"/>
      <c r="H284" s="34" t="s">
        <v>78</v>
      </c>
      <c r="I284" s="28">
        <v>1530</v>
      </c>
      <c r="J284" t="s">
        <v>2</v>
      </c>
      <c r="K284" s="47">
        <v>3000</v>
      </c>
      <c r="L284" s="3" t="str">
        <f t="shared" si="359"/>
        <v>m</v>
      </c>
      <c r="M284" s="33">
        <f t="shared" si="321"/>
        <v>7114.5</v>
      </c>
      <c r="N284" s="2">
        <f>_xlfn.XLOOKUP(A284,'[1]Prix MP'!$A:$A,'[1]Prix MP'!$T:$T)</f>
        <v>0.26428560241052407</v>
      </c>
      <c r="O284" s="18">
        <f>_xlfn.XLOOKUP(A284,'[1]Prix MP'!$A:$A,'[1]Prix MP'!$U:$U)</f>
        <v>0.26428560241052407</v>
      </c>
      <c r="P284" s="11">
        <f t="shared" si="360"/>
        <v>1880.2599183496734</v>
      </c>
      <c r="Q284" s="7">
        <f t="shared" si="361"/>
        <v>1880.2599183496734</v>
      </c>
      <c r="R284" t="s">
        <v>202</v>
      </c>
      <c r="S284" s="1">
        <f t="shared" si="274"/>
        <v>0</v>
      </c>
      <c r="T284" s="33">
        <f t="shared" si="275"/>
        <v>0</v>
      </c>
      <c r="V284" s="8">
        <f t="shared" si="357"/>
        <v>4590</v>
      </c>
      <c r="W284" s="69"/>
      <c r="AV284" s="1"/>
      <c r="AX284"/>
    </row>
    <row r="285" spans="1:50" x14ac:dyDescent="0.25">
      <c r="A285">
        <v>30018</v>
      </c>
      <c r="B285" s="17" t="s">
        <v>29</v>
      </c>
      <c r="C285" s="45">
        <v>45679</v>
      </c>
      <c r="D285" s="46" t="s">
        <v>176</v>
      </c>
      <c r="E285" s="46" t="s">
        <v>42</v>
      </c>
      <c r="F285" s="64">
        <v>-1</v>
      </c>
      <c r="G285" s="49" t="s">
        <v>684</v>
      </c>
      <c r="H285" s="34" t="s">
        <v>78</v>
      </c>
      <c r="I285" s="28">
        <v>1530</v>
      </c>
      <c r="J285" t="s">
        <v>2</v>
      </c>
      <c r="K285" s="47">
        <v>3000</v>
      </c>
      <c r="L285" s="3" t="str">
        <f t="shared" ref="L285" si="362">IF(J285="mm","m","pi")</f>
        <v>m</v>
      </c>
      <c r="M285" s="33">
        <f t="shared" ref="M285" si="363">IF(J285="mm",F285*I285/1000*K285*1.55,F285*I285*12*K285/1000)</f>
        <v>-7114.5</v>
      </c>
      <c r="N285" s="2">
        <f>_xlfn.XLOOKUP(A285,'[1]Prix MP'!$A:$A,'[1]Prix MP'!$T:$T)</f>
        <v>0.26428560241052407</v>
      </c>
      <c r="O285" s="18">
        <f>_xlfn.XLOOKUP(A285,'[1]Prix MP'!$A:$A,'[1]Prix MP'!$U:$U)</f>
        <v>0.26428560241052407</v>
      </c>
      <c r="P285" s="11">
        <f t="shared" ref="P285" si="364">M285*N285</f>
        <v>-1880.2599183496734</v>
      </c>
      <c r="Q285" s="7">
        <f t="shared" ref="Q285" si="365">M285*O285</f>
        <v>-1880.2599183496734</v>
      </c>
      <c r="R285" t="s">
        <v>202</v>
      </c>
      <c r="S285" s="1">
        <f>ROUND(IF(E285="I",0,IF(J285="po",I285,I285/25.4)),2)</f>
        <v>0</v>
      </c>
      <c r="T285" s="33">
        <f>ROUND(IF(E285="I",0,IF(J285="po",K285,K285*3.280839895)),0)</f>
        <v>0</v>
      </c>
      <c r="V285" s="8"/>
      <c r="W285" s="69"/>
      <c r="AV285" s="1"/>
      <c r="AX285"/>
    </row>
    <row r="286" spans="1:50" x14ac:dyDescent="0.25">
      <c r="A286">
        <v>30018</v>
      </c>
      <c r="B286" s="17" t="s">
        <v>29</v>
      </c>
      <c r="C286" s="45">
        <v>45405</v>
      </c>
      <c r="D286" s="46" t="s">
        <v>37</v>
      </c>
      <c r="E286" s="46" t="s">
        <v>42</v>
      </c>
      <c r="F286" s="63">
        <f t="shared" si="358"/>
        <v>1</v>
      </c>
      <c r="G286" s="67"/>
      <c r="H286" s="34" t="s">
        <v>79</v>
      </c>
      <c r="I286" s="28">
        <v>1530</v>
      </c>
      <c r="J286" t="s">
        <v>2</v>
      </c>
      <c r="K286" s="47">
        <v>3000</v>
      </c>
      <c r="L286" s="3" t="str">
        <f t="shared" si="359"/>
        <v>m</v>
      </c>
      <c r="M286" s="33">
        <f t="shared" si="321"/>
        <v>7114.5</v>
      </c>
      <c r="N286" s="2">
        <f>_xlfn.XLOOKUP(A286,'[1]Prix MP'!$A:$A,'[1]Prix MP'!$T:$T)</f>
        <v>0.26428560241052407</v>
      </c>
      <c r="O286" s="18">
        <f>_xlfn.XLOOKUP(A286,'[1]Prix MP'!$A:$A,'[1]Prix MP'!$U:$U)</f>
        <v>0.26428560241052407</v>
      </c>
      <c r="P286" s="11">
        <f t="shared" si="360"/>
        <v>1880.2599183496734</v>
      </c>
      <c r="Q286" s="7">
        <f t="shared" si="361"/>
        <v>1880.2599183496734</v>
      </c>
      <c r="R286" t="s">
        <v>202</v>
      </c>
      <c r="S286" s="1">
        <f t="shared" si="274"/>
        <v>0</v>
      </c>
      <c r="T286" s="33">
        <f t="shared" si="275"/>
        <v>0</v>
      </c>
      <c r="V286" s="8">
        <f t="shared" si="357"/>
        <v>4590</v>
      </c>
      <c r="W286" s="69"/>
      <c r="AV286" s="1"/>
      <c r="AX286"/>
    </row>
    <row r="287" spans="1:50" x14ac:dyDescent="0.25">
      <c r="A287">
        <v>30018</v>
      </c>
      <c r="B287" s="17" t="s">
        <v>29</v>
      </c>
      <c r="C287" s="45">
        <v>45615</v>
      </c>
      <c r="D287" s="46" t="s">
        <v>176</v>
      </c>
      <c r="E287" s="46" t="s">
        <v>42</v>
      </c>
      <c r="F287" s="64">
        <v>-1</v>
      </c>
      <c r="G287" s="67" t="s">
        <v>458</v>
      </c>
      <c r="H287" s="34" t="s">
        <v>79</v>
      </c>
      <c r="I287" s="28">
        <v>1530</v>
      </c>
      <c r="J287" t="s">
        <v>2</v>
      </c>
      <c r="K287" s="47">
        <v>3000</v>
      </c>
      <c r="L287" s="3" t="str">
        <f t="shared" ref="L287" si="366">IF(J287="mm","m","pi")</f>
        <v>m</v>
      </c>
      <c r="M287" s="33">
        <f>IF(J287="mm",F287*I287/1000*K287*1.55,F287*I287*12*K287/1000)</f>
        <v>-7114.5</v>
      </c>
      <c r="N287" s="2">
        <f>_xlfn.XLOOKUP(A287,'[1]Prix MP'!$A:$A,'[1]Prix MP'!$T:$T)</f>
        <v>0.26428560241052407</v>
      </c>
      <c r="O287" s="18">
        <f>_xlfn.XLOOKUP(A287,'[1]Prix MP'!$A:$A,'[1]Prix MP'!$U:$U)</f>
        <v>0.26428560241052407</v>
      </c>
      <c r="P287" s="11">
        <f>M287*N287</f>
        <v>-1880.2599183496734</v>
      </c>
      <c r="Q287" s="7">
        <f>M287*O287</f>
        <v>-1880.2599183496734</v>
      </c>
      <c r="R287" t="s">
        <v>202</v>
      </c>
      <c r="S287" s="1">
        <f>ROUND(IF(E287="I",0,IF(J287="po",I287,I287/25.4)),2)</f>
        <v>0</v>
      </c>
      <c r="T287" s="33">
        <f>ROUND(IF(E287="I",0,IF(J287="po",K287,K287*3.280839895)),0)</f>
        <v>0</v>
      </c>
      <c r="V287" s="8">
        <f t="shared" si="357"/>
        <v>4590</v>
      </c>
      <c r="W287" s="69"/>
      <c r="AV287" s="1"/>
      <c r="AX287"/>
    </row>
    <row r="288" spans="1:50" x14ac:dyDescent="0.25">
      <c r="A288">
        <v>30018</v>
      </c>
      <c r="B288" s="17" t="s">
        <v>29</v>
      </c>
      <c r="C288" s="45">
        <v>45405</v>
      </c>
      <c r="D288" s="46" t="s">
        <v>37</v>
      </c>
      <c r="E288" s="46" t="s">
        <v>41</v>
      </c>
      <c r="F288" s="63">
        <f t="shared" si="358"/>
        <v>1</v>
      </c>
      <c r="G288" s="67"/>
      <c r="H288" s="34" t="s">
        <v>80</v>
      </c>
      <c r="I288" s="28">
        <v>1530</v>
      </c>
      <c r="J288" t="s">
        <v>2</v>
      </c>
      <c r="K288" s="47">
        <v>3000</v>
      </c>
      <c r="L288" s="3" t="str">
        <f t="shared" si="359"/>
        <v>m</v>
      </c>
      <c r="M288" s="33">
        <f t="shared" si="321"/>
        <v>7114.5</v>
      </c>
      <c r="N288" s="2">
        <f>_xlfn.XLOOKUP(A288,'[1]Prix MP'!$A:$A,'[1]Prix MP'!$T:$T)</f>
        <v>0.26428560241052407</v>
      </c>
      <c r="O288" s="18">
        <f>_xlfn.XLOOKUP(A288,'[1]Prix MP'!$A:$A,'[1]Prix MP'!$U:$U)</f>
        <v>0.26428560241052407</v>
      </c>
      <c r="P288" s="11">
        <f t="shared" si="360"/>
        <v>1880.2599183496734</v>
      </c>
      <c r="Q288" s="7">
        <f t="shared" si="361"/>
        <v>1880.2599183496734</v>
      </c>
      <c r="R288" t="s">
        <v>202</v>
      </c>
      <c r="S288" s="1">
        <f t="shared" si="274"/>
        <v>60.24</v>
      </c>
      <c r="T288" s="33">
        <f t="shared" si="275"/>
        <v>9843</v>
      </c>
      <c r="V288" s="8">
        <f t="shared" si="357"/>
        <v>4590</v>
      </c>
      <c r="W288" s="69"/>
      <c r="AV288" s="1"/>
      <c r="AX288"/>
    </row>
    <row r="289" spans="1:50" x14ac:dyDescent="0.25">
      <c r="A289">
        <v>30018</v>
      </c>
      <c r="B289" s="17" t="s">
        <v>29</v>
      </c>
      <c r="C289" s="45">
        <v>45405</v>
      </c>
      <c r="D289" s="46" t="s">
        <v>37</v>
      </c>
      <c r="E289" s="46" t="s">
        <v>41</v>
      </c>
      <c r="F289" s="63">
        <f t="shared" si="358"/>
        <v>1</v>
      </c>
      <c r="G289" s="67"/>
      <c r="H289" s="34" t="s">
        <v>81</v>
      </c>
      <c r="I289" s="28">
        <v>1530</v>
      </c>
      <c r="J289" t="s">
        <v>2</v>
      </c>
      <c r="K289" s="47">
        <v>3000</v>
      </c>
      <c r="L289" s="3" t="str">
        <f t="shared" si="359"/>
        <v>m</v>
      </c>
      <c r="M289" s="33">
        <f t="shared" si="321"/>
        <v>7114.5</v>
      </c>
      <c r="N289" s="2">
        <f>_xlfn.XLOOKUP(A289,'[1]Prix MP'!$A:$A,'[1]Prix MP'!$T:$T)</f>
        <v>0.26428560241052407</v>
      </c>
      <c r="O289" s="18">
        <f>_xlfn.XLOOKUP(A289,'[1]Prix MP'!$A:$A,'[1]Prix MP'!$U:$U)</f>
        <v>0.26428560241052407</v>
      </c>
      <c r="P289" s="11">
        <f t="shared" si="360"/>
        <v>1880.2599183496734</v>
      </c>
      <c r="Q289" s="7">
        <f t="shared" si="361"/>
        <v>1880.2599183496734</v>
      </c>
      <c r="R289" t="s">
        <v>202</v>
      </c>
      <c r="S289" s="1">
        <f t="shared" si="274"/>
        <v>60.24</v>
      </c>
      <c r="T289" s="33">
        <f t="shared" si="275"/>
        <v>9843</v>
      </c>
      <c r="V289" s="8">
        <f t="shared" si="357"/>
        <v>4590</v>
      </c>
      <c r="W289" s="69"/>
      <c r="AV289" s="1"/>
      <c r="AX289"/>
    </row>
    <row r="290" spans="1:50" x14ac:dyDescent="0.25">
      <c r="A290">
        <v>30018</v>
      </c>
      <c r="B290" s="17" t="s">
        <v>29</v>
      </c>
      <c r="C290" s="45">
        <v>45405</v>
      </c>
      <c r="D290" s="46" t="s">
        <v>37</v>
      </c>
      <c r="E290" s="46" t="s">
        <v>41</v>
      </c>
      <c r="F290" s="63">
        <f t="shared" si="358"/>
        <v>1</v>
      </c>
      <c r="G290" s="67"/>
      <c r="H290" s="34" t="s">
        <v>82</v>
      </c>
      <c r="I290" s="28">
        <v>1530</v>
      </c>
      <c r="J290" t="s">
        <v>2</v>
      </c>
      <c r="K290" s="47">
        <v>3000</v>
      </c>
      <c r="L290" s="3" t="str">
        <f t="shared" si="359"/>
        <v>m</v>
      </c>
      <c r="M290" s="33">
        <f t="shared" si="321"/>
        <v>7114.5</v>
      </c>
      <c r="N290" s="2">
        <f>_xlfn.XLOOKUP(A290,'[1]Prix MP'!$A:$A,'[1]Prix MP'!$T:$T)</f>
        <v>0.26428560241052407</v>
      </c>
      <c r="O290" s="18">
        <f>_xlfn.XLOOKUP(A290,'[1]Prix MP'!$A:$A,'[1]Prix MP'!$U:$U)</f>
        <v>0.26428560241052407</v>
      </c>
      <c r="P290" s="11">
        <f t="shared" si="360"/>
        <v>1880.2599183496734</v>
      </c>
      <c r="Q290" s="7">
        <f t="shared" si="361"/>
        <v>1880.2599183496734</v>
      </c>
      <c r="R290" t="s">
        <v>202</v>
      </c>
      <c r="S290" s="1">
        <f t="shared" si="274"/>
        <v>60.24</v>
      </c>
      <c r="T290" s="33">
        <f t="shared" si="275"/>
        <v>9843</v>
      </c>
      <c r="V290" s="8">
        <f t="shared" si="357"/>
        <v>4590</v>
      </c>
      <c r="W290" s="69"/>
      <c r="AV290" s="1"/>
      <c r="AX290"/>
    </row>
    <row r="291" spans="1:50" x14ac:dyDescent="0.25">
      <c r="A291">
        <v>30018</v>
      </c>
      <c r="B291" s="17" t="s">
        <v>29</v>
      </c>
      <c r="C291" s="45">
        <v>45405</v>
      </c>
      <c r="D291" s="46" t="s">
        <v>37</v>
      </c>
      <c r="E291" s="46" t="s">
        <v>41</v>
      </c>
      <c r="F291" s="63">
        <f t="shared" si="358"/>
        <v>1</v>
      </c>
      <c r="G291" s="67"/>
      <c r="H291" s="34" t="s">
        <v>83</v>
      </c>
      <c r="I291" s="28">
        <v>1530</v>
      </c>
      <c r="J291" t="s">
        <v>2</v>
      </c>
      <c r="K291" s="47">
        <v>3000</v>
      </c>
      <c r="L291" s="3" t="str">
        <f t="shared" si="359"/>
        <v>m</v>
      </c>
      <c r="M291" s="33">
        <f t="shared" si="321"/>
        <v>7114.5</v>
      </c>
      <c r="N291" s="2">
        <f>_xlfn.XLOOKUP(A291,'[1]Prix MP'!$A:$A,'[1]Prix MP'!$T:$T)</f>
        <v>0.26428560241052407</v>
      </c>
      <c r="O291" s="18">
        <f>_xlfn.XLOOKUP(A291,'[1]Prix MP'!$A:$A,'[1]Prix MP'!$U:$U)</f>
        <v>0.26428560241052407</v>
      </c>
      <c r="P291" s="11">
        <f t="shared" si="360"/>
        <v>1880.2599183496734</v>
      </c>
      <c r="Q291" s="7">
        <f t="shared" si="361"/>
        <v>1880.2599183496734</v>
      </c>
      <c r="R291" t="s">
        <v>202</v>
      </c>
      <c r="S291" s="1">
        <f t="shared" si="274"/>
        <v>60.24</v>
      </c>
      <c r="T291" s="33">
        <f t="shared" si="275"/>
        <v>9843</v>
      </c>
      <c r="V291" s="8">
        <f t="shared" si="357"/>
        <v>4590</v>
      </c>
      <c r="W291" s="69"/>
      <c r="AV291" s="1"/>
      <c r="AX291"/>
    </row>
    <row r="292" spans="1:50" x14ac:dyDescent="0.25">
      <c r="A292">
        <v>30018</v>
      </c>
      <c r="B292" s="17" t="s">
        <v>29</v>
      </c>
      <c r="C292" s="45">
        <v>45405</v>
      </c>
      <c r="D292" s="46" t="s">
        <v>37</v>
      </c>
      <c r="E292" s="46" t="s">
        <v>41</v>
      </c>
      <c r="F292" s="63">
        <f t="shared" si="358"/>
        <v>1</v>
      </c>
      <c r="G292" s="67"/>
      <c r="H292" s="34" t="s">
        <v>84</v>
      </c>
      <c r="I292" s="28">
        <v>1530</v>
      </c>
      <c r="J292" t="s">
        <v>2</v>
      </c>
      <c r="K292" s="47">
        <v>3000</v>
      </c>
      <c r="L292" s="3" t="str">
        <f t="shared" si="359"/>
        <v>m</v>
      </c>
      <c r="M292" s="33">
        <f t="shared" si="321"/>
        <v>7114.5</v>
      </c>
      <c r="N292" s="2">
        <f>_xlfn.XLOOKUP(A292,'[1]Prix MP'!$A:$A,'[1]Prix MP'!$T:$T)</f>
        <v>0.26428560241052407</v>
      </c>
      <c r="O292" s="18">
        <f>_xlfn.XLOOKUP(A292,'[1]Prix MP'!$A:$A,'[1]Prix MP'!$U:$U)</f>
        <v>0.26428560241052407</v>
      </c>
      <c r="P292" s="11">
        <f t="shared" si="360"/>
        <v>1880.2599183496734</v>
      </c>
      <c r="Q292" s="7">
        <f t="shared" si="361"/>
        <v>1880.2599183496734</v>
      </c>
      <c r="R292" t="s">
        <v>202</v>
      </c>
      <c r="S292" s="1">
        <f t="shared" si="274"/>
        <v>60.24</v>
      </c>
      <c r="T292" s="33">
        <f t="shared" si="275"/>
        <v>9843</v>
      </c>
      <c r="V292" s="8">
        <f t="shared" si="357"/>
        <v>4590</v>
      </c>
      <c r="W292" s="69"/>
      <c r="AV292" s="1"/>
      <c r="AX292"/>
    </row>
    <row r="293" spans="1:50" x14ac:dyDescent="0.25">
      <c r="A293">
        <v>30018</v>
      </c>
      <c r="B293" s="17" t="s">
        <v>29</v>
      </c>
      <c r="C293" s="45">
        <v>45405</v>
      </c>
      <c r="D293" s="46" t="s">
        <v>37</v>
      </c>
      <c r="E293" s="46" t="s">
        <v>41</v>
      </c>
      <c r="F293" s="63">
        <f t="shared" si="358"/>
        <v>1</v>
      </c>
      <c r="G293" s="67"/>
      <c r="H293" s="34" t="s">
        <v>85</v>
      </c>
      <c r="I293" s="28">
        <v>1530</v>
      </c>
      <c r="J293" t="s">
        <v>2</v>
      </c>
      <c r="K293" s="47">
        <v>3000</v>
      </c>
      <c r="L293" s="3" t="str">
        <f t="shared" si="359"/>
        <v>m</v>
      </c>
      <c r="M293" s="33">
        <f t="shared" si="321"/>
        <v>7114.5</v>
      </c>
      <c r="N293" s="2">
        <f>_xlfn.XLOOKUP(A293,'[1]Prix MP'!$A:$A,'[1]Prix MP'!$T:$T)</f>
        <v>0.26428560241052407</v>
      </c>
      <c r="O293" s="18">
        <f>_xlfn.XLOOKUP(A293,'[1]Prix MP'!$A:$A,'[1]Prix MP'!$U:$U)</f>
        <v>0.26428560241052407</v>
      </c>
      <c r="P293" s="11">
        <f t="shared" si="360"/>
        <v>1880.2599183496734</v>
      </c>
      <c r="Q293" s="7">
        <f t="shared" si="361"/>
        <v>1880.2599183496734</v>
      </c>
      <c r="R293" t="s">
        <v>202</v>
      </c>
      <c r="S293" s="1">
        <f t="shared" si="274"/>
        <v>60.24</v>
      </c>
      <c r="T293" s="33">
        <f t="shared" si="275"/>
        <v>9843</v>
      </c>
      <c r="V293" s="8">
        <f t="shared" si="357"/>
        <v>4590</v>
      </c>
      <c r="W293" s="69"/>
      <c r="AV293" s="1"/>
      <c r="AX293"/>
    </row>
    <row r="294" spans="1:50" x14ac:dyDescent="0.25">
      <c r="A294">
        <v>30018</v>
      </c>
      <c r="B294" s="17" t="s">
        <v>29</v>
      </c>
      <c r="C294" s="45">
        <v>45405</v>
      </c>
      <c r="D294" s="46" t="s">
        <v>37</v>
      </c>
      <c r="E294" s="46" t="s">
        <v>41</v>
      </c>
      <c r="F294" s="63">
        <f t="shared" si="358"/>
        <v>1</v>
      </c>
      <c r="G294" s="67"/>
      <c r="H294" s="34" t="s">
        <v>86</v>
      </c>
      <c r="I294" s="28">
        <v>1530</v>
      </c>
      <c r="J294" t="s">
        <v>2</v>
      </c>
      <c r="K294" s="47">
        <v>3000</v>
      </c>
      <c r="L294" s="3" t="str">
        <f t="shared" si="359"/>
        <v>m</v>
      </c>
      <c r="M294" s="33">
        <f t="shared" si="321"/>
        <v>7114.5</v>
      </c>
      <c r="N294" s="2">
        <f>_xlfn.XLOOKUP(A294,'[1]Prix MP'!$A:$A,'[1]Prix MP'!$T:$T)</f>
        <v>0.26428560241052407</v>
      </c>
      <c r="O294" s="18">
        <f>_xlfn.XLOOKUP(A294,'[1]Prix MP'!$A:$A,'[1]Prix MP'!$U:$U)</f>
        <v>0.26428560241052407</v>
      </c>
      <c r="P294" s="11">
        <f t="shared" si="360"/>
        <v>1880.2599183496734</v>
      </c>
      <c r="Q294" s="7">
        <f t="shared" si="361"/>
        <v>1880.2599183496734</v>
      </c>
      <c r="R294" t="s">
        <v>202</v>
      </c>
      <c r="S294" s="1">
        <f t="shared" si="274"/>
        <v>60.24</v>
      </c>
      <c r="T294" s="33">
        <f t="shared" si="275"/>
        <v>9843</v>
      </c>
      <c r="V294" s="8">
        <f t="shared" si="357"/>
        <v>4590</v>
      </c>
      <c r="W294" s="69"/>
      <c r="AV294" s="1"/>
      <c r="AX294"/>
    </row>
    <row r="295" spans="1:50" x14ac:dyDescent="0.25">
      <c r="A295">
        <v>30018</v>
      </c>
      <c r="B295" s="17" t="s">
        <v>29</v>
      </c>
      <c r="C295" s="45">
        <v>45405</v>
      </c>
      <c r="D295" s="46" t="s">
        <v>37</v>
      </c>
      <c r="E295" s="46" t="s">
        <v>41</v>
      </c>
      <c r="F295" s="63">
        <f t="shared" si="358"/>
        <v>1</v>
      </c>
      <c r="G295" s="67"/>
      <c r="H295" s="34" t="s">
        <v>87</v>
      </c>
      <c r="I295" s="28">
        <v>1530</v>
      </c>
      <c r="J295" t="s">
        <v>2</v>
      </c>
      <c r="K295" s="47">
        <v>3000</v>
      </c>
      <c r="L295" s="3" t="str">
        <f t="shared" si="359"/>
        <v>m</v>
      </c>
      <c r="M295" s="33">
        <f t="shared" si="321"/>
        <v>7114.5</v>
      </c>
      <c r="N295" s="2">
        <f>_xlfn.XLOOKUP(A295,'[1]Prix MP'!$A:$A,'[1]Prix MP'!$T:$T)</f>
        <v>0.26428560241052407</v>
      </c>
      <c r="O295" s="18">
        <f>_xlfn.XLOOKUP(A295,'[1]Prix MP'!$A:$A,'[1]Prix MP'!$U:$U)</f>
        <v>0.26428560241052407</v>
      </c>
      <c r="P295" s="11">
        <f t="shared" si="360"/>
        <v>1880.2599183496734</v>
      </c>
      <c r="Q295" s="7">
        <f t="shared" si="361"/>
        <v>1880.2599183496734</v>
      </c>
      <c r="R295" t="s">
        <v>202</v>
      </c>
      <c r="S295" s="1">
        <f t="shared" si="274"/>
        <v>60.24</v>
      </c>
      <c r="T295" s="33">
        <f t="shared" si="275"/>
        <v>9843</v>
      </c>
      <c r="V295" s="8">
        <f t="shared" si="357"/>
        <v>4590</v>
      </c>
      <c r="W295" s="69"/>
      <c r="AV295" s="1"/>
      <c r="AX295"/>
    </row>
    <row r="296" spans="1:50" x14ac:dyDescent="0.25">
      <c r="A296">
        <v>30018</v>
      </c>
      <c r="B296" s="17" t="s">
        <v>29</v>
      </c>
      <c r="C296" s="45">
        <v>45405</v>
      </c>
      <c r="D296" s="46" t="s">
        <v>37</v>
      </c>
      <c r="E296" s="46" t="s">
        <v>41</v>
      </c>
      <c r="F296" s="63">
        <f t="shared" si="358"/>
        <v>1</v>
      </c>
      <c r="G296" s="67"/>
      <c r="H296" s="34" t="s">
        <v>88</v>
      </c>
      <c r="I296" s="28">
        <v>1530</v>
      </c>
      <c r="J296" t="s">
        <v>2</v>
      </c>
      <c r="K296" s="47">
        <v>3000</v>
      </c>
      <c r="L296" s="3" t="str">
        <f t="shared" si="359"/>
        <v>m</v>
      </c>
      <c r="M296" s="33">
        <f t="shared" si="321"/>
        <v>7114.5</v>
      </c>
      <c r="N296" s="2">
        <f>_xlfn.XLOOKUP(A296,'[1]Prix MP'!$A:$A,'[1]Prix MP'!$T:$T)</f>
        <v>0.26428560241052407</v>
      </c>
      <c r="O296" s="18">
        <f>_xlfn.XLOOKUP(A296,'[1]Prix MP'!$A:$A,'[1]Prix MP'!$U:$U)</f>
        <v>0.26428560241052407</v>
      </c>
      <c r="P296" s="11">
        <f t="shared" si="360"/>
        <v>1880.2599183496734</v>
      </c>
      <c r="Q296" s="7">
        <f t="shared" si="361"/>
        <v>1880.2599183496734</v>
      </c>
      <c r="R296" t="s">
        <v>202</v>
      </c>
      <c r="S296" s="1">
        <f t="shared" si="274"/>
        <v>60.24</v>
      </c>
      <c r="T296" s="33">
        <f t="shared" si="275"/>
        <v>9843</v>
      </c>
      <c r="V296" s="8">
        <f t="shared" si="357"/>
        <v>4590</v>
      </c>
      <c r="W296" s="69"/>
      <c r="AV296" s="1"/>
      <c r="AX296"/>
    </row>
    <row r="297" spans="1:50" x14ac:dyDescent="0.25">
      <c r="A297">
        <v>30018</v>
      </c>
      <c r="B297" s="17" t="s">
        <v>29</v>
      </c>
      <c r="C297" s="45">
        <v>45405</v>
      </c>
      <c r="D297" s="46" t="s">
        <v>37</v>
      </c>
      <c r="E297" s="46" t="s">
        <v>41</v>
      </c>
      <c r="F297" s="63">
        <f t="shared" si="358"/>
        <v>1</v>
      </c>
      <c r="G297" s="67"/>
      <c r="H297" s="34" t="s">
        <v>89</v>
      </c>
      <c r="I297" s="28">
        <v>1530</v>
      </c>
      <c r="J297" t="s">
        <v>2</v>
      </c>
      <c r="K297" s="47">
        <v>3000</v>
      </c>
      <c r="L297" s="3" t="str">
        <f t="shared" si="359"/>
        <v>m</v>
      </c>
      <c r="M297" s="33">
        <f t="shared" si="321"/>
        <v>7114.5</v>
      </c>
      <c r="N297" s="2">
        <f>_xlfn.XLOOKUP(A297,'[1]Prix MP'!$A:$A,'[1]Prix MP'!$T:$T)</f>
        <v>0.26428560241052407</v>
      </c>
      <c r="O297" s="18">
        <f>_xlfn.XLOOKUP(A297,'[1]Prix MP'!$A:$A,'[1]Prix MP'!$U:$U)</f>
        <v>0.26428560241052407</v>
      </c>
      <c r="P297" s="11">
        <f t="shared" si="360"/>
        <v>1880.2599183496734</v>
      </c>
      <c r="Q297" s="7">
        <f t="shared" si="361"/>
        <v>1880.2599183496734</v>
      </c>
      <c r="R297" t="s">
        <v>202</v>
      </c>
      <c r="S297" s="1">
        <f t="shared" si="274"/>
        <v>60.24</v>
      </c>
      <c r="T297" s="33">
        <f t="shared" si="275"/>
        <v>9843</v>
      </c>
      <c r="V297" s="8">
        <f t="shared" si="357"/>
        <v>4590</v>
      </c>
      <c r="W297" s="69"/>
      <c r="AV297" s="1"/>
      <c r="AX297"/>
    </row>
    <row r="298" spans="1:50" x14ac:dyDescent="0.25">
      <c r="A298">
        <v>30018</v>
      </c>
      <c r="B298" s="17" t="s">
        <v>29</v>
      </c>
      <c r="C298" s="45">
        <v>45405</v>
      </c>
      <c r="D298" s="46" t="s">
        <v>37</v>
      </c>
      <c r="E298" s="46" t="s">
        <v>41</v>
      </c>
      <c r="F298" s="63">
        <f t="shared" si="358"/>
        <v>1</v>
      </c>
      <c r="G298" s="67"/>
      <c r="H298" s="34" t="s">
        <v>90</v>
      </c>
      <c r="I298" s="28">
        <v>1530</v>
      </c>
      <c r="J298" t="s">
        <v>2</v>
      </c>
      <c r="K298" s="47">
        <v>3000</v>
      </c>
      <c r="L298" s="3" t="str">
        <f t="shared" si="359"/>
        <v>m</v>
      </c>
      <c r="M298" s="33">
        <f t="shared" si="321"/>
        <v>7114.5</v>
      </c>
      <c r="N298" s="2">
        <f>_xlfn.XLOOKUP(A298,'[1]Prix MP'!$A:$A,'[1]Prix MP'!$T:$T)</f>
        <v>0.26428560241052407</v>
      </c>
      <c r="O298" s="18">
        <f>_xlfn.XLOOKUP(A298,'[1]Prix MP'!$A:$A,'[1]Prix MP'!$U:$U)</f>
        <v>0.26428560241052407</v>
      </c>
      <c r="P298" s="11">
        <f t="shared" si="360"/>
        <v>1880.2599183496734</v>
      </c>
      <c r="Q298" s="7">
        <f t="shared" si="361"/>
        <v>1880.2599183496734</v>
      </c>
      <c r="R298" t="s">
        <v>202</v>
      </c>
      <c r="S298" s="1">
        <f t="shared" si="274"/>
        <v>60.24</v>
      </c>
      <c r="T298" s="33">
        <f t="shared" si="275"/>
        <v>9843</v>
      </c>
      <c r="V298" s="8">
        <f t="shared" si="357"/>
        <v>4590</v>
      </c>
      <c r="W298" s="69"/>
      <c r="AV298" s="1"/>
      <c r="AX298"/>
    </row>
    <row r="299" spans="1:50" x14ac:dyDescent="0.25">
      <c r="A299">
        <v>30018</v>
      </c>
      <c r="B299" s="17" t="s">
        <v>29</v>
      </c>
      <c r="C299" s="45">
        <v>45405</v>
      </c>
      <c r="D299" s="46" t="s">
        <v>37</v>
      </c>
      <c r="E299" s="46" t="s">
        <v>41</v>
      </c>
      <c r="F299" s="63">
        <f t="shared" si="358"/>
        <v>1</v>
      </c>
      <c r="G299" s="67"/>
      <c r="H299" s="34" t="s">
        <v>91</v>
      </c>
      <c r="I299" s="28">
        <v>1530</v>
      </c>
      <c r="J299" t="s">
        <v>2</v>
      </c>
      <c r="K299" s="47">
        <v>3000</v>
      </c>
      <c r="L299" s="3" t="str">
        <f t="shared" si="359"/>
        <v>m</v>
      </c>
      <c r="M299" s="33">
        <f t="shared" si="321"/>
        <v>7114.5</v>
      </c>
      <c r="N299" s="2">
        <f>_xlfn.XLOOKUP(A299,'[1]Prix MP'!$A:$A,'[1]Prix MP'!$T:$T)</f>
        <v>0.26428560241052407</v>
      </c>
      <c r="O299" s="18">
        <f>_xlfn.XLOOKUP(A299,'[1]Prix MP'!$A:$A,'[1]Prix MP'!$U:$U)</f>
        <v>0.26428560241052407</v>
      </c>
      <c r="P299" s="11">
        <f t="shared" si="360"/>
        <v>1880.2599183496734</v>
      </c>
      <c r="Q299" s="7">
        <f t="shared" si="361"/>
        <v>1880.2599183496734</v>
      </c>
      <c r="R299" t="s">
        <v>202</v>
      </c>
      <c r="S299" s="1">
        <f t="shared" si="274"/>
        <v>60.24</v>
      </c>
      <c r="T299" s="33">
        <f t="shared" si="275"/>
        <v>9843</v>
      </c>
      <c r="V299" s="8">
        <f t="shared" si="357"/>
        <v>4590</v>
      </c>
      <c r="W299" s="69"/>
      <c r="AV299" s="1"/>
      <c r="AX299"/>
    </row>
    <row r="300" spans="1:50" x14ac:dyDescent="0.25">
      <c r="A300">
        <v>30018</v>
      </c>
      <c r="B300" s="17" t="s">
        <v>29</v>
      </c>
      <c r="C300" s="45">
        <v>45405</v>
      </c>
      <c r="D300" s="46" t="s">
        <v>37</v>
      </c>
      <c r="E300" s="46" t="s">
        <v>41</v>
      </c>
      <c r="F300" s="63">
        <f t="shared" si="358"/>
        <v>1</v>
      </c>
      <c r="G300" s="67"/>
      <c r="H300" s="34" t="s">
        <v>92</v>
      </c>
      <c r="I300" s="28">
        <v>1530</v>
      </c>
      <c r="J300" t="s">
        <v>2</v>
      </c>
      <c r="K300" s="47">
        <v>3000</v>
      </c>
      <c r="L300" s="3" t="str">
        <f t="shared" si="359"/>
        <v>m</v>
      </c>
      <c r="M300" s="33">
        <f t="shared" si="321"/>
        <v>7114.5</v>
      </c>
      <c r="N300" s="2">
        <f>_xlfn.XLOOKUP(A300,'[1]Prix MP'!$A:$A,'[1]Prix MP'!$T:$T)</f>
        <v>0.26428560241052407</v>
      </c>
      <c r="O300" s="18">
        <f>_xlfn.XLOOKUP(A300,'[1]Prix MP'!$A:$A,'[1]Prix MP'!$U:$U)</f>
        <v>0.26428560241052407</v>
      </c>
      <c r="P300" s="11">
        <f t="shared" si="360"/>
        <v>1880.2599183496734</v>
      </c>
      <c r="Q300" s="7">
        <f t="shared" si="361"/>
        <v>1880.2599183496734</v>
      </c>
      <c r="R300" t="s">
        <v>202</v>
      </c>
      <c r="S300" s="1">
        <f t="shared" ref="S300:S436" si="367">ROUND(IF(E300="I",0,IF(J300="po",I300,I300/25.4)),2)</f>
        <v>60.24</v>
      </c>
      <c r="T300" s="33">
        <f t="shared" ref="T300:T436" si="368">ROUND(IF(E300="I",0,IF(J300="po",K300,K300*3.280839895)),0)</f>
        <v>9843</v>
      </c>
      <c r="V300" s="8">
        <f t="shared" si="357"/>
        <v>4590</v>
      </c>
      <c r="W300" s="69"/>
      <c r="AV300" s="1"/>
      <c r="AX300"/>
    </row>
    <row r="301" spans="1:50" x14ac:dyDescent="0.25">
      <c r="A301">
        <v>30018</v>
      </c>
      <c r="B301" s="17" t="s">
        <v>29</v>
      </c>
      <c r="C301" s="45">
        <v>45405</v>
      </c>
      <c r="D301" s="46" t="s">
        <v>37</v>
      </c>
      <c r="E301" s="46" t="s">
        <v>41</v>
      </c>
      <c r="F301" s="63">
        <f t="shared" si="358"/>
        <v>1</v>
      </c>
      <c r="G301" s="67"/>
      <c r="H301" s="34" t="s">
        <v>93</v>
      </c>
      <c r="I301" s="28">
        <v>1530</v>
      </c>
      <c r="J301" t="s">
        <v>2</v>
      </c>
      <c r="K301" s="47">
        <v>3000</v>
      </c>
      <c r="L301" s="3" t="str">
        <f t="shared" si="359"/>
        <v>m</v>
      </c>
      <c r="M301" s="33">
        <f t="shared" si="321"/>
        <v>7114.5</v>
      </c>
      <c r="N301" s="2">
        <f>_xlfn.XLOOKUP(A301,'[1]Prix MP'!$A:$A,'[1]Prix MP'!$T:$T)</f>
        <v>0.26428560241052407</v>
      </c>
      <c r="O301" s="18">
        <f>_xlfn.XLOOKUP(A301,'[1]Prix MP'!$A:$A,'[1]Prix MP'!$U:$U)</f>
        <v>0.26428560241052407</v>
      </c>
      <c r="P301" s="11">
        <f t="shared" si="360"/>
        <v>1880.2599183496734</v>
      </c>
      <c r="Q301" s="7">
        <f t="shared" si="361"/>
        <v>1880.2599183496734</v>
      </c>
      <c r="R301" t="s">
        <v>202</v>
      </c>
      <c r="S301" s="1">
        <f t="shared" si="367"/>
        <v>60.24</v>
      </c>
      <c r="T301" s="33">
        <f t="shared" si="368"/>
        <v>9843</v>
      </c>
      <c r="V301" s="8">
        <f t="shared" si="357"/>
        <v>4590</v>
      </c>
      <c r="W301" s="69"/>
      <c r="AV301" s="1"/>
      <c r="AX301"/>
    </row>
    <row r="302" spans="1:50" x14ac:dyDescent="0.25">
      <c r="A302">
        <v>30018</v>
      </c>
      <c r="B302" s="17" t="s">
        <v>29</v>
      </c>
      <c r="C302" s="45">
        <v>45405</v>
      </c>
      <c r="D302" s="46" t="s">
        <v>37</v>
      </c>
      <c r="E302" s="46" t="s">
        <v>41</v>
      </c>
      <c r="F302" s="63">
        <f t="shared" si="358"/>
        <v>1</v>
      </c>
      <c r="G302" s="67"/>
      <c r="H302" s="34" t="s">
        <v>94</v>
      </c>
      <c r="I302" s="28">
        <v>1530</v>
      </c>
      <c r="J302" t="s">
        <v>2</v>
      </c>
      <c r="K302" s="47">
        <v>3000</v>
      </c>
      <c r="L302" s="3" t="str">
        <f t="shared" si="359"/>
        <v>m</v>
      </c>
      <c r="M302" s="33">
        <f t="shared" si="321"/>
        <v>7114.5</v>
      </c>
      <c r="N302" s="2">
        <f>_xlfn.XLOOKUP(A302,'[1]Prix MP'!$A:$A,'[1]Prix MP'!$T:$T)</f>
        <v>0.26428560241052407</v>
      </c>
      <c r="O302" s="18">
        <f>_xlfn.XLOOKUP(A302,'[1]Prix MP'!$A:$A,'[1]Prix MP'!$U:$U)</f>
        <v>0.26428560241052407</v>
      </c>
      <c r="P302" s="11">
        <f t="shared" si="360"/>
        <v>1880.2599183496734</v>
      </c>
      <c r="Q302" s="7">
        <f t="shared" si="361"/>
        <v>1880.2599183496734</v>
      </c>
      <c r="R302" t="s">
        <v>202</v>
      </c>
      <c r="S302" s="1">
        <f t="shared" si="367"/>
        <v>60.24</v>
      </c>
      <c r="T302" s="33">
        <f t="shared" si="368"/>
        <v>9843</v>
      </c>
      <c r="V302" s="8">
        <f t="shared" si="357"/>
        <v>4590</v>
      </c>
      <c r="W302" s="69"/>
      <c r="AV302" s="1"/>
      <c r="AX302"/>
    </row>
    <row r="303" spans="1:50" x14ac:dyDescent="0.25">
      <c r="A303">
        <v>30024</v>
      </c>
      <c r="B303" s="17" t="s">
        <v>167</v>
      </c>
      <c r="C303" s="45">
        <v>45565</v>
      </c>
      <c r="D303" s="46" t="s">
        <v>37</v>
      </c>
      <c r="E303" s="46" t="s">
        <v>41</v>
      </c>
      <c r="F303" s="63">
        <f t="shared" si="358"/>
        <v>1</v>
      </c>
      <c r="G303" s="49"/>
      <c r="H303" s="34" t="s">
        <v>165</v>
      </c>
      <c r="I303" s="28">
        <v>1080</v>
      </c>
      <c r="J303" t="s">
        <v>2</v>
      </c>
      <c r="K303" s="47">
        <v>3000</v>
      </c>
      <c r="L303" s="3" t="str">
        <f t="shared" si="359"/>
        <v>m</v>
      </c>
      <c r="M303" s="33">
        <f t="shared" si="321"/>
        <v>5022</v>
      </c>
      <c r="N303" s="2">
        <f>_xlfn.XLOOKUP(A303,'[1]Prix MP'!$A:$A,'[1]Prix MP'!$T:$T)</f>
        <v>0.28637490201121879</v>
      </c>
      <c r="O303" s="18">
        <f>_xlfn.XLOOKUP(A303,'[1]Prix MP'!$A:$A,'[1]Prix MP'!$U:$U)</f>
        <v>0.28637490201121879</v>
      </c>
      <c r="P303" s="11">
        <f t="shared" si="360"/>
        <v>1438.1747579003409</v>
      </c>
      <c r="Q303" s="7">
        <f t="shared" si="361"/>
        <v>1438.1747579003409</v>
      </c>
      <c r="R303" t="s">
        <v>199</v>
      </c>
      <c r="S303" s="1">
        <f t="shared" si="367"/>
        <v>42.52</v>
      </c>
      <c r="T303" s="33">
        <f t="shared" si="368"/>
        <v>9843</v>
      </c>
      <c r="V303" s="8">
        <f t="shared" si="357"/>
        <v>3240</v>
      </c>
      <c r="W303" s="69"/>
      <c r="AV303" s="1"/>
      <c r="AX303"/>
    </row>
    <row r="304" spans="1:50" x14ac:dyDescent="0.25">
      <c r="A304">
        <v>30024</v>
      </c>
      <c r="B304" s="17" t="s">
        <v>167</v>
      </c>
      <c r="C304" s="45">
        <v>45565</v>
      </c>
      <c r="D304" s="46" t="s">
        <v>37</v>
      </c>
      <c r="E304" s="46" t="s">
        <v>42</v>
      </c>
      <c r="F304" s="63">
        <f t="shared" si="358"/>
        <v>1</v>
      </c>
      <c r="G304" s="49">
        <v>2024121</v>
      </c>
      <c r="H304" s="34" t="s">
        <v>166</v>
      </c>
      <c r="I304" s="28">
        <v>1080</v>
      </c>
      <c r="J304" t="s">
        <v>2</v>
      </c>
      <c r="K304" s="47">
        <v>3000</v>
      </c>
      <c r="L304" s="3" t="str">
        <f t="shared" si="359"/>
        <v>m</v>
      </c>
      <c r="M304" s="33">
        <f t="shared" si="321"/>
        <v>5022</v>
      </c>
      <c r="N304" s="2">
        <f>_xlfn.XLOOKUP(A304,'[1]Prix MP'!$A:$A,'[1]Prix MP'!$T:$T)</f>
        <v>0.28637490201121879</v>
      </c>
      <c r="O304" s="18">
        <f>_xlfn.XLOOKUP(A304,'[1]Prix MP'!$A:$A,'[1]Prix MP'!$U:$U)</f>
        <v>0.28637490201121879</v>
      </c>
      <c r="P304" s="11">
        <f t="shared" si="360"/>
        <v>1438.1747579003409</v>
      </c>
      <c r="Q304" s="7">
        <f t="shared" si="361"/>
        <v>1438.1747579003409</v>
      </c>
      <c r="R304" t="s">
        <v>199</v>
      </c>
      <c r="S304" s="1">
        <f t="shared" si="367"/>
        <v>0</v>
      </c>
      <c r="T304" s="33">
        <f t="shared" si="368"/>
        <v>0</v>
      </c>
      <c r="V304" s="8">
        <f t="shared" si="357"/>
        <v>3240</v>
      </c>
      <c r="W304" s="69"/>
      <c r="AV304" s="1"/>
      <c r="AX304"/>
    </row>
    <row r="305" spans="1:50" x14ac:dyDescent="0.25">
      <c r="A305">
        <v>30024</v>
      </c>
      <c r="B305" s="17" t="s">
        <v>167</v>
      </c>
      <c r="C305" s="45">
        <v>45569</v>
      </c>
      <c r="D305" s="46" t="s">
        <v>38</v>
      </c>
      <c r="E305" s="46" t="s">
        <v>42</v>
      </c>
      <c r="F305" s="63">
        <f t="shared" si="358"/>
        <v>-1</v>
      </c>
      <c r="G305" s="49">
        <v>2024121</v>
      </c>
      <c r="H305" s="34" t="s">
        <v>166</v>
      </c>
      <c r="I305" s="28">
        <v>1080</v>
      </c>
      <c r="J305" t="s">
        <v>2</v>
      </c>
      <c r="K305" s="47">
        <v>3000</v>
      </c>
      <c r="L305" s="3" t="str">
        <f t="shared" si="359"/>
        <v>m</v>
      </c>
      <c r="M305" s="33">
        <f t="shared" si="321"/>
        <v>-5022</v>
      </c>
      <c r="N305" s="2">
        <f>_xlfn.XLOOKUP(A305,'[1]Prix MP'!$A:$A,'[1]Prix MP'!$T:$T)</f>
        <v>0.28637490201121879</v>
      </c>
      <c r="O305" s="18">
        <f>_xlfn.XLOOKUP(A305,'[1]Prix MP'!$A:$A,'[1]Prix MP'!$U:$U)</f>
        <v>0.28637490201121879</v>
      </c>
      <c r="P305" s="11">
        <f t="shared" si="360"/>
        <v>-1438.1747579003409</v>
      </c>
      <c r="Q305" s="7">
        <f t="shared" si="361"/>
        <v>-1438.1747579003409</v>
      </c>
      <c r="R305" t="s">
        <v>199</v>
      </c>
      <c r="S305" s="1">
        <f t="shared" si="367"/>
        <v>0</v>
      </c>
      <c r="T305" s="33">
        <f t="shared" si="368"/>
        <v>0</v>
      </c>
      <c r="V305" s="8">
        <f t="shared" si="357"/>
        <v>3240</v>
      </c>
      <c r="W305" s="69"/>
      <c r="AV305" s="1"/>
      <c r="AX305"/>
    </row>
    <row r="306" spans="1:50" x14ac:dyDescent="0.25">
      <c r="A306">
        <v>30024</v>
      </c>
      <c r="B306" s="17" t="s">
        <v>167</v>
      </c>
      <c r="C306" s="45">
        <v>45569</v>
      </c>
      <c r="D306" s="46" t="s">
        <v>37</v>
      </c>
      <c r="E306" s="46" t="s">
        <v>41</v>
      </c>
      <c r="F306" s="64">
        <f t="shared" ref="F306:F334" si="369">IF(D306="in",1,-1)</f>
        <v>1</v>
      </c>
      <c r="G306" s="49">
        <v>2024121</v>
      </c>
      <c r="H306" s="34" t="s">
        <v>178</v>
      </c>
      <c r="I306" s="28">
        <v>20.5</v>
      </c>
      <c r="J306" t="s">
        <v>36</v>
      </c>
      <c r="K306" s="47">
        <v>2400</v>
      </c>
      <c r="L306" s="3" t="str">
        <f t="shared" ref="L306:L324" si="370">IF(J306="mm","m","pi")</f>
        <v>pi</v>
      </c>
      <c r="M306" s="33">
        <f t="shared" si="321"/>
        <v>590.4</v>
      </c>
      <c r="N306" s="2">
        <f>_xlfn.XLOOKUP(A306,'[1]Prix MP'!$A:$A,'[1]Prix MP'!$T:$T)</f>
        <v>0.28637490201121879</v>
      </c>
      <c r="O306" s="18">
        <f>_xlfn.XLOOKUP(A306,'[1]Prix MP'!$A:$A,'[1]Prix MP'!$U:$U)</f>
        <v>0.28637490201121879</v>
      </c>
      <c r="P306" s="11">
        <f t="shared" si="360"/>
        <v>169.07574214742357</v>
      </c>
      <c r="Q306" s="7">
        <f t="shared" si="361"/>
        <v>169.07574214742357</v>
      </c>
      <c r="R306" t="s">
        <v>199</v>
      </c>
      <c r="S306" s="1">
        <f t="shared" si="367"/>
        <v>20.5</v>
      </c>
      <c r="T306" s="33">
        <f t="shared" si="368"/>
        <v>2400</v>
      </c>
      <c r="V306" s="8" t="str">
        <f t="shared" si="357"/>
        <v/>
      </c>
      <c r="W306" s="69"/>
      <c r="AV306" s="1"/>
      <c r="AX306"/>
    </row>
    <row r="307" spans="1:50" x14ac:dyDescent="0.25">
      <c r="A307">
        <v>30024</v>
      </c>
      <c r="B307" s="17" t="s">
        <v>167</v>
      </c>
      <c r="C307" s="45">
        <v>45569</v>
      </c>
      <c r="D307" s="46" t="s">
        <v>37</v>
      </c>
      <c r="E307" s="46" t="s">
        <v>41</v>
      </c>
      <c r="F307" s="64">
        <f t="shared" si="369"/>
        <v>1</v>
      </c>
      <c r="G307" s="49">
        <v>2024121</v>
      </c>
      <c r="H307" s="34" t="s">
        <v>179</v>
      </c>
      <c r="I307" s="28">
        <v>42.52</v>
      </c>
      <c r="J307" t="s">
        <v>36</v>
      </c>
      <c r="K307" s="47">
        <v>7244</v>
      </c>
      <c r="L307" s="3" t="str">
        <f t="shared" si="370"/>
        <v>pi</v>
      </c>
      <c r="M307" s="33">
        <f t="shared" si="321"/>
        <v>3696.1785599999998</v>
      </c>
      <c r="N307" s="2">
        <f>_xlfn.XLOOKUP(A307,'[1]Prix MP'!$A:$A,'[1]Prix MP'!$T:$T)</f>
        <v>0.28637490201121879</v>
      </c>
      <c r="O307" s="18">
        <f>_xlfn.XLOOKUP(A307,'[1]Prix MP'!$A:$A,'[1]Prix MP'!$U:$U)</f>
        <v>0.28637490201121879</v>
      </c>
      <c r="P307" s="11">
        <f t="shared" si="360"/>
        <v>1058.4927729359677</v>
      </c>
      <c r="Q307" s="7">
        <f t="shared" si="361"/>
        <v>1058.4927729359677</v>
      </c>
      <c r="R307" t="s">
        <v>199</v>
      </c>
      <c r="S307" s="1">
        <f t="shared" si="367"/>
        <v>42.52</v>
      </c>
      <c r="T307" s="33">
        <f t="shared" si="368"/>
        <v>7244</v>
      </c>
      <c r="V307" s="8" t="str">
        <f t="shared" si="357"/>
        <v/>
      </c>
      <c r="W307" s="69"/>
      <c r="AV307" s="1"/>
      <c r="AX307"/>
    </row>
    <row r="308" spans="1:50" x14ac:dyDescent="0.25">
      <c r="A308">
        <v>30023</v>
      </c>
      <c r="B308" s="17" t="s">
        <v>30</v>
      </c>
      <c r="C308" s="45">
        <v>45565</v>
      </c>
      <c r="D308" s="46" t="s">
        <v>37</v>
      </c>
      <c r="E308" s="46" t="s">
        <v>42</v>
      </c>
      <c r="F308" s="63">
        <f t="shared" si="369"/>
        <v>1</v>
      </c>
      <c r="G308" s="49">
        <v>2024140</v>
      </c>
      <c r="H308" s="34" t="s">
        <v>160</v>
      </c>
      <c r="I308" s="28">
        <v>1530</v>
      </c>
      <c r="J308" t="s">
        <v>2</v>
      </c>
      <c r="K308" s="47">
        <v>3000</v>
      </c>
      <c r="L308" s="3" t="str">
        <f t="shared" si="370"/>
        <v>m</v>
      </c>
      <c r="M308" s="33">
        <f t="shared" si="321"/>
        <v>7114.5</v>
      </c>
      <c r="N308" s="2">
        <f>_xlfn.XLOOKUP(A308,'[1]Prix MP'!$A:$A,'[1]Prix MP'!$T:$T)</f>
        <v>0.29511487172670009</v>
      </c>
      <c r="O308" s="18">
        <f>_xlfn.XLOOKUP(A308,'[1]Prix MP'!$A:$A,'[1]Prix MP'!$U:$U)</f>
        <v>0.29511487172670009</v>
      </c>
      <c r="P308" s="11">
        <f t="shared" si="360"/>
        <v>2099.5947548996078</v>
      </c>
      <c r="Q308" s="7">
        <f t="shared" si="361"/>
        <v>2099.5947548996078</v>
      </c>
      <c r="R308" t="s">
        <v>203</v>
      </c>
      <c r="S308" s="1">
        <f t="shared" si="367"/>
        <v>0</v>
      </c>
      <c r="T308" s="33">
        <f t="shared" si="368"/>
        <v>0</v>
      </c>
      <c r="V308" s="8">
        <f t="shared" si="357"/>
        <v>4590</v>
      </c>
      <c r="W308" s="69"/>
      <c r="AV308" s="1"/>
      <c r="AX308"/>
    </row>
    <row r="309" spans="1:50" x14ac:dyDescent="0.25">
      <c r="A309">
        <v>30023</v>
      </c>
      <c r="B309" s="17" t="s">
        <v>30</v>
      </c>
      <c r="C309" s="45">
        <v>45583</v>
      </c>
      <c r="D309" s="46" t="s">
        <v>38</v>
      </c>
      <c r="E309" s="46" t="s">
        <v>42</v>
      </c>
      <c r="F309" s="63">
        <f t="shared" ref="F309" si="371">IF(D309="in",1,-1)</f>
        <v>-1</v>
      </c>
      <c r="G309" s="49">
        <v>2024140</v>
      </c>
      <c r="H309" s="34" t="s">
        <v>160</v>
      </c>
      <c r="I309" s="28">
        <v>1530</v>
      </c>
      <c r="J309" t="s">
        <v>2</v>
      </c>
      <c r="K309" s="47">
        <v>3000</v>
      </c>
      <c r="L309" s="3" t="str">
        <f t="shared" ref="L309" si="372">IF(J309="mm","m","pi")</f>
        <v>m</v>
      </c>
      <c r="M309" s="33">
        <f t="shared" ref="M309" si="373">IF(J309="mm",F309*I309/1000*K309*1.55,F309*I309*12*K309/1000)</f>
        <v>-7114.5</v>
      </c>
      <c r="N309" s="2">
        <f>_xlfn.XLOOKUP(A309,'[1]Prix MP'!$A:$A,'[1]Prix MP'!$T:$T)</f>
        <v>0.29511487172670009</v>
      </c>
      <c r="O309" s="18">
        <f>_xlfn.XLOOKUP(A309,'[1]Prix MP'!$A:$A,'[1]Prix MP'!$U:$U)</f>
        <v>0.29511487172670009</v>
      </c>
      <c r="P309" s="11">
        <f t="shared" ref="P309" si="374">M309*N309</f>
        <v>-2099.5947548996078</v>
      </c>
      <c r="Q309" s="7">
        <f t="shared" ref="Q309" si="375">M309*O309</f>
        <v>-2099.5947548996078</v>
      </c>
      <c r="R309" t="s">
        <v>203</v>
      </c>
      <c r="S309" s="1">
        <f t="shared" si="367"/>
        <v>0</v>
      </c>
      <c r="T309" s="33">
        <f t="shared" si="368"/>
        <v>0</v>
      </c>
      <c r="V309" s="8">
        <f t="shared" si="357"/>
        <v>4590</v>
      </c>
      <c r="W309" s="69"/>
      <c r="AV309" s="1"/>
      <c r="AX309"/>
    </row>
    <row r="310" spans="1:50" x14ac:dyDescent="0.25">
      <c r="A310">
        <v>30023</v>
      </c>
      <c r="B310" s="17" t="s">
        <v>30</v>
      </c>
      <c r="C310" s="45">
        <v>45583</v>
      </c>
      <c r="D310" s="46" t="s">
        <v>37</v>
      </c>
      <c r="E310" s="46" t="s">
        <v>41</v>
      </c>
      <c r="F310" s="63">
        <f t="shared" ref="F310" si="376">IF(D310="in",1,-1)</f>
        <v>1</v>
      </c>
      <c r="G310" s="49">
        <v>2024140</v>
      </c>
      <c r="H310" s="34" t="s">
        <v>331</v>
      </c>
      <c r="I310" s="28">
        <v>8.5</v>
      </c>
      <c r="J310" t="s">
        <v>36</v>
      </c>
      <c r="K310" s="47">
        <v>9650</v>
      </c>
      <c r="L310" s="3" t="str">
        <f t="shared" ref="L310" si="377">IF(J310="mm","m","pi")</f>
        <v>pi</v>
      </c>
      <c r="M310" s="33">
        <f t="shared" ref="M310" si="378">IF(J310="mm",F310*I310/1000*K310*1.55,F310*I310*12*K310/1000)</f>
        <v>984.3</v>
      </c>
      <c r="N310" s="2">
        <f>_xlfn.XLOOKUP(A310,'[1]Prix MP'!$A:$A,'[1]Prix MP'!$T:$T)</f>
        <v>0.29511487172670009</v>
      </c>
      <c r="O310" s="18">
        <f>_xlfn.XLOOKUP(A310,'[1]Prix MP'!$A:$A,'[1]Prix MP'!$U:$U)</f>
        <v>0.29511487172670009</v>
      </c>
      <c r="P310" s="11">
        <f t="shared" ref="P310" si="379">M310*N310</f>
        <v>290.48156824059089</v>
      </c>
      <c r="Q310" s="7">
        <f t="shared" ref="Q310" si="380">M310*O310</f>
        <v>290.48156824059089</v>
      </c>
      <c r="R310" t="s">
        <v>203</v>
      </c>
      <c r="S310" s="1">
        <f t="shared" si="367"/>
        <v>8.5</v>
      </c>
      <c r="T310" s="33">
        <f t="shared" si="368"/>
        <v>9650</v>
      </c>
      <c r="V310" s="8" t="str">
        <f t="shared" si="357"/>
        <v/>
      </c>
      <c r="W310" s="69"/>
      <c r="AV310" s="1"/>
      <c r="AX310"/>
    </row>
    <row r="311" spans="1:50" x14ac:dyDescent="0.25">
      <c r="A311">
        <v>30023</v>
      </c>
      <c r="B311" s="17" t="s">
        <v>30</v>
      </c>
      <c r="C311" s="45">
        <v>45583</v>
      </c>
      <c r="D311" s="46" t="s">
        <v>37</v>
      </c>
      <c r="E311" s="46" t="s">
        <v>41</v>
      </c>
      <c r="F311" s="63">
        <f t="shared" ref="F311" si="381">IF(D311="in",1,-1)</f>
        <v>1</v>
      </c>
      <c r="G311" s="49">
        <v>2024140</v>
      </c>
      <c r="H311" s="34" t="s">
        <v>599</v>
      </c>
      <c r="I311" s="28">
        <v>12.875</v>
      </c>
      <c r="J311" t="s">
        <v>36</v>
      </c>
      <c r="K311" s="47">
        <v>4500</v>
      </c>
      <c r="L311" s="3" t="str">
        <f t="shared" ref="L311" si="382">IF(J311="mm","m","pi")</f>
        <v>pi</v>
      </c>
      <c r="M311" s="33">
        <f>IF(J311="mm",F311*I311/1000*K311*1.55,F311*I311*12*K311/1000)</f>
        <v>695.25</v>
      </c>
      <c r="N311" s="2">
        <f>_xlfn.XLOOKUP(A311,'[1]Prix MP'!$A:$A,'[1]Prix MP'!$T:$T)</f>
        <v>0.29511487172670009</v>
      </c>
      <c r="O311" s="18">
        <f>_xlfn.XLOOKUP(A311,'[1]Prix MP'!$A:$A,'[1]Prix MP'!$U:$U)</f>
        <v>0.29511487172670009</v>
      </c>
      <c r="P311" s="11">
        <f>M311*N311</f>
        <v>205.17861456798823</v>
      </c>
      <c r="Q311" s="7">
        <f t="shared" ref="Q311" si="383">M311*O311</f>
        <v>205.17861456798823</v>
      </c>
      <c r="R311" t="s">
        <v>203</v>
      </c>
      <c r="S311" s="1">
        <f>ROUND(IF(E311="I",0,IF(J311="po",I311,I311/25.4)),2)</f>
        <v>12.88</v>
      </c>
      <c r="T311" s="33">
        <f>ROUND(IF(E311="I",0,IF(J311="po",K311,K311*3.280839895)),0)</f>
        <v>4500</v>
      </c>
      <c r="V311" s="8"/>
      <c r="W311" s="69"/>
      <c r="AV311" s="1"/>
      <c r="AX311"/>
    </row>
    <row r="312" spans="1:50" x14ac:dyDescent="0.25">
      <c r="A312">
        <v>30023</v>
      </c>
      <c r="B312" s="17" t="s">
        <v>30</v>
      </c>
      <c r="C312" s="45">
        <v>45565</v>
      </c>
      <c r="D312" s="46" t="s">
        <v>37</v>
      </c>
      <c r="E312" s="46" t="s">
        <v>42</v>
      </c>
      <c r="F312" s="63">
        <f t="shared" si="369"/>
        <v>1</v>
      </c>
      <c r="G312" s="49">
        <v>2024140</v>
      </c>
      <c r="H312" s="34" t="s">
        <v>161</v>
      </c>
      <c r="I312" s="28">
        <v>1530</v>
      </c>
      <c r="J312" t="s">
        <v>2</v>
      </c>
      <c r="K312" s="47">
        <v>3000</v>
      </c>
      <c r="L312" s="3" t="str">
        <f t="shared" si="370"/>
        <v>m</v>
      </c>
      <c r="M312" s="33">
        <f t="shared" si="321"/>
        <v>7114.5</v>
      </c>
      <c r="N312" s="2">
        <f>_xlfn.XLOOKUP(A312,'[1]Prix MP'!$A:$A,'[1]Prix MP'!$T:$T)</f>
        <v>0.29511487172670009</v>
      </c>
      <c r="O312" s="18">
        <f>_xlfn.XLOOKUP(A312,'[1]Prix MP'!$A:$A,'[1]Prix MP'!$U:$U)</f>
        <v>0.29511487172670009</v>
      </c>
      <c r="P312" s="11">
        <f t="shared" si="360"/>
        <v>2099.5947548996078</v>
      </c>
      <c r="Q312" s="7">
        <f t="shared" si="361"/>
        <v>2099.5947548996078</v>
      </c>
      <c r="R312" t="s">
        <v>203</v>
      </c>
      <c r="S312" s="1">
        <f t="shared" si="367"/>
        <v>0</v>
      </c>
      <c r="T312" s="33">
        <f t="shared" si="368"/>
        <v>0</v>
      </c>
      <c r="V312" s="8">
        <f t="shared" si="357"/>
        <v>4590</v>
      </c>
      <c r="W312" s="69"/>
      <c r="AV312" s="1"/>
      <c r="AX312"/>
    </row>
    <row r="313" spans="1:50" x14ac:dyDescent="0.25">
      <c r="A313">
        <v>30023</v>
      </c>
      <c r="B313" s="17" t="s">
        <v>30</v>
      </c>
      <c r="C313" s="45">
        <v>45583</v>
      </c>
      <c r="D313" s="46" t="s">
        <v>38</v>
      </c>
      <c r="E313" s="46" t="s">
        <v>42</v>
      </c>
      <c r="F313" s="63">
        <f t="shared" ref="F313" si="384">IF(D313="in",1,-1)</f>
        <v>-1</v>
      </c>
      <c r="G313" s="49">
        <v>2024140</v>
      </c>
      <c r="H313" s="34" t="s">
        <v>161</v>
      </c>
      <c r="I313" s="28">
        <v>1530</v>
      </c>
      <c r="J313" t="s">
        <v>2</v>
      </c>
      <c r="K313" s="47">
        <v>3000</v>
      </c>
      <c r="L313" s="3" t="str">
        <f t="shared" ref="L313" si="385">IF(J313="mm","m","pi")</f>
        <v>m</v>
      </c>
      <c r="M313" s="33">
        <f t="shared" ref="M313" si="386">IF(J313="mm",F313*I313/1000*K313*1.55,F313*I313*12*K313/1000)</f>
        <v>-7114.5</v>
      </c>
      <c r="N313" s="2">
        <f>_xlfn.XLOOKUP(A313,'[1]Prix MP'!$A:$A,'[1]Prix MP'!$T:$T)</f>
        <v>0.29511487172670009</v>
      </c>
      <c r="O313" s="18">
        <f>_xlfn.XLOOKUP(A313,'[1]Prix MP'!$A:$A,'[1]Prix MP'!$U:$U)</f>
        <v>0.29511487172670009</v>
      </c>
      <c r="P313" s="11">
        <f t="shared" ref="P313" si="387">M313*N313</f>
        <v>-2099.5947548996078</v>
      </c>
      <c r="Q313" s="7">
        <f t="shared" ref="Q313" si="388">M313*O313</f>
        <v>-2099.5947548996078</v>
      </c>
      <c r="R313" t="s">
        <v>203</v>
      </c>
      <c r="S313" s="1">
        <f t="shared" si="367"/>
        <v>0</v>
      </c>
      <c r="T313" s="33">
        <f t="shared" si="368"/>
        <v>0</v>
      </c>
      <c r="V313" s="8">
        <f t="shared" si="357"/>
        <v>4590</v>
      </c>
      <c r="W313" s="69"/>
      <c r="AV313" s="1"/>
      <c r="AX313"/>
    </row>
    <row r="314" spans="1:50" x14ac:dyDescent="0.25">
      <c r="A314">
        <v>30023</v>
      </c>
      <c r="B314" s="17" t="s">
        <v>30</v>
      </c>
      <c r="C314" s="45">
        <v>45583</v>
      </c>
      <c r="D314" s="46" t="s">
        <v>37</v>
      </c>
      <c r="E314" s="46" t="s">
        <v>41</v>
      </c>
      <c r="F314" s="63">
        <f t="shared" ref="F314" si="389">IF(D314="in",1,-1)</f>
        <v>1</v>
      </c>
      <c r="G314" s="49">
        <v>2024140</v>
      </c>
      <c r="H314" s="34" t="s">
        <v>332</v>
      </c>
      <c r="I314" s="28">
        <v>8.5</v>
      </c>
      <c r="J314" t="s">
        <v>36</v>
      </c>
      <c r="K314" s="47">
        <v>9750</v>
      </c>
      <c r="L314" s="3" t="str">
        <f t="shared" ref="L314" si="390">IF(J314="mm","m","pi")</f>
        <v>pi</v>
      </c>
      <c r="M314" s="33">
        <f t="shared" ref="M314" si="391">IF(J314="mm",F314*I314/1000*K314*1.55,F314*I314*12*K314/1000)</f>
        <v>994.5</v>
      </c>
      <c r="N314" s="2">
        <f>_xlfn.XLOOKUP(A314,'[1]Prix MP'!$A:$A,'[1]Prix MP'!$T:$T)</f>
        <v>0.29511487172670009</v>
      </c>
      <c r="O314" s="18">
        <f>_xlfn.XLOOKUP(A314,'[1]Prix MP'!$A:$A,'[1]Prix MP'!$U:$U)</f>
        <v>0.29511487172670009</v>
      </c>
      <c r="P314" s="11">
        <f t="shared" ref="P314" si="392">M314*N314</f>
        <v>293.49173993220325</v>
      </c>
      <c r="Q314" s="7">
        <f t="shared" ref="Q314" si="393">M314*O314</f>
        <v>293.49173993220325</v>
      </c>
      <c r="R314" t="s">
        <v>203</v>
      </c>
      <c r="S314" s="1">
        <f t="shared" si="367"/>
        <v>8.5</v>
      </c>
      <c r="T314" s="33">
        <f t="shared" si="368"/>
        <v>9750</v>
      </c>
      <c r="V314" s="8" t="str">
        <f t="shared" si="357"/>
        <v/>
      </c>
      <c r="W314" s="69"/>
      <c r="AV314" s="1"/>
      <c r="AX314"/>
    </row>
    <row r="315" spans="1:50" x14ac:dyDescent="0.25">
      <c r="A315">
        <v>30023</v>
      </c>
      <c r="B315" s="17" t="s">
        <v>30</v>
      </c>
      <c r="C315" s="45">
        <v>45565</v>
      </c>
      <c r="D315" s="46" t="s">
        <v>37</v>
      </c>
      <c r="E315" s="46" t="s">
        <v>42</v>
      </c>
      <c r="F315" s="63">
        <f t="shared" si="369"/>
        <v>1</v>
      </c>
      <c r="G315" s="49">
        <v>2024140</v>
      </c>
      <c r="H315" s="34" t="s">
        <v>162</v>
      </c>
      <c r="I315" s="28">
        <v>1530</v>
      </c>
      <c r="J315" t="s">
        <v>2</v>
      </c>
      <c r="K315" s="47">
        <v>3000</v>
      </c>
      <c r="L315" s="3" t="str">
        <f t="shared" si="370"/>
        <v>m</v>
      </c>
      <c r="M315" s="33">
        <f t="shared" si="321"/>
        <v>7114.5</v>
      </c>
      <c r="N315" s="2">
        <f>_xlfn.XLOOKUP(A315,'[1]Prix MP'!$A:$A,'[1]Prix MP'!$T:$T)</f>
        <v>0.29511487172670009</v>
      </c>
      <c r="O315" s="18">
        <f>_xlfn.XLOOKUP(A315,'[1]Prix MP'!$A:$A,'[1]Prix MP'!$U:$U)</f>
        <v>0.29511487172670009</v>
      </c>
      <c r="P315" s="11">
        <f t="shared" si="360"/>
        <v>2099.5947548996078</v>
      </c>
      <c r="Q315" s="7">
        <f t="shared" si="361"/>
        <v>2099.5947548996078</v>
      </c>
      <c r="R315" t="s">
        <v>203</v>
      </c>
      <c r="S315" s="1">
        <f t="shared" si="367"/>
        <v>0</v>
      </c>
      <c r="T315" s="33">
        <f t="shared" si="368"/>
        <v>0</v>
      </c>
      <c r="V315" s="8">
        <f t="shared" si="357"/>
        <v>4590</v>
      </c>
      <c r="W315" s="69"/>
      <c r="AV315" s="1"/>
      <c r="AX315"/>
    </row>
    <row r="316" spans="1:50" x14ac:dyDescent="0.25">
      <c r="A316">
        <v>30023</v>
      </c>
      <c r="B316" s="17" t="s">
        <v>30</v>
      </c>
      <c r="C316" s="45">
        <v>45583</v>
      </c>
      <c r="D316" s="46" t="s">
        <v>38</v>
      </c>
      <c r="E316" s="46" t="s">
        <v>42</v>
      </c>
      <c r="F316" s="63">
        <f t="shared" ref="F316" si="394">IF(D316="in",1,-1)</f>
        <v>-1</v>
      </c>
      <c r="G316" s="49">
        <v>2024140</v>
      </c>
      <c r="H316" s="34" t="s">
        <v>162</v>
      </c>
      <c r="I316" s="28">
        <v>1530</v>
      </c>
      <c r="J316" t="s">
        <v>2</v>
      </c>
      <c r="K316" s="47">
        <v>3000</v>
      </c>
      <c r="L316" s="3" t="str">
        <f t="shared" ref="L316" si="395">IF(J316="mm","m","pi")</f>
        <v>m</v>
      </c>
      <c r="M316" s="33">
        <f t="shared" ref="M316" si="396">IF(J316="mm",F316*I316/1000*K316*1.55,F316*I316*12*K316/1000)</f>
        <v>-7114.5</v>
      </c>
      <c r="N316" s="2">
        <f>_xlfn.XLOOKUP(A316,'[1]Prix MP'!$A:$A,'[1]Prix MP'!$T:$T)</f>
        <v>0.29511487172670009</v>
      </c>
      <c r="O316" s="18">
        <f>_xlfn.XLOOKUP(A316,'[1]Prix MP'!$A:$A,'[1]Prix MP'!$U:$U)</f>
        <v>0.29511487172670009</v>
      </c>
      <c r="P316" s="11">
        <f t="shared" ref="P316" si="397">M316*N316</f>
        <v>-2099.5947548996078</v>
      </c>
      <c r="Q316" s="7">
        <f t="shared" ref="Q316" si="398">M316*O316</f>
        <v>-2099.5947548996078</v>
      </c>
      <c r="R316" t="s">
        <v>203</v>
      </c>
      <c r="S316" s="1">
        <f t="shared" si="367"/>
        <v>0</v>
      </c>
      <c r="T316" s="33">
        <f t="shared" si="368"/>
        <v>0</v>
      </c>
      <c r="V316" s="8">
        <f t="shared" si="357"/>
        <v>4590</v>
      </c>
      <c r="W316" s="69"/>
      <c r="AV316" s="1"/>
      <c r="AX316"/>
    </row>
    <row r="317" spans="1:50" x14ac:dyDescent="0.25">
      <c r="A317">
        <v>30023</v>
      </c>
      <c r="B317" s="17" t="s">
        <v>30</v>
      </c>
      <c r="C317" s="45">
        <v>45583</v>
      </c>
      <c r="D317" s="46" t="s">
        <v>37</v>
      </c>
      <c r="E317" s="46" t="s">
        <v>41</v>
      </c>
      <c r="F317" s="63">
        <f t="shared" ref="F317" si="399">IF(D317="in",1,-1)</f>
        <v>1</v>
      </c>
      <c r="G317" s="49">
        <v>2024140</v>
      </c>
      <c r="H317" s="34" t="s">
        <v>333</v>
      </c>
      <c r="I317" s="28">
        <v>8.5</v>
      </c>
      <c r="J317" t="s">
        <v>36</v>
      </c>
      <c r="K317" s="47">
        <v>9750</v>
      </c>
      <c r="L317" s="3" t="str">
        <f t="shared" ref="L317" si="400">IF(J317="mm","m","pi")</f>
        <v>pi</v>
      </c>
      <c r="M317" s="33">
        <f t="shared" ref="M317" si="401">IF(J317="mm",F317*I317/1000*K317*1.55,F317*I317*12*K317/1000)</f>
        <v>994.5</v>
      </c>
      <c r="N317" s="2">
        <f>_xlfn.XLOOKUP(A317,'[1]Prix MP'!$A:$A,'[1]Prix MP'!$T:$T)</f>
        <v>0.29511487172670009</v>
      </c>
      <c r="O317" s="18">
        <f>_xlfn.XLOOKUP(A317,'[1]Prix MP'!$A:$A,'[1]Prix MP'!$U:$U)</f>
        <v>0.29511487172670009</v>
      </c>
      <c r="P317" s="11">
        <f t="shared" ref="P317" si="402">M317*N317</f>
        <v>293.49173993220325</v>
      </c>
      <c r="Q317" s="7">
        <f t="shared" ref="Q317" si="403">M317*O317</f>
        <v>293.49173993220325</v>
      </c>
      <c r="R317" t="s">
        <v>203</v>
      </c>
      <c r="S317" s="1">
        <f t="shared" si="367"/>
        <v>8.5</v>
      </c>
      <c r="T317" s="33">
        <f t="shared" si="368"/>
        <v>9750</v>
      </c>
      <c r="V317" s="8" t="str">
        <f t="shared" si="357"/>
        <v/>
      </c>
      <c r="W317" s="69"/>
      <c r="AV317" s="1"/>
      <c r="AX317"/>
    </row>
    <row r="318" spans="1:50" x14ac:dyDescent="0.25">
      <c r="A318">
        <v>30023</v>
      </c>
      <c r="B318" s="17" t="s">
        <v>30</v>
      </c>
      <c r="C318" s="45">
        <v>45565</v>
      </c>
      <c r="D318" s="46" t="s">
        <v>37</v>
      </c>
      <c r="E318" s="46" t="s">
        <v>42</v>
      </c>
      <c r="F318" s="63">
        <f t="shared" si="369"/>
        <v>1</v>
      </c>
      <c r="G318" s="49">
        <v>2024140</v>
      </c>
      <c r="H318" s="34" t="s">
        <v>163</v>
      </c>
      <c r="I318" s="28">
        <v>1530</v>
      </c>
      <c r="J318" t="s">
        <v>2</v>
      </c>
      <c r="K318" s="47">
        <v>3000</v>
      </c>
      <c r="L318" s="3" t="str">
        <f t="shared" si="370"/>
        <v>m</v>
      </c>
      <c r="M318" s="33">
        <f t="shared" si="321"/>
        <v>7114.5</v>
      </c>
      <c r="N318" s="2">
        <f>_xlfn.XLOOKUP(A318,'[1]Prix MP'!$A:$A,'[1]Prix MP'!$T:$T)</f>
        <v>0.29511487172670009</v>
      </c>
      <c r="O318" s="18">
        <f>_xlfn.XLOOKUP(A318,'[1]Prix MP'!$A:$A,'[1]Prix MP'!$U:$U)</f>
        <v>0.29511487172670009</v>
      </c>
      <c r="P318" s="11">
        <f t="shared" si="360"/>
        <v>2099.5947548996078</v>
      </c>
      <c r="Q318" s="7">
        <f t="shared" si="361"/>
        <v>2099.5947548996078</v>
      </c>
      <c r="R318" t="s">
        <v>203</v>
      </c>
      <c r="S318" s="1">
        <f t="shared" si="367"/>
        <v>0</v>
      </c>
      <c r="T318" s="33">
        <f t="shared" si="368"/>
        <v>0</v>
      </c>
      <c r="V318" s="8">
        <f t="shared" si="357"/>
        <v>4590</v>
      </c>
      <c r="W318" s="69"/>
      <c r="AV318" s="1"/>
      <c r="AX318"/>
    </row>
    <row r="319" spans="1:50" x14ac:dyDescent="0.25">
      <c r="A319">
        <v>30023</v>
      </c>
      <c r="B319" s="17" t="s">
        <v>30</v>
      </c>
      <c r="C319" s="45">
        <v>45583</v>
      </c>
      <c r="D319" s="46" t="s">
        <v>38</v>
      </c>
      <c r="E319" s="46" t="s">
        <v>42</v>
      </c>
      <c r="F319" s="63">
        <f t="shared" ref="F319" si="404">IF(D319="in",1,-1)</f>
        <v>-1</v>
      </c>
      <c r="G319" s="49">
        <v>2024140</v>
      </c>
      <c r="H319" s="34" t="s">
        <v>163</v>
      </c>
      <c r="I319" s="28">
        <v>1530</v>
      </c>
      <c r="J319" t="s">
        <v>2</v>
      </c>
      <c r="K319" s="47">
        <v>3000</v>
      </c>
      <c r="L319" s="3" t="str">
        <f t="shared" ref="L319" si="405">IF(J319="mm","m","pi")</f>
        <v>m</v>
      </c>
      <c r="M319" s="33">
        <f t="shared" ref="M319" si="406">IF(J319="mm",F319*I319/1000*K319*1.55,F319*I319*12*K319/1000)</f>
        <v>-7114.5</v>
      </c>
      <c r="N319" s="2">
        <f>_xlfn.XLOOKUP(A319,'[1]Prix MP'!$A:$A,'[1]Prix MP'!$T:$T)</f>
        <v>0.29511487172670009</v>
      </c>
      <c r="O319" s="18">
        <f>_xlfn.XLOOKUP(A319,'[1]Prix MP'!$A:$A,'[1]Prix MP'!$U:$U)</f>
        <v>0.29511487172670009</v>
      </c>
      <c r="P319" s="11">
        <f t="shared" ref="P319" si="407">M319*N319</f>
        <v>-2099.5947548996078</v>
      </c>
      <c r="Q319" s="7">
        <f t="shared" ref="Q319" si="408">M319*O319</f>
        <v>-2099.5947548996078</v>
      </c>
      <c r="R319" t="s">
        <v>203</v>
      </c>
      <c r="S319" s="1">
        <f t="shared" si="367"/>
        <v>0</v>
      </c>
      <c r="T319" s="33">
        <f t="shared" si="368"/>
        <v>0</v>
      </c>
      <c r="V319" s="8">
        <f t="shared" si="357"/>
        <v>4590</v>
      </c>
      <c r="W319" s="69"/>
      <c r="AV319" s="1"/>
      <c r="AX319"/>
    </row>
    <row r="320" spans="1:50" x14ac:dyDescent="0.25">
      <c r="A320">
        <v>30023</v>
      </c>
      <c r="B320" s="17" t="s">
        <v>30</v>
      </c>
      <c r="C320" s="45">
        <v>45583</v>
      </c>
      <c r="D320" s="46" t="s">
        <v>37</v>
      </c>
      <c r="E320" s="46" t="s">
        <v>41</v>
      </c>
      <c r="F320" s="63">
        <f t="shared" ref="F320" si="409">IF(D320="in",1,-1)</f>
        <v>1</v>
      </c>
      <c r="G320" s="49">
        <v>2024140</v>
      </c>
      <c r="H320" s="34" t="s">
        <v>334</v>
      </c>
      <c r="I320" s="28">
        <v>8.5</v>
      </c>
      <c r="J320" t="s">
        <v>36</v>
      </c>
      <c r="K320" s="47">
        <v>9700</v>
      </c>
      <c r="L320" s="3" t="str">
        <f t="shared" ref="L320" si="410">IF(J320="mm","m","pi")</f>
        <v>pi</v>
      </c>
      <c r="M320" s="33">
        <f t="shared" ref="M320" si="411">IF(J320="mm",F320*I320/1000*K320*1.55,F320*I320*12*K320/1000)</f>
        <v>989.4</v>
      </c>
      <c r="N320" s="2">
        <f>_xlfn.XLOOKUP(A320,'[1]Prix MP'!$A:$A,'[1]Prix MP'!$T:$T)</f>
        <v>0.29511487172670009</v>
      </c>
      <c r="O320" s="18">
        <f>_xlfn.XLOOKUP(A320,'[1]Prix MP'!$A:$A,'[1]Prix MP'!$U:$U)</f>
        <v>0.29511487172670009</v>
      </c>
      <c r="P320" s="11">
        <f t="shared" ref="P320" si="412">M320*N320</f>
        <v>291.98665408639704</v>
      </c>
      <c r="Q320" s="7">
        <f t="shared" ref="Q320" si="413">M320*O320</f>
        <v>291.98665408639704</v>
      </c>
      <c r="R320" t="s">
        <v>203</v>
      </c>
      <c r="S320" s="1">
        <f t="shared" si="367"/>
        <v>8.5</v>
      </c>
      <c r="T320" s="33">
        <f t="shared" si="368"/>
        <v>9700</v>
      </c>
      <c r="V320" s="8" t="str">
        <f t="shared" si="357"/>
        <v/>
      </c>
      <c r="W320" s="69"/>
      <c r="AV320" s="1"/>
      <c r="AX320"/>
    </row>
    <row r="321" spans="1:50" x14ac:dyDescent="0.25">
      <c r="A321">
        <v>30023</v>
      </c>
      <c r="B321" s="17" t="s">
        <v>30</v>
      </c>
      <c r="C321" s="45">
        <v>45565</v>
      </c>
      <c r="D321" s="46" t="s">
        <v>37</v>
      </c>
      <c r="E321" s="46" t="s">
        <v>42</v>
      </c>
      <c r="F321" s="63">
        <f t="shared" si="369"/>
        <v>1</v>
      </c>
      <c r="G321" s="49">
        <v>2024120</v>
      </c>
      <c r="H321" s="34" t="s">
        <v>164</v>
      </c>
      <c r="I321" s="28">
        <v>1530</v>
      </c>
      <c r="J321" t="s">
        <v>2</v>
      </c>
      <c r="K321" s="47">
        <v>3000</v>
      </c>
      <c r="L321" s="3" t="str">
        <f t="shared" si="370"/>
        <v>m</v>
      </c>
      <c r="M321" s="33">
        <f t="shared" si="321"/>
        <v>7114.5</v>
      </c>
      <c r="N321" s="2">
        <f>_xlfn.XLOOKUP(A321,'[1]Prix MP'!$A:$A,'[1]Prix MP'!$T:$T)</f>
        <v>0.29511487172670009</v>
      </c>
      <c r="O321" s="18">
        <f>_xlfn.XLOOKUP(A321,'[1]Prix MP'!$A:$A,'[1]Prix MP'!$U:$U)</f>
        <v>0.29511487172670009</v>
      </c>
      <c r="P321" s="11">
        <f t="shared" si="360"/>
        <v>2099.5947548996078</v>
      </c>
      <c r="Q321" s="7">
        <f t="shared" si="361"/>
        <v>2099.5947548996078</v>
      </c>
      <c r="R321" t="s">
        <v>203</v>
      </c>
      <c r="S321" s="1">
        <f t="shared" si="367"/>
        <v>0</v>
      </c>
      <c r="T321" s="33">
        <f t="shared" si="368"/>
        <v>0</v>
      </c>
      <c r="V321" s="8">
        <f t="shared" si="357"/>
        <v>4590</v>
      </c>
      <c r="W321" s="69"/>
      <c r="AV321" s="1"/>
      <c r="AX321"/>
    </row>
    <row r="322" spans="1:50" x14ac:dyDescent="0.25">
      <c r="A322">
        <v>30023</v>
      </c>
      <c r="B322" s="17" t="s">
        <v>30</v>
      </c>
      <c r="C322" s="45">
        <v>45569</v>
      </c>
      <c r="D322" s="46" t="s">
        <v>38</v>
      </c>
      <c r="E322" s="46" t="s">
        <v>42</v>
      </c>
      <c r="F322" s="63">
        <f t="shared" si="369"/>
        <v>-1</v>
      </c>
      <c r="G322" s="49">
        <v>2024120</v>
      </c>
      <c r="H322" s="34" t="s">
        <v>164</v>
      </c>
      <c r="I322" s="28">
        <v>1530</v>
      </c>
      <c r="J322" t="s">
        <v>2</v>
      </c>
      <c r="K322" s="47">
        <v>3000</v>
      </c>
      <c r="L322" s="3" t="str">
        <f t="shared" si="370"/>
        <v>m</v>
      </c>
      <c r="M322" s="33">
        <f t="shared" si="321"/>
        <v>-7114.5</v>
      </c>
      <c r="N322" s="2">
        <f>_xlfn.XLOOKUP(A322,'[1]Prix MP'!$A:$A,'[1]Prix MP'!$T:$T)</f>
        <v>0.29511487172670009</v>
      </c>
      <c r="O322" s="18">
        <f>_xlfn.XLOOKUP(A322,'[1]Prix MP'!$A:$A,'[1]Prix MP'!$U:$U)</f>
        <v>0.29511487172670009</v>
      </c>
      <c r="P322" s="11">
        <f t="shared" si="360"/>
        <v>-2099.5947548996078</v>
      </c>
      <c r="Q322" s="7">
        <f t="shared" si="361"/>
        <v>-2099.5947548996078</v>
      </c>
      <c r="R322" t="s">
        <v>203</v>
      </c>
      <c r="S322" s="1">
        <f t="shared" si="367"/>
        <v>0</v>
      </c>
      <c r="T322" s="33">
        <f t="shared" si="368"/>
        <v>0</v>
      </c>
      <c r="V322" s="8">
        <f t="shared" si="357"/>
        <v>4590</v>
      </c>
      <c r="W322" s="69"/>
      <c r="AV322" s="1"/>
      <c r="AX322"/>
    </row>
    <row r="323" spans="1:50" x14ac:dyDescent="0.25">
      <c r="A323">
        <v>30023</v>
      </c>
      <c r="B323" s="17" t="s">
        <v>30</v>
      </c>
      <c r="C323" s="45">
        <v>45569</v>
      </c>
      <c r="D323" s="46" t="s">
        <v>37</v>
      </c>
      <c r="E323" s="46" t="s">
        <v>41</v>
      </c>
      <c r="F323" s="63">
        <f t="shared" si="369"/>
        <v>1</v>
      </c>
      <c r="G323" s="49">
        <v>2024120</v>
      </c>
      <c r="H323" s="34" t="s">
        <v>212</v>
      </c>
      <c r="I323" s="28">
        <v>15.5</v>
      </c>
      <c r="J323" t="s">
        <v>36</v>
      </c>
      <c r="K323" s="47">
        <v>2400</v>
      </c>
      <c r="L323" s="3" t="str">
        <f t="shared" si="370"/>
        <v>pi</v>
      </c>
      <c r="M323" s="33">
        <f t="shared" si="321"/>
        <v>446.4</v>
      </c>
      <c r="N323" s="2">
        <f>_xlfn.XLOOKUP(A323,'[1]Prix MP'!$A:$A,'[1]Prix MP'!$T:$T)</f>
        <v>0.29511487172670009</v>
      </c>
      <c r="O323" s="18">
        <f>_xlfn.XLOOKUP(A323,'[1]Prix MP'!$A:$A,'[1]Prix MP'!$U:$U)</f>
        <v>0.29511487172670009</v>
      </c>
      <c r="P323" s="11">
        <f t="shared" si="360"/>
        <v>131.7392787387989</v>
      </c>
      <c r="Q323" s="7">
        <f t="shared" si="361"/>
        <v>131.7392787387989</v>
      </c>
      <c r="R323" t="s">
        <v>203</v>
      </c>
      <c r="S323" s="1">
        <f t="shared" si="367"/>
        <v>15.5</v>
      </c>
      <c r="T323" s="33">
        <f t="shared" si="368"/>
        <v>2400</v>
      </c>
      <c r="V323" s="8" t="str">
        <f t="shared" si="357"/>
        <v/>
      </c>
      <c r="W323" s="69"/>
      <c r="AV323" s="1"/>
      <c r="AX323"/>
    </row>
    <row r="324" spans="1:50" x14ac:dyDescent="0.25">
      <c r="A324">
        <v>30023</v>
      </c>
      <c r="B324" s="17" t="s">
        <v>30</v>
      </c>
      <c r="C324" s="45">
        <v>45569</v>
      </c>
      <c r="D324" s="46" t="s">
        <v>37</v>
      </c>
      <c r="E324" s="46" t="s">
        <v>42</v>
      </c>
      <c r="F324" s="63">
        <f t="shared" si="369"/>
        <v>1</v>
      </c>
      <c r="G324" s="49" t="s">
        <v>360</v>
      </c>
      <c r="H324" s="34" t="s">
        <v>177</v>
      </c>
      <c r="I324" s="28">
        <v>60.24</v>
      </c>
      <c r="J324" t="s">
        <v>36</v>
      </c>
      <c r="K324" s="47">
        <v>7243</v>
      </c>
      <c r="L324" s="3" t="str">
        <f t="shared" si="370"/>
        <v>pi</v>
      </c>
      <c r="M324" s="33">
        <f t="shared" si="321"/>
        <v>5235.8198400000001</v>
      </c>
      <c r="N324" s="2">
        <f>_xlfn.XLOOKUP(A324,'[1]Prix MP'!$A:$A,'[1]Prix MP'!$T:$T)</f>
        <v>0.29511487172670009</v>
      </c>
      <c r="O324" s="2">
        <f>_xlfn.XLOOKUP(A324,'[1]Prix MP'!$A:$A,'[1]Prix MP'!$U:$U)</f>
        <v>0.29511487172670009</v>
      </c>
      <c r="P324" s="1">
        <f t="shared" si="360"/>
        <v>1545.1683004657114</v>
      </c>
      <c r="Q324" s="7">
        <f t="shared" ref="Q324:Q334" si="414">M324*O324</f>
        <v>1545.1683004657114</v>
      </c>
      <c r="R324" t="s">
        <v>203</v>
      </c>
      <c r="S324" s="1">
        <f t="shared" si="367"/>
        <v>0</v>
      </c>
      <c r="T324" s="33">
        <f t="shared" si="368"/>
        <v>0</v>
      </c>
      <c r="V324" s="8" t="str">
        <f t="shared" si="357"/>
        <v/>
      </c>
      <c r="W324" s="69"/>
      <c r="AV324" s="1"/>
      <c r="AX324"/>
    </row>
    <row r="325" spans="1:50" x14ac:dyDescent="0.25">
      <c r="A325">
        <v>30023</v>
      </c>
      <c r="B325" s="17" t="s">
        <v>30</v>
      </c>
      <c r="C325" s="45">
        <v>45589</v>
      </c>
      <c r="D325" s="46" t="s">
        <v>38</v>
      </c>
      <c r="E325" s="46" t="s">
        <v>42</v>
      </c>
      <c r="F325" s="63">
        <f>IF(D325="in",1,-1)</f>
        <v>-1</v>
      </c>
      <c r="G325" s="49" t="s">
        <v>360</v>
      </c>
      <c r="H325" s="34" t="s">
        <v>177</v>
      </c>
      <c r="I325" s="28">
        <v>60.24</v>
      </c>
      <c r="J325" t="s">
        <v>36</v>
      </c>
      <c r="K325" s="47">
        <v>7243</v>
      </c>
      <c r="L325" s="3" t="str">
        <f>IF(J325="mm","m","pi")</f>
        <v>pi</v>
      </c>
      <c r="M325" s="33">
        <f t="shared" ref="M325:M342" si="415">IF(J325="mm",F325*I325/1000*K325*1.55,F325*I325*12*K325/1000)</f>
        <v>-5235.8198400000001</v>
      </c>
      <c r="N325" s="2">
        <f>_xlfn.XLOOKUP(A325,'[1]Prix MP'!$A:$A,'[1]Prix MP'!$T:$T)</f>
        <v>0.29511487172670009</v>
      </c>
      <c r="O325" s="2">
        <f>_xlfn.XLOOKUP(A325,'[1]Prix MP'!$A:$A,'[1]Prix MP'!$U:$U)</f>
        <v>0.29511487172670009</v>
      </c>
      <c r="P325" s="1">
        <f t="shared" ref="P325:P342" si="416">M325*N325</f>
        <v>-1545.1683004657114</v>
      </c>
      <c r="Q325" s="7">
        <f t="shared" si="414"/>
        <v>-1545.1683004657114</v>
      </c>
      <c r="R325" t="s">
        <v>203</v>
      </c>
      <c r="S325" s="1">
        <f>ROUND(IF(E325="I",0,IF(J325="po",I325,I325/25.4)),2)</f>
        <v>0</v>
      </c>
      <c r="T325" s="33">
        <f>ROUND(IF(E325="I",0,IF(J325="po",K325,K325*3.280839895)),0)</f>
        <v>0</v>
      </c>
      <c r="V325" s="8" t="str">
        <f t="shared" si="357"/>
        <v/>
      </c>
      <c r="W325" s="69"/>
      <c r="AV325" s="1"/>
      <c r="AX325"/>
    </row>
    <row r="326" spans="1:50" x14ac:dyDescent="0.25">
      <c r="A326">
        <v>30023</v>
      </c>
      <c r="B326" s="17" t="s">
        <v>30</v>
      </c>
      <c r="C326" s="45">
        <v>45589</v>
      </c>
      <c r="D326" s="46" t="s">
        <v>37</v>
      </c>
      <c r="E326" s="46" t="s">
        <v>41</v>
      </c>
      <c r="F326" s="63">
        <f>IF(D326="in",1,-1)</f>
        <v>1</v>
      </c>
      <c r="G326" s="49" t="s">
        <v>360</v>
      </c>
      <c r="H326" s="34" t="s">
        <v>358</v>
      </c>
      <c r="I326" s="28">
        <v>29.5</v>
      </c>
      <c r="J326" t="s">
        <v>36</v>
      </c>
      <c r="K326" s="47">
        <v>4800</v>
      </c>
      <c r="L326" s="3" t="str">
        <f>IF(J326="mm","m","pi")</f>
        <v>pi</v>
      </c>
      <c r="M326" s="33">
        <f t="shared" si="415"/>
        <v>1699.2</v>
      </c>
      <c r="N326" s="2">
        <f>_xlfn.XLOOKUP(A326,'[1]Prix MP'!$A:$A,'[1]Prix MP'!$T:$T)</f>
        <v>0.29511487172670009</v>
      </c>
      <c r="O326" s="2">
        <f>_xlfn.XLOOKUP(A326,'[1]Prix MP'!$A:$A,'[1]Prix MP'!$U:$U)</f>
        <v>0.29511487172670009</v>
      </c>
      <c r="P326" s="1">
        <f t="shared" si="416"/>
        <v>501.45919003800878</v>
      </c>
      <c r="Q326" s="7">
        <f t="shared" si="414"/>
        <v>501.45919003800878</v>
      </c>
      <c r="R326" t="s">
        <v>203</v>
      </c>
      <c r="S326" s="1">
        <f>ROUND(IF(E326="I",0,IF(J326="po",I326,I326/25.4)),2)</f>
        <v>29.5</v>
      </c>
      <c r="T326" s="33">
        <f>ROUND(IF(E326="I",0,IF(J326="po",K326,K326*3.280839895)),0)</f>
        <v>4800</v>
      </c>
      <c r="V326" s="8" t="str">
        <f t="shared" si="357"/>
        <v/>
      </c>
      <c r="W326" s="69"/>
      <c r="AV326" s="1"/>
      <c r="AX326"/>
    </row>
    <row r="327" spans="1:50" x14ac:dyDescent="0.25">
      <c r="A327">
        <v>30023</v>
      </c>
      <c r="B327" s="17" t="s">
        <v>30</v>
      </c>
      <c r="C327" s="45">
        <v>45589</v>
      </c>
      <c r="D327" s="46" t="s">
        <v>37</v>
      </c>
      <c r="E327" s="46" t="s">
        <v>42</v>
      </c>
      <c r="F327" s="63">
        <f>IF(D327="in",1,-1)</f>
        <v>1</v>
      </c>
      <c r="G327" s="49" t="s">
        <v>360</v>
      </c>
      <c r="H327" s="34" t="s">
        <v>359</v>
      </c>
      <c r="I327" s="28">
        <v>60.24</v>
      </c>
      <c r="J327" t="s">
        <v>36</v>
      </c>
      <c r="K327" s="47">
        <v>2430</v>
      </c>
      <c r="L327" s="3" t="str">
        <f>IF(J327="mm","m","pi")</f>
        <v>pi</v>
      </c>
      <c r="M327" s="33">
        <f t="shared" si="415"/>
        <v>1756.5983999999999</v>
      </c>
      <c r="N327" s="2">
        <f>_xlfn.XLOOKUP(A327,'[1]Prix MP'!$A:$A,'[1]Prix MP'!$T:$T)</f>
        <v>0.29511487172670009</v>
      </c>
      <c r="O327" s="2">
        <f>_xlfn.XLOOKUP(A327,'[1]Prix MP'!$A:$A,'[1]Prix MP'!$U:$U)</f>
        <v>0.29511487172670009</v>
      </c>
      <c r="P327" s="1">
        <f t="shared" si="416"/>
        <v>518.39831149132658</v>
      </c>
      <c r="Q327" s="7">
        <f t="shared" si="414"/>
        <v>518.39831149132658</v>
      </c>
      <c r="R327" t="s">
        <v>203</v>
      </c>
      <c r="S327" s="1">
        <f>ROUND(IF(E327="I",0,IF(J327="po",I327,I327/25.4)),2)</f>
        <v>0</v>
      </c>
      <c r="T327" s="33">
        <f>ROUND(IF(E327="I",0,IF(J327="po",K327,K327*3.280839895)),0)</f>
        <v>0</v>
      </c>
      <c r="V327" s="8" t="str">
        <f t="shared" si="357"/>
        <v/>
      </c>
      <c r="W327" s="69"/>
      <c r="AV327" s="1"/>
      <c r="AX327"/>
    </row>
    <row r="328" spans="1:50" x14ac:dyDescent="0.25">
      <c r="A328">
        <v>30023</v>
      </c>
      <c r="B328" s="17" t="s">
        <v>30</v>
      </c>
      <c r="C328" s="45">
        <v>45590</v>
      </c>
      <c r="D328" s="46" t="s">
        <v>38</v>
      </c>
      <c r="E328" s="46" t="s">
        <v>42</v>
      </c>
      <c r="F328" s="63">
        <f>IF(D328="in",1,-1)</f>
        <v>-1</v>
      </c>
      <c r="G328" s="49" t="s">
        <v>360</v>
      </c>
      <c r="H328" s="34" t="s">
        <v>359</v>
      </c>
      <c r="I328" s="28">
        <v>60.24</v>
      </c>
      <c r="J328" t="s">
        <v>36</v>
      </c>
      <c r="K328" s="47">
        <v>2430</v>
      </c>
      <c r="L328" s="3" t="str">
        <f>IF(J328="mm","m","pi")</f>
        <v>pi</v>
      </c>
      <c r="M328" s="33">
        <f t="shared" si="415"/>
        <v>-1756.5983999999999</v>
      </c>
      <c r="N328" s="2">
        <f>_xlfn.XLOOKUP(A328,'[1]Prix MP'!$A:$A,'[1]Prix MP'!$T:$T)</f>
        <v>0.29511487172670009</v>
      </c>
      <c r="O328" s="2">
        <f>_xlfn.XLOOKUP(A328,'[1]Prix MP'!$A:$A,'[1]Prix MP'!$U:$U)</f>
        <v>0.29511487172670009</v>
      </c>
      <c r="P328" s="1">
        <f t="shared" si="416"/>
        <v>-518.39831149132658</v>
      </c>
      <c r="Q328" s="7">
        <f t="shared" si="414"/>
        <v>-518.39831149132658</v>
      </c>
      <c r="R328" t="s">
        <v>203</v>
      </c>
      <c r="S328" s="1">
        <f>ROUND(IF(E328="I",0,IF(J328="po",I328,I328/25.4)),2)</f>
        <v>0</v>
      </c>
      <c r="T328" s="33">
        <f>ROUND(IF(E328="I",0,IF(J328="po",K328,K328*3.280839895)),0)</f>
        <v>0</v>
      </c>
      <c r="V328" s="8" t="str">
        <f t="shared" si="357"/>
        <v/>
      </c>
      <c r="W328" s="69"/>
      <c r="AV328" s="1"/>
      <c r="AX328"/>
    </row>
    <row r="329" spans="1:50" x14ac:dyDescent="0.25">
      <c r="A329">
        <v>30023</v>
      </c>
      <c r="B329" s="17" t="s">
        <v>30</v>
      </c>
      <c r="C329" s="45">
        <v>45589</v>
      </c>
      <c r="D329" s="46" t="s">
        <v>37</v>
      </c>
      <c r="E329" s="46" t="s">
        <v>42</v>
      </c>
      <c r="F329" s="63">
        <f>IF(D329="in",1,-1)</f>
        <v>1</v>
      </c>
      <c r="G329" s="49" t="s">
        <v>360</v>
      </c>
      <c r="H329" s="34" t="s">
        <v>361</v>
      </c>
      <c r="I329" s="28">
        <v>38.58</v>
      </c>
      <c r="J329" t="s">
        <v>36</v>
      </c>
      <c r="K329" s="47">
        <v>2400</v>
      </c>
      <c r="L329" s="3" t="str">
        <f>IF(J329="mm","m","pi")</f>
        <v>pi</v>
      </c>
      <c r="M329" s="33">
        <f t="shared" si="415"/>
        <v>1111.104</v>
      </c>
      <c r="N329" s="2">
        <f>_xlfn.XLOOKUP(A329,'[1]Prix MP'!$A:$A,'[1]Prix MP'!$T:$T)</f>
        <v>0.29511487172670009</v>
      </c>
      <c r="O329" s="2">
        <f>_xlfn.XLOOKUP(A329,'[1]Prix MP'!$A:$A,'[1]Prix MP'!$U:$U)</f>
        <v>0.29511487172670009</v>
      </c>
      <c r="P329" s="1">
        <f t="shared" si="416"/>
        <v>327.90331443502339</v>
      </c>
      <c r="Q329" s="7">
        <f t="shared" si="414"/>
        <v>327.90331443502339</v>
      </c>
      <c r="R329" t="s">
        <v>203</v>
      </c>
      <c r="S329" s="1">
        <f>ROUND(IF(E329="I",0,IF(J329="po",I329,I329/25.4)),2)</f>
        <v>0</v>
      </c>
      <c r="T329" s="33">
        <f>ROUND(IF(E329="I",0,IF(J329="po",K329,K329*3.280839895)),0)</f>
        <v>0</v>
      </c>
      <c r="V329" s="8" t="str">
        <f t="shared" si="357"/>
        <v/>
      </c>
      <c r="W329" s="69"/>
      <c r="AV329" s="1"/>
      <c r="AX329"/>
    </row>
    <row r="330" spans="1:50" x14ac:dyDescent="0.25">
      <c r="A330">
        <v>30023</v>
      </c>
      <c r="B330" s="17" t="s">
        <v>30</v>
      </c>
      <c r="C330" s="45">
        <v>45618</v>
      </c>
      <c r="D330" s="46" t="s">
        <v>176</v>
      </c>
      <c r="E330" s="46" t="s">
        <v>42</v>
      </c>
      <c r="F330" s="63">
        <v>-1</v>
      </c>
      <c r="G330" s="49" t="s">
        <v>468</v>
      </c>
      <c r="H330" s="34" t="s">
        <v>469</v>
      </c>
      <c r="I330" s="28">
        <v>38.58</v>
      </c>
      <c r="J330" t="s">
        <v>36</v>
      </c>
      <c r="K330" s="47">
        <v>2400</v>
      </c>
      <c r="L330" s="3" t="s">
        <v>372</v>
      </c>
      <c r="M330" s="33">
        <f t="shared" ref="M330:M331" si="417">IF(J330="mm",F330*I330/1000*K330*1.55,F330*I330*12*K330/1000)</f>
        <v>-1111.104</v>
      </c>
      <c r="N330" s="2">
        <f>_xlfn.XLOOKUP(A330,'[1]Prix MP'!$A:$A,'[1]Prix MP'!$T:$T)</f>
        <v>0.29511487172670009</v>
      </c>
      <c r="O330" s="2">
        <f>_xlfn.XLOOKUP(A330,'[1]Prix MP'!$A:$A,'[1]Prix MP'!$U:$U)</f>
        <v>0.29511487172670009</v>
      </c>
      <c r="P330" s="1">
        <f t="shared" ref="P330:P331" si="418">M330*N330</f>
        <v>-327.90331443502339</v>
      </c>
      <c r="Q330" s="7">
        <f t="shared" ref="Q330:Q331" si="419">M330*O330</f>
        <v>-327.90331443502339</v>
      </c>
      <c r="R330" t="s">
        <v>203</v>
      </c>
      <c r="S330" s="1">
        <f t="shared" ref="S330:S331" si="420">ROUND(IF(E330="I",0,IF(J330="po",I330,I330/25.4)),2)</f>
        <v>0</v>
      </c>
      <c r="T330" s="33">
        <f t="shared" ref="T330:T331" si="421">ROUND(IF(E330="I",0,IF(J330="po",K330,K330*3.280839895)),0)</f>
        <v>0</v>
      </c>
      <c r="V330" s="8"/>
      <c r="W330" s="69"/>
      <c r="AV330" s="1"/>
      <c r="AX330"/>
    </row>
    <row r="331" spans="1:50" x14ac:dyDescent="0.25">
      <c r="A331">
        <v>30023</v>
      </c>
      <c r="B331" s="17" t="s">
        <v>30</v>
      </c>
      <c r="C331" s="45">
        <v>45618</v>
      </c>
      <c r="D331" s="46" t="s">
        <v>373</v>
      </c>
      <c r="E331" s="46" t="s">
        <v>42</v>
      </c>
      <c r="F331" s="64">
        <v>1</v>
      </c>
      <c r="G331" s="49" t="s">
        <v>468</v>
      </c>
      <c r="H331" s="34" t="s">
        <v>517</v>
      </c>
      <c r="I331" s="28">
        <v>34</v>
      </c>
      <c r="J331" t="s">
        <v>36</v>
      </c>
      <c r="K331" s="47">
        <v>2350</v>
      </c>
      <c r="L331" s="3" t="s">
        <v>372</v>
      </c>
      <c r="M331" s="33">
        <f t="shared" si="417"/>
        <v>958.8</v>
      </c>
      <c r="N331" s="2">
        <f>_xlfn.XLOOKUP(A331,'[1]Prix MP'!$A:$A,'[1]Prix MP'!$T:$T)</f>
        <v>0.29511487172670009</v>
      </c>
      <c r="O331" s="2">
        <f>_xlfn.XLOOKUP(A331,'[1]Prix MP'!$A:$A,'[1]Prix MP'!$U:$U)</f>
        <v>0.29511487172670009</v>
      </c>
      <c r="P331" s="11">
        <f t="shared" si="418"/>
        <v>282.95613901156003</v>
      </c>
      <c r="Q331" s="7">
        <f t="shared" si="419"/>
        <v>282.95613901156003</v>
      </c>
      <c r="R331" t="s">
        <v>203</v>
      </c>
      <c r="S331" s="1">
        <f t="shared" si="420"/>
        <v>0</v>
      </c>
      <c r="T331" s="33">
        <f t="shared" si="421"/>
        <v>0</v>
      </c>
      <c r="V331" s="8"/>
    </row>
    <row r="332" spans="1:50" x14ac:dyDescent="0.25">
      <c r="A332">
        <v>30023</v>
      </c>
      <c r="B332" s="17" t="s">
        <v>30</v>
      </c>
      <c r="C332" s="45">
        <v>45629</v>
      </c>
      <c r="D332" s="46" t="s">
        <v>176</v>
      </c>
      <c r="E332" s="46" t="s">
        <v>42</v>
      </c>
      <c r="F332" s="64">
        <v>-1</v>
      </c>
      <c r="G332" s="49" t="s">
        <v>516</v>
      </c>
      <c r="H332" s="34" t="s">
        <v>517</v>
      </c>
      <c r="I332" s="28">
        <v>34</v>
      </c>
      <c r="J332" t="s">
        <v>36</v>
      </c>
      <c r="K332" s="47">
        <v>2350</v>
      </c>
      <c r="L332" s="3" t="s">
        <v>372</v>
      </c>
      <c r="M332" s="33">
        <f t="shared" ref="M332:M333" si="422">IF(J332="mm",F332*I332/1000*K332*1.55,F332*I332*12*K332/1000)</f>
        <v>-958.8</v>
      </c>
      <c r="N332" s="2">
        <f>_xlfn.XLOOKUP(A332,'[1]Prix MP'!$A:$A,'[1]Prix MP'!$T:$T)</f>
        <v>0.29511487172670009</v>
      </c>
      <c r="O332" s="2">
        <f>_xlfn.XLOOKUP(A332,'[1]Prix MP'!$A:$A,'[1]Prix MP'!$U:$U)</f>
        <v>0.29511487172670009</v>
      </c>
      <c r="P332" s="11">
        <f t="shared" ref="P332:P333" si="423">M332*N332</f>
        <v>-282.95613901156003</v>
      </c>
      <c r="Q332" s="7">
        <f t="shared" ref="Q332:Q333" si="424">M332*O332</f>
        <v>-282.95613901156003</v>
      </c>
      <c r="R332" t="s">
        <v>203</v>
      </c>
      <c r="S332" s="1">
        <f t="shared" ref="S332:S333" si="425">ROUND(IF(E332="I",0,IF(J332="po",I332,I332/25.4)),2)</f>
        <v>0</v>
      </c>
      <c r="T332" s="33">
        <f t="shared" ref="T332:T333" si="426">ROUND(IF(E332="I",0,IF(J332="po",K332,K332*3.280839895)),0)</f>
        <v>0</v>
      </c>
      <c r="V332" s="8"/>
    </row>
    <row r="333" spans="1:50" x14ac:dyDescent="0.25">
      <c r="A333">
        <v>30023</v>
      </c>
      <c r="B333" s="17" t="s">
        <v>30</v>
      </c>
      <c r="C333" s="45">
        <v>45629</v>
      </c>
      <c r="D333" s="46" t="s">
        <v>373</v>
      </c>
      <c r="E333" s="46" t="s">
        <v>41</v>
      </c>
      <c r="F333" s="64">
        <v>1</v>
      </c>
      <c r="G333" s="49" t="s">
        <v>516</v>
      </c>
      <c r="H333" s="34" t="s">
        <v>518</v>
      </c>
      <c r="I333" s="28">
        <v>23.75</v>
      </c>
      <c r="J333" t="s">
        <v>36</v>
      </c>
      <c r="K333" s="47">
        <v>2300</v>
      </c>
      <c r="L333" s="3" t="s">
        <v>372</v>
      </c>
      <c r="M333" s="33">
        <f t="shared" si="422"/>
        <v>655.5</v>
      </c>
      <c r="N333" s="2">
        <f>_xlfn.XLOOKUP(A333,'[1]Prix MP'!$A:$A,'[1]Prix MP'!$T:$T)</f>
        <v>0.29511487172670009</v>
      </c>
      <c r="O333" s="2">
        <f>_xlfn.XLOOKUP(A333,'[1]Prix MP'!$A:$A,'[1]Prix MP'!$U:$U)</f>
        <v>0.29511487172670009</v>
      </c>
      <c r="P333" s="11">
        <f t="shared" si="423"/>
        <v>193.4477984168519</v>
      </c>
      <c r="Q333" s="7">
        <f t="shared" si="424"/>
        <v>193.4477984168519</v>
      </c>
      <c r="R333" t="s">
        <v>203</v>
      </c>
      <c r="S333" s="1">
        <f t="shared" si="425"/>
        <v>23.75</v>
      </c>
      <c r="T333" s="33">
        <f t="shared" si="426"/>
        <v>2300</v>
      </c>
      <c r="V333" s="8"/>
    </row>
    <row r="334" spans="1:50" x14ac:dyDescent="0.25">
      <c r="A334" s="107">
        <v>30025</v>
      </c>
      <c r="B334" s="17" t="s">
        <v>276</v>
      </c>
      <c r="C334" s="45">
        <v>45580</v>
      </c>
      <c r="D334" s="46" t="s">
        <v>37</v>
      </c>
      <c r="E334" s="46" t="s">
        <v>42</v>
      </c>
      <c r="F334" s="64">
        <f t="shared" si="369"/>
        <v>1</v>
      </c>
      <c r="G334" s="49"/>
      <c r="H334" s="34" t="s">
        <v>287</v>
      </c>
      <c r="I334" s="28">
        <v>1530</v>
      </c>
      <c r="J334" t="s">
        <v>2</v>
      </c>
      <c r="K334" s="47">
        <v>3200</v>
      </c>
      <c r="L334" s="3" t="str">
        <f t="shared" ref="L334" si="427">IF(J334="mm","m","pi")</f>
        <v>m</v>
      </c>
      <c r="M334" s="33">
        <f t="shared" si="415"/>
        <v>7588.8</v>
      </c>
      <c r="N334" s="2">
        <f>_xlfn.XLOOKUP(A334,'[1]Prix MP'!$A:$A,'[1]Prix MP'!$T:$T)</f>
        <v>0.10141226920875877</v>
      </c>
      <c r="O334" s="2">
        <f>_xlfn.XLOOKUP(A334,'[1]Prix MP'!$A:$A,'[1]Prix MP'!$U:$U)</f>
        <v>0.36934253244035825</v>
      </c>
      <c r="P334" s="11">
        <f t="shared" si="416"/>
        <v>769.59742857142862</v>
      </c>
      <c r="Q334" s="7">
        <f t="shared" si="414"/>
        <v>2802.8666101833905</v>
      </c>
      <c r="R334" t="s">
        <v>206</v>
      </c>
      <c r="S334" s="1">
        <f t="shared" si="367"/>
        <v>0</v>
      </c>
      <c r="T334" s="33">
        <f t="shared" si="368"/>
        <v>0</v>
      </c>
      <c r="V334" s="8">
        <f t="shared" si="357"/>
        <v>4896</v>
      </c>
    </row>
    <row r="335" spans="1:50" x14ac:dyDescent="0.25">
      <c r="A335" s="107">
        <v>30025</v>
      </c>
      <c r="B335" s="17" t="s">
        <v>276</v>
      </c>
      <c r="C335" s="45">
        <v>45636</v>
      </c>
      <c r="D335" s="46" t="s">
        <v>176</v>
      </c>
      <c r="E335" s="46" t="s">
        <v>42</v>
      </c>
      <c r="F335" s="64">
        <v>-1</v>
      </c>
      <c r="G335" s="49" t="s">
        <v>559</v>
      </c>
      <c r="H335" s="34" t="s">
        <v>287</v>
      </c>
      <c r="I335" s="28">
        <v>60.235999999999997</v>
      </c>
      <c r="J335" t="s">
        <v>36</v>
      </c>
      <c r="K335" s="47">
        <v>10499</v>
      </c>
      <c r="L335" s="3" t="s">
        <v>372</v>
      </c>
      <c r="M335" s="33">
        <f>IF(J335="mm",F335*I335/1000*K335*1.55,F335*I335*12*K335/1000)</f>
        <v>-7589.0131679999995</v>
      </c>
      <c r="N335" s="2">
        <f>_xlfn.XLOOKUP(A335,'[1]Prix MP'!$A:$A,'[1]Prix MP'!$T:$T)</f>
        <v>0.10141226920875877</v>
      </c>
      <c r="O335" s="2">
        <f>_xlfn.XLOOKUP(A335,'[1]Prix MP'!$A:$A,'[1]Prix MP'!$U:$U)</f>
        <v>0.36934253244035825</v>
      </c>
      <c r="P335" s="11">
        <f>M335*N335</f>
        <v>-769.61904642203126</v>
      </c>
      <c r="Q335" s="7">
        <f t="shared" ref="Q335" si="428">M335*O335</f>
        <v>-2802.9453421923458</v>
      </c>
      <c r="R335" t="s">
        <v>206</v>
      </c>
      <c r="S335" s="1">
        <f>ROUND(IF(E335="I",0,IF(J335="po",I335,I335/25.4)),2)</f>
        <v>0</v>
      </c>
      <c r="T335" s="33">
        <f>ROUND(IF(E335="I",0,IF(J335="po",K335,K335*3.280839895)),0)</f>
        <v>0</v>
      </c>
      <c r="V335" s="8"/>
    </row>
    <row r="336" spans="1:50" x14ac:dyDescent="0.25">
      <c r="A336" s="107">
        <v>30025</v>
      </c>
      <c r="B336" s="17" t="s">
        <v>276</v>
      </c>
      <c r="C336" s="45">
        <v>45580</v>
      </c>
      <c r="D336" s="46" t="s">
        <v>37</v>
      </c>
      <c r="E336" s="46" t="s">
        <v>42</v>
      </c>
      <c r="F336" s="64">
        <f t="shared" ref="F336:F338" si="429">IF(D336="in",1,-1)</f>
        <v>1</v>
      </c>
      <c r="G336" s="49"/>
      <c r="H336" s="34" t="s">
        <v>288</v>
      </c>
      <c r="I336" s="28">
        <v>1530</v>
      </c>
      <c r="J336" t="s">
        <v>2</v>
      </c>
      <c r="K336" s="47">
        <v>3200</v>
      </c>
      <c r="L336" s="3" t="str">
        <f t="shared" ref="L336:L338" si="430">IF(J336="mm","m","pi")</f>
        <v>m</v>
      </c>
      <c r="M336" s="33">
        <f t="shared" si="415"/>
        <v>7588.8</v>
      </c>
      <c r="N336" s="2">
        <f>_xlfn.XLOOKUP(A336,'[1]Prix MP'!$A:$A,'[1]Prix MP'!$T:$T)</f>
        <v>0.10141226920875877</v>
      </c>
      <c r="O336" s="2">
        <f>_xlfn.XLOOKUP(A336,'[1]Prix MP'!$A:$A,'[1]Prix MP'!$U:$U)</f>
        <v>0.36934253244035825</v>
      </c>
      <c r="P336" s="11">
        <f t="shared" si="416"/>
        <v>769.59742857142862</v>
      </c>
      <c r="Q336" s="7">
        <f t="shared" ref="Q336:Q482" si="431">M336*O336</f>
        <v>2802.8666101833905</v>
      </c>
      <c r="R336" t="s">
        <v>206</v>
      </c>
      <c r="S336" s="1">
        <f t="shared" si="367"/>
        <v>0</v>
      </c>
      <c r="T336" s="33">
        <f t="shared" si="368"/>
        <v>0</v>
      </c>
      <c r="V336" s="8">
        <f t="shared" si="357"/>
        <v>4896</v>
      </c>
    </row>
    <row r="337" spans="1:22" x14ac:dyDescent="0.25">
      <c r="A337" s="107">
        <v>30025</v>
      </c>
      <c r="B337" s="17" t="s">
        <v>276</v>
      </c>
      <c r="C337" s="45">
        <v>45671</v>
      </c>
      <c r="D337" s="46" t="s">
        <v>176</v>
      </c>
      <c r="E337" s="46" t="s">
        <v>42</v>
      </c>
      <c r="F337" s="64">
        <v>-1</v>
      </c>
      <c r="G337" s="49" t="s">
        <v>634</v>
      </c>
      <c r="H337" s="34" t="s">
        <v>288</v>
      </c>
      <c r="I337" s="28">
        <v>1530</v>
      </c>
      <c r="J337" t="s">
        <v>2</v>
      </c>
      <c r="K337" s="47">
        <v>3200</v>
      </c>
      <c r="L337" s="3" t="str">
        <f t="shared" ref="L337" si="432">IF(J337="mm","m","pi")</f>
        <v>m</v>
      </c>
      <c r="M337" s="33">
        <f>IF(J337="mm",F337*I337/1000*K337*1.55,F337*I337*12*K337/1000)</f>
        <v>-7588.8</v>
      </c>
      <c r="N337" s="2">
        <f>_xlfn.XLOOKUP(A337,'[1]Prix MP'!$A:$A,'[1]Prix MP'!$T:$T)</f>
        <v>0.10141226920875877</v>
      </c>
      <c r="O337" s="2">
        <f>_xlfn.XLOOKUP(A337,'[1]Prix MP'!$A:$A,'[1]Prix MP'!$U:$U)</f>
        <v>0.36934253244035825</v>
      </c>
      <c r="P337" s="11">
        <f>M337*N337</f>
        <v>-769.59742857142862</v>
      </c>
      <c r="Q337" s="7">
        <f t="shared" ref="Q337" si="433">M337*O337</f>
        <v>-2802.8666101833905</v>
      </c>
      <c r="R337" t="s">
        <v>206</v>
      </c>
      <c r="S337" s="1">
        <f>ROUND(IF(E337="I",0,IF(J337="po",I337,I337/25.4)),2)</f>
        <v>0</v>
      </c>
      <c r="T337" s="33">
        <f>ROUND(IF(E337="I",0,IF(J337="po",K337,K337*3.280839895)),0)</f>
        <v>0</v>
      </c>
      <c r="V337" s="8">
        <f t="shared" si="357"/>
        <v>4896</v>
      </c>
    </row>
    <row r="338" spans="1:22" x14ac:dyDescent="0.25">
      <c r="A338" s="107">
        <v>30025</v>
      </c>
      <c r="B338" s="17" t="s">
        <v>276</v>
      </c>
      <c r="C338" s="45">
        <v>45580</v>
      </c>
      <c r="D338" s="46" t="s">
        <v>37</v>
      </c>
      <c r="E338" s="46" t="s">
        <v>42</v>
      </c>
      <c r="F338" s="64">
        <f t="shared" si="429"/>
        <v>1</v>
      </c>
      <c r="G338" s="49"/>
      <c r="H338" s="34" t="s">
        <v>289</v>
      </c>
      <c r="I338" s="28">
        <v>1530</v>
      </c>
      <c r="J338" t="s">
        <v>2</v>
      </c>
      <c r="K338" s="47">
        <v>3200</v>
      </c>
      <c r="L338" s="3" t="str">
        <f t="shared" si="430"/>
        <v>m</v>
      </c>
      <c r="M338" s="33">
        <f t="shared" si="415"/>
        <v>7588.8</v>
      </c>
      <c r="N338" s="2">
        <f>_xlfn.XLOOKUP(A338,'[1]Prix MP'!$A:$A,'[1]Prix MP'!$T:$T)</f>
        <v>0.10141226920875877</v>
      </c>
      <c r="O338" s="2">
        <f>_xlfn.XLOOKUP(A338,'[1]Prix MP'!$A:$A,'[1]Prix MP'!$U:$U)</f>
        <v>0.36934253244035825</v>
      </c>
      <c r="P338" s="11">
        <f t="shared" si="416"/>
        <v>769.59742857142862</v>
      </c>
      <c r="Q338" s="7">
        <f t="shared" si="431"/>
        <v>2802.8666101833905</v>
      </c>
      <c r="R338" t="s">
        <v>206</v>
      </c>
      <c r="S338" s="1">
        <f t="shared" si="367"/>
        <v>0</v>
      </c>
      <c r="T338" s="33">
        <f t="shared" si="368"/>
        <v>0</v>
      </c>
      <c r="V338" s="8">
        <f t="shared" si="357"/>
        <v>4896</v>
      </c>
    </row>
    <row r="339" spans="1:22" x14ac:dyDescent="0.25">
      <c r="A339" s="107">
        <v>30025</v>
      </c>
      <c r="B339" s="17" t="s">
        <v>276</v>
      </c>
      <c r="C339" s="45">
        <v>45631</v>
      </c>
      <c r="D339" s="46" t="s">
        <v>176</v>
      </c>
      <c r="E339" s="46" t="s">
        <v>42</v>
      </c>
      <c r="F339" s="64">
        <v>-1</v>
      </c>
      <c r="G339" s="49" t="s">
        <v>497</v>
      </c>
      <c r="H339" s="34" t="s">
        <v>289</v>
      </c>
      <c r="I339" s="28">
        <v>1530</v>
      </c>
      <c r="J339" t="s">
        <v>2</v>
      </c>
      <c r="K339" s="47">
        <v>3200</v>
      </c>
      <c r="L339" s="3" t="str">
        <f t="shared" ref="L339" si="434">IF(J339="mm","m","pi")</f>
        <v>m</v>
      </c>
      <c r="M339" s="33">
        <f t="shared" ref="M339" si="435">IF(J339="mm",F339*I339/1000*K339*1.55,F339*I339*12*K339/1000)</f>
        <v>-7588.8</v>
      </c>
      <c r="N339" s="2">
        <f>_xlfn.XLOOKUP(A339,'[1]Prix MP'!$A:$A,'[1]Prix MP'!$T:$T)</f>
        <v>0.10141226920875877</v>
      </c>
      <c r="O339" s="2">
        <f>_xlfn.XLOOKUP(A339,'[1]Prix MP'!$A:$A,'[1]Prix MP'!$U:$U)</f>
        <v>0.36934253244035825</v>
      </c>
      <c r="P339" s="11">
        <f t="shared" ref="P339" si="436">M339*N339</f>
        <v>-769.59742857142862</v>
      </c>
      <c r="Q339" s="7">
        <f t="shared" ref="Q339" si="437">M339*O339</f>
        <v>-2802.8666101833905</v>
      </c>
      <c r="R339" t="s">
        <v>206</v>
      </c>
      <c r="S339" s="1">
        <f t="shared" ref="S339" si="438">ROUND(IF(E339="I",0,IF(J339="po",I339,I339/25.4)),2)</f>
        <v>0</v>
      </c>
      <c r="T339" s="33">
        <f t="shared" ref="T339" si="439">ROUND(IF(E339="I",0,IF(J339="po",K339,K339*3.280839895)),0)</f>
        <v>0</v>
      </c>
      <c r="V339" s="8"/>
    </row>
    <row r="340" spans="1:22" x14ac:dyDescent="0.25">
      <c r="A340" s="107">
        <v>30025</v>
      </c>
      <c r="B340" s="17" t="s">
        <v>276</v>
      </c>
      <c r="C340" s="45">
        <v>45631</v>
      </c>
      <c r="D340" s="46" t="s">
        <v>373</v>
      </c>
      <c r="E340" s="46" t="s">
        <v>41</v>
      </c>
      <c r="F340" s="64">
        <v>1</v>
      </c>
      <c r="G340" s="49" t="s">
        <v>497</v>
      </c>
      <c r="H340" s="34" t="s">
        <v>499</v>
      </c>
      <c r="I340" s="28">
        <v>12.5</v>
      </c>
      <c r="J340" t="s">
        <v>36</v>
      </c>
      <c r="K340" s="47">
        <v>4800</v>
      </c>
      <c r="L340" s="3" t="s">
        <v>372</v>
      </c>
      <c r="M340" s="33">
        <f t="shared" ref="M340:M341" si="440">IF(J340="mm",F340*I340/1000*K340*1.55,F340*I340*12*K340/1000)</f>
        <v>720</v>
      </c>
      <c r="N340" s="2">
        <f>_xlfn.XLOOKUP(A340,'[1]Prix MP'!$A:$A,'[1]Prix MP'!$T:$T)</f>
        <v>0.10141226920875877</v>
      </c>
      <c r="O340" s="2">
        <f>_xlfn.XLOOKUP(A340,'[1]Prix MP'!$A:$A,'[1]Prix MP'!$U:$U)</f>
        <v>0.36934253244035825</v>
      </c>
      <c r="P340" s="11">
        <f t="shared" ref="P340:P341" si="441">M340*N340</f>
        <v>73.016833830306311</v>
      </c>
      <c r="Q340" s="7">
        <f t="shared" ref="Q340:Q341" si="442">M340*O340</f>
        <v>265.92662335705796</v>
      </c>
      <c r="R340" t="s">
        <v>206</v>
      </c>
      <c r="S340" s="1">
        <f t="shared" ref="S340:S341" si="443">ROUND(IF(E340="I",0,IF(J340="po",I340,I340/25.4)),2)</f>
        <v>12.5</v>
      </c>
      <c r="T340" s="33">
        <f t="shared" ref="T340:T341" si="444">ROUND(IF(E340="I",0,IF(J340="po",K340,K340*3.280839895)),0)</f>
        <v>4800</v>
      </c>
      <c r="V340" s="8"/>
    </row>
    <row r="341" spans="1:22" x14ac:dyDescent="0.25">
      <c r="A341" s="107">
        <v>30025</v>
      </c>
      <c r="B341" s="17" t="s">
        <v>276</v>
      </c>
      <c r="C341" s="45">
        <v>45631</v>
      </c>
      <c r="D341" s="46" t="s">
        <v>373</v>
      </c>
      <c r="E341" s="46" t="s">
        <v>41</v>
      </c>
      <c r="F341" s="64">
        <v>1</v>
      </c>
      <c r="G341" s="49" t="s">
        <v>497</v>
      </c>
      <c r="H341" s="34" t="s">
        <v>500</v>
      </c>
      <c r="I341" s="28">
        <v>12.5</v>
      </c>
      <c r="J341" t="s">
        <v>36</v>
      </c>
      <c r="K341" s="47">
        <v>5500</v>
      </c>
      <c r="L341" s="3" t="s">
        <v>372</v>
      </c>
      <c r="M341" s="33">
        <f t="shared" si="440"/>
        <v>825</v>
      </c>
      <c r="N341" s="2">
        <f>_xlfn.XLOOKUP(A341,'[1]Prix MP'!$A:$A,'[1]Prix MP'!$T:$T)</f>
        <v>0.10141226920875877</v>
      </c>
      <c r="O341" s="2">
        <f>_xlfn.XLOOKUP(A341,'[1]Prix MP'!$A:$A,'[1]Prix MP'!$U:$U)</f>
        <v>0.36934253244035825</v>
      </c>
      <c r="P341" s="11">
        <f t="shared" si="441"/>
        <v>83.665122097225989</v>
      </c>
      <c r="Q341" s="7">
        <f t="shared" si="442"/>
        <v>304.70758926329557</v>
      </c>
      <c r="R341" t="s">
        <v>206</v>
      </c>
      <c r="S341" s="1">
        <f t="shared" si="443"/>
        <v>12.5</v>
      </c>
      <c r="T341" s="33">
        <f t="shared" si="444"/>
        <v>5500</v>
      </c>
      <c r="V341" s="8"/>
    </row>
    <row r="342" spans="1:22" x14ac:dyDescent="0.25">
      <c r="A342" s="107">
        <v>30025</v>
      </c>
      <c r="B342" s="17" t="s">
        <v>276</v>
      </c>
      <c r="C342" s="45">
        <v>45580</v>
      </c>
      <c r="D342" s="46" t="s">
        <v>37</v>
      </c>
      <c r="E342" s="46" t="s">
        <v>42</v>
      </c>
      <c r="F342" s="64">
        <f t="shared" ref="F342:F348" si="445">IF(D342="in",1,-1)</f>
        <v>1</v>
      </c>
      <c r="G342" s="49"/>
      <c r="H342" s="34" t="s">
        <v>290</v>
      </c>
      <c r="I342" s="28">
        <v>1530</v>
      </c>
      <c r="J342" t="s">
        <v>2</v>
      </c>
      <c r="K342" s="47">
        <v>3200</v>
      </c>
      <c r="L342" s="3" t="str">
        <f t="shared" ref="L342:L348" si="446">IF(J342="mm","m","pi")</f>
        <v>m</v>
      </c>
      <c r="M342" s="33">
        <f t="shared" si="415"/>
        <v>7588.8</v>
      </c>
      <c r="N342" s="2">
        <f>_xlfn.XLOOKUP(A342,'[1]Prix MP'!$A:$A,'[1]Prix MP'!$T:$T)</f>
        <v>0.10141226920875877</v>
      </c>
      <c r="O342" s="2">
        <f>_xlfn.XLOOKUP(A342,'[1]Prix MP'!$A:$A,'[1]Prix MP'!$U:$U)</f>
        <v>0.36934253244035825</v>
      </c>
      <c r="P342" s="11">
        <f t="shared" si="416"/>
        <v>769.59742857142862</v>
      </c>
      <c r="Q342" s="7">
        <f t="shared" si="431"/>
        <v>2802.8666101833905</v>
      </c>
      <c r="R342" t="s">
        <v>206</v>
      </c>
      <c r="S342" s="1">
        <f t="shared" si="367"/>
        <v>0</v>
      </c>
      <c r="T342" s="33">
        <f t="shared" si="368"/>
        <v>0</v>
      </c>
      <c r="V342" s="8">
        <f t="shared" si="357"/>
        <v>4896</v>
      </c>
    </row>
    <row r="343" spans="1:22" x14ac:dyDescent="0.25">
      <c r="A343" s="107">
        <v>30025</v>
      </c>
      <c r="B343" s="17" t="s">
        <v>276</v>
      </c>
      <c r="C343" s="45">
        <v>45674</v>
      </c>
      <c r="D343" s="46" t="s">
        <v>176</v>
      </c>
      <c r="E343" s="46" t="s">
        <v>42</v>
      </c>
      <c r="F343" s="64">
        <v>-1</v>
      </c>
      <c r="G343" s="49" t="s">
        <v>676</v>
      </c>
      <c r="H343" s="34" t="s">
        <v>290</v>
      </c>
      <c r="I343" s="28">
        <v>1530</v>
      </c>
      <c r="J343" t="s">
        <v>2</v>
      </c>
      <c r="K343" s="47">
        <v>3200</v>
      </c>
      <c r="L343" s="3" t="str">
        <f t="shared" ref="L343" si="447">IF(J343="mm","m","pi")</f>
        <v>m</v>
      </c>
      <c r="M343" s="33">
        <f>IF(J343="mm",F343*I343/1000*K343*1.55,F343*I343*12*K343/1000)</f>
        <v>-7588.8</v>
      </c>
      <c r="N343" s="2">
        <f>_xlfn.XLOOKUP(A343,'[1]Prix MP'!$A:$A,'[1]Prix MP'!$T:$T)</f>
        <v>0.10141226920875877</v>
      </c>
      <c r="O343" s="2">
        <f>_xlfn.XLOOKUP(A343,'[1]Prix MP'!$A:$A,'[1]Prix MP'!$U:$U)</f>
        <v>0.36934253244035825</v>
      </c>
      <c r="P343" s="11">
        <f>M343*N343</f>
        <v>-769.59742857142862</v>
      </c>
      <c r="Q343" s="7">
        <f t="shared" ref="Q343" si="448">M343*O343</f>
        <v>-2802.8666101833905</v>
      </c>
      <c r="R343" t="s">
        <v>206</v>
      </c>
      <c r="S343" s="1">
        <f>ROUND(IF(E343="I",0,IF(J343="po",I343,I343/25.4)),2)</f>
        <v>0</v>
      </c>
      <c r="T343" s="33">
        <f>ROUND(IF(E343="I",0,IF(J343="po",K343,K343*3.280839895)),0)</f>
        <v>0</v>
      </c>
      <c r="V343" s="8"/>
    </row>
    <row r="344" spans="1:22" x14ac:dyDescent="0.25">
      <c r="A344" s="107">
        <v>30025</v>
      </c>
      <c r="B344" s="17" t="s">
        <v>276</v>
      </c>
      <c r="C344" s="45">
        <v>45580</v>
      </c>
      <c r="D344" s="46" t="s">
        <v>37</v>
      </c>
      <c r="E344" s="46" t="s">
        <v>42</v>
      </c>
      <c r="F344" s="64">
        <f t="shared" si="445"/>
        <v>1</v>
      </c>
      <c r="G344" s="49"/>
      <c r="H344" s="34" t="s">
        <v>291</v>
      </c>
      <c r="I344" s="28">
        <v>1530</v>
      </c>
      <c r="J344" t="s">
        <v>2</v>
      </c>
      <c r="K344" s="47">
        <v>3200</v>
      </c>
      <c r="L344" s="3" t="str">
        <f t="shared" si="446"/>
        <v>m</v>
      </c>
      <c r="M344" s="33">
        <f t="shared" ref="M344:M373" si="449">IF(J344="mm",F344*I344/1000*K344*1.55,F344*I344*12*K344/1000)</f>
        <v>7588.8</v>
      </c>
      <c r="N344" s="2">
        <f>_xlfn.XLOOKUP(A344,'[1]Prix MP'!$A:$A,'[1]Prix MP'!$T:$T)</f>
        <v>0.10141226920875877</v>
      </c>
      <c r="O344" s="2">
        <f>_xlfn.XLOOKUP(A344,'[1]Prix MP'!$A:$A,'[1]Prix MP'!$U:$U)</f>
        <v>0.36934253244035825</v>
      </c>
      <c r="P344" s="11">
        <f t="shared" ref="P344:P373" si="450">M344*N344</f>
        <v>769.59742857142862</v>
      </c>
      <c r="Q344" s="7">
        <f t="shared" si="431"/>
        <v>2802.8666101833905</v>
      </c>
      <c r="R344" t="s">
        <v>206</v>
      </c>
      <c r="S344" s="1">
        <f t="shared" si="367"/>
        <v>0</v>
      </c>
      <c r="T344" s="33">
        <f t="shared" si="368"/>
        <v>0</v>
      </c>
      <c r="V344" s="8">
        <f t="shared" si="357"/>
        <v>4896</v>
      </c>
    </row>
    <row r="345" spans="1:22" x14ac:dyDescent="0.25">
      <c r="A345" s="107">
        <v>30025</v>
      </c>
      <c r="B345" s="17" t="s">
        <v>276</v>
      </c>
      <c r="C345" s="45">
        <v>45643</v>
      </c>
      <c r="D345" s="46" t="s">
        <v>176</v>
      </c>
      <c r="E345" s="46" t="s">
        <v>42</v>
      </c>
      <c r="F345" s="64">
        <v>-1</v>
      </c>
      <c r="G345" s="49" t="s">
        <v>575</v>
      </c>
      <c r="H345" s="34" t="s">
        <v>291</v>
      </c>
      <c r="I345" s="28">
        <v>1530</v>
      </c>
      <c r="J345" t="s">
        <v>2</v>
      </c>
      <c r="K345" s="47">
        <v>3200</v>
      </c>
      <c r="L345" s="3" t="str">
        <f t="shared" ref="L345" si="451">IF(J345="mm","m","pi")</f>
        <v>m</v>
      </c>
      <c r="M345" s="33">
        <f>IF(J345="mm",F345*I345/1000*K345*1.55,F345*I345*12*K345/1000)</f>
        <v>-7588.8</v>
      </c>
      <c r="N345" s="2">
        <f>_xlfn.XLOOKUP(A345,'[1]Prix MP'!$A:$A,'[1]Prix MP'!$T:$T)</f>
        <v>0.10141226920875877</v>
      </c>
      <c r="O345" s="2">
        <f>_xlfn.XLOOKUP(A345,'[1]Prix MP'!$A:$A,'[1]Prix MP'!$U:$U)</f>
        <v>0.36934253244035825</v>
      </c>
      <c r="P345" s="11">
        <f>M345*N345</f>
        <v>-769.59742857142862</v>
      </c>
      <c r="Q345" s="7">
        <f t="shared" ref="Q345" si="452">M345*O345</f>
        <v>-2802.8666101833905</v>
      </c>
      <c r="R345" t="s">
        <v>206</v>
      </c>
      <c r="S345" s="1">
        <f>ROUND(IF(E345="I",0,IF(J345="po",I345,I345/25.4)),2)</f>
        <v>0</v>
      </c>
      <c r="T345" s="33">
        <f>ROUND(IF(E345="I",0,IF(J345="po",K345,K345*3.280839895)),0)</f>
        <v>0</v>
      </c>
      <c r="V345" s="8"/>
    </row>
    <row r="346" spans="1:22" x14ac:dyDescent="0.25">
      <c r="A346" s="107">
        <v>30025</v>
      </c>
      <c r="B346" s="17" t="s">
        <v>276</v>
      </c>
      <c r="C346" s="45">
        <v>45580</v>
      </c>
      <c r="D346" s="46" t="s">
        <v>37</v>
      </c>
      <c r="E346" s="46" t="s">
        <v>42</v>
      </c>
      <c r="F346" s="64">
        <f t="shared" si="445"/>
        <v>1</v>
      </c>
      <c r="G346" s="49"/>
      <c r="H346" s="34" t="s">
        <v>292</v>
      </c>
      <c r="I346" s="28">
        <v>1530</v>
      </c>
      <c r="J346" t="s">
        <v>2</v>
      </c>
      <c r="K346" s="47">
        <v>3200</v>
      </c>
      <c r="L346" s="3" t="str">
        <f t="shared" si="446"/>
        <v>m</v>
      </c>
      <c r="M346" s="33">
        <f t="shared" si="449"/>
        <v>7588.8</v>
      </c>
      <c r="N346" s="2">
        <f>_xlfn.XLOOKUP(A346,'[1]Prix MP'!$A:$A,'[1]Prix MP'!$T:$T)</f>
        <v>0.10141226920875877</v>
      </c>
      <c r="O346" s="2">
        <f>_xlfn.XLOOKUP(A346,'[1]Prix MP'!$A:$A,'[1]Prix MP'!$U:$U)</f>
        <v>0.36934253244035825</v>
      </c>
      <c r="P346" s="11">
        <f t="shared" si="450"/>
        <v>769.59742857142862</v>
      </c>
      <c r="Q346" s="7">
        <f t="shared" si="431"/>
        <v>2802.8666101833905</v>
      </c>
      <c r="R346" t="s">
        <v>206</v>
      </c>
      <c r="S346" s="1">
        <f t="shared" si="367"/>
        <v>0</v>
      </c>
      <c r="T346" s="33">
        <f t="shared" si="368"/>
        <v>0</v>
      </c>
      <c r="V346" s="8">
        <f t="shared" ref="V346:V448" si="453">IF(J346="mm",I346*K346/1000,"")</f>
        <v>4896</v>
      </c>
    </row>
    <row r="347" spans="1:22" x14ac:dyDescent="0.25">
      <c r="A347" s="107">
        <v>30025</v>
      </c>
      <c r="B347" s="17" t="s">
        <v>276</v>
      </c>
      <c r="C347" s="45">
        <v>45643</v>
      </c>
      <c r="D347" s="46" t="s">
        <v>176</v>
      </c>
      <c r="E347" s="46" t="s">
        <v>42</v>
      </c>
      <c r="F347" s="64">
        <v>-1</v>
      </c>
      <c r="G347" s="49" t="s">
        <v>575</v>
      </c>
      <c r="H347" s="34" t="s">
        <v>292</v>
      </c>
      <c r="I347" s="28">
        <v>1530</v>
      </c>
      <c r="J347" t="s">
        <v>2</v>
      </c>
      <c r="K347" s="47">
        <v>3200</v>
      </c>
      <c r="L347" s="3" t="str">
        <f t="shared" ref="L347" si="454">IF(J347="mm","m","pi")</f>
        <v>m</v>
      </c>
      <c r="M347" s="33">
        <f t="shared" ref="M347" si="455">IF(J347="mm",F347*I347/1000*K347*1.55,F347*I347*12*K347/1000)</f>
        <v>-7588.8</v>
      </c>
      <c r="N347" s="2">
        <f>_xlfn.XLOOKUP(A347,'[1]Prix MP'!$A:$A,'[1]Prix MP'!$T:$T)</f>
        <v>0.10141226920875877</v>
      </c>
      <c r="O347" s="2">
        <f>_xlfn.XLOOKUP(A347,'[1]Prix MP'!$A:$A,'[1]Prix MP'!$U:$U)</f>
        <v>0.36934253244035825</v>
      </c>
      <c r="P347" s="11">
        <f t="shared" ref="P347" si="456">M347*N347</f>
        <v>-769.59742857142862</v>
      </c>
      <c r="Q347" s="7">
        <f t="shared" ref="Q347" si="457">M347*O347</f>
        <v>-2802.8666101833905</v>
      </c>
      <c r="R347" t="s">
        <v>206</v>
      </c>
      <c r="S347" s="1">
        <f>ROUND(IF(E347="I",0,IF(J347="po",I347,I347/25.4)),2)</f>
        <v>0</v>
      </c>
      <c r="T347" s="33">
        <f>ROUND(IF(E347="I",0,IF(J347="po",K347,K347*3.280839895)),0)</f>
        <v>0</v>
      </c>
      <c r="V347" s="8"/>
    </row>
    <row r="348" spans="1:22" x14ac:dyDescent="0.25">
      <c r="A348" s="107">
        <v>30025</v>
      </c>
      <c r="B348" s="17" t="s">
        <v>276</v>
      </c>
      <c r="C348" s="45">
        <v>45580</v>
      </c>
      <c r="D348" s="46" t="s">
        <v>37</v>
      </c>
      <c r="E348" s="46" t="s">
        <v>42</v>
      </c>
      <c r="F348" s="64">
        <f t="shared" si="445"/>
        <v>1</v>
      </c>
      <c r="G348" s="49"/>
      <c r="H348" s="34" t="s">
        <v>293</v>
      </c>
      <c r="I348" s="28">
        <v>1530</v>
      </c>
      <c r="J348" t="s">
        <v>2</v>
      </c>
      <c r="K348" s="47">
        <v>3200</v>
      </c>
      <c r="L348" s="3" t="str">
        <f t="shared" si="446"/>
        <v>m</v>
      </c>
      <c r="M348" s="33">
        <f t="shared" si="449"/>
        <v>7588.8</v>
      </c>
      <c r="N348" s="2">
        <f>_xlfn.XLOOKUP(A348,'[1]Prix MP'!$A:$A,'[1]Prix MP'!$T:$T)</f>
        <v>0.10141226920875877</v>
      </c>
      <c r="O348" s="2">
        <f>_xlfn.XLOOKUP(A348,'[1]Prix MP'!$A:$A,'[1]Prix MP'!$U:$U)</f>
        <v>0.36934253244035825</v>
      </c>
      <c r="P348" s="11">
        <f t="shared" si="450"/>
        <v>769.59742857142862</v>
      </c>
      <c r="Q348" s="7">
        <f t="shared" si="431"/>
        <v>2802.8666101833905</v>
      </c>
      <c r="R348" t="s">
        <v>206</v>
      </c>
      <c r="S348" s="1">
        <f t="shared" si="367"/>
        <v>0</v>
      </c>
      <c r="T348" s="33">
        <f t="shared" si="368"/>
        <v>0</v>
      </c>
      <c r="V348" s="8">
        <f t="shared" si="453"/>
        <v>4896</v>
      </c>
    </row>
    <row r="349" spans="1:22" x14ac:dyDescent="0.25">
      <c r="A349" s="107">
        <v>30025</v>
      </c>
      <c r="B349" s="17" t="s">
        <v>276</v>
      </c>
      <c r="C349" s="45">
        <v>45666</v>
      </c>
      <c r="D349" s="46" t="s">
        <v>176</v>
      </c>
      <c r="E349" s="46" t="s">
        <v>42</v>
      </c>
      <c r="F349" s="64">
        <v>-1</v>
      </c>
      <c r="G349" s="49" t="s">
        <v>627</v>
      </c>
      <c r="H349" s="34" t="s">
        <v>293</v>
      </c>
      <c r="I349" s="28">
        <v>1530</v>
      </c>
      <c r="J349" t="s">
        <v>2</v>
      </c>
      <c r="K349" s="47">
        <v>3200</v>
      </c>
      <c r="L349" s="3" t="str">
        <f t="shared" ref="L349" si="458">IF(J349="mm","m","pi")</f>
        <v>m</v>
      </c>
      <c r="M349" s="33">
        <f t="shared" ref="M349" si="459">IF(J349="mm",F349*I349/1000*K349*1.55,F349*I349*12*K349/1000)</f>
        <v>-7588.8</v>
      </c>
      <c r="N349" s="2">
        <f>_xlfn.XLOOKUP(A349,'[1]Prix MP'!$A:$A,'[1]Prix MP'!$T:$T)</f>
        <v>0.10141226920875877</v>
      </c>
      <c r="O349" s="2">
        <f>_xlfn.XLOOKUP(A349,'[1]Prix MP'!$A:$A,'[1]Prix MP'!$U:$U)</f>
        <v>0.36934253244035825</v>
      </c>
      <c r="P349" s="11">
        <f t="shared" ref="P349" si="460">M349*N349</f>
        <v>-769.59742857142862</v>
      </c>
      <c r="Q349" s="7">
        <f t="shared" ref="Q349" si="461">M349*O349</f>
        <v>-2802.8666101833905</v>
      </c>
      <c r="R349" t="s">
        <v>206</v>
      </c>
      <c r="S349" s="1">
        <f>ROUND(IF(E349="I",0,IF(J349="po",I349,I349/25.4)),2)</f>
        <v>0</v>
      </c>
      <c r="T349" s="33">
        <f>ROUND(IF(E349="I",0,IF(J349="po",K349,K349*3.280839895)),0)</f>
        <v>0</v>
      </c>
      <c r="V349" s="8"/>
    </row>
    <row r="350" spans="1:22" x14ac:dyDescent="0.25">
      <c r="A350" s="107">
        <v>30025</v>
      </c>
      <c r="B350" s="17" t="s">
        <v>276</v>
      </c>
      <c r="C350" s="45">
        <v>45580</v>
      </c>
      <c r="D350" s="46" t="s">
        <v>37</v>
      </c>
      <c r="E350" s="46" t="s">
        <v>42</v>
      </c>
      <c r="F350" s="64">
        <f t="shared" ref="F350:F387" si="462">IF(D350="in",1,-1)</f>
        <v>1</v>
      </c>
      <c r="G350" s="49"/>
      <c r="H350" s="34" t="s">
        <v>294</v>
      </c>
      <c r="I350" s="28">
        <v>1530</v>
      </c>
      <c r="J350" t="s">
        <v>2</v>
      </c>
      <c r="K350" s="47">
        <v>3200</v>
      </c>
      <c r="L350" s="3" t="str">
        <f t="shared" ref="L350:L387" si="463">IF(J350="mm","m","pi")</f>
        <v>m</v>
      </c>
      <c r="M350" s="33">
        <f t="shared" si="449"/>
        <v>7588.8</v>
      </c>
      <c r="N350" s="2">
        <f>_xlfn.XLOOKUP(A350,'[1]Prix MP'!$A:$A,'[1]Prix MP'!$T:$T)</f>
        <v>0.10141226920875877</v>
      </c>
      <c r="O350" s="2">
        <f>_xlfn.XLOOKUP(A350,'[1]Prix MP'!$A:$A,'[1]Prix MP'!$U:$U)</f>
        <v>0.36934253244035825</v>
      </c>
      <c r="P350" s="11">
        <f t="shared" si="450"/>
        <v>769.59742857142862</v>
      </c>
      <c r="Q350" s="7">
        <f t="shared" si="431"/>
        <v>2802.8666101833905</v>
      </c>
      <c r="R350" t="s">
        <v>206</v>
      </c>
      <c r="S350" s="1">
        <f t="shared" si="367"/>
        <v>0</v>
      </c>
      <c r="T350" s="33">
        <f t="shared" si="368"/>
        <v>0</v>
      </c>
      <c r="V350" s="8">
        <f t="shared" si="453"/>
        <v>4896</v>
      </c>
    </row>
    <row r="351" spans="1:22" x14ac:dyDescent="0.25">
      <c r="A351" s="107">
        <v>30025</v>
      </c>
      <c r="B351" s="17" t="s">
        <v>276</v>
      </c>
      <c r="C351" s="45">
        <v>45666</v>
      </c>
      <c r="D351" s="46" t="s">
        <v>176</v>
      </c>
      <c r="E351" s="46" t="s">
        <v>42</v>
      </c>
      <c r="F351" s="64">
        <v>-1</v>
      </c>
      <c r="G351" s="49" t="s">
        <v>627</v>
      </c>
      <c r="H351" s="34" t="s">
        <v>294</v>
      </c>
      <c r="I351" s="28">
        <v>1530</v>
      </c>
      <c r="J351" t="s">
        <v>2</v>
      </c>
      <c r="K351" s="47">
        <v>3200</v>
      </c>
      <c r="L351" s="3" t="str">
        <f t="shared" ref="L351" si="464">IF(J351="mm","m","pi")</f>
        <v>m</v>
      </c>
      <c r="M351" s="33">
        <f t="shared" ref="M351" si="465">IF(J351="mm",F351*I351/1000*K351*1.55,F351*I351*12*K351/1000)</f>
        <v>-7588.8</v>
      </c>
      <c r="N351" s="2">
        <f>_xlfn.XLOOKUP(A351,'[1]Prix MP'!$A:$A,'[1]Prix MP'!$T:$T)</f>
        <v>0.10141226920875877</v>
      </c>
      <c r="O351" s="2">
        <f>_xlfn.XLOOKUP(A351,'[1]Prix MP'!$A:$A,'[1]Prix MP'!$U:$U)</f>
        <v>0.36934253244035825</v>
      </c>
      <c r="P351" s="11">
        <f t="shared" ref="P351" si="466">M351*N351</f>
        <v>-769.59742857142862</v>
      </c>
      <c r="Q351" s="7">
        <f t="shared" ref="Q351" si="467">M351*O351</f>
        <v>-2802.8666101833905</v>
      </c>
      <c r="R351" t="s">
        <v>206</v>
      </c>
      <c r="S351" s="1">
        <f>ROUND(IF(E351="I",0,IF(J351="po",I351,I351/25.4)),2)</f>
        <v>0</v>
      </c>
      <c r="T351" s="33">
        <f>ROUND(IF(E351="I",0,IF(J351="po",K351,K351*3.280839895)),0)</f>
        <v>0</v>
      </c>
      <c r="V351" s="8"/>
    </row>
    <row r="352" spans="1:22" x14ac:dyDescent="0.25">
      <c r="A352" s="107">
        <v>30025</v>
      </c>
      <c r="B352" s="17" t="s">
        <v>276</v>
      </c>
      <c r="C352" s="45">
        <v>45580</v>
      </c>
      <c r="D352" s="46" t="s">
        <v>37</v>
      </c>
      <c r="E352" s="46" t="s">
        <v>42</v>
      </c>
      <c r="F352" s="64">
        <f t="shared" si="462"/>
        <v>1</v>
      </c>
      <c r="G352" s="49"/>
      <c r="H352" s="34" t="s">
        <v>295</v>
      </c>
      <c r="I352" s="28">
        <v>1530</v>
      </c>
      <c r="J352" t="s">
        <v>2</v>
      </c>
      <c r="K352" s="47">
        <v>3200</v>
      </c>
      <c r="L352" s="3" t="str">
        <f t="shared" si="463"/>
        <v>m</v>
      </c>
      <c r="M352" s="33">
        <f t="shared" si="449"/>
        <v>7588.8</v>
      </c>
      <c r="N352" s="2">
        <f>_xlfn.XLOOKUP(A352,'[1]Prix MP'!$A:$A,'[1]Prix MP'!$T:$T)</f>
        <v>0.10141226920875877</v>
      </c>
      <c r="O352" s="2">
        <f>_xlfn.XLOOKUP(A352,'[1]Prix MP'!$A:$A,'[1]Prix MP'!$U:$U)</f>
        <v>0.36934253244035825</v>
      </c>
      <c r="P352" s="11">
        <f t="shared" si="450"/>
        <v>769.59742857142862</v>
      </c>
      <c r="Q352" s="7">
        <f t="shared" si="431"/>
        <v>2802.8666101833905</v>
      </c>
      <c r="R352" t="s">
        <v>206</v>
      </c>
      <c r="S352" s="1">
        <f t="shared" si="367"/>
        <v>0</v>
      </c>
      <c r="T352" s="33">
        <f t="shared" si="368"/>
        <v>0</v>
      </c>
      <c r="V352" s="8">
        <f t="shared" si="453"/>
        <v>4896</v>
      </c>
    </row>
    <row r="353" spans="1:22" x14ac:dyDescent="0.25">
      <c r="A353" s="107">
        <v>30025</v>
      </c>
      <c r="B353" s="17" t="s">
        <v>276</v>
      </c>
      <c r="C353" s="45">
        <v>45666</v>
      </c>
      <c r="D353" s="46" t="s">
        <v>176</v>
      </c>
      <c r="E353" s="46" t="s">
        <v>42</v>
      </c>
      <c r="F353" s="64">
        <v>-1</v>
      </c>
      <c r="G353" s="49" t="s">
        <v>627</v>
      </c>
      <c r="H353" s="34" t="s">
        <v>295</v>
      </c>
      <c r="I353" s="28">
        <v>1530</v>
      </c>
      <c r="J353" t="s">
        <v>2</v>
      </c>
      <c r="K353" s="47">
        <v>3200</v>
      </c>
      <c r="L353" s="3" t="str">
        <f t="shared" ref="L353" si="468">IF(J353="mm","m","pi")</f>
        <v>m</v>
      </c>
      <c r="M353" s="33">
        <f t="shared" ref="M353" si="469">IF(J353="mm",F353*I353/1000*K353*1.55,F353*I353*12*K353/1000)</f>
        <v>-7588.8</v>
      </c>
      <c r="N353" s="2">
        <f>_xlfn.XLOOKUP(A353,'[1]Prix MP'!$A:$A,'[1]Prix MP'!$T:$T)</f>
        <v>0.10141226920875877</v>
      </c>
      <c r="O353" s="2">
        <f>_xlfn.XLOOKUP(A353,'[1]Prix MP'!$A:$A,'[1]Prix MP'!$U:$U)</f>
        <v>0.36934253244035825</v>
      </c>
      <c r="P353" s="11">
        <f t="shared" ref="P353" si="470">M353*N353</f>
        <v>-769.59742857142862</v>
      </c>
      <c r="Q353" s="7">
        <f t="shared" ref="Q353" si="471">M353*O353</f>
        <v>-2802.8666101833905</v>
      </c>
      <c r="R353" t="s">
        <v>206</v>
      </c>
      <c r="S353" s="1">
        <f>ROUND(IF(E353="I",0,IF(J353="po",I353,I353/25.4)),2)</f>
        <v>0</v>
      </c>
      <c r="T353" s="33">
        <f>ROUND(IF(E353="I",0,IF(J353="po",K353,K353*3.280839895)),0)</f>
        <v>0</v>
      </c>
      <c r="V353" s="8"/>
    </row>
    <row r="354" spans="1:22" x14ac:dyDescent="0.25">
      <c r="A354" s="107">
        <v>30025</v>
      </c>
      <c r="B354" s="17" t="s">
        <v>276</v>
      </c>
      <c r="C354" s="45">
        <v>45580</v>
      </c>
      <c r="D354" s="46" t="s">
        <v>37</v>
      </c>
      <c r="E354" s="46" t="s">
        <v>42</v>
      </c>
      <c r="F354" s="64">
        <f t="shared" si="462"/>
        <v>1</v>
      </c>
      <c r="G354" s="49"/>
      <c r="H354" s="34" t="s">
        <v>296</v>
      </c>
      <c r="I354" s="28">
        <v>1530</v>
      </c>
      <c r="J354" t="s">
        <v>2</v>
      </c>
      <c r="K354" s="47">
        <v>3200</v>
      </c>
      <c r="L354" s="3" t="str">
        <f t="shared" si="463"/>
        <v>m</v>
      </c>
      <c r="M354" s="33">
        <f t="shared" si="449"/>
        <v>7588.8</v>
      </c>
      <c r="N354" s="2">
        <f>_xlfn.XLOOKUP(A354,'[1]Prix MP'!$A:$A,'[1]Prix MP'!$T:$T)</f>
        <v>0.10141226920875877</v>
      </c>
      <c r="O354" s="2">
        <f>_xlfn.XLOOKUP(A354,'[1]Prix MP'!$A:$A,'[1]Prix MP'!$U:$U)</f>
        <v>0.36934253244035825</v>
      </c>
      <c r="P354" s="11">
        <f t="shared" si="450"/>
        <v>769.59742857142862</v>
      </c>
      <c r="Q354" s="7">
        <f t="shared" si="431"/>
        <v>2802.8666101833905</v>
      </c>
      <c r="R354" t="s">
        <v>206</v>
      </c>
      <c r="S354" s="1">
        <f t="shared" si="367"/>
        <v>0</v>
      </c>
      <c r="T354" s="33">
        <f t="shared" si="368"/>
        <v>0</v>
      </c>
      <c r="V354" s="8">
        <f t="shared" si="453"/>
        <v>4896</v>
      </c>
    </row>
    <row r="355" spans="1:22" x14ac:dyDescent="0.25">
      <c r="A355" s="107">
        <v>30025</v>
      </c>
      <c r="B355" s="17" t="s">
        <v>276</v>
      </c>
      <c r="C355" s="45">
        <v>45643</v>
      </c>
      <c r="D355" s="46" t="s">
        <v>176</v>
      </c>
      <c r="E355" s="46" t="s">
        <v>42</v>
      </c>
      <c r="F355" s="64">
        <v>-1</v>
      </c>
      <c r="G355" s="49" t="s">
        <v>575</v>
      </c>
      <c r="H355" s="34" t="s">
        <v>296</v>
      </c>
      <c r="I355" s="28">
        <v>1530</v>
      </c>
      <c r="J355" t="s">
        <v>2</v>
      </c>
      <c r="K355" s="47">
        <v>3200</v>
      </c>
      <c r="L355" s="3" t="str">
        <f t="shared" ref="L355" si="472">IF(J355="mm","m","pi")</f>
        <v>m</v>
      </c>
      <c r="M355" s="33">
        <f t="shared" ref="M355" si="473">IF(J355="mm",F355*I355/1000*K355*1.55,F355*I355*12*K355/1000)</f>
        <v>-7588.8</v>
      </c>
      <c r="N355" s="2">
        <f>_xlfn.XLOOKUP(A355,'[1]Prix MP'!$A:$A,'[1]Prix MP'!$T:$T)</f>
        <v>0.10141226920875877</v>
      </c>
      <c r="O355" s="2">
        <f>_xlfn.XLOOKUP(A355,'[1]Prix MP'!$A:$A,'[1]Prix MP'!$U:$U)</f>
        <v>0.36934253244035825</v>
      </c>
      <c r="P355" s="11">
        <f t="shared" ref="P355" si="474">M355*N355</f>
        <v>-769.59742857142862</v>
      </c>
      <c r="Q355" s="7">
        <f t="shared" ref="Q355" si="475">M355*O355</f>
        <v>-2802.8666101833905</v>
      </c>
      <c r="R355" t="s">
        <v>206</v>
      </c>
      <c r="S355" s="1">
        <f>ROUND(IF(E355="I",0,IF(J355="po",I355,I355/25.4)),2)</f>
        <v>0</v>
      </c>
      <c r="T355" s="33">
        <f>ROUND(IF(E355="I",0,IF(J355="po",K355,K355*3.280839895)),0)</f>
        <v>0</v>
      </c>
      <c r="V355" s="8"/>
    </row>
    <row r="356" spans="1:22" x14ac:dyDescent="0.25">
      <c r="A356" s="107">
        <v>30025</v>
      </c>
      <c r="B356" s="17" t="s">
        <v>276</v>
      </c>
      <c r="C356" s="45">
        <v>45580</v>
      </c>
      <c r="D356" s="46" t="s">
        <v>37</v>
      </c>
      <c r="E356" s="46" t="s">
        <v>42</v>
      </c>
      <c r="F356" s="64">
        <f t="shared" si="462"/>
        <v>1</v>
      </c>
      <c r="G356" s="49"/>
      <c r="H356" s="34" t="s">
        <v>297</v>
      </c>
      <c r="I356" s="28">
        <v>1530</v>
      </c>
      <c r="J356" t="s">
        <v>2</v>
      </c>
      <c r="K356" s="47">
        <v>3200</v>
      </c>
      <c r="L356" s="3" t="str">
        <f t="shared" si="463"/>
        <v>m</v>
      </c>
      <c r="M356" s="33">
        <f t="shared" si="449"/>
        <v>7588.8</v>
      </c>
      <c r="N356" s="2">
        <f>_xlfn.XLOOKUP(A356,'[1]Prix MP'!$A:$A,'[1]Prix MP'!$T:$T)</f>
        <v>0.10141226920875877</v>
      </c>
      <c r="O356" s="2">
        <f>_xlfn.XLOOKUP(A356,'[1]Prix MP'!$A:$A,'[1]Prix MP'!$U:$U)</f>
        <v>0.36934253244035825</v>
      </c>
      <c r="P356" s="11">
        <f t="shared" si="450"/>
        <v>769.59742857142862</v>
      </c>
      <c r="Q356" s="7">
        <f t="shared" si="431"/>
        <v>2802.8666101833905</v>
      </c>
      <c r="R356" t="s">
        <v>206</v>
      </c>
      <c r="S356" s="1">
        <f t="shared" si="367"/>
        <v>0</v>
      </c>
      <c r="T356" s="33">
        <f t="shared" si="368"/>
        <v>0</v>
      </c>
      <c r="V356" s="8">
        <f t="shared" si="453"/>
        <v>4896</v>
      </c>
    </row>
    <row r="357" spans="1:22" x14ac:dyDescent="0.25">
      <c r="A357" s="107">
        <v>30025</v>
      </c>
      <c r="B357" s="17" t="s">
        <v>276</v>
      </c>
      <c r="C357" s="45">
        <v>45666</v>
      </c>
      <c r="D357" s="46" t="s">
        <v>176</v>
      </c>
      <c r="E357" s="46" t="s">
        <v>42</v>
      </c>
      <c r="F357" s="64">
        <v>-1</v>
      </c>
      <c r="G357" s="49" t="s">
        <v>627</v>
      </c>
      <c r="H357" s="34" t="s">
        <v>297</v>
      </c>
      <c r="I357" s="28">
        <v>1530</v>
      </c>
      <c r="J357" t="s">
        <v>2</v>
      </c>
      <c r="K357" s="47">
        <v>3200</v>
      </c>
      <c r="L357" s="3" t="str">
        <f t="shared" ref="L357" si="476">IF(J357="mm","m","pi")</f>
        <v>m</v>
      </c>
      <c r="M357" s="33">
        <f t="shared" ref="M357" si="477">IF(J357="mm",F357*I357/1000*K357*1.55,F357*I357*12*K357/1000)</f>
        <v>-7588.8</v>
      </c>
      <c r="N357" s="2">
        <f>_xlfn.XLOOKUP(A357,'[1]Prix MP'!$A:$A,'[1]Prix MP'!$T:$T)</f>
        <v>0.10141226920875877</v>
      </c>
      <c r="O357" s="2">
        <f>_xlfn.XLOOKUP(A357,'[1]Prix MP'!$A:$A,'[1]Prix MP'!$U:$U)</f>
        <v>0.36934253244035825</v>
      </c>
      <c r="P357" s="11">
        <f t="shared" ref="P357" si="478">M357*N357</f>
        <v>-769.59742857142862</v>
      </c>
      <c r="Q357" s="7">
        <f t="shared" ref="Q357" si="479">M357*O357</f>
        <v>-2802.8666101833905</v>
      </c>
      <c r="R357" t="s">
        <v>206</v>
      </c>
      <c r="S357" s="1">
        <f>ROUND(IF(E357="I",0,IF(J357="po",I357,I357/25.4)),2)</f>
        <v>0</v>
      </c>
      <c r="T357" s="33">
        <f>ROUND(IF(E357="I",0,IF(J357="po",K357,K357*3.280839895)),0)</f>
        <v>0</v>
      </c>
      <c r="V357" s="8"/>
    </row>
    <row r="358" spans="1:22" x14ac:dyDescent="0.25">
      <c r="A358" s="107">
        <v>30025</v>
      </c>
      <c r="B358" s="17" t="s">
        <v>276</v>
      </c>
      <c r="C358" s="45">
        <v>45580</v>
      </c>
      <c r="D358" s="46" t="s">
        <v>37</v>
      </c>
      <c r="E358" s="46" t="s">
        <v>42</v>
      </c>
      <c r="F358" s="64">
        <f t="shared" si="462"/>
        <v>1</v>
      </c>
      <c r="G358" s="49"/>
      <c r="H358" s="34" t="s">
        <v>298</v>
      </c>
      <c r="I358" s="28">
        <v>1530</v>
      </c>
      <c r="J358" t="s">
        <v>2</v>
      </c>
      <c r="K358" s="47">
        <v>3200</v>
      </c>
      <c r="L358" s="3" t="str">
        <f t="shared" si="463"/>
        <v>m</v>
      </c>
      <c r="M358" s="33">
        <f t="shared" si="449"/>
        <v>7588.8</v>
      </c>
      <c r="N358" s="2">
        <f>_xlfn.XLOOKUP(A358,'[1]Prix MP'!$A:$A,'[1]Prix MP'!$T:$T)</f>
        <v>0.10141226920875877</v>
      </c>
      <c r="O358" s="2">
        <f>_xlfn.XLOOKUP(A358,'[1]Prix MP'!$A:$A,'[1]Prix MP'!$U:$U)</f>
        <v>0.36934253244035825</v>
      </c>
      <c r="P358" s="11">
        <f t="shared" si="450"/>
        <v>769.59742857142862</v>
      </c>
      <c r="Q358" s="7">
        <f t="shared" si="431"/>
        <v>2802.8666101833905</v>
      </c>
      <c r="R358" t="s">
        <v>206</v>
      </c>
      <c r="S358" s="1">
        <f t="shared" si="367"/>
        <v>0</v>
      </c>
      <c r="T358" s="33">
        <f t="shared" si="368"/>
        <v>0</v>
      </c>
      <c r="V358" s="8">
        <f t="shared" si="453"/>
        <v>4896</v>
      </c>
    </row>
    <row r="359" spans="1:22" x14ac:dyDescent="0.25">
      <c r="A359" s="107">
        <v>30025</v>
      </c>
      <c r="B359" s="17" t="s">
        <v>276</v>
      </c>
      <c r="C359" s="45">
        <v>45629</v>
      </c>
      <c r="D359" s="46" t="s">
        <v>176</v>
      </c>
      <c r="E359" s="46" t="s">
        <v>42</v>
      </c>
      <c r="F359" s="64">
        <v>-1</v>
      </c>
      <c r="G359" s="49" t="s">
        <v>498</v>
      </c>
      <c r="H359" s="34" t="s">
        <v>298</v>
      </c>
      <c r="I359" s="28">
        <v>1530</v>
      </c>
      <c r="J359" t="s">
        <v>2</v>
      </c>
      <c r="K359" s="47">
        <v>3200</v>
      </c>
      <c r="L359" s="3" t="str">
        <f t="shared" ref="L359" si="480">IF(J359="mm","m","pi")</f>
        <v>m</v>
      </c>
      <c r="M359" s="33">
        <f t="shared" ref="M359" si="481">IF(J359="mm",F359*I359/1000*K359*1.55,F359*I359*12*K359/1000)</f>
        <v>-7588.8</v>
      </c>
      <c r="N359" s="2">
        <f>_xlfn.XLOOKUP(A359,'[1]Prix MP'!$A:$A,'[1]Prix MP'!$T:$T)</f>
        <v>0.10141226920875877</v>
      </c>
      <c r="O359" s="2">
        <f>_xlfn.XLOOKUP(A359,'[1]Prix MP'!$A:$A,'[1]Prix MP'!$U:$U)</f>
        <v>0.36934253244035825</v>
      </c>
      <c r="P359" s="11">
        <f t="shared" ref="P359" si="482">M359*N359</f>
        <v>-769.59742857142862</v>
      </c>
      <c r="Q359" s="7">
        <f t="shared" ref="Q359" si="483">M359*O359</f>
        <v>-2802.8666101833905</v>
      </c>
      <c r="R359" t="s">
        <v>206</v>
      </c>
      <c r="S359" s="1">
        <f t="shared" ref="S359" si="484">ROUND(IF(E359="I",0,IF(J359="po",I359,I359/25.4)),2)</f>
        <v>0</v>
      </c>
      <c r="T359" s="33">
        <f t="shared" ref="T359" si="485">ROUND(IF(E359="I",0,IF(J359="po",K359,K359*3.280839895)),0)</f>
        <v>0</v>
      </c>
      <c r="V359" s="8"/>
    </row>
    <row r="360" spans="1:22" x14ac:dyDescent="0.25">
      <c r="A360" s="107">
        <v>30025</v>
      </c>
      <c r="B360" s="17" t="s">
        <v>276</v>
      </c>
      <c r="C360" s="45">
        <v>45580</v>
      </c>
      <c r="D360" s="46" t="s">
        <v>37</v>
      </c>
      <c r="E360" s="46" t="s">
        <v>42</v>
      </c>
      <c r="F360" s="64">
        <f t="shared" si="462"/>
        <v>1</v>
      </c>
      <c r="G360" s="49"/>
      <c r="H360" s="34" t="s">
        <v>299</v>
      </c>
      <c r="I360" s="28">
        <v>1530</v>
      </c>
      <c r="J360" t="s">
        <v>2</v>
      </c>
      <c r="K360" s="47">
        <v>3200</v>
      </c>
      <c r="L360" s="3" t="str">
        <f t="shared" si="463"/>
        <v>m</v>
      </c>
      <c r="M360" s="33">
        <f t="shared" si="449"/>
        <v>7588.8</v>
      </c>
      <c r="N360" s="2">
        <f>_xlfn.XLOOKUP(A360,'[1]Prix MP'!$A:$A,'[1]Prix MP'!$T:$T)</f>
        <v>0.10141226920875877</v>
      </c>
      <c r="O360" s="2">
        <f>_xlfn.XLOOKUP(A360,'[1]Prix MP'!$A:$A,'[1]Prix MP'!$U:$U)</f>
        <v>0.36934253244035825</v>
      </c>
      <c r="P360" s="11">
        <f t="shared" si="450"/>
        <v>769.59742857142862</v>
      </c>
      <c r="Q360" s="7">
        <f t="shared" si="431"/>
        <v>2802.8666101833905</v>
      </c>
      <c r="R360" t="s">
        <v>206</v>
      </c>
      <c r="S360" s="1">
        <f t="shared" si="367"/>
        <v>0</v>
      </c>
      <c r="T360" s="33">
        <f t="shared" si="368"/>
        <v>0</v>
      </c>
      <c r="V360" s="8">
        <f t="shared" si="453"/>
        <v>4896</v>
      </c>
    </row>
    <row r="361" spans="1:22" x14ac:dyDescent="0.25">
      <c r="A361" s="107">
        <v>30025</v>
      </c>
      <c r="B361" s="17" t="s">
        <v>276</v>
      </c>
      <c r="C361" s="45">
        <v>45629</v>
      </c>
      <c r="D361" s="46" t="s">
        <v>176</v>
      </c>
      <c r="E361" s="46" t="s">
        <v>42</v>
      </c>
      <c r="F361" s="64">
        <v>-1</v>
      </c>
      <c r="G361" s="49" t="s">
        <v>498</v>
      </c>
      <c r="H361" s="34" t="s">
        <v>299</v>
      </c>
      <c r="I361" s="28">
        <v>1530</v>
      </c>
      <c r="J361" t="s">
        <v>2</v>
      </c>
      <c r="K361" s="47">
        <v>3200</v>
      </c>
      <c r="L361" s="3" t="str">
        <f t="shared" ref="L361" si="486">IF(J361="mm","m","pi")</f>
        <v>m</v>
      </c>
      <c r="M361" s="33">
        <f t="shared" ref="M361" si="487">IF(J361="mm",F361*I361/1000*K361*1.55,F361*I361*12*K361/1000)</f>
        <v>-7588.8</v>
      </c>
      <c r="N361" s="2">
        <f>_xlfn.XLOOKUP(A361,'[1]Prix MP'!$A:$A,'[1]Prix MP'!$T:$T)</f>
        <v>0.10141226920875877</v>
      </c>
      <c r="O361" s="2">
        <f>_xlfn.XLOOKUP(A361,'[1]Prix MP'!$A:$A,'[1]Prix MP'!$U:$U)</f>
        <v>0.36934253244035825</v>
      </c>
      <c r="P361" s="11">
        <f t="shared" ref="P361" si="488">M361*N361</f>
        <v>-769.59742857142862</v>
      </c>
      <c r="Q361" s="7">
        <f t="shared" ref="Q361" si="489">M361*O361</f>
        <v>-2802.8666101833905</v>
      </c>
      <c r="R361" t="s">
        <v>206</v>
      </c>
      <c r="S361" s="1">
        <f t="shared" ref="S361" si="490">ROUND(IF(E361="I",0,IF(J361="po",I361,I361/25.4)),2)</f>
        <v>0</v>
      </c>
      <c r="T361" s="33">
        <f t="shared" ref="T361" si="491">ROUND(IF(E361="I",0,IF(J361="po",K361,K361*3.280839895)),0)</f>
        <v>0</v>
      </c>
      <c r="V361" s="8"/>
    </row>
    <row r="362" spans="1:22" x14ac:dyDescent="0.25">
      <c r="A362" s="107">
        <v>30025</v>
      </c>
      <c r="B362" s="17" t="s">
        <v>276</v>
      </c>
      <c r="C362" s="45">
        <v>45580</v>
      </c>
      <c r="D362" s="46" t="s">
        <v>37</v>
      </c>
      <c r="E362" s="46" t="s">
        <v>42</v>
      </c>
      <c r="F362" s="64">
        <f t="shared" si="462"/>
        <v>1</v>
      </c>
      <c r="G362" s="49"/>
      <c r="H362" s="34" t="s">
        <v>300</v>
      </c>
      <c r="I362" s="28">
        <v>1530</v>
      </c>
      <c r="J362" t="s">
        <v>2</v>
      </c>
      <c r="K362" s="47">
        <v>3200</v>
      </c>
      <c r="L362" s="3" t="str">
        <f t="shared" si="463"/>
        <v>m</v>
      </c>
      <c r="M362" s="33">
        <f t="shared" si="449"/>
        <v>7588.8</v>
      </c>
      <c r="N362" s="2">
        <f>_xlfn.XLOOKUP(A362,'[1]Prix MP'!$A:$A,'[1]Prix MP'!$T:$T)</f>
        <v>0.10141226920875877</v>
      </c>
      <c r="O362" s="2">
        <f>_xlfn.XLOOKUP(A362,'[1]Prix MP'!$A:$A,'[1]Prix MP'!$U:$U)</f>
        <v>0.36934253244035825</v>
      </c>
      <c r="P362" s="11">
        <f t="shared" si="450"/>
        <v>769.59742857142862</v>
      </c>
      <c r="Q362" s="7">
        <f t="shared" si="431"/>
        <v>2802.8666101833905</v>
      </c>
      <c r="R362" t="s">
        <v>206</v>
      </c>
      <c r="S362" s="1">
        <f t="shared" si="367"/>
        <v>0</v>
      </c>
      <c r="T362" s="33">
        <f t="shared" si="368"/>
        <v>0</v>
      </c>
      <c r="V362" s="8">
        <f t="shared" si="453"/>
        <v>4896</v>
      </c>
    </row>
    <row r="363" spans="1:22" x14ac:dyDescent="0.25">
      <c r="A363" s="107">
        <v>30025</v>
      </c>
      <c r="B363" s="17" t="s">
        <v>276</v>
      </c>
      <c r="C363" s="45">
        <v>45666</v>
      </c>
      <c r="D363" s="46" t="s">
        <v>176</v>
      </c>
      <c r="E363" s="46" t="s">
        <v>42</v>
      </c>
      <c r="F363" s="64">
        <v>-1</v>
      </c>
      <c r="G363" s="49" t="s">
        <v>627</v>
      </c>
      <c r="H363" s="34" t="s">
        <v>300</v>
      </c>
      <c r="I363" s="28">
        <v>1530</v>
      </c>
      <c r="J363" t="s">
        <v>2</v>
      </c>
      <c r="K363" s="47">
        <v>3200</v>
      </c>
      <c r="L363" s="3" t="str">
        <f t="shared" ref="L363" si="492">IF(J363="mm","m","pi")</f>
        <v>m</v>
      </c>
      <c r="M363" s="33">
        <f t="shared" ref="M363" si="493">IF(J363="mm",F363*I363/1000*K363*1.55,F363*I363*12*K363/1000)</f>
        <v>-7588.8</v>
      </c>
      <c r="N363" s="2">
        <f>_xlfn.XLOOKUP(A363,'[1]Prix MP'!$A:$A,'[1]Prix MP'!$T:$T)</f>
        <v>0.10141226920875877</v>
      </c>
      <c r="O363" s="2">
        <f>_xlfn.XLOOKUP(A363,'[1]Prix MP'!$A:$A,'[1]Prix MP'!$U:$U)</f>
        <v>0.36934253244035825</v>
      </c>
      <c r="P363" s="11">
        <f t="shared" ref="P363" si="494">M363*N363</f>
        <v>-769.59742857142862</v>
      </c>
      <c r="Q363" s="7">
        <f t="shared" ref="Q363" si="495">M363*O363</f>
        <v>-2802.8666101833905</v>
      </c>
      <c r="R363" t="s">
        <v>206</v>
      </c>
      <c r="S363" s="1">
        <f>ROUND(IF(E363="I",0,IF(J363="po",I363,I363/25.4)),2)</f>
        <v>0</v>
      </c>
      <c r="T363" s="33">
        <f>ROUND(IF(E363="I",0,IF(J363="po",K363,K363*3.280839895)),0)</f>
        <v>0</v>
      </c>
      <c r="V363" s="8"/>
    </row>
    <row r="364" spans="1:22" x14ac:dyDescent="0.25">
      <c r="A364" s="107">
        <v>30025</v>
      </c>
      <c r="B364" s="17" t="s">
        <v>276</v>
      </c>
      <c r="C364" s="45">
        <v>45580</v>
      </c>
      <c r="D364" s="46" t="s">
        <v>37</v>
      </c>
      <c r="E364" s="46" t="s">
        <v>42</v>
      </c>
      <c r="F364" s="64">
        <f t="shared" si="462"/>
        <v>1</v>
      </c>
      <c r="G364" s="49"/>
      <c r="H364" s="34" t="s">
        <v>301</v>
      </c>
      <c r="I364" s="28">
        <v>1530</v>
      </c>
      <c r="J364" t="s">
        <v>2</v>
      </c>
      <c r="K364" s="47">
        <v>3200</v>
      </c>
      <c r="L364" s="3" t="str">
        <f t="shared" si="463"/>
        <v>m</v>
      </c>
      <c r="M364" s="33">
        <f t="shared" si="449"/>
        <v>7588.8</v>
      </c>
      <c r="N364" s="2">
        <f>_xlfn.XLOOKUP(A364,'[1]Prix MP'!$A:$A,'[1]Prix MP'!$T:$T)</f>
        <v>0.10141226920875877</v>
      </c>
      <c r="O364" s="2">
        <f>_xlfn.XLOOKUP(A364,'[1]Prix MP'!$A:$A,'[1]Prix MP'!$U:$U)</f>
        <v>0.36934253244035825</v>
      </c>
      <c r="P364" s="11">
        <f t="shared" si="450"/>
        <v>769.59742857142862</v>
      </c>
      <c r="Q364" s="7">
        <f t="shared" si="431"/>
        <v>2802.8666101833905</v>
      </c>
      <c r="R364" t="s">
        <v>206</v>
      </c>
      <c r="S364" s="1">
        <f t="shared" si="367"/>
        <v>0</v>
      </c>
      <c r="T364" s="33">
        <f t="shared" si="368"/>
        <v>0</v>
      </c>
      <c r="V364" s="8">
        <f t="shared" si="453"/>
        <v>4896</v>
      </c>
    </row>
    <row r="365" spans="1:22" x14ac:dyDescent="0.25">
      <c r="A365" s="107">
        <v>30025</v>
      </c>
      <c r="B365" s="17" t="s">
        <v>276</v>
      </c>
      <c r="C365" s="45">
        <v>45666</v>
      </c>
      <c r="D365" s="46" t="s">
        <v>176</v>
      </c>
      <c r="E365" s="46" t="s">
        <v>42</v>
      </c>
      <c r="F365" s="64">
        <v>-1</v>
      </c>
      <c r="G365" s="49" t="s">
        <v>627</v>
      </c>
      <c r="H365" s="34" t="s">
        <v>301</v>
      </c>
      <c r="I365" s="28">
        <v>1530</v>
      </c>
      <c r="J365" t="s">
        <v>2</v>
      </c>
      <c r="K365" s="47">
        <v>3200</v>
      </c>
      <c r="L365" s="3" t="str">
        <f t="shared" ref="L365" si="496">IF(J365="mm","m","pi")</f>
        <v>m</v>
      </c>
      <c r="M365" s="33">
        <f t="shared" ref="M365" si="497">IF(J365="mm",F365*I365/1000*K365*1.55,F365*I365*12*K365/1000)</f>
        <v>-7588.8</v>
      </c>
      <c r="N365" s="2">
        <f>_xlfn.XLOOKUP(A365,'[1]Prix MP'!$A:$A,'[1]Prix MP'!$T:$T)</f>
        <v>0.10141226920875877</v>
      </c>
      <c r="O365" s="2">
        <f>_xlfn.XLOOKUP(A365,'[1]Prix MP'!$A:$A,'[1]Prix MP'!$U:$U)</f>
        <v>0.36934253244035825</v>
      </c>
      <c r="P365" s="11">
        <f t="shared" ref="P365" si="498">M365*N365</f>
        <v>-769.59742857142862</v>
      </c>
      <c r="Q365" s="7">
        <f t="shared" ref="Q365" si="499">M365*O365</f>
        <v>-2802.8666101833905</v>
      </c>
      <c r="R365" t="s">
        <v>206</v>
      </c>
      <c r="S365" s="1">
        <f>ROUND(IF(E365="I",0,IF(J365="po",I365,I365/25.4)),2)</f>
        <v>0</v>
      </c>
      <c r="T365" s="33">
        <f>ROUND(IF(E365="I",0,IF(J365="po",K365,K365*3.280839895)),0)</f>
        <v>0</v>
      </c>
      <c r="V365" s="8"/>
    </row>
    <row r="366" spans="1:22" x14ac:dyDescent="0.25">
      <c r="A366" s="107">
        <v>30025</v>
      </c>
      <c r="B366" s="17" t="s">
        <v>276</v>
      </c>
      <c r="C366" s="45">
        <v>45580</v>
      </c>
      <c r="D366" s="46" t="s">
        <v>37</v>
      </c>
      <c r="E366" s="46" t="s">
        <v>42</v>
      </c>
      <c r="F366" s="64">
        <f t="shared" si="462"/>
        <v>1</v>
      </c>
      <c r="G366" s="49"/>
      <c r="H366" s="34" t="s">
        <v>302</v>
      </c>
      <c r="I366" s="28">
        <v>1530</v>
      </c>
      <c r="J366" t="s">
        <v>2</v>
      </c>
      <c r="K366" s="47">
        <v>3200</v>
      </c>
      <c r="L366" s="3" t="str">
        <f t="shared" si="463"/>
        <v>m</v>
      </c>
      <c r="M366" s="33">
        <f t="shared" si="449"/>
        <v>7588.8</v>
      </c>
      <c r="N366" s="2">
        <f>_xlfn.XLOOKUP(A366,'[1]Prix MP'!$A:$A,'[1]Prix MP'!$T:$T)</f>
        <v>0.10141226920875877</v>
      </c>
      <c r="O366" s="2">
        <f>_xlfn.XLOOKUP(A366,'[1]Prix MP'!$A:$A,'[1]Prix MP'!$U:$U)</f>
        <v>0.36934253244035825</v>
      </c>
      <c r="P366" s="11">
        <f t="shared" si="450"/>
        <v>769.59742857142862</v>
      </c>
      <c r="Q366" s="7">
        <f t="shared" si="431"/>
        <v>2802.8666101833905</v>
      </c>
      <c r="R366" t="s">
        <v>206</v>
      </c>
      <c r="S366" s="1">
        <f t="shared" si="367"/>
        <v>0</v>
      </c>
      <c r="T366" s="33">
        <f t="shared" si="368"/>
        <v>0</v>
      </c>
      <c r="V366" s="8">
        <f t="shared" si="453"/>
        <v>4896</v>
      </c>
    </row>
    <row r="367" spans="1:22" x14ac:dyDescent="0.25">
      <c r="A367" s="107">
        <v>30025</v>
      </c>
      <c r="B367" s="17" t="s">
        <v>276</v>
      </c>
      <c r="C367" s="45">
        <v>45622</v>
      </c>
      <c r="D367" s="46" t="s">
        <v>176</v>
      </c>
      <c r="E367" s="46" t="s">
        <v>42</v>
      </c>
      <c r="F367" s="64">
        <v>-1</v>
      </c>
      <c r="G367" s="49" t="s">
        <v>475</v>
      </c>
      <c r="H367" s="34" t="s">
        <v>302</v>
      </c>
      <c r="I367" s="28">
        <v>1530</v>
      </c>
      <c r="J367" t="s">
        <v>2</v>
      </c>
      <c r="K367" s="47">
        <v>3200</v>
      </c>
      <c r="L367" s="3" t="str">
        <f t="shared" ref="L367" si="500">IF(J367="mm","m","pi")</f>
        <v>m</v>
      </c>
      <c r="M367" s="33">
        <f>IF(J367="mm",F367*I367/1000*K367*1.55,F367*I367*12*K367/1000)</f>
        <v>-7588.8</v>
      </c>
      <c r="N367" s="2">
        <f>_xlfn.XLOOKUP(A367,'[1]Prix MP'!$A:$A,'[1]Prix MP'!$T:$T)</f>
        <v>0.10141226920875877</v>
      </c>
      <c r="O367" s="2">
        <f>_xlfn.XLOOKUP(A367,'[1]Prix MP'!$A:$A,'[1]Prix MP'!$U:$U)</f>
        <v>0.36934253244035825</v>
      </c>
      <c r="P367" s="11">
        <f>M367*N367</f>
        <v>-769.59742857142862</v>
      </c>
      <c r="Q367" s="7">
        <f t="shared" ref="Q367:Q368" si="501">M367*O367</f>
        <v>-2802.8666101833905</v>
      </c>
      <c r="R367" t="s">
        <v>206</v>
      </c>
      <c r="S367" s="1">
        <f>ROUND(IF(E367="I",0,IF(J367="po",I367,I367/25.4)),2)</f>
        <v>0</v>
      </c>
      <c r="T367" s="33">
        <f>ROUND(IF(E367="I",0,IF(J367="po",K367,K367*3.280839895)),0)</f>
        <v>0</v>
      </c>
      <c r="V367" s="8"/>
    </row>
    <row r="368" spans="1:22" x14ac:dyDescent="0.25">
      <c r="A368" s="107">
        <v>30025</v>
      </c>
      <c r="B368" s="17" t="s">
        <v>276</v>
      </c>
      <c r="C368" s="45">
        <v>45622</v>
      </c>
      <c r="D368" s="46" t="s">
        <v>373</v>
      </c>
      <c r="E368" s="46" t="s">
        <v>41</v>
      </c>
      <c r="F368" s="64">
        <v>1</v>
      </c>
      <c r="G368" s="49" t="s">
        <v>475</v>
      </c>
      <c r="H368" s="34" t="s">
        <v>476</v>
      </c>
      <c r="I368" s="28">
        <v>41.85</v>
      </c>
      <c r="J368" t="s">
        <v>36</v>
      </c>
      <c r="K368" s="47">
        <v>10450</v>
      </c>
      <c r="L368" s="3" t="s">
        <v>372</v>
      </c>
      <c r="M368" s="33">
        <f>IF(J368="mm",F368*I368/1000*K368*1.55,F368*I368*12*K368/1000)</f>
        <v>5247.9900000000007</v>
      </c>
      <c r="N368" s="2">
        <f>_xlfn.XLOOKUP(A368,'[1]Prix MP'!$A:$A,'[1]Prix MP'!$T:$T)</f>
        <v>0.10141226920875877</v>
      </c>
      <c r="O368" s="2">
        <f>_xlfn.XLOOKUP(A368,'[1]Prix MP'!$A:$A,'[1]Prix MP'!$U:$U)</f>
        <v>0.36934253244035825</v>
      </c>
      <c r="P368" s="11">
        <f>M368*N368</f>
        <v>532.21057468487402</v>
      </c>
      <c r="Q368" s="7">
        <f t="shared" si="501"/>
        <v>1938.305916821676</v>
      </c>
      <c r="R368" t="s">
        <v>206</v>
      </c>
      <c r="S368" s="1">
        <f>ROUND(IF(E368="I",0,IF(J368="po",I368,I368/25.4)),2)</f>
        <v>41.85</v>
      </c>
      <c r="T368" s="33">
        <f>ROUND(IF(E368="I",0,IF(J368="po",K368,K368*3.280839895)),0)</f>
        <v>10450</v>
      </c>
      <c r="V368" s="8"/>
    </row>
    <row r="369" spans="1:22" x14ac:dyDescent="0.25">
      <c r="A369" s="107">
        <v>30025</v>
      </c>
      <c r="B369" s="17" t="s">
        <v>276</v>
      </c>
      <c r="C369" s="45">
        <v>45580</v>
      </c>
      <c r="D369" s="46" t="s">
        <v>37</v>
      </c>
      <c r="E369" s="46" t="s">
        <v>42</v>
      </c>
      <c r="F369" s="64">
        <f t="shared" si="462"/>
        <v>1</v>
      </c>
      <c r="G369" s="49"/>
      <c r="H369" s="34" t="s">
        <v>303</v>
      </c>
      <c r="I369" s="28">
        <v>1530</v>
      </c>
      <c r="J369" t="s">
        <v>2</v>
      </c>
      <c r="K369" s="47">
        <v>3200</v>
      </c>
      <c r="L369" s="3" t="str">
        <f t="shared" si="463"/>
        <v>m</v>
      </c>
      <c r="M369" s="33">
        <f t="shared" si="449"/>
        <v>7588.8</v>
      </c>
      <c r="N369" s="2">
        <f>_xlfn.XLOOKUP(A369,'[1]Prix MP'!$A:$A,'[1]Prix MP'!$T:$T)</f>
        <v>0.10141226920875877</v>
      </c>
      <c r="O369" s="2">
        <f>_xlfn.XLOOKUP(A369,'[1]Prix MP'!$A:$A,'[1]Prix MP'!$U:$U)</f>
        <v>0.36934253244035825</v>
      </c>
      <c r="P369" s="11">
        <f t="shared" si="450"/>
        <v>769.59742857142862</v>
      </c>
      <c r="Q369" s="7">
        <f t="shared" si="431"/>
        <v>2802.8666101833905</v>
      </c>
      <c r="R369" t="s">
        <v>206</v>
      </c>
      <c r="S369" s="1">
        <f t="shared" si="367"/>
        <v>0</v>
      </c>
      <c r="T369" s="33">
        <f t="shared" si="368"/>
        <v>0</v>
      </c>
      <c r="V369" s="8">
        <f t="shared" si="453"/>
        <v>4896</v>
      </c>
    </row>
    <row r="370" spans="1:22" x14ac:dyDescent="0.25">
      <c r="A370" s="107">
        <v>30025</v>
      </c>
      <c r="B370" s="17" t="s">
        <v>276</v>
      </c>
      <c r="C370" s="45">
        <v>45664</v>
      </c>
      <c r="D370" s="46" t="s">
        <v>176</v>
      </c>
      <c r="E370" s="46" t="s">
        <v>42</v>
      </c>
      <c r="F370" s="64">
        <v>-1</v>
      </c>
      <c r="G370" s="49" t="s">
        <v>620</v>
      </c>
      <c r="H370" s="34" t="s">
        <v>303</v>
      </c>
      <c r="I370" s="28">
        <v>1530</v>
      </c>
      <c r="J370" t="s">
        <v>2</v>
      </c>
      <c r="K370" s="47">
        <v>3200</v>
      </c>
      <c r="L370" s="3" t="str">
        <f t="shared" ref="L370" si="502">IF(J370="mm","m","pi")</f>
        <v>m</v>
      </c>
      <c r="M370" s="33">
        <f>IF(J370="mm",F370*I370/1000*K370*1.55,F370*I370*12*K370/1000)</f>
        <v>-7588.8</v>
      </c>
      <c r="N370" s="2">
        <f>_xlfn.XLOOKUP(A370,'[1]Prix MP'!$A:$A,'[1]Prix MP'!$T:$T)</f>
        <v>0.10141226920875877</v>
      </c>
      <c r="O370" s="2">
        <f>_xlfn.XLOOKUP(A370,'[1]Prix MP'!$A:$A,'[1]Prix MP'!$U:$U)</f>
        <v>0.36934253244035825</v>
      </c>
      <c r="P370" s="11">
        <f>M370*N370</f>
        <v>-769.59742857142862</v>
      </c>
      <c r="Q370" s="7">
        <f t="shared" ref="Q370" si="503">M370*O370</f>
        <v>-2802.8666101833905</v>
      </c>
      <c r="R370" t="s">
        <v>206</v>
      </c>
      <c r="S370" s="1">
        <f>ROUND(IF(E370="I",0,IF(J370="po",I370,I370/25.4)),2)</f>
        <v>0</v>
      </c>
      <c r="T370" s="33">
        <f>ROUND(IF(E370="I",0,IF(J370="po",K370,K370*3.280839895)),0)</f>
        <v>0</v>
      </c>
      <c r="V370" s="8"/>
    </row>
    <row r="371" spans="1:22" x14ac:dyDescent="0.25">
      <c r="A371" s="107">
        <v>30025</v>
      </c>
      <c r="B371" s="17" t="s">
        <v>276</v>
      </c>
      <c r="C371" s="45">
        <v>45580</v>
      </c>
      <c r="D371" s="46" t="s">
        <v>37</v>
      </c>
      <c r="E371" s="46" t="s">
        <v>42</v>
      </c>
      <c r="F371" s="64">
        <f t="shared" si="462"/>
        <v>1</v>
      </c>
      <c r="G371" s="49"/>
      <c r="H371" s="34" t="s">
        <v>304</v>
      </c>
      <c r="I371" s="28">
        <v>1530</v>
      </c>
      <c r="J371" t="s">
        <v>2</v>
      </c>
      <c r="K371" s="47">
        <v>3200</v>
      </c>
      <c r="L371" s="3" t="str">
        <f t="shared" si="463"/>
        <v>m</v>
      </c>
      <c r="M371" s="33">
        <f t="shared" si="449"/>
        <v>7588.8</v>
      </c>
      <c r="N371" s="2">
        <f>_xlfn.XLOOKUP(A371,'[1]Prix MP'!$A:$A,'[1]Prix MP'!$T:$T)</f>
        <v>0.10141226920875877</v>
      </c>
      <c r="O371" s="2">
        <f>_xlfn.XLOOKUP(A371,'[1]Prix MP'!$A:$A,'[1]Prix MP'!$U:$U)</f>
        <v>0.36934253244035825</v>
      </c>
      <c r="P371" s="11">
        <f t="shared" si="450"/>
        <v>769.59742857142862</v>
      </c>
      <c r="Q371" s="7">
        <f t="shared" si="431"/>
        <v>2802.8666101833905</v>
      </c>
      <c r="R371" t="s">
        <v>206</v>
      </c>
      <c r="S371" s="1">
        <f t="shared" si="367"/>
        <v>0</v>
      </c>
      <c r="T371" s="33">
        <f t="shared" si="368"/>
        <v>0</v>
      </c>
      <c r="V371" s="8">
        <f t="shared" si="453"/>
        <v>4896</v>
      </c>
    </row>
    <row r="372" spans="1:22" x14ac:dyDescent="0.25">
      <c r="A372" s="107">
        <v>30025</v>
      </c>
      <c r="B372" s="17" t="s">
        <v>276</v>
      </c>
      <c r="C372" s="45">
        <v>45610</v>
      </c>
      <c r="D372" s="46" t="s">
        <v>176</v>
      </c>
      <c r="E372" s="46" t="s">
        <v>42</v>
      </c>
      <c r="F372" s="64">
        <v>-1</v>
      </c>
      <c r="G372" s="49" t="s">
        <v>454</v>
      </c>
      <c r="H372" s="34" t="s">
        <v>304</v>
      </c>
      <c r="I372" s="28">
        <v>1530</v>
      </c>
      <c r="J372" t="s">
        <v>2</v>
      </c>
      <c r="K372" s="47">
        <v>3200</v>
      </c>
      <c r="L372" s="3" t="str">
        <f t="shared" ref="L372" si="504">IF(J372="mm","m","pi")</f>
        <v>m</v>
      </c>
      <c r="M372" s="33">
        <f>IF(J372="mm",F372*I372/1000*K372*1.55,F372*I372*12*K372/1000)</f>
        <v>-7588.8</v>
      </c>
      <c r="N372" s="2">
        <f>_xlfn.XLOOKUP(A372,'[1]Prix MP'!$A:$A,'[1]Prix MP'!$T:$T)</f>
        <v>0.10141226920875877</v>
      </c>
      <c r="O372" s="2">
        <f>_xlfn.XLOOKUP(A372,'[1]Prix MP'!$A:$A,'[1]Prix MP'!$U:$U)</f>
        <v>0.36934253244035825</v>
      </c>
      <c r="P372" s="11">
        <f>M372*N372</f>
        <v>-769.59742857142862</v>
      </c>
      <c r="Q372" s="7">
        <f t="shared" ref="Q372" si="505">M372*O372</f>
        <v>-2802.8666101833905</v>
      </c>
      <c r="R372" t="s">
        <v>206</v>
      </c>
      <c r="S372" s="1">
        <f>ROUND(IF(E372="I",0,IF(J372="po",I372,I372/25.4)),2)</f>
        <v>0</v>
      </c>
      <c r="T372" s="33">
        <f>ROUND(IF(E372="I",0,IF(J372="po",K372,K372*3.280839895)),0)</f>
        <v>0</v>
      </c>
      <c r="V372" s="8"/>
    </row>
    <row r="373" spans="1:22" x14ac:dyDescent="0.25">
      <c r="A373" s="107">
        <v>30025</v>
      </c>
      <c r="B373" s="17" t="s">
        <v>276</v>
      </c>
      <c r="C373" s="45">
        <v>45580</v>
      </c>
      <c r="D373" s="46" t="s">
        <v>37</v>
      </c>
      <c r="E373" s="46" t="s">
        <v>42</v>
      </c>
      <c r="F373" s="64">
        <f t="shared" si="462"/>
        <v>1</v>
      </c>
      <c r="G373" s="49"/>
      <c r="H373" s="34" t="s">
        <v>305</v>
      </c>
      <c r="I373" s="28">
        <v>1530</v>
      </c>
      <c r="J373" t="s">
        <v>2</v>
      </c>
      <c r="K373" s="47">
        <v>3200</v>
      </c>
      <c r="L373" s="3" t="str">
        <f t="shared" si="463"/>
        <v>m</v>
      </c>
      <c r="M373" s="33">
        <f t="shared" si="449"/>
        <v>7588.8</v>
      </c>
      <c r="N373" s="2">
        <f>_xlfn.XLOOKUP(A373,'[1]Prix MP'!$A:$A,'[1]Prix MP'!$T:$T)</f>
        <v>0.10141226920875877</v>
      </c>
      <c r="O373" s="2">
        <f>_xlfn.XLOOKUP(A373,'[1]Prix MP'!$A:$A,'[1]Prix MP'!$U:$U)</f>
        <v>0.36934253244035825</v>
      </c>
      <c r="P373" s="11">
        <f t="shared" si="450"/>
        <v>769.59742857142862</v>
      </c>
      <c r="Q373" s="7">
        <f t="shared" si="431"/>
        <v>2802.8666101833905</v>
      </c>
      <c r="R373" t="s">
        <v>206</v>
      </c>
      <c r="S373" s="1">
        <f t="shared" si="367"/>
        <v>0</v>
      </c>
      <c r="T373" s="33">
        <f t="shared" si="368"/>
        <v>0</v>
      </c>
      <c r="V373" s="8">
        <f t="shared" si="453"/>
        <v>4896</v>
      </c>
    </row>
    <row r="374" spans="1:22" x14ac:dyDescent="0.25">
      <c r="A374" s="107">
        <v>30025</v>
      </c>
      <c r="B374" s="17" t="s">
        <v>276</v>
      </c>
      <c r="C374" s="45">
        <v>45629</v>
      </c>
      <c r="D374" s="46" t="s">
        <v>176</v>
      </c>
      <c r="E374" s="46" t="s">
        <v>42</v>
      </c>
      <c r="F374" s="64">
        <v>-1</v>
      </c>
      <c r="G374" s="49" t="s">
        <v>498</v>
      </c>
      <c r="H374" s="34" t="s">
        <v>305</v>
      </c>
      <c r="I374" s="28">
        <v>1530</v>
      </c>
      <c r="J374" t="s">
        <v>2</v>
      </c>
      <c r="K374" s="47">
        <v>3200</v>
      </c>
      <c r="L374" s="3" t="str">
        <f t="shared" ref="L374" si="506">IF(J374="mm","m","pi")</f>
        <v>m</v>
      </c>
      <c r="M374" s="33">
        <f t="shared" ref="M374" si="507">IF(J374="mm",F374*I374/1000*K374*1.55,F374*I374*12*K374/1000)</f>
        <v>-7588.8</v>
      </c>
      <c r="N374" s="2">
        <f>_xlfn.XLOOKUP(A374,'[1]Prix MP'!$A:$A,'[1]Prix MP'!$T:$T)</f>
        <v>0.10141226920875877</v>
      </c>
      <c r="O374" s="2">
        <f>_xlfn.XLOOKUP(A374,'[1]Prix MP'!$A:$A,'[1]Prix MP'!$U:$U)</f>
        <v>0.36934253244035825</v>
      </c>
      <c r="P374" s="11">
        <f t="shared" ref="P374" si="508">M374*N374</f>
        <v>-769.59742857142862</v>
      </c>
      <c r="Q374" s="7">
        <f t="shared" ref="Q374" si="509">M374*O374</f>
        <v>-2802.8666101833905</v>
      </c>
      <c r="R374" t="s">
        <v>206</v>
      </c>
      <c r="S374" s="1">
        <f t="shared" ref="S374" si="510">ROUND(IF(E374="I",0,IF(J374="po",I374,I374/25.4)),2)</f>
        <v>0</v>
      </c>
      <c r="T374" s="33">
        <f t="shared" ref="T374" si="511">ROUND(IF(E374="I",0,IF(J374="po",K374,K374*3.280839895)),0)</f>
        <v>0</v>
      </c>
      <c r="V374" s="8"/>
    </row>
    <row r="375" spans="1:22" x14ac:dyDescent="0.25">
      <c r="A375" s="107">
        <v>30025</v>
      </c>
      <c r="B375" s="17" t="s">
        <v>276</v>
      </c>
      <c r="C375" s="45">
        <v>45580</v>
      </c>
      <c r="D375" s="46" t="s">
        <v>37</v>
      </c>
      <c r="E375" s="46" t="s">
        <v>42</v>
      </c>
      <c r="F375" s="64">
        <f t="shared" si="462"/>
        <v>1</v>
      </c>
      <c r="G375" s="49"/>
      <c r="H375" s="34" t="s">
        <v>306</v>
      </c>
      <c r="I375" s="28">
        <v>1530</v>
      </c>
      <c r="J375" t="s">
        <v>2</v>
      </c>
      <c r="K375" s="47">
        <v>3200</v>
      </c>
      <c r="L375" s="3" t="str">
        <f t="shared" si="463"/>
        <v>m</v>
      </c>
      <c r="M375" s="33">
        <f t="shared" ref="M375:M382" si="512">IF(J375="mm",F375*I375/1000*K375*1.55,F375*I375*12*K375/1000)</f>
        <v>7588.8</v>
      </c>
      <c r="N375" s="2">
        <f>_xlfn.XLOOKUP(A375,'[1]Prix MP'!$A:$A,'[1]Prix MP'!$T:$T)</f>
        <v>0.10141226920875877</v>
      </c>
      <c r="O375" s="2">
        <f>_xlfn.XLOOKUP(A375,'[1]Prix MP'!$A:$A,'[1]Prix MP'!$U:$U)</f>
        <v>0.36934253244035825</v>
      </c>
      <c r="P375" s="11">
        <f t="shared" ref="P375:P382" si="513">M375*N375</f>
        <v>769.59742857142862</v>
      </c>
      <c r="Q375" s="7">
        <f t="shared" si="431"/>
        <v>2802.8666101833905</v>
      </c>
      <c r="R375" t="s">
        <v>206</v>
      </c>
      <c r="S375" s="1">
        <f t="shared" si="367"/>
        <v>0</v>
      </c>
      <c r="T375" s="33">
        <f t="shared" si="368"/>
        <v>0</v>
      </c>
      <c r="V375" s="8">
        <f t="shared" si="453"/>
        <v>4896</v>
      </c>
    </row>
    <row r="376" spans="1:22" x14ac:dyDescent="0.25">
      <c r="A376" s="107">
        <v>30025</v>
      </c>
      <c r="B376" s="17" t="s">
        <v>276</v>
      </c>
      <c r="C376" s="45">
        <v>45643</v>
      </c>
      <c r="D376" s="46" t="s">
        <v>176</v>
      </c>
      <c r="E376" s="46" t="s">
        <v>42</v>
      </c>
      <c r="F376" s="64">
        <v>-1</v>
      </c>
      <c r="G376" s="49" t="s">
        <v>575</v>
      </c>
      <c r="H376" s="34" t="s">
        <v>306</v>
      </c>
      <c r="I376" s="28">
        <v>1530</v>
      </c>
      <c r="J376" t="s">
        <v>2</v>
      </c>
      <c r="K376" s="47">
        <v>3200</v>
      </c>
      <c r="L376" s="3" t="str">
        <f t="shared" ref="L376" si="514">IF(J376="mm","m","pi")</f>
        <v>m</v>
      </c>
      <c r="M376" s="33">
        <f t="shared" si="512"/>
        <v>-7588.8</v>
      </c>
      <c r="N376" s="2">
        <f>_xlfn.XLOOKUP(A376,'[1]Prix MP'!$A:$A,'[1]Prix MP'!$T:$T)</f>
        <v>0.10141226920875877</v>
      </c>
      <c r="O376" s="2">
        <f>_xlfn.XLOOKUP(A376,'[1]Prix MP'!$A:$A,'[1]Prix MP'!$U:$U)</f>
        <v>0.36934253244035825</v>
      </c>
      <c r="P376" s="11">
        <f t="shared" si="513"/>
        <v>-769.59742857142862</v>
      </c>
      <c r="Q376" s="7">
        <f t="shared" ref="Q376" si="515">M376*O376</f>
        <v>-2802.8666101833905</v>
      </c>
      <c r="R376" t="s">
        <v>206</v>
      </c>
      <c r="S376" s="1">
        <f>ROUND(IF(E376="I",0,IF(J376="po",I376,I376/25.4)),2)</f>
        <v>0</v>
      </c>
      <c r="T376" s="33">
        <f>ROUND(IF(E376="I",0,IF(J376="po",K376,K376*3.280839895)),0)</f>
        <v>0</v>
      </c>
      <c r="V376" s="8"/>
    </row>
    <row r="377" spans="1:22" x14ac:dyDescent="0.25">
      <c r="A377" s="107">
        <v>30025</v>
      </c>
      <c r="B377" s="17" t="s">
        <v>276</v>
      </c>
      <c r="C377" s="45">
        <v>45580</v>
      </c>
      <c r="D377" s="46" t="s">
        <v>37</v>
      </c>
      <c r="E377" s="46" t="s">
        <v>42</v>
      </c>
      <c r="F377" s="64">
        <f t="shared" si="462"/>
        <v>1</v>
      </c>
      <c r="G377" s="49"/>
      <c r="H377" s="34" t="s">
        <v>307</v>
      </c>
      <c r="I377" s="28">
        <v>1530</v>
      </c>
      <c r="J377" t="s">
        <v>2</v>
      </c>
      <c r="K377" s="47">
        <v>3200</v>
      </c>
      <c r="L377" s="3" t="str">
        <f t="shared" si="463"/>
        <v>m</v>
      </c>
      <c r="M377" s="33">
        <f t="shared" si="512"/>
        <v>7588.8</v>
      </c>
      <c r="N377" s="2">
        <f>_xlfn.XLOOKUP(A377,'[1]Prix MP'!$A:$A,'[1]Prix MP'!$T:$T)</f>
        <v>0.10141226920875877</v>
      </c>
      <c r="O377" s="2">
        <f>_xlfn.XLOOKUP(A377,'[1]Prix MP'!$A:$A,'[1]Prix MP'!$U:$U)</f>
        <v>0.36934253244035825</v>
      </c>
      <c r="P377" s="11">
        <f t="shared" si="513"/>
        <v>769.59742857142862</v>
      </c>
      <c r="Q377" s="7">
        <f t="shared" si="431"/>
        <v>2802.8666101833905</v>
      </c>
      <c r="R377" t="s">
        <v>206</v>
      </c>
      <c r="S377" s="1">
        <f t="shared" si="367"/>
        <v>0</v>
      </c>
      <c r="T377" s="33">
        <f t="shared" si="368"/>
        <v>0</v>
      </c>
      <c r="V377" s="8">
        <f t="shared" si="453"/>
        <v>4896</v>
      </c>
    </row>
    <row r="378" spans="1:22" x14ac:dyDescent="0.25">
      <c r="A378" s="107">
        <v>30025</v>
      </c>
      <c r="B378" s="17" t="s">
        <v>276</v>
      </c>
      <c r="C378" s="45">
        <v>45629</v>
      </c>
      <c r="D378" s="46" t="s">
        <v>176</v>
      </c>
      <c r="E378" s="46" t="s">
        <v>42</v>
      </c>
      <c r="F378" s="64">
        <v>-1</v>
      </c>
      <c r="G378" s="49" t="s">
        <v>498</v>
      </c>
      <c r="H378" s="34" t="s">
        <v>307</v>
      </c>
      <c r="I378" s="28">
        <v>1530</v>
      </c>
      <c r="J378" t="s">
        <v>2</v>
      </c>
      <c r="K378" s="47">
        <v>3200</v>
      </c>
      <c r="L378" s="3" t="str">
        <f t="shared" ref="L378" si="516">IF(J378="mm","m","pi")</f>
        <v>m</v>
      </c>
      <c r="M378" s="33">
        <f t="shared" si="512"/>
        <v>-7588.8</v>
      </c>
      <c r="N378" s="2">
        <f>_xlfn.XLOOKUP(A378,'[1]Prix MP'!$A:$A,'[1]Prix MP'!$T:$T)</f>
        <v>0.10141226920875877</v>
      </c>
      <c r="O378" s="2">
        <f>_xlfn.XLOOKUP(A378,'[1]Prix MP'!$A:$A,'[1]Prix MP'!$U:$U)</f>
        <v>0.36934253244035825</v>
      </c>
      <c r="P378" s="11">
        <f t="shared" si="513"/>
        <v>-769.59742857142862</v>
      </c>
      <c r="Q378" s="7">
        <f t="shared" ref="Q378" si="517">M378*O378</f>
        <v>-2802.8666101833905</v>
      </c>
      <c r="R378" t="s">
        <v>206</v>
      </c>
      <c r="S378" s="1">
        <f t="shared" ref="S378" si="518">ROUND(IF(E378="I",0,IF(J378="po",I378,I378/25.4)),2)</f>
        <v>0</v>
      </c>
      <c r="T378" s="33">
        <f t="shared" ref="T378" si="519">ROUND(IF(E378="I",0,IF(J378="po",K378,K378*3.280839895)),0)</f>
        <v>0</v>
      </c>
      <c r="V378" s="8"/>
    </row>
    <row r="379" spans="1:22" x14ac:dyDescent="0.25">
      <c r="A379" s="107">
        <v>30025</v>
      </c>
      <c r="B379" s="17" t="s">
        <v>276</v>
      </c>
      <c r="C379" s="45">
        <v>45580</v>
      </c>
      <c r="D379" s="46" t="s">
        <v>37</v>
      </c>
      <c r="E379" s="46" t="s">
        <v>42</v>
      </c>
      <c r="F379" s="64">
        <f t="shared" si="462"/>
        <v>1</v>
      </c>
      <c r="G379" s="49"/>
      <c r="H379" s="34" t="s">
        <v>308</v>
      </c>
      <c r="I379" s="28">
        <v>1530</v>
      </c>
      <c r="J379" t="s">
        <v>2</v>
      </c>
      <c r="K379" s="47">
        <v>3200</v>
      </c>
      <c r="L379" s="3" t="str">
        <f t="shared" si="463"/>
        <v>m</v>
      </c>
      <c r="M379" s="33">
        <f t="shared" si="512"/>
        <v>7588.8</v>
      </c>
      <c r="N379" s="2">
        <f>_xlfn.XLOOKUP(A379,'[1]Prix MP'!$A:$A,'[1]Prix MP'!$T:$T)</f>
        <v>0.10141226920875877</v>
      </c>
      <c r="O379" s="2">
        <f>_xlfn.XLOOKUP(A379,'[1]Prix MP'!$A:$A,'[1]Prix MP'!$U:$U)</f>
        <v>0.36934253244035825</v>
      </c>
      <c r="P379" s="11">
        <f t="shared" si="513"/>
        <v>769.59742857142862</v>
      </c>
      <c r="Q379" s="7">
        <f t="shared" si="431"/>
        <v>2802.8666101833905</v>
      </c>
      <c r="R379" t="s">
        <v>206</v>
      </c>
      <c r="S379" s="1">
        <f t="shared" si="367"/>
        <v>0</v>
      </c>
      <c r="T379" s="33">
        <f t="shared" si="368"/>
        <v>0</v>
      </c>
      <c r="V379" s="8">
        <f t="shared" si="453"/>
        <v>4896</v>
      </c>
    </row>
    <row r="380" spans="1:22" x14ac:dyDescent="0.25">
      <c r="A380" s="107">
        <v>30025</v>
      </c>
      <c r="B380" s="17" t="s">
        <v>276</v>
      </c>
      <c r="C380" s="45">
        <v>45643</v>
      </c>
      <c r="D380" s="46" t="s">
        <v>176</v>
      </c>
      <c r="E380" s="46" t="s">
        <v>42</v>
      </c>
      <c r="F380" s="64">
        <v>-1</v>
      </c>
      <c r="G380" s="49" t="s">
        <v>575</v>
      </c>
      <c r="H380" s="34" t="s">
        <v>308</v>
      </c>
      <c r="I380" s="28">
        <v>1530</v>
      </c>
      <c r="J380" t="s">
        <v>2</v>
      </c>
      <c r="K380" s="47">
        <v>3200</v>
      </c>
      <c r="L380" s="3" t="str">
        <f t="shared" ref="L380" si="520">IF(J380="mm","m","pi")</f>
        <v>m</v>
      </c>
      <c r="M380" s="33">
        <f t="shared" si="512"/>
        <v>-7588.8</v>
      </c>
      <c r="N380" s="2">
        <f>_xlfn.XLOOKUP(A380,'[1]Prix MP'!$A:$A,'[1]Prix MP'!$T:$T)</f>
        <v>0.10141226920875877</v>
      </c>
      <c r="O380" s="2">
        <f>_xlfn.XLOOKUP(A380,'[1]Prix MP'!$A:$A,'[1]Prix MP'!$U:$U)</f>
        <v>0.36934253244035825</v>
      </c>
      <c r="P380" s="11">
        <f t="shared" si="513"/>
        <v>-769.59742857142862</v>
      </c>
      <c r="Q380" s="7">
        <f t="shared" ref="Q380" si="521">M380*O380</f>
        <v>-2802.8666101833905</v>
      </c>
      <c r="R380" t="s">
        <v>206</v>
      </c>
      <c r="S380" s="1">
        <f>ROUND(IF(E380="I",0,IF(J380="po",I380,I380/25.4)),2)</f>
        <v>0</v>
      </c>
      <c r="T380" s="33">
        <f>ROUND(IF(E380="I",0,IF(J380="po",K380,K380*3.280839895)),0)</f>
        <v>0</v>
      </c>
      <c r="V380" s="8"/>
    </row>
    <row r="381" spans="1:22" x14ac:dyDescent="0.25">
      <c r="A381" s="107">
        <v>30025</v>
      </c>
      <c r="B381" s="17" t="s">
        <v>276</v>
      </c>
      <c r="C381" s="45">
        <v>45580</v>
      </c>
      <c r="D381" s="46" t="s">
        <v>37</v>
      </c>
      <c r="E381" s="46" t="s">
        <v>42</v>
      </c>
      <c r="F381" s="64">
        <f t="shared" si="462"/>
        <v>1</v>
      </c>
      <c r="G381" s="49"/>
      <c r="H381" s="34" t="s">
        <v>309</v>
      </c>
      <c r="I381" s="28">
        <v>1530</v>
      </c>
      <c r="J381" t="s">
        <v>2</v>
      </c>
      <c r="K381" s="47">
        <v>3200</v>
      </c>
      <c r="L381" s="3" t="str">
        <f t="shared" si="463"/>
        <v>m</v>
      </c>
      <c r="M381" s="33">
        <f t="shared" si="512"/>
        <v>7588.8</v>
      </c>
      <c r="N381" s="2">
        <f>_xlfn.XLOOKUP(A381,'[1]Prix MP'!$A:$A,'[1]Prix MP'!$T:$T)</f>
        <v>0.10141226920875877</v>
      </c>
      <c r="O381" s="2">
        <f>_xlfn.XLOOKUP(A381,'[1]Prix MP'!$A:$A,'[1]Prix MP'!$U:$U)</f>
        <v>0.36934253244035825</v>
      </c>
      <c r="P381" s="11">
        <f t="shared" si="513"/>
        <v>769.59742857142862</v>
      </c>
      <c r="Q381" s="7">
        <f t="shared" si="431"/>
        <v>2802.8666101833905</v>
      </c>
      <c r="R381" t="s">
        <v>206</v>
      </c>
      <c r="S381" s="1">
        <f t="shared" si="367"/>
        <v>0</v>
      </c>
      <c r="T381" s="33">
        <f t="shared" si="368"/>
        <v>0</v>
      </c>
      <c r="V381" s="8">
        <f t="shared" si="453"/>
        <v>4896</v>
      </c>
    </row>
    <row r="382" spans="1:22" x14ac:dyDescent="0.25">
      <c r="A382" s="107">
        <v>30025</v>
      </c>
      <c r="B382" s="17" t="s">
        <v>276</v>
      </c>
      <c r="C382" s="45">
        <v>45643</v>
      </c>
      <c r="D382" s="46" t="s">
        <v>176</v>
      </c>
      <c r="E382" s="46" t="s">
        <v>42</v>
      </c>
      <c r="F382" s="64">
        <v>-1</v>
      </c>
      <c r="G382" s="49" t="s">
        <v>575</v>
      </c>
      <c r="H382" s="34" t="s">
        <v>309</v>
      </c>
      <c r="I382" s="28">
        <v>1530</v>
      </c>
      <c r="J382" t="s">
        <v>2</v>
      </c>
      <c r="K382" s="47">
        <v>3200</v>
      </c>
      <c r="L382" s="3" t="str">
        <f t="shared" ref="L382" si="522">IF(J382="mm","m","pi")</f>
        <v>m</v>
      </c>
      <c r="M382" s="33">
        <f t="shared" si="512"/>
        <v>-7588.8</v>
      </c>
      <c r="N382" s="2">
        <f>_xlfn.XLOOKUP(A382,'[1]Prix MP'!$A:$A,'[1]Prix MP'!$T:$T)</f>
        <v>0.10141226920875877</v>
      </c>
      <c r="O382" s="2">
        <f>_xlfn.XLOOKUP(A382,'[1]Prix MP'!$A:$A,'[1]Prix MP'!$U:$U)</f>
        <v>0.36934253244035825</v>
      </c>
      <c r="P382" s="11">
        <f t="shared" si="513"/>
        <v>-769.59742857142862</v>
      </c>
      <c r="Q382" s="7">
        <f t="shared" ref="Q382" si="523">M382*O382</f>
        <v>-2802.8666101833905</v>
      </c>
      <c r="R382" t="s">
        <v>206</v>
      </c>
      <c r="S382" s="1">
        <f>ROUND(IF(E382="I",0,IF(J382="po",I382,I382/25.4)),2)</f>
        <v>0</v>
      </c>
      <c r="T382" s="33">
        <f>ROUND(IF(E382="I",0,IF(J382="po",K382,K382*3.280839895)),0)</f>
        <v>0</v>
      </c>
      <c r="V382" s="8"/>
    </row>
    <row r="383" spans="1:22" x14ac:dyDescent="0.25">
      <c r="A383" s="107">
        <v>30025</v>
      </c>
      <c r="B383" s="17" t="s">
        <v>276</v>
      </c>
      <c r="C383" s="45">
        <v>45580</v>
      </c>
      <c r="D383" s="46" t="s">
        <v>37</v>
      </c>
      <c r="E383" s="46" t="s">
        <v>42</v>
      </c>
      <c r="F383" s="64">
        <f t="shared" si="462"/>
        <v>1</v>
      </c>
      <c r="G383" s="49"/>
      <c r="H383" s="34" t="s">
        <v>310</v>
      </c>
      <c r="I383" s="28">
        <v>1530</v>
      </c>
      <c r="J383" t="s">
        <v>2</v>
      </c>
      <c r="K383" s="47">
        <v>3200</v>
      </c>
      <c r="L383" s="3" t="str">
        <f t="shared" si="463"/>
        <v>m</v>
      </c>
      <c r="M383" s="33">
        <f t="shared" ref="M383:M413" si="524">IF(J383="mm",F383*I383/1000*K383*1.55,F383*I383*12*K383/1000)</f>
        <v>7588.8</v>
      </c>
      <c r="N383" s="2">
        <f>_xlfn.XLOOKUP(A383,'[1]Prix MP'!$A:$A,'[1]Prix MP'!$T:$T)</f>
        <v>0.10141226920875877</v>
      </c>
      <c r="O383" s="2">
        <f>_xlfn.XLOOKUP(A383,'[1]Prix MP'!$A:$A,'[1]Prix MP'!$U:$U)</f>
        <v>0.36934253244035825</v>
      </c>
      <c r="P383" s="11">
        <f t="shared" ref="P383:P413" si="525">M383*N383</f>
        <v>769.59742857142862</v>
      </c>
      <c r="Q383" s="7">
        <f t="shared" si="431"/>
        <v>2802.8666101833905</v>
      </c>
      <c r="R383" t="s">
        <v>206</v>
      </c>
      <c r="S383" s="1">
        <f t="shared" si="367"/>
        <v>0</v>
      </c>
      <c r="T383" s="33">
        <f t="shared" si="368"/>
        <v>0</v>
      </c>
      <c r="V383" s="8">
        <f t="shared" si="453"/>
        <v>4896</v>
      </c>
    </row>
    <row r="384" spans="1:22" x14ac:dyDescent="0.25">
      <c r="A384" s="107">
        <v>30025</v>
      </c>
      <c r="B384" s="17" t="s">
        <v>276</v>
      </c>
      <c r="C384" s="45">
        <v>45580</v>
      </c>
      <c r="D384" s="46" t="s">
        <v>37</v>
      </c>
      <c r="E384" s="46" t="s">
        <v>42</v>
      </c>
      <c r="F384" s="64">
        <f t="shared" si="462"/>
        <v>1</v>
      </c>
      <c r="G384" s="49"/>
      <c r="H384" s="34" t="s">
        <v>311</v>
      </c>
      <c r="I384" s="28">
        <v>1530</v>
      </c>
      <c r="J384" t="s">
        <v>2</v>
      </c>
      <c r="K384" s="47">
        <v>3200</v>
      </c>
      <c r="L384" s="3" t="str">
        <f t="shared" si="463"/>
        <v>m</v>
      </c>
      <c r="M384" s="33">
        <f t="shared" si="524"/>
        <v>7588.8</v>
      </c>
      <c r="N384" s="2">
        <f>_xlfn.XLOOKUP(A384,'[1]Prix MP'!$A:$A,'[1]Prix MP'!$T:$T)</f>
        <v>0.10141226920875877</v>
      </c>
      <c r="O384" s="2">
        <f>_xlfn.XLOOKUP(A384,'[1]Prix MP'!$A:$A,'[1]Prix MP'!$U:$U)</f>
        <v>0.36934253244035825</v>
      </c>
      <c r="P384" s="11">
        <f t="shared" si="525"/>
        <v>769.59742857142862</v>
      </c>
      <c r="Q384" s="7">
        <f t="shared" si="431"/>
        <v>2802.8666101833905</v>
      </c>
      <c r="R384" t="s">
        <v>206</v>
      </c>
      <c r="S384" s="1">
        <f t="shared" si="367"/>
        <v>0</v>
      </c>
      <c r="T384" s="33">
        <f t="shared" si="368"/>
        <v>0</v>
      </c>
      <c r="V384" s="8">
        <f t="shared" si="453"/>
        <v>4896</v>
      </c>
    </row>
    <row r="385" spans="1:22" x14ac:dyDescent="0.25">
      <c r="A385" s="107">
        <v>30025</v>
      </c>
      <c r="B385" s="17" t="s">
        <v>276</v>
      </c>
      <c r="C385" s="45">
        <v>45610</v>
      </c>
      <c r="D385" s="46" t="s">
        <v>176</v>
      </c>
      <c r="E385" s="46" t="s">
        <v>42</v>
      </c>
      <c r="F385" s="64">
        <v>-1</v>
      </c>
      <c r="G385" s="49" t="s">
        <v>454</v>
      </c>
      <c r="H385" s="34" t="s">
        <v>311</v>
      </c>
      <c r="I385" s="28">
        <v>1530</v>
      </c>
      <c r="J385" t="s">
        <v>2</v>
      </c>
      <c r="K385" s="47">
        <v>3200</v>
      </c>
      <c r="L385" s="3" t="s">
        <v>372</v>
      </c>
      <c r="M385" s="33">
        <f>IF(J385="mm",F385*I385/1000*K385*1.55,F385*I385*12*K385/1000)</f>
        <v>-7588.8</v>
      </c>
      <c r="N385" s="2">
        <f>_xlfn.XLOOKUP(A385,'[1]Prix MP'!$A:$A,'[1]Prix MP'!$T:$T)</f>
        <v>0.10141226920875877</v>
      </c>
      <c r="O385" s="2">
        <f>_xlfn.XLOOKUP(A385,'[1]Prix MP'!$A:$A,'[1]Prix MP'!$U:$U)</f>
        <v>0.36934253244035825</v>
      </c>
      <c r="P385" s="11">
        <f>M385*N385</f>
        <v>-769.59742857142862</v>
      </c>
      <c r="Q385" s="7">
        <f t="shared" ref="Q385:Q386" si="526">M385*O385</f>
        <v>-2802.8666101833905</v>
      </c>
      <c r="R385" t="s">
        <v>206</v>
      </c>
      <c r="S385" s="1">
        <f>ROUND(IF(E385="I",0,IF(J385="po",I385,I385/25.4)),2)</f>
        <v>0</v>
      </c>
      <c r="T385" s="33">
        <f>ROUND(IF(E385="I",0,IF(J385="po",K385,K385*3.280839895)),0)</f>
        <v>0</v>
      </c>
      <c r="V385" s="8"/>
    </row>
    <row r="386" spans="1:22" x14ac:dyDescent="0.25">
      <c r="A386" s="107">
        <v>30025</v>
      </c>
      <c r="B386" s="17" t="s">
        <v>276</v>
      </c>
      <c r="C386" s="45">
        <v>45629</v>
      </c>
      <c r="D386" s="46" t="s">
        <v>176</v>
      </c>
      <c r="E386" s="46" t="s">
        <v>42</v>
      </c>
      <c r="F386" s="64">
        <v>-1</v>
      </c>
      <c r="G386" s="49" t="s">
        <v>498</v>
      </c>
      <c r="H386" s="34" t="s">
        <v>310</v>
      </c>
      <c r="I386" s="28">
        <v>1530</v>
      </c>
      <c r="J386" t="s">
        <v>2</v>
      </c>
      <c r="K386" s="47">
        <v>3200</v>
      </c>
      <c r="L386" s="3" t="str">
        <f t="shared" ref="L386" si="527">IF(J386="mm","m","pi")</f>
        <v>m</v>
      </c>
      <c r="M386" s="33">
        <f t="shared" ref="M386" si="528">IF(J386="mm",F386*I386/1000*K386*1.55,F386*I386*12*K386/1000)</f>
        <v>-7588.8</v>
      </c>
      <c r="N386" s="2">
        <f>_xlfn.XLOOKUP(A386,'[1]Prix MP'!$A:$A,'[1]Prix MP'!$T:$T)</f>
        <v>0.10141226920875877</v>
      </c>
      <c r="O386" s="2">
        <f>_xlfn.XLOOKUP(A386,'[1]Prix MP'!$A:$A,'[1]Prix MP'!$U:$U)</f>
        <v>0.36934253244035825</v>
      </c>
      <c r="P386" s="11">
        <f t="shared" ref="P386" si="529">M386*N386</f>
        <v>-769.59742857142862</v>
      </c>
      <c r="Q386" s="7">
        <f t="shared" si="526"/>
        <v>-2802.8666101833905</v>
      </c>
      <c r="R386" t="s">
        <v>206</v>
      </c>
      <c r="S386" s="1">
        <f t="shared" ref="S386" si="530">ROUND(IF(E386="I",0,IF(J386="po",I386,I386/25.4)),2)</f>
        <v>0</v>
      </c>
      <c r="T386" s="33">
        <f t="shared" ref="T386" si="531">ROUND(IF(E386="I",0,IF(J386="po",K386,K386*3.280839895)),0)</f>
        <v>0</v>
      </c>
      <c r="V386" s="8"/>
    </row>
    <row r="387" spans="1:22" x14ac:dyDescent="0.25">
      <c r="A387" s="107">
        <v>30025</v>
      </c>
      <c r="B387" s="17" t="s">
        <v>276</v>
      </c>
      <c r="C387" s="45">
        <v>45580</v>
      </c>
      <c r="D387" s="46" t="s">
        <v>37</v>
      </c>
      <c r="E387" s="46" t="s">
        <v>42</v>
      </c>
      <c r="F387" s="64">
        <f t="shared" si="462"/>
        <v>1</v>
      </c>
      <c r="G387" s="49"/>
      <c r="H387" s="34" t="s">
        <v>312</v>
      </c>
      <c r="I387" s="28">
        <v>1530</v>
      </c>
      <c r="J387" t="s">
        <v>2</v>
      </c>
      <c r="K387" s="47">
        <v>3200</v>
      </c>
      <c r="L387" s="3" t="str">
        <f t="shared" si="463"/>
        <v>m</v>
      </c>
      <c r="M387" s="33">
        <f t="shared" si="524"/>
        <v>7588.8</v>
      </c>
      <c r="N387" s="2">
        <f>_xlfn.XLOOKUP(A387,'[1]Prix MP'!$A:$A,'[1]Prix MP'!$T:$T)</f>
        <v>0.10141226920875877</v>
      </c>
      <c r="O387" s="2">
        <f>_xlfn.XLOOKUP(A387,'[1]Prix MP'!$A:$A,'[1]Prix MP'!$U:$U)</f>
        <v>0.36934253244035825</v>
      </c>
      <c r="P387" s="11">
        <f t="shared" si="525"/>
        <v>769.59742857142862</v>
      </c>
      <c r="Q387" s="7">
        <f t="shared" si="431"/>
        <v>2802.8666101833905</v>
      </c>
      <c r="R387" t="s">
        <v>206</v>
      </c>
      <c r="S387" s="1">
        <f t="shared" si="367"/>
        <v>0</v>
      </c>
      <c r="T387" s="33">
        <f t="shared" si="368"/>
        <v>0</v>
      </c>
      <c r="V387" s="8">
        <f t="shared" si="453"/>
        <v>4896</v>
      </c>
    </row>
    <row r="388" spans="1:22" x14ac:dyDescent="0.25">
      <c r="A388" s="107">
        <v>30025</v>
      </c>
      <c r="B388" s="17" t="s">
        <v>276</v>
      </c>
      <c r="C388" s="45">
        <v>45643</v>
      </c>
      <c r="D388" s="46" t="s">
        <v>176</v>
      </c>
      <c r="E388" s="46" t="s">
        <v>42</v>
      </c>
      <c r="F388" s="64">
        <v>-1</v>
      </c>
      <c r="G388" s="49" t="s">
        <v>575</v>
      </c>
      <c r="H388" s="34" t="s">
        <v>312</v>
      </c>
      <c r="I388" s="28">
        <v>1530</v>
      </c>
      <c r="J388" t="s">
        <v>2</v>
      </c>
      <c r="K388" s="47">
        <v>3200</v>
      </c>
      <c r="L388" s="3" t="str">
        <f t="shared" ref="L388" si="532">IF(J388="mm","m","pi")</f>
        <v>m</v>
      </c>
      <c r="M388" s="33">
        <f t="shared" ref="M388" si="533">IF(J388="mm",F388*I388/1000*K388*1.55,F388*I388*12*K388/1000)</f>
        <v>-7588.8</v>
      </c>
      <c r="N388" s="2">
        <f>_xlfn.XLOOKUP(A388,'[1]Prix MP'!$A:$A,'[1]Prix MP'!$T:$T)</f>
        <v>0.10141226920875877</v>
      </c>
      <c r="O388" s="2">
        <f>_xlfn.XLOOKUP(A388,'[1]Prix MP'!$A:$A,'[1]Prix MP'!$U:$U)</f>
        <v>0.36934253244035825</v>
      </c>
      <c r="P388" s="11">
        <f t="shared" ref="P388" si="534">M388*N388</f>
        <v>-769.59742857142862</v>
      </c>
      <c r="Q388" s="7">
        <f t="shared" ref="Q388" si="535">M388*O388</f>
        <v>-2802.8666101833905</v>
      </c>
      <c r="R388" t="s">
        <v>206</v>
      </c>
      <c r="S388" s="1">
        <f>ROUND(IF(E388="I",0,IF(J388="po",I388,I388/25.4)),2)</f>
        <v>0</v>
      </c>
      <c r="T388" s="33">
        <f>ROUND(IF(E388="I",0,IF(J388="po",K388,K388*3.280839895)),0)</f>
        <v>0</v>
      </c>
      <c r="V388" s="8"/>
    </row>
    <row r="389" spans="1:22" x14ac:dyDescent="0.25">
      <c r="A389" s="107">
        <v>30025</v>
      </c>
      <c r="B389" s="17" t="s">
        <v>276</v>
      </c>
      <c r="C389" s="45">
        <v>45580</v>
      </c>
      <c r="D389" s="46" t="s">
        <v>37</v>
      </c>
      <c r="E389" s="46" t="s">
        <v>42</v>
      </c>
      <c r="F389" s="64">
        <f t="shared" ref="F389:F413" si="536">IF(D389="in",1,-1)</f>
        <v>1</v>
      </c>
      <c r="G389" s="49"/>
      <c r="H389" s="34" t="s">
        <v>313</v>
      </c>
      <c r="I389" s="28">
        <v>1530</v>
      </c>
      <c r="J389" t="s">
        <v>2</v>
      </c>
      <c r="K389" s="47">
        <v>3200</v>
      </c>
      <c r="L389" s="3" t="str">
        <f t="shared" ref="L389:L413" si="537">IF(J389="mm","m","pi")</f>
        <v>m</v>
      </c>
      <c r="M389" s="33">
        <f t="shared" si="524"/>
        <v>7588.8</v>
      </c>
      <c r="N389" s="2">
        <f>_xlfn.XLOOKUP(A389,'[1]Prix MP'!$A:$A,'[1]Prix MP'!$T:$T)</f>
        <v>0.10141226920875877</v>
      </c>
      <c r="O389" s="2">
        <f>_xlfn.XLOOKUP(A389,'[1]Prix MP'!$A:$A,'[1]Prix MP'!$U:$U)</f>
        <v>0.36934253244035825</v>
      </c>
      <c r="P389" s="11">
        <f t="shared" si="525"/>
        <v>769.59742857142862</v>
      </c>
      <c r="Q389" s="7">
        <f t="shared" si="431"/>
        <v>2802.8666101833905</v>
      </c>
      <c r="R389" t="s">
        <v>206</v>
      </c>
      <c r="S389" s="1">
        <f t="shared" si="367"/>
        <v>0</v>
      </c>
      <c r="T389" s="33">
        <f t="shared" si="368"/>
        <v>0</v>
      </c>
      <c r="V389" s="8">
        <f t="shared" si="453"/>
        <v>4896</v>
      </c>
    </row>
    <row r="390" spans="1:22" x14ac:dyDescent="0.25">
      <c r="A390" s="107">
        <v>30025</v>
      </c>
      <c r="B390" s="17" t="s">
        <v>276</v>
      </c>
      <c r="C390" s="45">
        <v>45610</v>
      </c>
      <c r="D390" s="46" t="s">
        <v>176</v>
      </c>
      <c r="E390" s="46" t="s">
        <v>42</v>
      </c>
      <c r="F390" s="64">
        <v>-1</v>
      </c>
      <c r="G390" s="49" t="s">
        <v>454</v>
      </c>
      <c r="H390" s="34" t="s">
        <v>313</v>
      </c>
      <c r="I390" s="28">
        <v>1530</v>
      </c>
      <c r="J390" t="s">
        <v>2</v>
      </c>
      <c r="K390" s="47">
        <v>3200</v>
      </c>
      <c r="L390" s="3" t="str">
        <f t="shared" ref="L390" si="538">IF(J390="mm","m","pi")</f>
        <v>m</v>
      </c>
      <c r="M390" s="33">
        <f>IF(J390="mm",F390*I390/1000*K390*1.55,F390*I390*12*K390/1000)</f>
        <v>-7588.8</v>
      </c>
      <c r="N390" s="2">
        <f>_xlfn.XLOOKUP(A390,'[1]Prix MP'!$A:$A,'[1]Prix MP'!$T:$T)</f>
        <v>0.10141226920875877</v>
      </c>
      <c r="O390" s="2">
        <f>_xlfn.XLOOKUP(A390,'[1]Prix MP'!$A:$A,'[1]Prix MP'!$U:$U)</f>
        <v>0.36934253244035825</v>
      </c>
      <c r="P390" s="11">
        <f>M390*N390</f>
        <v>-769.59742857142862</v>
      </c>
      <c r="Q390" s="7">
        <f t="shared" ref="Q390:Q391" si="539">M390*O390</f>
        <v>-2802.8666101833905</v>
      </c>
      <c r="R390" t="s">
        <v>206</v>
      </c>
      <c r="S390" s="1">
        <f>ROUND(IF(E390="I",0,IF(J390="po",I390,I390/25.4)),2)</f>
        <v>0</v>
      </c>
      <c r="T390" s="33">
        <f>ROUND(IF(E390="I",0,IF(J390="po",K390,K390*3.280839895)),0)</f>
        <v>0</v>
      </c>
      <c r="V390" s="8"/>
    </row>
    <row r="391" spans="1:22" x14ac:dyDescent="0.25">
      <c r="A391" s="107">
        <v>30025</v>
      </c>
      <c r="B391" s="17" t="s">
        <v>276</v>
      </c>
      <c r="C391" s="45">
        <v>45610</v>
      </c>
      <c r="D391" s="46" t="s">
        <v>373</v>
      </c>
      <c r="E391" s="46" t="s">
        <v>41</v>
      </c>
      <c r="F391" s="64">
        <v>1</v>
      </c>
      <c r="G391" s="49" t="s">
        <v>454</v>
      </c>
      <c r="H391" s="34" t="s">
        <v>455</v>
      </c>
      <c r="I391" s="28">
        <v>60.235999999999997</v>
      </c>
      <c r="J391" t="s">
        <v>36</v>
      </c>
      <c r="K391" s="47">
        <v>5200</v>
      </c>
      <c r="L391" s="3" t="s">
        <v>372</v>
      </c>
      <c r="M391" s="33">
        <f>IF(J391="mm",F391*I391/1000*K391*1.55,F391*I391*12*K391/1000)</f>
        <v>3758.7264</v>
      </c>
      <c r="N391" s="2">
        <f>_xlfn.XLOOKUP(A391,'[1]Prix MP'!$A:$A,'[1]Prix MP'!$T:$T)</f>
        <v>0.10141226920875877</v>
      </c>
      <c r="O391" s="2">
        <f>_xlfn.XLOOKUP(A391,'[1]Prix MP'!$A:$A,'[1]Prix MP'!$U:$U)</f>
        <v>0.36934253244035825</v>
      </c>
      <c r="P391" s="11">
        <f>M391*N391</f>
        <v>381.18097355886869</v>
      </c>
      <c r="Q391" s="7">
        <f t="shared" si="539"/>
        <v>1388.257527326431</v>
      </c>
      <c r="R391" t="s">
        <v>206</v>
      </c>
      <c r="S391" s="1">
        <f>ROUND(IF(E391="I",0,IF(J391="po",I391,I391/25.4)),2)</f>
        <v>60.24</v>
      </c>
      <c r="T391" s="33">
        <f>ROUND(IF(E391="I",0,IF(J391="po",K391,K391*3.280839895)),0)</f>
        <v>5200</v>
      </c>
      <c r="V391" s="8"/>
    </row>
    <row r="392" spans="1:22" x14ac:dyDescent="0.25">
      <c r="A392" s="107">
        <v>30025</v>
      </c>
      <c r="B392" s="17" t="s">
        <v>276</v>
      </c>
      <c r="C392" s="45">
        <v>45580</v>
      </c>
      <c r="D392" s="46" t="s">
        <v>37</v>
      </c>
      <c r="E392" s="46" t="s">
        <v>42</v>
      </c>
      <c r="F392" s="64">
        <f t="shared" si="536"/>
        <v>1</v>
      </c>
      <c r="G392" s="49"/>
      <c r="H392" s="34" t="s">
        <v>314</v>
      </c>
      <c r="I392" s="28">
        <v>1530</v>
      </c>
      <c r="J392" t="s">
        <v>2</v>
      </c>
      <c r="K392" s="47">
        <v>3200</v>
      </c>
      <c r="L392" s="3" t="str">
        <f t="shared" si="537"/>
        <v>m</v>
      </c>
      <c r="M392" s="33">
        <f t="shared" si="524"/>
        <v>7588.8</v>
      </c>
      <c r="N392" s="2">
        <f>_xlfn.XLOOKUP(A392,'[1]Prix MP'!$A:$A,'[1]Prix MP'!$T:$T)</f>
        <v>0.10141226920875877</v>
      </c>
      <c r="O392" s="2">
        <f>_xlfn.XLOOKUP(A392,'[1]Prix MP'!$A:$A,'[1]Prix MP'!$U:$U)</f>
        <v>0.36934253244035825</v>
      </c>
      <c r="P392" s="11">
        <f t="shared" si="525"/>
        <v>769.59742857142862</v>
      </c>
      <c r="Q392" s="7">
        <f t="shared" si="431"/>
        <v>2802.8666101833905</v>
      </c>
      <c r="R392" t="s">
        <v>206</v>
      </c>
      <c r="S392" s="1">
        <f t="shared" si="367"/>
        <v>0</v>
      </c>
      <c r="T392" s="33">
        <f t="shared" si="368"/>
        <v>0</v>
      </c>
      <c r="V392" s="8">
        <f t="shared" si="453"/>
        <v>4896</v>
      </c>
    </row>
    <row r="393" spans="1:22" x14ac:dyDescent="0.25">
      <c r="A393" s="107">
        <v>30025</v>
      </c>
      <c r="B393" s="17" t="s">
        <v>276</v>
      </c>
      <c r="C393" s="45">
        <v>45643</v>
      </c>
      <c r="D393" s="46" t="s">
        <v>176</v>
      </c>
      <c r="E393" s="46" t="s">
        <v>42</v>
      </c>
      <c r="F393" s="64">
        <v>-1</v>
      </c>
      <c r="G393" s="49" t="s">
        <v>575</v>
      </c>
      <c r="H393" s="34" t="s">
        <v>314</v>
      </c>
      <c r="I393" s="28">
        <v>1530</v>
      </c>
      <c r="J393" t="s">
        <v>2</v>
      </c>
      <c r="K393" s="47">
        <v>3200</v>
      </c>
      <c r="L393" s="3" t="str">
        <f t="shared" ref="L393" si="540">IF(J393="mm","m","pi")</f>
        <v>m</v>
      </c>
      <c r="M393" s="33">
        <f t="shared" ref="M393" si="541">IF(J393="mm",F393*I393/1000*K393*1.55,F393*I393*12*K393/1000)</f>
        <v>-7588.8</v>
      </c>
      <c r="N393" s="2">
        <f>_xlfn.XLOOKUP(A393,'[1]Prix MP'!$A:$A,'[1]Prix MP'!$T:$T)</f>
        <v>0.10141226920875877</v>
      </c>
      <c r="O393" s="2">
        <f>_xlfn.XLOOKUP(A393,'[1]Prix MP'!$A:$A,'[1]Prix MP'!$U:$U)</f>
        <v>0.36934253244035825</v>
      </c>
      <c r="P393" s="11">
        <f t="shared" ref="P393" si="542">M393*N393</f>
        <v>-769.59742857142862</v>
      </c>
      <c r="Q393" s="7">
        <f t="shared" ref="Q393" si="543">M393*O393</f>
        <v>-2802.8666101833905</v>
      </c>
      <c r="R393" t="s">
        <v>206</v>
      </c>
      <c r="S393" s="1">
        <f>ROUND(IF(E393="I",0,IF(J393="po",I393,I393/25.4)),2)</f>
        <v>0</v>
      </c>
      <c r="T393" s="33">
        <f>ROUND(IF(E393="I",0,IF(J393="po",K393,K393*3.280839895)),0)</f>
        <v>0</v>
      </c>
      <c r="V393" s="8"/>
    </row>
    <row r="394" spans="1:22" x14ac:dyDescent="0.25">
      <c r="A394" s="107">
        <v>30025</v>
      </c>
      <c r="B394" s="17" t="s">
        <v>276</v>
      </c>
      <c r="C394" s="45">
        <v>45580</v>
      </c>
      <c r="D394" s="46" t="s">
        <v>37</v>
      </c>
      <c r="E394" s="46" t="s">
        <v>42</v>
      </c>
      <c r="F394" s="64">
        <f t="shared" si="536"/>
        <v>1</v>
      </c>
      <c r="G394" s="49"/>
      <c r="H394" s="34" t="s">
        <v>315</v>
      </c>
      <c r="I394" s="28">
        <v>1530</v>
      </c>
      <c r="J394" t="s">
        <v>2</v>
      </c>
      <c r="K394" s="47">
        <v>3200</v>
      </c>
      <c r="L394" s="3" t="str">
        <f t="shared" si="537"/>
        <v>m</v>
      </c>
      <c r="M394" s="33">
        <f t="shared" si="524"/>
        <v>7588.8</v>
      </c>
      <c r="N394" s="2">
        <f>_xlfn.XLOOKUP(A394,'[1]Prix MP'!$A:$A,'[1]Prix MP'!$T:$T)</f>
        <v>0.10141226920875877</v>
      </c>
      <c r="O394" s="2">
        <f>_xlfn.XLOOKUP(A394,'[1]Prix MP'!$A:$A,'[1]Prix MP'!$U:$U)</f>
        <v>0.36934253244035825</v>
      </c>
      <c r="P394" s="11">
        <f t="shared" si="525"/>
        <v>769.59742857142862</v>
      </c>
      <c r="Q394" s="7">
        <f t="shared" si="431"/>
        <v>2802.8666101833905</v>
      </c>
      <c r="R394" t="s">
        <v>206</v>
      </c>
      <c r="S394" s="1">
        <f t="shared" si="367"/>
        <v>0</v>
      </c>
      <c r="T394" s="33">
        <f t="shared" si="368"/>
        <v>0</v>
      </c>
      <c r="V394" s="8">
        <f t="shared" si="453"/>
        <v>4896</v>
      </c>
    </row>
    <row r="395" spans="1:22" x14ac:dyDescent="0.25">
      <c r="A395" s="107">
        <v>30025</v>
      </c>
      <c r="B395" s="17" t="s">
        <v>276</v>
      </c>
      <c r="C395" s="45">
        <v>45643</v>
      </c>
      <c r="D395" s="46" t="s">
        <v>176</v>
      </c>
      <c r="E395" s="46" t="s">
        <v>42</v>
      </c>
      <c r="F395" s="64">
        <v>-1</v>
      </c>
      <c r="G395" s="49" t="s">
        <v>575</v>
      </c>
      <c r="H395" s="34" t="s">
        <v>315</v>
      </c>
      <c r="I395" s="28">
        <v>1530</v>
      </c>
      <c r="J395" t="s">
        <v>2</v>
      </c>
      <c r="K395" s="47">
        <v>3200</v>
      </c>
      <c r="L395" s="3" t="str">
        <f t="shared" ref="L395" si="544">IF(J395="mm","m","pi")</f>
        <v>m</v>
      </c>
      <c r="M395" s="33">
        <f t="shared" ref="M395" si="545">IF(J395="mm",F395*I395/1000*K395*1.55,F395*I395*12*K395/1000)</f>
        <v>-7588.8</v>
      </c>
      <c r="N395" s="2">
        <f>_xlfn.XLOOKUP(A395,'[1]Prix MP'!$A:$A,'[1]Prix MP'!$T:$T)</f>
        <v>0.10141226920875877</v>
      </c>
      <c r="O395" s="2">
        <f>_xlfn.XLOOKUP(A395,'[1]Prix MP'!$A:$A,'[1]Prix MP'!$U:$U)</f>
        <v>0.36934253244035825</v>
      </c>
      <c r="P395" s="11">
        <f t="shared" ref="P395" si="546">M395*N395</f>
        <v>-769.59742857142862</v>
      </c>
      <c r="Q395" s="7">
        <f t="shared" ref="Q395" si="547">M395*O395</f>
        <v>-2802.8666101833905</v>
      </c>
      <c r="R395" t="s">
        <v>206</v>
      </c>
      <c r="S395" s="1">
        <f>ROUND(IF(E395="I",0,IF(J395="po",I395,I395/25.4)),2)</f>
        <v>0</v>
      </c>
      <c r="T395" s="33">
        <f>ROUND(IF(E395="I",0,IF(J395="po",K395,K395*3.280839895)),0)</f>
        <v>0</v>
      </c>
      <c r="V395" s="8"/>
    </row>
    <row r="396" spans="1:22" x14ac:dyDescent="0.25">
      <c r="A396" s="107">
        <v>30025</v>
      </c>
      <c r="B396" s="17" t="s">
        <v>276</v>
      </c>
      <c r="C396" s="45">
        <v>45580</v>
      </c>
      <c r="D396" s="46" t="s">
        <v>37</v>
      </c>
      <c r="E396" s="46" t="s">
        <v>42</v>
      </c>
      <c r="F396" s="64">
        <f t="shared" si="536"/>
        <v>1</v>
      </c>
      <c r="G396" s="49">
        <v>2024145</v>
      </c>
      <c r="H396" s="34" t="s">
        <v>316</v>
      </c>
      <c r="I396" s="28">
        <v>1530</v>
      </c>
      <c r="J396" t="s">
        <v>2</v>
      </c>
      <c r="K396" s="47">
        <v>3200</v>
      </c>
      <c r="L396" s="3" t="str">
        <f t="shared" si="537"/>
        <v>m</v>
      </c>
      <c r="M396" s="33">
        <f t="shared" si="524"/>
        <v>7588.8</v>
      </c>
      <c r="N396" s="2">
        <f>_xlfn.XLOOKUP(A396,'[1]Prix MP'!$A:$A,'[1]Prix MP'!$T:$T)</f>
        <v>0.10141226920875877</v>
      </c>
      <c r="O396" s="2">
        <f>_xlfn.XLOOKUP(A396,'[1]Prix MP'!$A:$A,'[1]Prix MP'!$U:$U)</f>
        <v>0.36934253244035825</v>
      </c>
      <c r="P396" s="11">
        <f t="shared" si="525"/>
        <v>769.59742857142862</v>
      </c>
      <c r="Q396" s="7">
        <f t="shared" si="431"/>
        <v>2802.8666101833905</v>
      </c>
      <c r="R396" t="s">
        <v>206</v>
      </c>
      <c r="S396" s="1">
        <f t="shared" si="367"/>
        <v>0</v>
      </c>
      <c r="T396" s="33">
        <f t="shared" si="368"/>
        <v>0</v>
      </c>
      <c r="V396" s="8">
        <f t="shared" si="453"/>
        <v>4896</v>
      </c>
    </row>
    <row r="397" spans="1:22" x14ac:dyDescent="0.25">
      <c r="A397" s="107">
        <v>30025</v>
      </c>
      <c r="B397" s="17" t="s">
        <v>276</v>
      </c>
      <c r="C397" s="45">
        <v>45589</v>
      </c>
      <c r="D397" s="46" t="s">
        <v>38</v>
      </c>
      <c r="E397" s="46" t="s">
        <v>42</v>
      </c>
      <c r="F397" s="64">
        <f t="shared" ref="F397" si="548">IF(D397="in",1,-1)</f>
        <v>-1</v>
      </c>
      <c r="G397" s="49">
        <v>2024145</v>
      </c>
      <c r="H397" s="34" t="s">
        <v>316</v>
      </c>
      <c r="I397" s="28">
        <v>1530</v>
      </c>
      <c r="J397" t="s">
        <v>2</v>
      </c>
      <c r="K397" s="47">
        <v>3200</v>
      </c>
      <c r="L397" s="3" t="str">
        <f t="shared" ref="L397" si="549">IF(J397="mm","m","pi")</f>
        <v>m</v>
      </c>
      <c r="M397" s="33">
        <f t="shared" ref="M397" si="550">IF(J397="mm",F397*I397/1000*K397*1.55,F397*I397*12*K397/1000)</f>
        <v>-7588.8</v>
      </c>
      <c r="N397" s="2">
        <f>_xlfn.XLOOKUP(A397,'[1]Prix MP'!$A:$A,'[1]Prix MP'!$T:$T)</f>
        <v>0.10141226920875877</v>
      </c>
      <c r="O397" s="2">
        <f>_xlfn.XLOOKUP(A397,'[1]Prix MP'!$A:$A,'[1]Prix MP'!$U:$U)</f>
        <v>0.36934253244035825</v>
      </c>
      <c r="P397" s="11">
        <f t="shared" ref="P397" si="551">M397*N397</f>
        <v>-769.59742857142862</v>
      </c>
      <c r="Q397" s="7">
        <f t="shared" ref="Q397" si="552">M397*O397</f>
        <v>-2802.8666101833905</v>
      </c>
      <c r="R397" t="s">
        <v>206</v>
      </c>
      <c r="S397" s="1">
        <f t="shared" ref="S397" si="553">ROUND(IF(E397="I",0,IF(J397="po",I397,I397/25.4)),2)</f>
        <v>0</v>
      </c>
      <c r="T397" s="33">
        <f t="shared" ref="T397" si="554">ROUND(IF(E397="I",0,IF(J397="po",K397,K397*3.280839895)),0)</f>
        <v>0</v>
      </c>
      <c r="V397" s="8">
        <f t="shared" si="453"/>
        <v>4896</v>
      </c>
    </row>
    <row r="398" spans="1:22" x14ac:dyDescent="0.25">
      <c r="A398" s="107">
        <v>30025</v>
      </c>
      <c r="B398" s="17" t="s">
        <v>276</v>
      </c>
      <c r="C398" s="45">
        <v>45580</v>
      </c>
      <c r="D398" s="46" t="s">
        <v>37</v>
      </c>
      <c r="E398" s="46" t="s">
        <v>42</v>
      </c>
      <c r="F398" s="64">
        <f t="shared" si="536"/>
        <v>1</v>
      </c>
      <c r="G398" s="49"/>
      <c r="H398" s="34" t="s">
        <v>317</v>
      </c>
      <c r="I398" s="28">
        <v>1530</v>
      </c>
      <c r="J398" t="s">
        <v>2</v>
      </c>
      <c r="K398" s="47">
        <v>3200</v>
      </c>
      <c r="L398" s="3" t="str">
        <f t="shared" si="537"/>
        <v>m</v>
      </c>
      <c r="M398" s="33">
        <f t="shared" si="524"/>
        <v>7588.8</v>
      </c>
      <c r="N398" s="2">
        <f>_xlfn.XLOOKUP(A398,'[1]Prix MP'!$A:$A,'[1]Prix MP'!$T:$T)</f>
        <v>0.10141226920875877</v>
      </c>
      <c r="O398" s="2">
        <f>_xlfn.XLOOKUP(A398,'[1]Prix MP'!$A:$A,'[1]Prix MP'!$U:$U)</f>
        <v>0.36934253244035825</v>
      </c>
      <c r="P398" s="11">
        <f t="shared" si="525"/>
        <v>769.59742857142862</v>
      </c>
      <c r="Q398" s="7">
        <f t="shared" si="431"/>
        <v>2802.8666101833905</v>
      </c>
      <c r="R398" t="s">
        <v>206</v>
      </c>
      <c r="S398" s="1">
        <f t="shared" si="367"/>
        <v>0</v>
      </c>
      <c r="T398" s="33">
        <f t="shared" si="368"/>
        <v>0</v>
      </c>
      <c r="V398" s="8">
        <f t="shared" si="453"/>
        <v>4896</v>
      </c>
    </row>
    <row r="399" spans="1:22" x14ac:dyDescent="0.25">
      <c r="A399" s="107">
        <v>30025</v>
      </c>
      <c r="B399" s="17" t="s">
        <v>276</v>
      </c>
      <c r="C399" s="45">
        <v>45609</v>
      </c>
      <c r="D399" s="46" t="s">
        <v>176</v>
      </c>
      <c r="E399" s="46" t="s">
        <v>42</v>
      </c>
      <c r="F399" s="64">
        <v>-1</v>
      </c>
      <c r="G399" s="49" t="s">
        <v>451</v>
      </c>
      <c r="H399" s="34" t="s">
        <v>317</v>
      </c>
      <c r="I399" s="28">
        <v>1530</v>
      </c>
      <c r="J399" t="s">
        <v>2</v>
      </c>
      <c r="K399" s="47">
        <v>3200</v>
      </c>
      <c r="L399" s="3" t="str">
        <f t="shared" ref="L399" si="555">IF(J399="mm","m","pi")</f>
        <v>m</v>
      </c>
      <c r="M399" s="33">
        <f>IF(J399="mm",F399*I399/1000*K399*1.55,F399*I399*12*K399/1000)</f>
        <v>-7588.8</v>
      </c>
      <c r="N399" s="2">
        <f>_xlfn.XLOOKUP(A399,'[1]Prix MP'!$A:$A,'[1]Prix MP'!$T:$T)</f>
        <v>0.10141226920875877</v>
      </c>
      <c r="O399" s="2">
        <f>_xlfn.XLOOKUP(A399,'[1]Prix MP'!$A:$A,'[1]Prix MP'!$U:$U)</f>
        <v>0.36934253244035825</v>
      </c>
      <c r="P399" s="11">
        <f>M399*N399</f>
        <v>-769.59742857142862</v>
      </c>
      <c r="Q399" s="7">
        <f t="shared" ref="Q399" si="556">M399*O399</f>
        <v>-2802.8666101833905</v>
      </c>
      <c r="R399" t="s">
        <v>206</v>
      </c>
      <c r="S399" s="1">
        <f>ROUND(IF(E399="I",0,IF(J399="po",I399,I399/25.4)),2)</f>
        <v>0</v>
      </c>
      <c r="T399" s="33">
        <f>ROUND(IF(E399="I",0,IF(J399="po",K399,K399*3.280839895)),0)</f>
        <v>0</v>
      </c>
      <c r="V399" s="8">
        <f t="shared" si="453"/>
        <v>4896</v>
      </c>
    </row>
    <row r="400" spans="1:22" x14ac:dyDescent="0.25">
      <c r="A400" s="107">
        <v>30025</v>
      </c>
      <c r="B400" s="17" t="s">
        <v>276</v>
      </c>
      <c r="C400" s="45">
        <v>45580</v>
      </c>
      <c r="D400" s="46" t="s">
        <v>37</v>
      </c>
      <c r="E400" s="46" t="s">
        <v>42</v>
      </c>
      <c r="F400" s="64">
        <f t="shared" si="536"/>
        <v>1</v>
      </c>
      <c r="G400" s="49"/>
      <c r="H400" s="34" t="s">
        <v>318</v>
      </c>
      <c r="I400" s="28">
        <v>1530</v>
      </c>
      <c r="J400" t="s">
        <v>2</v>
      </c>
      <c r="K400" s="47">
        <v>3200</v>
      </c>
      <c r="L400" s="3" t="str">
        <f t="shared" si="537"/>
        <v>m</v>
      </c>
      <c r="M400" s="33">
        <f t="shared" si="524"/>
        <v>7588.8</v>
      </c>
      <c r="N400" s="2">
        <f>_xlfn.XLOOKUP(A400,'[1]Prix MP'!$A:$A,'[1]Prix MP'!$T:$T)</f>
        <v>0.10141226920875877</v>
      </c>
      <c r="O400" s="2">
        <f>_xlfn.XLOOKUP(A400,'[1]Prix MP'!$A:$A,'[1]Prix MP'!$U:$U)</f>
        <v>0.36934253244035825</v>
      </c>
      <c r="P400" s="11">
        <f t="shared" si="525"/>
        <v>769.59742857142862</v>
      </c>
      <c r="Q400" s="7">
        <f t="shared" si="431"/>
        <v>2802.8666101833905</v>
      </c>
      <c r="R400" t="s">
        <v>206</v>
      </c>
      <c r="S400" s="1">
        <f t="shared" si="367"/>
        <v>0</v>
      </c>
      <c r="T400" s="33">
        <f t="shared" si="368"/>
        <v>0</v>
      </c>
      <c r="V400" s="8">
        <f t="shared" si="453"/>
        <v>4896</v>
      </c>
    </row>
    <row r="401" spans="1:22" x14ac:dyDescent="0.25">
      <c r="A401" s="107">
        <v>30025</v>
      </c>
      <c r="B401" s="17" t="s">
        <v>276</v>
      </c>
      <c r="C401" s="45">
        <v>45609</v>
      </c>
      <c r="D401" s="46" t="s">
        <v>176</v>
      </c>
      <c r="E401" s="46" t="s">
        <v>42</v>
      </c>
      <c r="F401" s="64">
        <v>-1</v>
      </c>
      <c r="G401" s="49" t="s">
        <v>451</v>
      </c>
      <c r="H401" s="34" t="s">
        <v>318</v>
      </c>
      <c r="I401" s="28">
        <v>1530</v>
      </c>
      <c r="J401" t="s">
        <v>2</v>
      </c>
      <c r="K401" s="47">
        <v>3200</v>
      </c>
      <c r="L401" s="3" t="s">
        <v>1</v>
      </c>
      <c r="M401" s="33">
        <f>IF(J401="mm",F401*I401/1000*K401*1.55,F401*I401*12*K401/1000)</f>
        <v>-7588.8</v>
      </c>
      <c r="N401" s="2">
        <f>_xlfn.XLOOKUP(A401,'[1]Prix MP'!$A:$A,'[1]Prix MP'!$T:$T)</f>
        <v>0.10141226920875877</v>
      </c>
      <c r="O401" s="2">
        <f>_xlfn.XLOOKUP(A401,'[1]Prix MP'!$A:$A,'[1]Prix MP'!$U:$U)</f>
        <v>0.36934253244035825</v>
      </c>
      <c r="P401" s="11">
        <f>M401*N401</f>
        <v>-769.59742857142862</v>
      </c>
      <c r="Q401" s="7">
        <f t="shared" ref="Q401" si="557">M401*O401</f>
        <v>-2802.8666101833905</v>
      </c>
      <c r="R401" t="s">
        <v>206</v>
      </c>
      <c r="S401" s="1">
        <f>ROUND(IF(E401="I",0,IF(J401="po",I401,I401/25.4)),2)</f>
        <v>0</v>
      </c>
      <c r="T401" s="33">
        <f>ROUND(IF(E401="I",0,IF(J401="po",K401,K401*3.280839895)),0)</f>
        <v>0</v>
      </c>
      <c r="V401" s="8"/>
    </row>
    <row r="402" spans="1:22" x14ac:dyDescent="0.25">
      <c r="A402" s="107">
        <v>30025</v>
      </c>
      <c r="B402" s="17" t="s">
        <v>276</v>
      </c>
      <c r="C402" s="45">
        <v>45580</v>
      </c>
      <c r="D402" s="46" t="s">
        <v>37</v>
      </c>
      <c r="E402" s="46" t="s">
        <v>42</v>
      </c>
      <c r="F402" s="64">
        <f t="shared" si="536"/>
        <v>1</v>
      </c>
      <c r="G402" s="49">
        <v>2024138</v>
      </c>
      <c r="H402" s="34" t="s">
        <v>319</v>
      </c>
      <c r="I402" s="28">
        <v>1530</v>
      </c>
      <c r="J402" t="s">
        <v>2</v>
      </c>
      <c r="K402" s="47">
        <v>3200</v>
      </c>
      <c r="L402" s="3" t="str">
        <f t="shared" si="537"/>
        <v>m</v>
      </c>
      <c r="M402" s="33">
        <f t="shared" si="524"/>
        <v>7588.8</v>
      </c>
      <c r="N402" s="2">
        <f>_xlfn.XLOOKUP(A402,'[1]Prix MP'!$A:$A,'[1]Prix MP'!$T:$T)</f>
        <v>0.10141226920875877</v>
      </c>
      <c r="O402" s="2">
        <f>_xlfn.XLOOKUP(A402,'[1]Prix MP'!$A:$A,'[1]Prix MP'!$U:$U)</f>
        <v>0.36934253244035825</v>
      </c>
      <c r="P402" s="11">
        <f t="shared" si="525"/>
        <v>769.59742857142862</v>
      </c>
      <c r="Q402" s="7">
        <f t="shared" si="431"/>
        <v>2802.8666101833905</v>
      </c>
      <c r="R402" t="s">
        <v>206</v>
      </c>
      <c r="S402" s="1">
        <f t="shared" si="367"/>
        <v>0</v>
      </c>
      <c r="T402" s="33">
        <f t="shared" si="368"/>
        <v>0</v>
      </c>
      <c r="V402" s="8">
        <f t="shared" si="453"/>
        <v>4896</v>
      </c>
    </row>
    <row r="403" spans="1:22" x14ac:dyDescent="0.25">
      <c r="A403" s="107">
        <v>30025</v>
      </c>
      <c r="B403" s="17" t="s">
        <v>276</v>
      </c>
      <c r="C403" s="45">
        <v>45590</v>
      </c>
      <c r="D403" s="46" t="s">
        <v>38</v>
      </c>
      <c r="E403" s="46" t="s">
        <v>42</v>
      </c>
      <c r="F403" s="64">
        <f t="shared" ref="F403:F408" si="558">IF(D403="in",1,-1)</f>
        <v>-1</v>
      </c>
      <c r="G403" s="49">
        <v>2024138</v>
      </c>
      <c r="H403" s="34" t="s">
        <v>319</v>
      </c>
      <c r="I403" s="28">
        <v>1530</v>
      </c>
      <c r="J403" t="s">
        <v>2</v>
      </c>
      <c r="K403" s="47">
        <v>3200</v>
      </c>
      <c r="L403" s="3" t="str">
        <f t="shared" ref="L403:L408" si="559">IF(J403="mm","m","pi")</f>
        <v>m</v>
      </c>
      <c r="M403" s="33">
        <f t="shared" ref="M403:M408" si="560">IF(J403="mm",F403*I403/1000*K403*1.55,F403*I403*12*K403/1000)</f>
        <v>-7588.8</v>
      </c>
      <c r="N403" s="2">
        <f>_xlfn.XLOOKUP(A403,'[1]Prix MP'!$A:$A,'[1]Prix MP'!$T:$T)</f>
        <v>0.10141226920875877</v>
      </c>
      <c r="O403" s="2">
        <f>_xlfn.XLOOKUP(A403,'[1]Prix MP'!$A:$A,'[1]Prix MP'!$U:$U)</f>
        <v>0.36934253244035825</v>
      </c>
      <c r="P403" s="11">
        <f t="shared" ref="P403:P408" si="561">M403*N403</f>
        <v>-769.59742857142862</v>
      </c>
      <c r="Q403" s="7">
        <f t="shared" ref="Q403:Q408" si="562">M403*O403</f>
        <v>-2802.8666101833905</v>
      </c>
      <c r="R403" t="s">
        <v>206</v>
      </c>
      <c r="S403" s="1">
        <f t="shared" ref="S403:S408" si="563">ROUND(IF(E403="I",0,IF(J403="po",I403,I403/25.4)),2)</f>
        <v>0</v>
      </c>
      <c r="T403" s="33">
        <f t="shared" ref="T403:T408" si="564">ROUND(IF(E403="I",0,IF(J403="po",K403,K403*3.280839895)),0)</f>
        <v>0</v>
      </c>
      <c r="V403" s="8">
        <f t="shared" si="453"/>
        <v>4896</v>
      </c>
    </row>
    <row r="404" spans="1:22" x14ac:dyDescent="0.25">
      <c r="A404" s="107">
        <v>30025</v>
      </c>
      <c r="B404" s="17" t="s">
        <v>276</v>
      </c>
      <c r="C404" s="45">
        <v>45590</v>
      </c>
      <c r="D404" s="46" t="s">
        <v>37</v>
      </c>
      <c r="E404" s="46" t="s">
        <v>42</v>
      </c>
      <c r="F404" s="64">
        <f t="shared" si="558"/>
        <v>1</v>
      </c>
      <c r="G404" s="49" t="s">
        <v>366</v>
      </c>
      <c r="H404" s="34" t="s">
        <v>362</v>
      </c>
      <c r="I404" s="28">
        <v>26</v>
      </c>
      <c r="J404" t="s">
        <v>36</v>
      </c>
      <c r="K404" s="47">
        <v>5000</v>
      </c>
      <c r="L404" s="3" t="str">
        <f t="shared" si="559"/>
        <v>pi</v>
      </c>
      <c r="M404" s="33">
        <f t="shared" si="560"/>
        <v>1560</v>
      </c>
      <c r="N404" s="2">
        <f>_xlfn.XLOOKUP(A404,'[1]Prix MP'!$A:$A,'[1]Prix MP'!$T:$T)</f>
        <v>0.10141226920875877</v>
      </c>
      <c r="O404" s="2">
        <f>_xlfn.XLOOKUP(A404,'[1]Prix MP'!$A:$A,'[1]Prix MP'!$U:$U)</f>
        <v>0.36934253244035825</v>
      </c>
      <c r="P404" s="11">
        <f t="shared" si="561"/>
        <v>158.20313996566369</v>
      </c>
      <c r="Q404" s="7">
        <f t="shared" si="562"/>
        <v>576.17435060695891</v>
      </c>
      <c r="R404" t="s">
        <v>206</v>
      </c>
      <c r="S404" s="1">
        <f t="shared" si="563"/>
        <v>0</v>
      </c>
      <c r="T404" s="33">
        <f t="shared" si="564"/>
        <v>0</v>
      </c>
      <c r="V404" s="8" t="str">
        <f t="shared" si="453"/>
        <v/>
      </c>
    </row>
    <row r="405" spans="1:22" x14ac:dyDescent="0.25">
      <c r="A405" s="107">
        <v>30025</v>
      </c>
      <c r="B405" s="17" t="s">
        <v>276</v>
      </c>
      <c r="C405" s="45">
        <v>45593</v>
      </c>
      <c r="D405" s="46" t="s">
        <v>38</v>
      </c>
      <c r="E405" s="46" t="s">
        <v>42</v>
      </c>
      <c r="F405" s="64">
        <f t="shared" ref="F405:F406" si="565">IF(D405="in",1,-1)</f>
        <v>-1</v>
      </c>
      <c r="G405" s="49" t="s">
        <v>366</v>
      </c>
      <c r="H405" s="34" t="s">
        <v>362</v>
      </c>
      <c r="I405" s="28">
        <v>26</v>
      </c>
      <c r="J405" t="s">
        <v>36</v>
      </c>
      <c r="K405" s="47">
        <v>5000</v>
      </c>
      <c r="L405" s="3" t="str">
        <f t="shared" ref="L405:L406" si="566">IF(J405="mm","m","pi")</f>
        <v>pi</v>
      </c>
      <c r="M405" s="33">
        <f t="shared" ref="M405:M406" si="567">IF(J405="mm",F405*I405/1000*K405*1.55,F405*I405*12*K405/1000)</f>
        <v>-1560</v>
      </c>
      <c r="N405" s="2">
        <f>_xlfn.XLOOKUP(A405,'[1]Prix MP'!$A:$A,'[1]Prix MP'!$T:$T)</f>
        <v>0.10141226920875877</v>
      </c>
      <c r="O405" s="2">
        <f>_xlfn.XLOOKUP(A405,'[1]Prix MP'!$A:$A,'[1]Prix MP'!$U:$U)</f>
        <v>0.36934253244035825</v>
      </c>
      <c r="P405" s="11">
        <f t="shared" ref="P405:P406" si="568">M405*N405</f>
        <v>-158.20313996566369</v>
      </c>
      <c r="Q405" s="7">
        <f t="shared" ref="Q405:Q406" si="569">M405*O405</f>
        <v>-576.17435060695891</v>
      </c>
      <c r="R405" t="s">
        <v>206</v>
      </c>
      <c r="S405" s="1">
        <f t="shared" ref="S405:S406" si="570">ROUND(IF(E405="I",0,IF(J405="po",I405,I405/25.4)),2)</f>
        <v>0</v>
      </c>
      <c r="T405" s="33">
        <f t="shared" ref="T405:T406" si="571">ROUND(IF(E405="I",0,IF(J405="po",K405,K405*3.280839895)),0)</f>
        <v>0</v>
      </c>
      <c r="V405" s="8" t="str">
        <f t="shared" si="453"/>
        <v/>
      </c>
    </row>
    <row r="406" spans="1:22" x14ac:dyDescent="0.25">
      <c r="A406" s="107">
        <v>30025</v>
      </c>
      <c r="B406" s="17" t="s">
        <v>276</v>
      </c>
      <c r="C406" s="45">
        <v>45593</v>
      </c>
      <c r="D406" s="46" t="s">
        <v>37</v>
      </c>
      <c r="E406" s="46" t="s">
        <v>42</v>
      </c>
      <c r="F406" s="64">
        <f t="shared" si="565"/>
        <v>1</v>
      </c>
      <c r="G406" s="49" t="s">
        <v>366</v>
      </c>
      <c r="H406" s="34" t="s">
        <v>367</v>
      </c>
      <c r="I406" s="28">
        <v>12.75</v>
      </c>
      <c r="J406" t="s">
        <v>36</v>
      </c>
      <c r="K406" s="47">
        <v>2500</v>
      </c>
      <c r="L406" s="3" t="str">
        <f t="shared" si="566"/>
        <v>pi</v>
      </c>
      <c r="M406" s="33">
        <f t="shared" si="567"/>
        <v>382.5</v>
      </c>
      <c r="N406" s="2">
        <f>_xlfn.XLOOKUP(A406,'[1]Prix MP'!$A:$A,'[1]Prix MP'!$T:$T)</f>
        <v>0.10141226920875877</v>
      </c>
      <c r="O406" s="2">
        <f>_xlfn.XLOOKUP(A406,'[1]Prix MP'!$A:$A,'[1]Prix MP'!$U:$U)</f>
        <v>0.36934253244035825</v>
      </c>
      <c r="P406" s="11">
        <f t="shared" si="568"/>
        <v>38.790192972350233</v>
      </c>
      <c r="Q406" s="7">
        <f t="shared" si="569"/>
        <v>141.27351865843704</v>
      </c>
      <c r="R406" t="s">
        <v>206</v>
      </c>
      <c r="S406" s="1">
        <f t="shared" si="570"/>
        <v>0</v>
      </c>
      <c r="T406" s="33">
        <f t="shared" si="571"/>
        <v>0</v>
      </c>
      <c r="V406" s="8" t="str">
        <f t="shared" si="453"/>
        <v/>
      </c>
    </row>
    <row r="407" spans="1:22" x14ac:dyDescent="0.25">
      <c r="A407" s="107">
        <v>30025</v>
      </c>
      <c r="B407" s="17" t="s">
        <v>276</v>
      </c>
      <c r="C407" s="45">
        <v>45593</v>
      </c>
      <c r="D407" s="46" t="s">
        <v>38</v>
      </c>
      <c r="E407" s="46" t="s">
        <v>42</v>
      </c>
      <c r="F407" s="64">
        <f t="shared" ref="F407" si="572">IF(D407="in",1,-1)</f>
        <v>-1</v>
      </c>
      <c r="G407" s="49" t="s">
        <v>442</v>
      </c>
      <c r="H407" s="34" t="s">
        <v>367</v>
      </c>
      <c r="I407" s="28">
        <v>12.75</v>
      </c>
      <c r="J407" t="s">
        <v>36</v>
      </c>
      <c r="K407" s="47">
        <v>2500</v>
      </c>
      <c r="L407" s="3" t="str">
        <f t="shared" ref="L407" si="573">IF(J407="mm","m","pi")</f>
        <v>pi</v>
      </c>
      <c r="M407" s="33">
        <f t="shared" ref="M407" si="574">IF(J407="mm",F407*I407/1000*K407*1.55,F407*I407*12*K407/1000)</f>
        <v>-382.5</v>
      </c>
      <c r="N407" s="2">
        <f>_xlfn.XLOOKUP(A407,'[1]Prix MP'!$A:$A,'[1]Prix MP'!$T:$T)</f>
        <v>0.10141226920875877</v>
      </c>
      <c r="O407" s="2">
        <f>_xlfn.XLOOKUP(A407,'[1]Prix MP'!$A:$A,'[1]Prix MP'!$U:$U)</f>
        <v>0.36934253244035825</v>
      </c>
      <c r="P407" s="11">
        <f t="shared" ref="P407" si="575">M407*N407</f>
        <v>-38.790192972350233</v>
      </c>
      <c r="Q407" s="7">
        <f t="shared" ref="Q407" si="576">M407*O407</f>
        <v>-141.27351865843704</v>
      </c>
      <c r="R407" t="s">
        <v>206</v>
      </c>
      <c r="S407" s="1">
        <f t="shared" ref="S407" si="577">ROUND(IF(E407="I",0,IF(J407="po",I407,I407/25.4)),2)</f>
        <v>0</v>
      </c>
      <c r="T407" s="33">
        <f t="shared" ref="T407" si="578">ROUND(IF(E407="I",0,IF(J407="po",K407,K407*3.280839895)),0)</f>
        <v>0</v>
      </c>
      <c r="V407" s="8" t="str">
        <f t="shared" si="453"/>
        <v/>
      </c>
    </row>
    <row r="408" spans="1:22" x14ac:dyDescent="0.25">
      <c r="A408" s="107">
        <v>30025</v>
      </c>
      <c r="B408" s="17" t="s">
        <v>276</v>
      </c>
      <c r="C408" s="45">
        <v>45590</v>
      </c>
      <c r="D408" s="46" t="s">
        <v>37</v>
      </c>
      <c r="E408" s="46" t="s">
        <v>42</v>
      </c>
      <c r="F408" s="64">
        <f t="shared" si="558"/>
        <v>1</v>
      </c>
      <c r="G408" s="49" t="s">
        <v>368</v>
      </c>
      <c r="H408" s="34" t="s">
        <v>363</v>
      </c>
      <c r="I408" s="28">
        <v>60.24</v>
      </c>
      <c r="J408" t="s">
        <v>36</v>
      </c>
      <c r="K408" s="47">
        <v>5300</v>
      </c>
      <c r="L408" s="3" t="str">
        <f t="shared" si="559"/>
        <v>pi</v>
      </c>
      <c r="M408" s="33">
        <f t="shared" si="560"/>
        <v>3831.2640000000001</v>
      </c>
      <c r="N408" s="2">
        <f>_xlfn.XLOOKUP(A408,'[1]Prix MP'!$A:$A,'[1]Prix MP'!$T:$T)</f>
        <v>0.10141226920875877</v>
      </c>
      <c r="O408" s="2">
        <f>_xlfn.XLOOKUP(A408,'[1]Prix MP'!$A:$A,'[1]Prix MP'!$U:$U)</f>
        <v>0.36934253244035825</v>
      </c>
      <c r="P408" s="11">
        <f t="shared" si="561"/>
        <v>388.53717617782598</v>
      </c>
      <c r="Q408" s="7">
        <f t="shared" si="562"/>
        <v>1415.0487482075769</v>
      </c>
      <c r="R408" t="s">
        <v>206</v>
      </c>
      <c r="S408" s="1">
        <f t="shared" si="563"/>
        <v>0</v>
      </c>
      <c r="T408" s="33">
        <f t="shared" si="564"/>
        <v>0</v>
      </c>
      <c r="V408" s="8" t="str">
        <f t="shared" si="453"/>
        <v/>
      </c>
    </row>
    <row r="409" spans="1:22" x14ac:dyDescent="0.25">
      <c r="A409" s="107">
        <v>30025</v>
      </c>
      <c r="B409" s="17" t="s">
        <v>276</v>
      </c>
      <c r="C409" s="45">
        <v>45593</v>
      </c>
      <c r="D409" s="46" t="s">
        <v>38</v>
      </c>
      <c r="E409" s="46" t="s">
        <v>42</v>
      </c>
      <c r="F409" s="64">
        <f t="shared" ref="F409:F410" si="579">IF(D409="in",1,-1)</f>
        <v>-1</v>
      </c>
      <c r="G409" s="49" t="s">
        <v>368</v>
      </c>
      <c r="H409" s="34" t="s">
        <v>363</v>
      </c>
      <c r="I409" s="28">
        <v>60.24</v>
      </c>
      <c r="J409" t="s">
        <v>36</v>
      </c>
      <c r="K409" s="47">
        <v>5300</v>
      </c>
      <c r="L409" s="3" t="str">
        <f t="shared" ref="L409:L410" si="580">IF(J409="mm","m","pi")</f>
        <v>pi</v>
      </c>
      <c r="M409" s="33">
        <f t="shared" ref="M409:M410" si="581">IF(J409="mm",F409*I409/1000*K409*1.55,F409*I409*12*K409/1000)</f>
        <v>-3831.2640000000001</v>
      </c>
      <c r="N409" s="2">
        <f>_xlfn.XLOOKUP(A409,'[1]Prix MP'!$A:$A,'[1]Prix MP'!$T:$T)</f>
        <v>0.10141226920875877</v>
      </c>
      <c r="O409" s="2">
        <f>_xlfn.XLOOKUP(A409,'[1]Prix MP'!$A:$A,'[1]Prix MP'!$U:$U)</f>
        <v>0.36934253244035825</v>
      </c>
      <c r="P409" s="11">
        <f t="shared" ref="P409:P410" si="582">M409*N409</f>
        <v>-388.53717617782598</v>
      </c>
      <c r="Q409" s="7">
        <f t="shared" ref="Q409:Q410" si="583">M409*O409</f>
        <v>-1415.0487482075769</v>
      </c>
      <c r="R409" t="s">
        <v>206</v>
      </c>
      <c r="S409" s="1">
        <f t="shared" ref="S409:S410" si="584">ROUND(IF(E409="I",0,IF(J409="po",I409,I409/25.4)),2)</f>
        <v>0</v>
      </c>
      <c r="T409" s="33">
        <f t="shared" ref="T409:T410" si="585">ROUND(IF(E409="I",0,IF(J409="po",K409,K409*3.280839895)),0)</f>
        <v>0</v>
      </c>
      <c r="V409" s="8" t="str">
        <f t="shared" si="453"/>
        <v/>
      </c>
    </row>
    <row r="410" spans="1:22" x14ac:dyDescent="0.25">
      <c r="A410" s="107">
        <v>30025</v>
      </c>
      <c r="B410" s="17" t="s">
        <v>276</v>
      </c>
      <c r="C410" s="45">
        <v>45593</v>
      </c>
      <c r="D410" s="46" t="s">
        <v>37</v>
      </c>
      <c r="E410" s="46" t="s">
        <v>42</v>
      </c>
      <c r="F410" s="64">
        <f t="shared" si="579"/>
        <v>1</v>
      </c>
      <c r="G410" s="49" t="s">
        <v>368</v>
      </c>
      <c r="H410" s="34" t="s">
        <v>369</v>
      </c>
      <c r="I410" s="28">
        <v>42.5</v>
      </c>
      <c r="J410" t="s">
        <v>36</v>
      </c>
      <c r="K410" s="47">
        <v>5170</v>
      </c>
      <c r="L410" s="3" t="str">
        <f t="shared" si="580"/>
        <v>pi</v>
      </c>
      <c r="M410" s="33">
        <f t="shared" si="581"/>
        <v>2636.7</v>
      </c>
      <c r="N410" s="2">
        <f>_xlfn.XLOOKUP(A410,'[1]Prix MP'!$A:$A,'[1]Prix MP'!$T:$T)</f>
        <v>0.10141226920875877</v>
      </c>
      <c r="O410" s="2">
        <f>_xlfn.XLOOKUP(A410,'[1]Prix MP'!$A:$A,'[1]Prix MP'!$U:$U)</f>
        <v>0.36934253244035825</v>
      </c>
      <c r="P410" s="11">
        <f t="shared" si="582"/>
        <v>267.39373022273423</v>
      </c>
      <c r="Q410" s="7">
        <f t="shared" si="583"/>
        <v>973.84545528549256</v>
      </c>
      <c r="R410" t="s">
        <v>206</v>
      </c>
      <c r="S410" s="1">
        <f t="shared" si="584"/>
        <v>0</v>
      </c>
      <c r="T410" s="33">
        <f t="shared" si="585"/>
        <v>0</v>
      </c>
      <c r="V410" s="8" t="str">
        <f t="shared" si="453"/>
        <v/>
      </c>
    </row>
    <row r="411" spans="1:22" x14ac:dyDescent="0.25">
      <c r="A411" s="107">
        <v>30025</v>
      </c>
      <c r="B411" s="17" t="s">
        <v>276</v>
      </c>
      <c r="C411" s="45">
        <v>45671</v>
      </c>
      <c r="D411" s="46" t="s">
        <v>176</v>
      </c>
      <c r="E411" s="46" t="s">
        <v>42</v>
      </c>
      <c r="F411" s="64">
        <v>-1</v>
      </c>
      <c r="G411" s="49" t="s">
        <v>635</v>
      </c>
      <c r="H411" s="34" t="s">
        <v>636</v>
      </c>
      <c r="I411" s="28">
        <v>42.5</v>
      </c>
      <c r="J411" t="s">
        <v>36</v>
      </c>
      <c r="K411" s="47">
        <v>5170</v>
      </c>
      <c r="L411" s="3" t="s">
        <v>372</v>
      </c>
      <c r="M411" s="33">
        <f>IF(J411="mm",F411*I411/1000*K411*1.55,F411*I411*12*K411/1000)</f>
        <v>-2636.7</v>
      </c>
      <c r="N411" s="2">
        <f>_xlfn.XLOOKUP(A411,'[1]Prix MP'!$A:$A,'[1]Prix MP'!$T:$T)</f>
        <v>0.10141226920875877</v>
      </c>
      <c r="O411" s="2">
        <f>_xlfn.XLOOKUP(A411,'[1]Prix MP'!$A:$A,'[1]Prix MP'!$U:$U)</f>
        <v>0.36934253244035825</v>
      </c>
      <c r="P411" s="11">
        <f>M411*N411</f>
        <v>-267.39373022273423</v>
      </c>
      <c r="Q411" s="7">
        <f t="shared" ref="Q411" si="586">M411*O411</f>
        <v>-973.84545528549256</v>
      </c>
      <c r="R411" t="s">
        <v>206</v>
      </c>
      <c r="S411" s="1">
        <f>ROUND(IF(E411="I",0,IF(J411="po",I411,I411/25.4)),2)</f>
        <v>0</v>
      </c>
      <c r="T411" s="33">
        <f>ROUND(IF(E411="I",0,IF(J411="po",K411,K411*3.280839895)),0)</f>
        <v>0</v>
      </c>
      <c r="V411" s="8"/>
    </row>
    <row r="412" spans="1:22" x14ac:dyDescent="0.25">
      <c r="A412" s="107">
        <v>30025</v>
      </c>
      <c r="B412" s="17" t="s">
        <v>276</v>
      </c>
      <c r="C412" s="45">
        <v>45593</v>
      </c>
      <c r="D412" s="46" t="s">
        <v>37</v>
      </c>
      <c r="E412" s="46" t="s">
        <v>41</v>
      </c>
      <c r="F412" s="64">
        <f t="shared" ref="F412" si="587">IF(D412="in",1,-1)</f>
        <v>1</v>
      </c>
      <c r="G412" s="49" t="s">
        <v>635</v>
      </c>
      <c r="H412" s="49" t="s">
        <v>688</v>
      </c>
      <c r="I412" s="28">
        <v>14.167</v>
      </c>
      <c r="J412" t="s">
        <v>36</v>
      </c>
      <c r="K412" s="47">
        <v>5100</v>
      </c>
      <c r="L412" s="3" t="s">
        <v>372</v>
      </c>
      <c r="M412" s="33">
        <f>IF(J412="mm",F412*I412/1000*K412*1.55,F412*I412*12*K412/1000)</f>
        <v>867.02039999999988</v>
      </c>
      <c r="N412" s="2">
        <f>_xlfn.XLOOKUP(A412,'[1]Prix MP'!$A:$A,'[1]Prix MP'!$T:$T)</f>
        <v>0.10141226920875877</v>
      </c>
      <c r="O412" s="2">
        <f>_xlfn.XLOOKUP(A412,'[1]Prix MP'!$A:$A,'[1]Prix MP'!$U:$U)</f>
        <v>0.36934253244035825</v>
      </c>
      <c r="P412" s="11">
        <f>M412*N412</f>
        <v>87.926506214285709</v>
      </c>
      <c r="Q412" s="7">
        <f t="shared" ref="Q412" si="588">M412*O412</f>
        <v>320.22751021345232</v>
      </c>
      <c r="R412" t="s">
        <v>206</v>
      </c>
      <c r="S412" s="1">
        <f>ROUND(IF(E412="I",0,IF(J412="po",I412,I412/25.4)),2)</f>
        <v>14.17</v>
      </c>
      <c r="T412" s="33">
        <f>ROUND(IF(E412="I",0,IF(J412="po",K412,K412*3.280839895)),0)</f>
        <v>5100</v>
      </c>
      <c r="V412" s="8"/>
    </row>
    <row r="413" spans="1:22" x14ac:dyDescent="0.25">
      <c r="A413" s="107">
        <v>30025</v>
      </c>
      <c r="B413" s="17" t="s">
        <v>276</v>
      </c>
      <c r="C413" s="45">
        <v>45580</v>
      </c>
      <c r="D413" s="46" t="s">
        <v>37</v>
      </c>
      <c r="E413" s="46" t="s">
        <v>42</v>
      </c>
      <c r="F413" s="64">
        <f t="shared" si="536"/>
        <v>1</v>
      </c>
      <c r="G413" s="49"/>
      <c r="H413" s="34" t="s">
        <v>320</v>
      </c>
      <c r="I413" s="28">
        <v>1530</v>
      </c>
      <c r="J413" t="s">
        <v>2</v>
      </c>
      <c r="K413" s="47">
        <v>3200</v>
      </c>
      <c r="L413" s="3" t="str">
        <f t="shared" si="537"/>
        <v>m</v>
      </c>
      <c r="M413" s="33">
        <f t="shared" si="524"/>
        <v>7588.8</v>
      </c>
      <c r="N413" s="2">
        <f>_xlfn.XLOOKUP(A413,'[1]Prix MP'!$A:$A,'[1]Prix MP'!$T:$T)</f>
        <v>0.10141226920875877</v>
      </c>
      <c r="O413" s="2">
        <f>_xlfn.XLOOKUP(A413,'[1]Prix MP'!$A:$A,'[1]Prix MP'!$U:$U)</f>
        <v>0.36934253244035825</v>
      </c>
      <c r="P413" s="11">
        <f t="shared" si="525"/>
        <v>769.59742857142862</v>
      </c>
      <c r="Q413" s="7">
        <f t="shared" si="431"/>
        <v>2802.8666101833905</v>
      </c>
      <c r="R413" t="s">
        <v>206</v>
      </c>
      <c r="S413" s="1">
        <f t="shared" si="367"/>
        <v>0</v>
      </c>
      <c r="T413" s="33">
        <f t="shared" si="368"/>
        <v>0</v>
      </c>
      <c r="V413" s="8">
        <f t="shared" si="453"/>
        <v>4896</v>
      </c>
    </row>
    <row r="414" spans="1:22" x14ac:dyDescent="0.25">
      <c r="A414" s="107">
        <v>30025</v>
      </c>
      <c r="B414" s="17" t="s">
        <v>276</v>
      </c>
      <c r="C414" s="45">
        <v>45609</v>
      </c>
      <c r="D414" s="46" t="s">
        <v>176</v>
      </c>
      <c r="E414" s="46" t="s">
        <v>42</v>
      </c>
      <c r="F414" s="64">
        <v>-1</v>
      </c>
      <c r="G414" s="49" t="s">
        <v>451</v>
      </c>
      <c r="H414" s="34" t="s">
        <v>320</v>
      </c>
      <c r="I414" s="28">
        <v>1530</v>
      </c>
      <c r="J414" t="s">
        <v>2</v>
      </c>
      <c r="K414" s="47">
        <v>3200</v>
      </c>
      <c r="L414" s="3" t="s">
        <v>1</v>
      </c>
      <c r="M414" s="33">
        <f>IF(J414="mm",F414*I414/1000*K414*1.55,F414*I414*12*K414/1000)</f>
        <v>-7588.8</v>
      </c>
      <c r="N414" s="2">
        <f>_xlfn.XLOOKUP(A414,'[1]Prix MP'!$A:$A,'[1]Prix MP'!$T:$T)</f>
        <v>0.10141226920875877</v>
      </c>
      <c r="O414" s="2">
        <f>_xlfn.XLOOKUP(A414,'[1]Prix MP'!$A:$A,'[1]Prix MP'!$U:$U)</f>
        <v>0.36934253244035825</v>
      </c>
      <c r="P414" s="11">
        <f>M414*N414</f>
        <v>-769.59742857142862</v>
      </c>
      <c r="Q414" s="7">
        <f t="shared" ref="Q414:Q415" si="589">M414*O414</f>
        <v>-2802.8666101833905</v>
      </c>
      <c r="R414" t="s">
        <v>206</v>
      </c>
      <c r="S414" s="1">
        <f>ROUND(IF(E414="I",0,IF(J414="po",I414,I414/25.4)),2)</f>
        <v>0</v>
      </c>
      <c r="T414" s="33">
        <f>ROUND(IF(E414="I",0,IF(J414="po",K414,K414*3.280839895)),0)</f>
        <v>0</v>
      </c>
      <c r="V414" s="8">
        <f t="shared" si="453"/>
        <v>4896</v>
      </c>
    </row>
    <row r="415" spans="1:22" x14ac:dyDescent="0.25">
      <c r="A415" s="107">
        <v>30025</v>
      </c>
      <c r="B415" s="17" t="s">
        <v>276</v>
      </c>
      <c r="C415" s="45">
        <v>45580</v>
      </c>
      <c r="D415" s="46" t="s">
        <v>37</v>
      </c>
      <c r="E415" s="46" t="s">
        <v>42</v>
      </c>
      <c r="F415" s="64">
        <f t="shared" ref="F415" si="590">IF(D415="in",1,-1)</f>
        <v>1</v>
      </c>
      <c r="G415" s="49"/>
      <c r="H415" s="34" t="s">
        <v>321</v>
      </c>
      <c r="I415" s="28">
        <v>1530</v>
      </c>
      <c r="J415" t="s">
        <v>2</v>
      </c>
      <c r="K415" s="47">
        <v>3200</v>
      </c>
      <c r="L415" s="3" t="str">
        <f t="shared" ref="L415" si="591">IF(J415="mm","m","pi")</f>
        <v>m</v>
      </c>
      <c r="M415" s="33">
        <f t="shared" ref="M415" si="592">IF(J415="mm",F415*I415/1000*K415*1.55,F415*I415*12*K415/1000)</f>
        <v>7588.8</v>
      </c>
      <c r="N415" s="2">
        <f>_xlfn.XLOOKUP(A415,'[1]Prix MP'!$A:$A,'[1]Prix MP'!$T:$T)</f>
        <v>0.10141226920875877</v>
      </c>
      <c r="O415" s="2">
        <f>_xlfn.XLOOKUP(A415,'[1]Prix MP'!$A:$A,'[1]Prix MP'!$U:$U)</f>
        <v>0.36934253244035825</v>
      </c>
      <c r="P415" s="11">
        <f t="shared" ref="P415" si="593">M415*N415</f>
        <v>769.59742857142862</v>
      </c>
      <c r="Q415" s="7">
        <f t="shared" si="589"/>
        <v>2802.8666101833905</v>
      </c>
      <c r="R415" t="s">
        <v>206</v>
      </c>
      <c r="S415" s="1">
        <f t="shared" ref="S415" si="594">ROUND(IF(E415="I",0,IF(J415="po",I415,I415/25.4)),2)</f>
        <v>0</v>
      </c>
      <c r="T415" s="33">
        <f t="shared" ref="T415" si="595">ROUND(IF(E415="I",0,IF(J415="po",K415,K415*3.280839895)),0)</f>
        <v>0</v>
      </c>
      <c r="V415" s="8"/>
    </row>
    <row r="416" spans="1:22" x14ac:dyDescent="0.25">
      <c r="A416" s="107">
        <v>30025</v>
      </c>
      <c r="B416" s="17" t="s">
        <v>276</v>
      </c>
      <c r="C416" s="45">
        <v>45629</v>
      </c>
      <c r="D416" s="46" t="s">
        <v>176</v>
      </c>
      <c r="E416" s="46" t="s">
        <v>42</v>
      </c>
      <c r="F416" s="64">
        <v>-1</v>
      </c>
      <c r="G416" s="49" t="s">
        <v>498</v>
      </c>
      <c r="H416" s="34" t="s">
        <v>321</v>
      </c>
      <c r="I416" s="28">
        <v>1530</v>
      </c>
      <c r="J416" t="s">
        <v>2</v>
      </c>
      <c r="K416" s="47">
        <v>3200</v>
      </c>
      <c r="L416" s="3" t="str">
        <f t="shared" ref="L416" si="596">IF(J416="mm","m","pi")</f>
        <v>m</v>
      </c>
      <c r="M416" s="33">
        <f t="shared" ref="M416" si="597">IF(J416="mm",F416*I416/1000*K416*1.55,F416*I416*12*K416/1000)</f>
        <v>-7588.8</v>
      </c>
      <c r="N416" s="2">
        <f>_xlfn.XLOOKUP(A416,'[1]Prix MP'!$A:$A,'[1]Prix MP'!$T:$T)</f>
        <v>0.10141226920875877</v>
      </c>
      <c r="O416" s="2">
        <f>_xlfn.XLOOKUP(A416,'[1]Prix MP'!$A:$A,'[1]Prix MP'!$U:$U)</f>
        <v>0.36934253244035825</v>
      </c>
      <c r="P416" s="11">
        <f t="shared" ref="P416" si="598">M416*N416</f>
        <v>-769.59742857142862</v>
      </c>
      <c r="Q416" s="7">
        <f t="shared" ref="Q416" si="599">M416*O416</f>
        <v>-2802.8666101833905</v>
      </c>
      <c r="R416" t="s">
        <v>206</v>
      </c>
      <c r="S416" s="1">
        <f t="shared" ref="S416" si="600">ROUND(IF(E416="I",0,IF(J416="po",I416,I416/25.4)),2)</f>
        <v>0</v>
      </c>
      <c r="T416" s="33">
        <f t="shared" ref="T416" si="601">ROUND(IF(E416="I",0,IF(J416="po",K416,K416*3.280839895)),0)</f>
        <v>0</v>
      </c>
      <c r="V416" s="8">
        <f t="shared" si="453"/>
        <v>4896</v>
      </c>
    </row>
    <row r="417" spans="1:22" x14ac:dyDescent="0.25">
      <c r="A417" s="107">
        <v>30026</v>
      </c>
      <c r="B417" s="105" t="s">
        <v>286</v>
      </c>
      <c r="C417" s="45">
        <v>45580</v>
      </c>
      <c r="D417" s="46" t="s">
        <v>37</v>
      </c>
      <c r="E417" s="46" t="s">
        <v>41</v>
      </c>
      <c r="F417" s="64">
        <f t="shared" ref="F417:F436" si="602">IF(D417="in",1,-1)</f>
        <v>1</v>
      </c>
      <c r="G417" s="49"/>
      <c r="H417" s="34" t="s">
        <v>277</v>
      </c>
      <c r="I417" s="28">
        <v>1530</v>
      </c>
      <c r="J417" t="s">
        <v>2</v>
      </c>
      <c r="K417" s="47">
        <v>6000</v>
      </c>
      <c r="L417" s="3" t="str">
        <f t="shared" ref="L417:L447" si="603">IF(J417="mm","m","pi")</f>
        <v>m</v>
      </c>
      <c r="M417" s="33">
        <f t="shared" ref="M417:M436" si="604">IF(J417="mm",F417*I417/1000*K417*1.55,F417*I417*12*K417/1000)</f>
        <v>14229</v>
      </c>
      <c r="N417" s="2">
        <f>_xlfn.XLOOKUP(A417,'[1]Prix MP'!$A:$A,'[1]Prix MP'!$T:$T)</f>
        <v>0.3169705647156798</v>
      </c>
      <c r="O417" s="2">
        <f>_xlfn.XLOOKUP(A417,'[1]Prix MP'!$A:$A,'[1]Prix MP'!$U:$U)</f>
        <v>0.3169705647156798</v>
      </c>
      <c r="P417" s="11">
        <f t="shared" ref="P417:P436" si="605">M417*N417</f>
        <v>4510.1741653394083</v>
      </c>
      <c r="Q417" s="7">
        <f t="shared" si="431"/>
        <v>4510.1741653394083</v>
      </c>
      <c r="R417" t="s">
        <v>206</v>
      </c>
      <c r="S417" s="1">
        <f t="shared" si="367"/>
        <v>60.24</v>
      </c>
      <c r="T417" s="33">
        <f t="shared" si="368"/>
        <v>19685</v>
      </c>
      <c r="V417" s="8">
        <f t="shared" si="453"/>
        <v>9180</v>
      </c>
    </row>
    <row r="418" spans="1:22" x14ac:dyDescent="0.25">
      <c r="A418" s="107">
        <v>30026</v>
      </c>
      <c r="B418" s="105" t="s">
        <v>286</v>
      </c>
      <c r="C418" s="45">
        <v>45580</v>
      </c>
      <c r="D418" s="46" t="s">
        <v>37</v>
      </c>
      <c r="E418" s="46" t="s">
        <v>41</v>
      </c>
      <c r="F418" s="64">
        <f t="shared" si="602"/>
        <v>1</v>
      </c>
      <c r="G418" s="49"/>
      <c r="H418" s="34" t="s">
        <v>278</v>
      </c>
      <c r="I418" s="28">
        <v>1530</v>
      </c>
      <c r="J418" t="s">
        <v>2</v>
      </c>
      <c r="K418" s="47">
        <v>5370</v>
      </c>
      <c r="L418" s="3" t="str">
        <f t="shared" si="603"/>
        <v>m</v>
      </c>
      <c r="M418" s="33">
        <f t="shared" si="604"/>
        <v>12734.955000000002</v>
      </c>
      <c r="N418" s="2">
        <f>_xlfn.XLOOKUP(A418,'[1]Prix MP'!$A:$A,'[1]Prix MP'!$T:$T)</f>
        <v>0.3169705647156798</v>
      </c>
      <c r="O418" s="2">
        <f>_xlfn.XLOOKUP(A418,'[1]Prix MP'!$A:$A,'[1]Prix MP'!$U:$U)</f>
        <v>0.3169705647156798</v>
      </c>
      <c r="P418" s="11">
        <f t="shared" si="605"/>
        <v>4036.6058779787704</v>
      </c>
      <c r="Q418" s="7">
        <f t="shared" si="431"/>
        <v>4036.6058779787704</v>
      </c>
      <c r="R418" t="s">
        <v>206</v>
      </c>
      <c r="S418" s="1">
        <f t="shared" si="367"/>
        <v>60.24</v>
      </c>
      <c r="T418" s="33">
        <f t="shared" si="368"/>
        <v>17618</v>
      </c>
      <c r="V418" s="8">
        <f t="shared" si="453"/>
        <v>8216.1</v>
      </c>
    </row>
    <row r="419" spans="1:22" x14ac:dyDescent="0.25">
      <c r="A419" s="107">
        <v>30026</v>
      </c>
      <c r="B419" s="105" t="s">
        <v>286</v>
      </c>
      <c r="C419" s="45">
        <v>45580</v>
      </c>
      <c r="D419" s="46" t="s">
        <v>37</v>
      </c>
      <c r="E419" s="46" t="s">
        <v>41</v>
      </c>
      <c r="F419" s="64">
        <f t="shared" si="602"/>
        <v>1</v>
      </c>
      <c r="G419" s="49"/>
      <c r="H419" s="34" t="s">
        <v>279</v>
      </c>
      <c r="I419" s="28">
        <v>1530</v>
      </c>
      <c r="J419" t="s">
        <v>2</v>
      </c>
      <c r="K419" s="47">
        <v>6620</v>
      </c>
      <c r="L419" s="3" t="str">
        <f t="shared" si="603"/>
        <v>m</v>
      </c>
      <c r="M419" s="33">
        <f t="shared" si="604"/>
        <v>15699.330000000002</v>
      </c>
      <c r="N419" s="2">
        <f>_xlfn.XLOOKUP(A419,'[1]Prix MP'!$A:$A,'[1]Prix MP'!$T:$T)</f>
        <v>0.3169705647156798</v>
      </c>
      <c r="O419" s="2">
        <f>_xlfn.XLOOKUP(A419,'[1]Prix MP'!$A:$A,'[1]Prix MP'!$U:$U)</f>
        <v>0.3169705647156798</v>
      </c>
      <c r="P419" s="11">
        <f t="shared" si="605"/>
        <v>4976.2254957578143</v>
      </c>
      <c r="Q419" s="7">
        <f t="shared" si="431"/>
        <v>4976.2254957578143</v>
      </c>
      <c r="R419" t="s">
        <v>206</v>
      </c>
      <c r="S419" s="1">
        <f t="shared" si="367"/>
        <v>60.24</v>
      </c>
      <c r="T419" s="33">
        <f t="shared" si="368"/>
        <v>21719</v>
      </c>
      <c r="V419" s="8">
        <f t="shared" si="453"/>
        <v>10128.6</v>
      </c>
    </row>
    <row r="420" spans="1:22" x14ac:dyDescent="0.25">
      <c r="A420" s="107">
        <v>30026</v>
      </c>
      <c r="B420" s="105" t="s">
        <v>286</v>
      </c>
      <c r="C420" s="45">
        <v>45580</v>
      </c>
      <c r="D420" s="46" t="s">
        <v>37</v>
      </c>
      <c r="E420" s="46" t="s">
        <v>41</v>
      </c>
      <c r="F420" s="64">
        <f t="shared" si="602"/>
        <v>1</v>
      </c>
      <c r="G420" s="49"/>
      <c r="H420" s="34" t="s">
        <v>280</v>
      </c>
      <c r="I420" s="28">
        <v>1530</v>
      </c>
      <c r="J420" t="s">
        <v>2</v>
      </c>
      <c r="K420" s="47">
        <v>5960</v>
      </c>
      <c r="L420" s="3" t="str">
        <f t="shared" si="603"/>
        <v>m</v>
      </c>
      <c r="M420" s="33">
        <f t="shared" si="604"/>
        <v>14134.14</v>
      </c>
      <c r="N420" s="2">
        <f>_xlfn.XLOOKUP(A420,'[1]Prix MP'!$A:$A,'[1]Prix MP'!$T:$T)</f>
        <v>0.3169705647156798</v>
      </c>
      <c r="O420" s="2">
        <f>_xlfn.XLOOKUP(A420,'[1]Prix MP'!$A:$A,'[1]Prix MP'!$U:$U)</f>
        <v>0.3169705647156798</v>
      </c>
      <c r="P420" s="11">
        <f t="shared" si="605"/>
        <v>4480.106337570478</v>
      </c>
      <c r="Q420" s="7">
        <f t="shared" si="431"/>
        <v>4480.106337570478</v>
      </c>
      <c r="R420" t="s">
        <v>206</v>
      </c>
      <c r="S420" s="1">
        <f t="shared" si="367"/>
        <v>60.24</v>
      </c>
      <c r="T420" s="33">
        <f t="shared" si="368"/>
        <v>19554</v>
      </c>
      <c r="V420" s="8">
        <f t="shared" si="453"/>
        <v>9118.7999999999993</v>
      </c>
    </row>
    <row r="421" spans="1:22" x14ac:dyDescent="0.25">
      <c r="A421" s="107">
        <v>30026</v>
      </c>
      <c r="B421" s="17" t="s">
        <v>286</v>
      </c>
      <c r="C421" s="45">
        <v>45580</v>
      </c>
      <c r="D421" s="46" t="s">
        <v>37</v>
      </c>
      <c r="E421" s="46" t="s">
        <v>42</v>
      </c>
      <c r="F421" s="64">
        <f t="shared" si="602"/>
        <v>1</v>
      </c>
      <c r="G421" s="49"/>
      <c r="H421" s="34" t="s">
        <v>281</v>
      </c>
      <c r="I421" s="28">
        <v>1530</v>
      </c>
      <c r="J421" t="s">
        <v>2</v>
      </c>
      <c r="K421" s="47">
        <v>5560</v>
      </c>
      <c r="L421" s="3" t="str">
        <f t="shared" si="603"/>
        <v>m</v>
      </c>
      <c r="M421" s="33">
        <f t="shared" si="604"/>
        <v>13185.539999999999</v>
      </c>
      <c r="N421" s="2">
        <f>_xlfn.XLOOKUP(A421,'[1]Prix MP'!$A:$A,'[1]Prix MP'!$T:$T)</f>
        <v>0.3169705647156798</v>
      </c>
      <c r="O421" s="2">
        <f>_xlfn.XLOOKUP(A421,'[1]Prix MP'!$A:$A,'[1]Prix MP'!$U:$U)</f>
        <v>0.3169705647156798</v>
      </c>
      <c r="P421" s="11">
        <f t="shared" si="605"/>
        <v>4179.4280598811847</v>
      </c>
      <c r="Q421" s="7">
        <f t="shared" si="431"/>
        <v>4179.4280598811847</v>
      </c>
      <c r="R421" t="s">
        <v>206</v>
      </c>
      <c r="S421" s="1">
        <f t="shared" si="367"/>
        <v>0</v>
      </c>
      <c r="T421" s="33">
        <f t="shared" si="368"/>
        <v>0</v>
      </c>
      <c r="V421" s="8">
        <f t="shared" si="453"/>
        <v>8506.7999999999993</v>
      </c>
    </row>
    <row r="422" spans="1:22" x14ac:dyDescent="0.25">
      <c r="A422" s="107">
        <v>30026</v>
      </c>
      <c r="B422" s="17" t="s">
        <v>286</v>
      </c>
      <c r="C422" s="45">
        <v>45646</v>
      </c>
      <c r="D422" s="46" t="s">
        <v>176</v>
      </c>
      <c r="E422" s="46" t="s">
        <v>42</v>
      </c>
      <c r="F422" s="64">
        <v>-1</v>
      </c>
      <c r="G422" s="49" t="s">
        <v>597</v>
      </c>
      <c r="H422" s="34" t="s">
        <v>281</v>
      </c>
      <c r="I422" s="28">
        <v>1530</v>
      </c>
      <c r="J422" t="s">
        <v>2</v>
      </c>
      <c r="K422" s="47">
        <v>5560</v>
      </c>
      <c r="L422" s="3" t="str">
        <f t="shared" ref="L422" si="606">IF(J422="mm","m","pi")</f>
        <v>m</v>
      </c>
      <c r="M422" s="33">
        <f>IF(J422="mm",F422*I422/1000*K422*1.55,F422*I422*12*K422/1000)</f>
        <v>-13185.539999999999</v>
      </c>
      <c r="N422" s="2">
        <f>_xlfn.XLOOKUP(A422,'[1]Prix MP'!$A:$A,'[1]Prix MP'!$T:$T)</f>
        <v>0.3169705647156798</v>
      </c>
      <c r="O422" s="2">
        <f>_xlfn.XLOOKUP(A422,'[1]Prix MP'!$A:$A,'[1]Prix MP'!$U:$U)</f>
        <v>0.3169705647156798</v>
      </c>
      <c r="P422" s="11">
        <f>M422*N422</f>
        <v>-4179.4280598811847</v>
      </c>
      <c r="Q422" s="7">
        <f t="shared" ref="Q422" si="607">M422*O422</f>
        <v>-4179.4280598811847</v>
      </c>
      <c r="R422" t="s">
        <v>206</v>
      </c>
      <c r="S422" s="1">
        <f>ROUND(IF(E422="I",0,IF(J422="po",I422,I422/25.4)),2)</f>
        <v>0</v>
      </c>
      <c r="T422" s="33">
        <f>ROUND(IF(E422="I",0,IF(J422="po",K422,K422*3.280839895)),0)</f>
        <v>0</v>
      </c>
      <c r="V422" s="8"/>
    </row>
    <row r="423" spans="1:22" x14ac:dyDescent="0.25">
      <c r="A423" s="107">
        <v>30026</v>
      </c>
      <c r="B423" s="17" t="s">
        <v>286</v>
      </c>
      <c r="C423" s="45">
        <v>45580</v>
      </c>
      <c r="D423" s="46" t="s">
        <v>37</v>
      </c>
      <c r="E423" s="46" t="s">
        <v>42</v>
      </c>
      <c r="F423" s="64">
        <f t="shared" si="602"/>
        <v>1</v>
      </c>
      <c r="G423" s="49"/>
      <c r="H423" s="34" t="s">
        <v>282</v>
      </c>
      <c r="I423" s="28">
        <v>1530</v>
      </c>
      <c r="J423" t="s">
        <v>2</v>
      </c>
      <c r="K423" s="47">
        <v>6000</v>
      </c>
      <c r="L423" s="3" t="str">
        <f t="shared" si="603"/>
        <v>m</v>
      </c>
      <c r="M423" s="33">
        <f t="shared" si="604"/>
        <v>14229</v>
      </c>
      <c r="N423" s="2">
        <f>_xlfn.XLOOKUP(A423,'[1]Prix MP'!$A:$A,'[1]Prix MP'!$T:$T)</f>
        <v>0.3169705647156798</v>
      </c>
      <c r="O423" s="2">
        <f>_xlfn.XLOOKUP(A423,'[1]Prix MP'!$A:$A,'[1]Prix MP'!$U:$U)</f>
        <v>0.3169705647156798</v>
      </c>
      <c r="P423" s="11">
        <f t="shared" si="605"/>
        <v>4510.1741653394083</v>
      </c>
      <c r="Q423" s="7">
        <f t="shared" si="431"/>
        <v>4510.1741653394083</v>
      </c>
      <c r="R423" t="s">
        <v>206</v>
      </c>
      <c r="S423" s="1">
        <f t="shared" si="367"/>
        <v>0</v>
      </c>
      <c r="T423" s="33">
        <f t="shared" si="368"/>
        <v>0</v>
      </c>
      <c r="V423" s="8">
        <f t="shared" si="453"/>
        <v>9180</v>
      </c>
    </row>
    <row r="424" spans="1:22" x14ac:dyDescent="0.25">
      <c r="A424" s="107">
        <v>30026</v>
      </c>
      <c r="B424" s="17" t="s">
        <v>286</v>
      </c>
      <c r="C424" s="45">
        <v>45632</v>
      </c>
      <c r="D424" s="46" t="s">
        <v>176</v>
      </c>
      <c r="E424" s="46" t="s">
        <v>42</v>
      </c>
      <c r="F424" s="64">
        <v>-1</v>
      </c>
      <c r="G424" s="49" t="s">
        <v>503</v>
      </c>
      <c r="H424" s="34" t="s">
        <v>282</v>
      </c>
      <c r="I424" s="28">
        <v>1530</v>
      </c>
      <c r="J424" t="s">
        <v>2</v>
      </c>
      <c r="K424" s="47">
        <v>6000</v>
      </c>
      <c r="L424" s="3" t="str">
        <f t="shared" ref="L424" si="608">IF(J424="mm","m","pi")</f>
        <v>m</v>
      </c>
      <c r="M424" s="33">
        <f>IF(J424="mm",F424*I424/1000*K424*1.55,F424*I424*12*K424/1000)</f>
        <v>-14229</v>
      </c>
      <c r="N424" s="2">
        <f>_xlfn.XLOOKUP(A424,'[1]Prix MP'!$A:$A,'[1]Prix MP'!$T:$T)</f>
        <v>0.3169705647156798</v>
      </c>
      <c r="O424" s="2">
        <f>_xlfn.XLOOKUP(A424,'[1]Prix MP'!$A:$A,'[1]Prix MP'!$U:$U)</f>
        <v>0.3169705647156798</v>
      </c>
      <c r="P424" s="11">
        <f>M424*N424</f>
        <v>-4510.1741653394083</v>
      </c>
      <c r="Q424" s="7">
        <f t="shared" ref="Q424" si="609">M424*O424</f>
        <v>-4510.1741653394083</v>
      </c>
      <c r="R424" t="s">
        <v>206</v>
      </c>
      <c r="S424" s="1">
        <f>ROUND(IF(E424="I",0,IF(J424="po",I424,I424/25.4)),2)</f>
        <v>0</v>
      </c>
      <c r="T424" s="33">
        <f>ROUND(IF(E424="I",0,IF(J424="po",K424,K424*3.280839895)),0)</f>
        <v>0</v>
      </c>
      <c r="V424" s="8"/>
    </row>
    <row r="425" spans="1:22" x14ac:dyDescent="0.25">
      <c r="A425" s="107">
        <v>30026</v>
      </c>
      <c r="B425" s="17" t="s">
        <v>286</v>
      </c>
      <c r="C425" s="45">
        <v>45580</v>
      </c>
      <c r="D425" s="46" t="s">
        <v>37</v>
      </c>
      <c r="E425" s="46" t="s">
        <v>42</v>
      </c>
      <c r="F425" s="64">
        <f t="shared" si="602"/>
        <v>1</v>
      </c>
      <c r="G425" s="49"/>
      <c r="H425" s="34" t="s">
        <v>283</v>
      </c>
      <c r="I425" s="28">
        <v>1530</v>
      </c>
      <c r="J425" t="s">
        <v>2</v>
      </c>
      <c r="K425" s="47">
        <v>5830</v>
      </c>
      <c r="L425" s="3" t="str">
        <f t="shared" si="603"/>
        <v>m</v>
      </c>
      <c r="M425" s="33">
        <f t="shared" si="604"/>
        <v>13825.844999999999</v>
      </c>
      <c r="N425" s="2">
        <f>_xlfn.XLOOKUP(A425,'[1]Prix MP'!$A:$A,'[1]Prix MP'!$T:$T)</f>
        <v>0.3169705647156798</v>
      </c>
      <c r="O425" s="2">
        <f>_xlfn.XLOOKUP(A425,'[1]Prix MP'!$A:$A,'[1]Prix MP'!$U:$U)</f>
        <v>0.3169705647156798</v>
      </c>
      <c r="P425" s="11">
        <f t="shared" si="605"/>
        <v>4382.3858973214574</v>
      </c>
      <c r="Q425" s="7">
        <f t="shared" si="431"/>
        <v>4382.3858973214574</v>
      </c>
      <c r="R425" t="s">
        <v>206</v>
      </c>
      <c r="S425" s="1">
        <f t="shared" si="367"/>
        <v>0</v>
      </c>
      <c r="T425" s="33">
        <f t="shared" si="368"/>
        <v>0</v>
      </c>
      <c r="V425" s="8">
        <f t="shared" si="453"/>
        <v>8919.9</v>
      </c>
    </row>
    <row r="426" spans="1:22" x14ac:dyDescent="0.25">
      <c r="A426" s="107">
        <v>30026</v>
      </c>
      <c r="B426" s="17" t="s">
        <v>286</v>
      </c>
      <c r="C426" s="45">
        <v>45604</v>
      </c>
      <c r="D426" s="46" t="s">
        <v>176</v>
      </c>
      <c r="E426" s="46" t="s">
        <v>42</v>
      </c>
      <c r="F426" s="64">
        <v>-1</v>
      </c>
      <c r="G426" s="49" t="s">
        <v>438</v>
      </c>
      <c r="H426" s="34" t="s">
        <v>283</v>
      </c>
      <c r="I426" s="28">
        <v>1530</v>
      </c>
      <c r="J426" t="s">
        <v>2</v>
      </c>
      <c r="K426" s="47">
        <v>5830</v>
      </c>
      <c r="L426" s="3" t="str">
        <f t="shared" si="603"/>
        <v>m</v>
      </c>
      <c r="M426" s="33">
        <f>IF(J426="mm",F426*I426/1000*K426*1.55,F426*I426*12*K426/1000)</f>
        <v>-13825.844999999999</v>
      </c>
      <c r="N426" s="2">
        <f>_xlfn.XLOOKUP(A426,'[1]Prix MP'!$A:$A,'[1]Prix MP'!$T:$T)</f>
        <v>0.3169705647156798</v>
      </c>
      <c r="O426" s="2">
        <f>_xlfn.XLOOKUP(A426,'[1]Prix MP'!$A:$A,'[1]Prix MP'!$U:$U)</f>
        <v>0.3169705647156798</v>
      </c>
      <c r="P426" s="11">
        <f>M426*N426</f>
        <v>-4382.3858973214574</v>
      </c>
      <c r="Q426" s="7">
        <f t="shared" ref="Q426:Q427" si="610">M426*O426</f>
        <v>-4382.3858973214574</v>
      </c>
      <c r="R426" t="s">
        <v>206</v>
      </c>
      <c r="S426" s="1">
        <f>ROUND(IF(E426="I",0,IF(J426="po",I426,I426/25.4)),2)</f>
        <v>0</v>
      </c>
      <c r="T426" s="33">
        <f>ROUND(IF(E426="I",0,IF(J426="po",K426,K426*3.280839895)),0)</f>
        <v>0</v>
      </c>
      <c r="V426" s="8">
        <f t="shared" si="453"/>
        <v>8919.9</v>
      </c>
    </row>
    <row r="427" spans="1:22" x14ac:dyDescent="0.25">
      <c r="A427" s="107">
        <v>30026</v>
      </c>
      <c r="B427" s="17" t="s">
        <v>286</v>
      </c>
      <c r="C427" s="45">
        <v>45604</v>
      </c>
      <c r="D427" s="46" t="s">
        <v>373</v>
      </c>
      <c r="E427" s="46" t="s">
        <v>42</v>
      </c>
      <c r="F427" s="64">
        <v>1</v>
      </c>
      <c r="G427" s="49" t="s">
        <v>438</v>
      </c>
      <c r="H427" s="34" t="s">
        <v>439</v>
      </c>
      <c r="I427" s="28">
        <v>60.235999999999997</v>
      </c>
      <c r="J427" t="s">
        <v>36</v>
      </c>
      <c r="K427" s="47">
        <v>9000</v>
      </c>
      <c r="L427" s="3" t="s">
        <v>372</v>
      </c>
      <c r="M427" s="33">
        <f>IF(J427="mm",F427*I427/1000*K427*1.55,F427*I427*12*K427/1000)</f>
        <v>6505.4880000000003</v>
      </c>
      <c r="N427" s="2">
        <f>_xlfn.XLOOKUP(A427,'[1]Prix MP'!$A:$A,'[1]Prix MP'!$T:$T)</f>
        <v>0.3169705647156798</v>
      </c>
      <c r="O427" s="2">
        <f>_xlfn.XLOOKUP(A427,'[1]Prix MP'!$A:$A,'[1]Prix MP'!$U:$U)</f>
        <v>0.3169705647156798</v>
      </c>
      <c r="P427" s="11">
        <f>M427*N427</f>
        <v>2062.0482051110785</v>
      </c>
      <c r="Q427" s="7">
        <f t="shared" si="610"/>
        <v>2062.0482051110785</v>
      </c>
      <c r="R427" t="s">
        <v>206</v>
      </c>
      <c r="S427" s="1">
        <f>ROUND(IF(E427="I",0,IF(J427="po",I427,I427/25.4)),2)</f>
        <v>0</v>
      </c>
      <c r="T427" s="33">
        <f>ROUND(IF(E427="I",0,IF(J427="po",K427,K427*3.280839895)),0)</f>
        <v>0</v>
      </c>
      <c r="V427" s="8" t="str">
        <f t="shared" si="453"/>
        <v/>
      </c>
    </row>
    <row r="428" spans="1:22" x14ac:dyDescent="0.25">
      <c r="A428" s="107">
        <v>30026</v>
      </c>
      <c r="B428" s="17" t="s">
        <v>286</v>
      </c>
      <c r="C428" s="45">
        <v>45604</v>
      </c>
      <c r="D428" s="46" t="s">
        <v>176</v>
      </c>
      <c r="E428" s="46" t="s">
        <v>42</v>
      </c>
      <c r="F428" s="64">
        <v>-1</v>
      </c>
      <c r="G428" s="49" t="s">
        <v>440</v>
      </c>
      <c r="H428" s="34" t="s">
        <v>439</v>
      </c>
      <c r="I428" s="28">
        <v>60.235999999999997</v>
      </c>
      <c r="J428" t="s">
        <v>36</v>
      </c>
      <c r="K428" s="47">
        <v>9000</v>
      </c>
      <c r="L428" s="3" t="s">
        <v>372</v>
      </c>
      <c r="M428" s="33">
        <f t="shared" ref="M428:M429" si="611">IF(J428="mm",F428*I428/1000*K428*1.55,F428*I428*12*K428/1000)</f>
        <v>-6505.4880000000003</v>
      </c>
      <c r="N428" s="2">
        <f>_xlfn.XLOOKUP(A428,'[1]Prix MP'!$A:$A,'[1]Prix MP'!$T:$T)</f>
        <v>0.3169705647156798</v>
      </c>
      <c r="O428" s="2">
        <f>_xlfn.XLOOKUP(A428,'[1]Prix MP'!$A:$A,'[1]Prix MP'!$U:$U)</f>
        <v>0.3169705647156798</v>
      </c>
      <c r="P428" s="11">
        <f t="shared" ref="P428:P429" si="612">M428*N428</f>
        <v>-2062.0482051110785</v>
      </c>
      <c r="Q428" s="7">
        <f t="shared" ref="Q428:Q429" si="613">M428*O428</f>
        <v>-2062.0482051110785</v>
      </c>
      <c r="R428" t="s">
        <v>206</v>
      </c>
      <c r="S428" s="1">
        <f t="shared" ref="S428:S429" si="614">ROUND(IF(E428="I",0,IF(J428="po",I428,I428/25.4)),2)</f>
        <v>0</v>
      </c>
      <c r="T428" s="33">
        <f t="shared" ref="T428:T429" si="615">ROUND(IF(E428="I",0,IF(J428="po",K428,K428*3.280839895)),0)</f>
        <v>0</v>
      </c>
      <c r="V428" s="8" t="str">
        <f t="shared" si="453"/>
        <v/>
      </c>
    </row>
    <row r="429" spans="1:22" x14ac:dyDescent="0.25">
      <c r="A429" s="107">
        <v>30026</v>
      </c>
      <c r="B429" s="105" t="s">
        <v>286</v>
      </c>
      <c r="C429" s="45">
        <v>45604</v>
      </c>
      <c r="D429" s="46" t="s">
        <v>373</v>
      </c>
      <c r="E429" s="46" t="s">
        <v>41</v>
      </c>
      <c r="F429" s="64">
        <v>1</v>
      </c>
      <c r="G429" s="49" t="s">
        <v>440</v>
      </c>
      <c r="H429" s="34" t="s">
        <v>441</v>
      </c>
      <c r="I429" s="28">
        <v>60.235999999999997</v>
      </c>
      <c r="J429" t="s">
        <v>36</v>
      </c>
      <c r="K429" s="47">
        <v>4100</v>
      </c>
      <c r="L429" s="3" t="s">
        <v>372</v>
      </c>
      <c r="M429" s="33">
        <f t="shared" si="611"/>
        <v>2963.6112000000003</v>
      </c>
      <c r="N429" s="2">
        <f>_xlfn.XLOOKUP(A429,'[1]Prix MP'!$A:$A,'[1]Prix MP'!$T:$T)</f>
        <v>0.3169705647156798</v>
      </c>
      <c r="O429" s="2">
        <f>_xlfn.XLOOKUP(A429,'[1]Prix MP'!$A:$A,'[1]Prix MP'!$U:$U)</f>
        <v>0.3169705647156798</v>
      </c>
      <c r="P429" s="11">
        <f t="shared" si="612"/>
        <v>939.37751566171357</v>
      </c>
      <c r="Q429" s="7">
        <f t="shared" si="613"/>
        <v>939.37751566171357</v>
      </c>
      <c r="R429" t="s">
        <v>206</v>
      </c>
      <c r="S429" s="1">
        <f t="shared" si="614"/>
        <v>60.24</v>
      </c>
      <c r="T429" s="33">
        <f t="shared" si="615"/>
        <v>4100</v>
      </c>
      <c r="V429" s="8" t="str">
        <f t="shared" si="453"/>
        <v/>
      </c>
    </row>
    <row r="430" spans="1:22" x14ac:dyDescent="0.25">
      <c r="A430" s="107">
        <v>30026</v>
      </c>
      <c r="B430" s="17" t="s">
        <v>286</v>
      </c>
      <c r="C430" s="45">
        <v>45580</v>
      </c>
      <c r="D430" s="46" t="s">
        <v>37</v>
      </c>
      <c r="E430" s="46" t="s">
        <v>42</v>
      </c>
      <c r="F430" s="64">
        <f t="shared" si="602"/>
        <v>1</v>
      </c>
      <c r="G430" s="49"/>
      <c r="H430" s="34" t="s">
        <v>284</v>
      </c>
      <c r="I430" s="28">
        <v>1530</v>
      </c>
      <c r="J430" t="s">
        <v>2</v>
      </c>
      <c r="K430" s="47">
        <v>5950</v>
      </c>
      <c r="L430" s="3" t="str">
        <f t="shared" si="603"/>
        <v>m</v>
      </c>
      <c r="M430" s="33">
        <f t="shared" si="604"/>
        <v>14110.425000000001</v>
      </c>
      <c r="N430" s="2">
        <f>_xlfn.XLOOKUP(A430,'[1]Prix MP'!$A:$A,'[1]Prix MP'!$T:$T)</f>
        <v>0.3169705647156798</v>
      </c>
      <c r="O430" s="2">
        <f>_xlfn.XLOOKUP(A430,'[1]Prix MP'!$A:$A,'[1]Prix MP'!$U:$U)</f>
        <v>0.3169705647156798</v>
      </c>
      <c r="P430" s="11">
        <f t="shared" si="605"/>
        <v>4472.5893806282465</v>
      </c>
      <c r="Q430" s="7">
        <f t="shared" si="431"/>
        <v>4472.5893806282465</v>
      </c>
      <c r="R430" t="s">
        <v>206</v>
      </c>
      <c r="S430" s="1">
        <f t="shared" si="367"/>
        <v>0</v>
      </c>
      <c r="T430" s="33">
        <f t="shared" si="368"/>
        <v>0</v>
      </c>
      <c r="V430" s="8">
        <f t="shared" si="453"/>
        <v>9103.5</v>
      </c>
    </row>
    <row r="431" spans="1:22" x14ac:dyDescent="0.25">
      <c r="A431" s="107">
        <v>30026</v>
      </c>
      <c r="B431" s="17" t="s">
        <v>286</v>
      </c>
      <c r="C431" s="45">
        <v>45601</v>
      </c>
      <c r="D431" s="46" t="s">
        <v>176</v>
      </c>
      <c r="E431" s="46" t="s">
        <v>42</v>
      </c>
      <c r="F431" s="64">
        <v>-1</v>
      </c>
      <c r="G431" s="49" t="s">
        <v>420</v>
      </c>
      <c r="H431" s="34" t="s">
        <v>284</v>
      </c>
      <c r="I431" s="28">
        <v>1530</v>
      </c>
      <c r="J431" t="s">
        <v>2</v>
      </c>
      <c r="K431" s="47">
        <v>5950</v>
      </c>
      <c r="L431" s="3" t="str">
        <f t="shared" ref="L431" si="616">IF(J431="mm","m","pi")</f>
        <v>m</v>
      </c>
      <c r="M431" s="33">
        <f t="shared" ref="M431:M433" si="617">IF(J431="mm",F431*I431/1000*K431*1.55,F431*I431*12*K431/1000)</f>
        <v>-14110.425000000001</v>
      </c>
      <c r="N431" s="2">
        <f>_xlfn.XLOOKUP(A431,'[1]Prix MP'!$A:$A,'[1]Prix MP'!$T:$T)</f>
        <v>0.3169705647156798</v>
      </c>
      <c r="O431" s="2">
        <f>_xlfn.XLOOKUP(A431,'[1]Prix MP'!$A:$A,'[1]Prix MP'!$U:$U)</f>
        <v>0.3169705647156798</v>
      </c>
      <c r="P431" s="11">
        <f t="shared" ref="P431:P433" si="618">M431*N431</f>
        <v>-4472.5893806282465</v>
      </c>
      <c r="Q431" s="7">
        <f t="shared" ref="Q431:Q433" si="619">M431*O431</f>
        <v>-4472.5893806282465</v>
      </c>
      <c r="R431" t="s">
        <v>206</v>
      </c>
      <c r="S431" s="1">
        <f t="shared" ref="S431:S433" si="620">ROUND(IF(E431="I",0,IF(J431="po",I431,I431/25.4)),2)</f>
        <v>0</v>
      </c>
      <c r="T431" s="33">
        <f t="shared" ref="T431:T433" si="621">ROUND(IF(E431="I",0,IF(J431="po",K431,K431*3.280839895)),0)</f>
        <v>0</v>
      </c>
      <c r="V431" s="8">
        <f t="shared" si="453"/>
        <v>9103.5</v>
      </c>
    </row>
    <row r="432" spans="1:22" x14ac:dyDescent="0.25">
      <c r="A432" s="107">
        <v>30026</v>
      </c>
      <c r="B432" s="17" t="s">
        <v>286</v>
      </c>
      <c r="C432" s="45">
        <v>45601</v>
      </c>
      <c r="D432" s="46" t="s">
        <v>373</v>
      </c>
      <c r="E432" s="46" t="s">
        <v>41</v>
      </c>
      <c r="F432" s="64">
        <v>1</v>
      </c>
      <c r="G432" s="49" t="s">
        <v>420</v>
      </c>
      <c r="H432" s="34" t="s">
        <v>421</v>
      </c>
      <c r="I432" s="28">
        <v>8.8000000000000007</v>
      </c>
      <c r="J432" t="s">
        <v>36</v>
      </c>
      <c r="K432" s="47">
        <v>10000</v>
      </c>
      <c r="L432" s="3" t="s">
        <v>372</v>
      </c>
      <c r="M432" s="33">
        <f t="shared" si="617"/>
        <v>1056</v>
      </c>
      <c r="N432" s="2">
        <f>_xlfn.XLOOKUP(A432,'[1]Prix MP'!$A:$A,'[1]Prix MP'!$T:$T)</f>
        <v>0.3169705647156798</v>
      </c>
      <c r="O432" s="2">
        <f>_xlfn.XLOOKUP(A432,'[1]Prix MP'!$A:$A,'[1]Prix MP'!$U:$U)</f>
        <v>0.3169705647156798</v>
      </c>
      <c r="P432" s="11">
        <f t="shared" si="618"/>
        <v>334.72091633975788</v>
      </c>
      <c r="Q432" s="7">
        <f t="shared" si="619"/>
        <v>334.72091633975788</v>
      </c>
      <c r="R432" t="s">
        <v>206</v>
      </c>
      <c r="S432" s="1">
        <f t="shared" si="620"/>
        <v>8.8000000000000007</v>
      </c>
      <c r="T432" s="33">
        <f t="shared" si="621"/>
        <v>10000</v>
      </c>
      <c r="V432" s="8" t="str">
        <f t="shared" si="453"/>
        <v/>
      </c>
    </row>
    <row r="433" spans="1:22" x14ac:dyDescent="0.25">
      <c r="A433" s="107">
        <v>30026</v>
      </c>
      <c r="B433" s="17" t="s">
        <v>286</v>
      </c>
      <c r="C433" s="45">
        <v>45601</v>
      </c>
      <c r="D433" s="46" t="s">
        <v>373</v>
      </c>
      <c r="E433" s="46" t="s">
        <v>42</v>
      </c>
      <c r="F433" s="64">
        <v>1</v>
      </c>
      <c r="G433" s="49" t="s">
        <v>420</v>
      </c>
      <c r="H433" s="34" t="s">
        <v>422</v>
      </c>
      <c r="I433" s="28">
        <v>8.8000000000000007</v>
      </c>
      <c r="J433" t="s">
        <v>36</v>
      </c>
      <c r="K433" s="47">
        <v>8800</v>
      </c>
      <c r="L433" s="3" t="s">
        <v>372</v>
      </c>
      <c r="M433" s="33">
        <f t="shared" si="617"/>
        <v>929.28000000000009</v>
      </c>
      <c r="N433" s="2">
        <f>_xlfn.XLOOKUP(A433,'[1]Prix MP'!$A:$A,'[1]Prix MP'!$T:$T)</f>
        <v>0.3169705647156798</v>
      </c>
      <c r="O433" s="2">
        <f>_xlfn.XLOOKUP(A433,'[1]Prix MP'!$A:$A,'[1]Prix MP'!$U:$U)</f>
        <v>0.3169705647156798</v>
      </c>
      <c r="P433" s="11">
        <f t="shared" si="618"/>
        <v>294.55440637898698</v>
      </c>
      <c r="Q433" s="7">
        <f t="shared" si="619"/>
        <v>294.55440637898698</v>
      </c>
      <c r="R433" t="s">
        <v>206</v>
      </c>
      <c r="S433" s="1">
        <f t="shared" si="620"/>
        <v>0</v>
      </c>
      <c r="T433" s="33">
        <f t="shared" si="621"/>
        <v>0</v>
      </c>
      <c r="V433" s="8" t="str">
        <f t="shared" si="453"/>
        <v/>
      </c>
    </row>
    <row r="434" spans="1:22" x14ac:dyDescent="0.25">
      <c r="A434" s="107">
        <v>30026</v>
      </c>
      <c r="B434" s="17" t="s">
        <v>286</v>
      </c>
      <c r="C434" s="45">
        <v>45618</v>
      </c>
      <c r="D434" s="46" t="s">
        <v>176</v>
      </c>
      <c r="E434" s="46" t="s">
        <v>42</v>
      </c>
      <c r="F434" s="64">
        <v>-1</v>
      </c>
      <c r="G434" s="49" t="s">
        <v>465</v>
      </c>
      <c r="H434" s="34" t="s">
        <v>466</v>
      </c>
      <c r="I434" s="28">
        <v>8.8000000000000007</v>
      </c>
      <c r="J434" t="s">
        <v>36</v>
      </c>
      <c r="K434" s="47">
        <v>8800</v>
      </c>
      <c r="L434" s="3" t="s">
        <v>372</v>
      </c>
      <c r="M434" s="33">
        <f>IF(J434="mm",F434*I434/1000*K434*1.55,F434*I434*12*K434/1000)</f>
        <v>-929.28000000000009</v>
      </c>
      <c r="N434" s="2">
        <f>_xlfn.XLOOKUP(A434,'[1]Prix MP'!$A:$A,'[1]Prix MP'!$T:$T)</f>
        <v>0.3169705647156798</v>
      </c>
      <c r="O434" s="2">
        <f>_xlfn.XLOOKUP(A434,'[1]Prix MP'!$A:$A,'[1]Prix MP'!$U:$U)</f>
        <v>0.3169705647156798</v>
      </c>
      <c r="P434" s="11">
        <f>M434*N434</f>
        <v>-294.55440637898698</v>
      </c>
      <c r="Q434" s="7">
        <f t="shared" ref="Q434:Q435" si="622">M434*O434</f>
        <v>-294.55440637898698</v>
      </c>
      <c r="R434" t="s">
        <v>206</v>
      </c>
      <c r="S434" s="1">
        <f>ROUND(IF(E434="I",0,IF(J434="po",I434,I434/25.4)),2)</f>
        <v>0</v>
      </c>
      <c r="T434" s="33">
        <f>ROUND(IF(E434="I",0,IF(J434="po",K434,K434*3.280839895)),0)</f>
        <v>0</v>
      </c>
      <c r="V434" s="8"/>
    </row>
    <row r="435" spans="1:22" x14ac:dyDescent="0.25">
      <c r="A435" s="107">
        <v>30026</v>
      </c>
      <c r="B435" s="17" t="s">
        <v>286</v>
      </c>
      <c r="C435" s="45">
        <v>45618</v>
      </c>
      <c r="D435" s="46" t="s">
        <v>373</v>
      </c>
      <c r="E435" s="46" t="s">
        <v>41</v>
      </c>
      <c r="F435" s="64">
        <v>1</v>
      </c>
      <c r="G435" s="49" t="s">
        <v>465</v>
      </c>
      <c r="H435" s="34" t="s">
        <v>467</v>
      </c>
      <c r="I435" s="28">
        <v>8.8000000000000007</v>
      </c>
      <c r="J435" t="s">
        <v>36</v>
      </c>
      <c r="K435" s="47">
        <v>6200</v>
      </c>
      <c r="L435" s="3" t="s">
        <v>372</v>
      </c>
      <c r="M435" s="33">
        <f>IF(J435="mm",F435*I435/1000*K435*1.55,F435*I435*12*K435/1000)</f>
        <v>654.72</v>
      </c>
      <c r="N435" s="2">
        <f>_xlfn.XLOOKUP(A435,'[1]Prix MP'!$A:$A,'[1]Prix MP'!$T:$T)</f>
        <v>0.3169705647156798</v>
      </c>
      <c r="O435" s="2">
        <f>_xlfn.XLOOKUP(A435,'[1]Prix MP'!$A:$A,'[1]Prix MP'!$U:$U)</f>
        <v>0.3169705647156798</v>
      </c>
      <c r="P435" s="11">
        <f>M435*N435</f>
        <v>207.52696813064989</v>
      </c>
      <c r="Q435" s="7">
        <f t="shared" si="622"/>
        <v>207.52696813064989</v>
      </c>
      <c r="R435" t="s">
        <v>206</v>
      </c>
      <c r="S435" s="1">
        <f>ROUND(IF(E435="I",0,IF(J435="po",I435,I435/25.4)),2)</f>
        <v>8.8000000000000007</v>
      </c>
      <c r="T435" s="33">
        <f>ROUND(IF(E435="I",0,IF(J435="po",K435,K435*3.280839895)),0)</f>
        <v>6200</v>
      </c>
      <c r="V435" s="8"/>
    </row>
    <row r="436" spans="1:22" x14ac:dyDescent="0.25">
      <c r="A436" s="107">
        <v>30026</v>
      </c>
      <c r="B436" s="17" t="s">
        <v>286</v>
      </c>
      <c r="C436" s="45">
        <v>45580</v>
      </c>
      <c r="D436" s="46" t="s">
        <v>37</v>
      </c>
      <c r="E436" s="46" t="s">
        <v>42</v>
      </c>
      <c r="F436" s="64">
        <f t="shared" si="602"/>
        <v>1</v>
      </c>
      <c r="G436" s="49"/>
      <c r="H436" s="34" t="s">
        <v>285</v>
      </c>
      <c r="I436" s="28">
        <v>1530</v>
      </c>
      <c r="J436" t="s">
        <v>2</v>
      </c>
      <c r="K436" s="47">
        <v>5800</v>
      </c>
      <c r="L436" s="3" t="str">
        <f t="shared" si="603"/>
        <v>m</v>
      </c>
      <c r="M436" s="33">
        <f t="shared" si="604"/>
        <v>13754.7</v>
      </c>
      <c r="N436" s="2">
        <f>_xlfn.XLOOKUP(A436,'[1]Prix MP'!$A:$A,'[1]Prix MP'!$T:$T)</f>
        <v>0.3169705647156798</v>
      </c>
      <c r="O436" s="2">
        <f>_xlfn.XLOOKUP(A436,'[1]Prix MP'!$A:$A,'[1]Prix MP'!$U:$U)</f>
        <v>0.3169705647156798</v>
      </c>
      <c r="P436" s="11">
        <f t="shared" si="605"/>
        <v>4359.8350264947612</v>
      </c>
      <c r="Q436" s="7">
        <f t="shared" si="431"/>
        <v>4359.8350264947612</v>
      </c>
      <c r="R436" t="s">
        <v>206</v>
      </c>
      <c r="S436" s="1">
        <f t="shared" si="367"/>
        <v>0</v>
      </c>
      <c r="T436" s="33">
        <f t="shared" si="368"/>
        <v>0</v>
      </c>
      <c r="V436" s="8">
        <f t="shared" si="453"/>
        <v>8874</v>
      </c>
    </row>
    <row r="437" spans="1:22" x14ac:dyDescent="0.25">
      <c r="A437" s="107">
        <v>30026</v>
      </c>
      <c r="B437" s="17" t="s">
        <v>286</v>
      </c>
      <c r="C437" s="45">
        <v>45607</v>
      </c>
      <c r="D437" s="46" t="s">
        <v>176</v>
      </c>
      <c r="E437" s="46" t="s">
        <v>42</v>
      </c>
      <c r="F437" s="64">
        <v>-1</v>
      </c>
      <c r="G437" s="49" t="s">
        <v>522</v>
      </c>
      <c r="H437" s="34" t="s">
        <v>285</v>
      </c>
      <c r="I437" s="28">
        <v>1530</v>
      </c>
      <c r="J437" t="s">
        <v>2</v>
      </c>
      <c r="K437" s="47">
        <v>5800</v>
      </c>
      <c r="L437" s="3" t="str">
        <f t="shared" ref="L437" si="623">IF(J437="mm","m","pi")</f>
        <v>m</v>
      </c>
      <c r="M437" s="33">
        <f>IF(J437="mm",F437*I437/1000*K437*1.55,F437*I437*12*K437/1000)</f>
        <v>-13754.7</v>
      </c>
      <c r="N437" s="2">
        <f>_xlfn.XLOOKUP(A437,'[1]Prix MP'!$A:$A,'[1]Prix MP'!$T:$T)</f>
        <v>0.3169705647156798</v>
      </c>
      <c r="O437" s="2">
        <f>_xlfn.XLOOKUP(A437,'[1]Prix MP'!$A:$A,'[1]Prix MP'!$U:$U)</f>
        <v>0.3169705647156798</v>
      </c>
      <c r="P437" s="11">
        <f>M437*N437</f>
        <v>-4359.8350264947612</v>
      </c>
      <c r="Q437" s="7">
        <f t="shared" ref="Q437:Q439" si="624">M437*O437</f>
        <v>-4359.8350264947612</v>
      </c>
      <c r="R437" t="s">
        <v>206</v>
      </c>
      <c r="S437" s="1">
        <f>ROUND(IF(E437="I",0,IF(J437="po",I437,I437/25.4)),2)</f>
        <v>0</v>
      </c>
      <c r="T437" s="33">
        <f>ROUND(IF(E437="I",0,IF(J437="po",K437,K437*3.280839895)),0)</f>
        <v>0</v>
      </c>
      <c r="V437" s="8"/>
    </row>
    <row r="438" spans="1:22" x14ac:dyDescent="0.25">
      <c r="A438" s="107">
        <v>30026</v>
      </c>
      <c r="B438" s="17" t="s">
        <v>286</v>
      </c>
      <c r="C438" s="45">
        <v>45607</v>
      </c>
      <c r="D438" s="46" t="s">
        <v>373</v>
      </c>
      <c r="E438" s="46" t="s">
        <v>41</v>
      </c>
      <c r="F438" s="64">
        <v>1</v>
      </c>
      <c r="G438" s="49" t="s">
        <v>522</v>
      </c>
      <c r="H438" s="34" t="s">
        <v>523</v>
      </c>
      <c r="I438" s="28">
        <v>8.8000000000000007</v>
      </c>
      <c r="J438" t="s">
        <v>36</v>
      </c>
      <c r="K438" s="47">
        <v>9500</v>
      </c>
      <c r="L438" s="3" t="s">
        <v>372</v>
      </c>
      <c r="M438" s="33">
        <f t="shared" ref="M438:M439" si="625">IF(J438="mm",F438*I438/1000*K438*1.55,F438*I438*12*K438/1000)</f>
        <v>1003.2000000000002</v>
      </c>
      <c r="N438" s="2">
        <f>_xlfn.XLOOKUP(A438,'[1]Prix MP'!$A:$A,'[1]Prix MP'!$T:$T)</f>
        <v>0.3169705647156798</v>
      </c>
      <c r="O438" s="2">
        <f>_xlfn.XLOOKUP(A438,'[1]Prix MP'!$A:$A,'[1]Prix MP'!$U:$U)</f>
        <v>0.3169705647156798</v>
      </c>
      <c r="P438" s="11">
        <f t="shared" ref="P438:P439" si="626">M438*N438</f>
        <v>317.98487052277005</v>
      </c>
      <c r="Q438" s="7">
        <f t="shared" si="624"/>
        <v>317.98487052277005</v>
      </c>
      <c r="R438" t="s">
        <v>206</v>
      </c>
      <c r="S438" s="1">
        <f t="shared" ref="S438:S439" si="627">ROUND(IF(E438="I",0,IF(J438="po",I438,I438/25.4)),2)</f>
        <v>8.8000000000000007</v>
      </c>
      <c r="T438" s="33">
        <f t="shared" ref="T438:T439" si="628">ROUND(IF(E438="I",0,IF(J438="po",K438,K438*3.280839895)),0)</f>
        <v>9500</v>
      </c>
      <c r="V438" s="8"/>
    </row>
    <row r="439" spans="1:22" x14ac:dyDescent="0.25">
      <c r="A439" s="107">
        <v>30026</v>
      </c>
      <c r="B439" s="105" t="s">
        <v>286</v>
      </c>
      <c r="C439" s="45">
        <v>45607</v>
      </c>
      <c r="D439" s="46" t="s">
        <v>373</v>
      </c>
      <c r="E439" s="46" t="s">
        <v>41</v>
      </c>
      <c r="F439" s="64">
        <v>1</v>
      </c>
      <c r="G439" s="49" t="s">
        <v>522</v>
      </c>
      <c r="H439" s="34" t="s">
        <v>524</v>
      </c>
      <c r="I439" s="28">
        <v>60.235999999999997</v>
      </c>
      <c r="J439" t="s">
        <v>36</v>
      </c>
      <c r="K439" s="47">
        <v>9400</v>
      </c>
      <c r="L439" s="3" t="s">
        <v>372</v>
      </c>
      <c r="M439" s="33">
        <f t="shared" si="625"/>
        <v>6794.6207999999997</v>
      </c>
      <c r="N439" s="2">
        <f>_xlfn.XLOOKUP(A439,'[1]Prix MP'!$A:$A,'[1]Prix MP'!$T:$T)</f>
        <v>0.3169705647156798</v>
      </c>
      <c r="O439" s="2">
        <f>_xlfn.XLOOKUP(A439,'[1]Prix MP'!$A:$A,'[1]Prix MP'!$U:$U)</f>
        <v>0.3169705647156798</v>
      </c>
      <c r="P439" s="11">
        <f t="shared" si="626"/>
        <v>2153.6947920049038</v>
      </c>
      <c r="Q439" s="7">
        <f t="shared" si="624"/>
        <v>2153.6947920049038</v>
      </c>
      <c r="R439" t="s">
        <v>206</v>
      </c>
      <c r="S439" s="1">
        <f t="shared" si="627"/>
        <v>60.24</v>
      </c>
      <c r="T439" s="33">
        <f t="shared" si="628"/>
        <v>9400</v>
      </c>
      <c r="V439" s="8"/>
    </row>
    <row r="440" spans="1:22" x14ac:dyDescent="0.25">
      <c r="A440">
        <v>30021</v>
      </c>
      <c r="B440" s="17" t="s">
        <v>425</v>
      </c>
      <c r="C440" s="45">
        <v>45593</v>
      </c>
      <c r="D440" s="46" t="s">
        <v>37</v>
      </c>
      <c r="E440" s="46" t="s">
        <v>41</v>
      </c>
      <c r="F440" s="64">
        <f t="shared" ref="F440:F447" si="629">IF(D440="in",1,-1)</f>
        <v>1</v>
      </c>
      <c r="G440" s="49"/>
      <c r="H440" s="34" t="s">
        <v>428</v>
      </c>
      <c r="I440" s="28">
        <v>420</v>
      </c>
      <c r="J440" t="s">
        <v>2</v>
      </c>
      <c r="K440" s="47">
        <v>2220</v>
      </c>
      <c r="L440" s="3" t="str">
        <f t="shared" si="603"/>
        <v>m</v>
      </c>
      <c r="M440" s="33">
        <f t="shared" ref="M440:M447" si="630">IF(J440="mm",F440*I440/1000*K440*1.55,F440*I440*12*K440/1000)</f>
        <v>1445.22</v>
      </c>
      <c r="N440" s="2">
        <f>_xlfn.XLOOKUP(A440,'[1]Prix MP'!$A:$A,'[1]Prix MP'!$T:$T)</f>
        <v>0.68134346955395519</v>
      </c>
      <c r="O440" s="2">
        <f>_xlfn.XLOOKUP(A440,'[1]Prix MP'!$A:$A,'[1]Prix MP'!$U:$U)</f>
        <v>0.68134346955395519</v>
      </c>
      <c r="P440" s="11">
        <f t="shared" ref="P440:P447" si="631">M440*N440</f>
        <v>984.69120906876719</v>
      </c>
      <c r="Q440" s="7">
        <f>M440*O440</f>
        <v>984.69120906876719</v>
      </c>
      <c r="R440" t="s">
        <v>427</v>
      </c>
      <c r="S440" s="1">
        <f t="shared" ref="S440:S447" si="632">ROUND(IF(E440="I",0,IF(J440="po",I440,I440/25.4)),2)</f>
        <v>16.54</v>
      </c>
      <c r="T440" s="33">
        <f t="shared" ref="T440:T447" si="633">ROUND(IF(E440="I",0,IF(J440="po",K440,K440*3.280839895)),0)</f>
        <v>7283</v>
      </c>
      <c r="V440" s="8">
        <f t="shared" si="453"/>
        <v>932.4</v>
      </c>
    </row>
    <row r="441" spans="1:22" x14ac:dyDescent="0.25">
      <c r="A441">
        <v>30021</v>
      </c>
      <c r="B441" s="17" t="s">
        <v>425</v>
      </c>
      <c r="C441" s="45">
        <v>45593</v>
      </c>
      <c r="D441" s="46" t="s">
        <v>37</v>
      </c>
      <c r="E441" s="46" t="s">
        <v>41</v>
      </c>
      <c r="F441" s="64">
        <f t="shared" si="629"/>
        <v>1</v>
      </c>
      <c r="G441" s="49"/>
      <c r="H441" s="34" t="s">
        <v>429</v>
      </c>
      <c r="I441" s="28">
        <v>420</v>
      </c>
      <c r="J441" t="s">
        <v>2</v>
      </c>
      <c r="K441" s="47">
        <v>2220</v>
      </c>
      <c r="L441" s="3" t="str">
        <f t="shared" si="603"/>
        <v>m</v>
      </c>
      <c r="M441" s="33">
        <f t="shared" si="630"/>
        <v>1445.22</v>
      </c>
      <c r="N441" s="2">
        <f>_xlfn.XLOOKUP(A441,'[1]Prix MP'!$A:$A,'[1]Prix MP'!$T:$T)</f>
        <v>0.68134346955395519</v>
      </c>
      <c r="O441" s="2">
        <f>_xlfn.XLOOKUP(A441,'[1]Prix MP'!$A:$A,'[1]Prix MP'!$U:$U)</f>
        <v>0.68134346955395519</v>
      </c>
      <c r="P441" s="11">
        <f t="shared" si="631"/>
        <v>984.69120906876719</v>
      </c>
      <c r="Q441" s="7">
        <f t="shared" si="431"/>
        <v>984.69120906876719</v>
      </c>
      <c r="R441" t="s">
        <v>427</v>
      </c>
      <c r="S441" s="1">
        <f t="shared" si="632"/>
        <v>16.54</v>
      </c>
      <c r="T441" s="33">
        <f t="shared" si="633"/>
        <v>7283</v>
      </c>
      <c r="V441" s="8">
        <f t="shared" si="453"/>
        <v>932.4</v>
      </c>
    </row>
    <row r="442" spans="1:22" x14ac:dyDescent="0.25">
      <c r="A442">
        <v>30021</v>
      </c>
      <c r="B442" s="17" t="s">
        <v>425</v>
      </c>
      <c r="C442" s="45">
        <v>45593</v>
      </c>
      <c r="D442" s="46" t="s">
        <v>37</v>
      </c>
      <c r="E442" s="46" t="s">
        <v>41</v>
      </c>
      <c r="F442" s="64">
        <f t="shared" si="629"/>
        <v>1</v>
      </c>
      <c r="G442" s="49"/>
      <c r="H442" s="34" t="s">
        <v>430</v>
      </c>
      <c r="I442" s="28">
        <v>420</v>
      </c>
      <c r="J442" t="s">
        <v>2</v>
      </c>
      <c r="K442" s="47">
        <v>2240</v>
      </c>
      <c r="L442" s="3" t="str">
        <f t="shared" si="603"/>
        <v>m</v>
      </c>
      <c r="M442" s="33">
        <f t="shared" si="630"/>
        <v>1458.24</v>
      </c>
      <c r="N442" s="2">
        <f>_xlfn.XLOOKUP(A442,'[1]Prix MP'!$A:$A,'[1]Prix MP'!$T:$T)</f>
        <v>0.68134346955395519</v>
      </c>
      <c r="O442" s="2">
        <f>_xlfn.XLOOKUP(A442,'[1]Prix MP'!$A:$A,'[1]Prix MP'!$U:$U)</f>
        <v>0.68134346955395519</v>
      </c>
      <c r="P442" s="11">
        <f t="shared" si="631"/>
        <v>993.56230104235965</v>
      </c>
      <c r="Q442" s="7">
        <f t="shared" si="431"/>
        <v>993.56230104235965</v>
      </c>
      <c r="R442" t="s">
        <v>427</v>
      </c>
      <c r="S442" s="1">
        <f t="shared" si="632"/>
        <v>16.54</v>
      </c>
      <c r="T442" s="33">
        <f t="shared" si="633"/>
        <v>7349</v>
      </c>
      <c r="V442" s="8">
        <f t="shared" si="453"/>
        <v>940.8</v>
      </c>
    </row>
    <row r="443" spans="1:22" x14ac:dyDescent="0.25">
      <c r="A443">
        <v>30020</v>
      </c>
      <c r="B443" s="17" t="s">
        <v>424</v>
      </c>
      <c r="C443" s="45">
        <v>45593</v>
      </c>
      <c r="D443" s="46" t="s">
        <v>37</v>
      </c>
      <c r="E443" s="46" t="s">
        <v>42</v>
      </c>
      <c r="F443" s="64">
        <f t="shared" si="629"/>
        <v>1</v>
      </c>
      <c r="G443" s="49"/>
      <c r="H443" s="34" t="s">
        <v>431</v>
      </c>
      <c r="I443" s="28">
        <v>420</v>
      </c>
      <c r="J443" t="s">
        <v>2</v>
      </c>
      <c r="K443" s="47">
        <v>3000</v>
      </c>
      <c r="L443" s="3" t="str">
        <f t="shared" si="603"/>
        <v>m</v>
      </c>
      <c r="M443" s="33">
        <f t="shared" si="630"/>
        <v>1953</v>
      </c>
      <c r="N443" s="2">
        <f>_xlfn.XLOOKUP(A443,'[1]Prix MP'!$A:$A,'[1]Prix MP'!$T:$T)</f>
        <v>0.52511806784840576</v>
      </c>
      <c r="O443" s="2">
        <f>_xlfn.XLOOKUP(A443,'[1]Prix MP'!$A:$A,'[1]Prix MP'!$U:$U)</f>
        <v>0.52511806784840576</v>
      </c>
      <c r="P443" s="11">
        <f t="shared" si="631"/>
        <v>1025.5555865079364</v>
      </c>
      <c r="Q443" s="7">
        <f t="shared" si="431"/>
        <v>1025.5555865079364</v>
      </c>
      <c r="R443" t="s">
        <v>426</v>
      </c>
      <c r="S443" s="1">
        <f t="shared" si="632"/>
        <v>0</v>
      </c>
      <c r="T443" s="33">
        <f t="shared" si="633"/>
        <v>0</v>
      </c>
      <c r="V443" s="8">
        <f t="shared" si="453"/>
        <v>1260</v>
      </c>
    </row>
    <row r="444" spans="1:22" x14ac:dyDescent="0.25">
      <c r="A444">
        <v>30020</v>
      </c>
      <c r="B444" s="17" t="s">
        <v>424</v>
      </c>
      <c r="C444" s="45">
        <v>45616</v>
      </c>
      <c r="D444" s="46" t="s">
        <v>38</v>
      </c>
      <c r="E444" s="46" t="s">
        <v>42</v>
      </c>
      <c r="F444" s="64">
        <f t="shared" ref="F444:F445" si="634">IF(D444="in",1,-1)</f>
        <v>-1</v>
      </c>
      <c r="G444" s="49" t="s">
        <v>473</v>
      </c>
      <c r="H444" s="34" t="s">
        <v>431</v>
      </c>
      <c r="I444" s="28">
        <v>420</v>
      </c>
      <c r="J444" t="s">
        <v>2</v>
      </c>
      <c r="K444" s="47">
        <v>3000</v>
      </c>
      <c r="L444" s="3" t="str">
        <f t="shared" ref="L444" si="635">IF(J444="mm","m","pi")</f>
        <v>m</v>
      </c>
      <c r="M444" s="33">
        <f>IF(J444="mm",F444*I444/1000*K444*1.55,F444*I444*12*K444/1000)</f>
        <v>-1953</v>
      </c>
      <c r="N444" s="2">
        <f>_xlfn.XLOOKUP(A444,'[1]Prix MP'!$A:$A,'[1]Prix MP'!$T:$T)</f>
        <v>0.52511806784840576</v>
      </c>
      <c r="O444" s="2">
        <f>_xlfn.XLOOKUP(A444,'[1]Prix MP'!$A:$A,'[1]Prix MP'!$U:$U)</f>
        <v>0.52511806784840576</v>
      </c>
      <c r="P444" s="11">
        <f>M444*N444</f>
        <v>-1025.5555865079364</v>
      </c>
      <c r="Q444" s="7">
        <f t="shared" ref="Q444:Q445" si="636">M444*O444</f>
        <v>-1025.5555865079364</v>
      </c>
      <c r="R444" t="s">
        <v>426</v>
      </c>
      <c r="S444" s="1">
        <f>ROUND(IF(E444="I",0,IF(J444="po",I444,I444/25.4)),2)</f>
        <v>0</v>
      </c>
      <c r="T444" s="33">
        <f>ROUND(IF(E444="I",0,IF(J444="po",K444,K444*3.280839895)),0)</f>
        <v>0</v>
      </c>
      <c r="V444" s="8"/>
    </row>
    <row r="445" spans="1:22" x14ac:dyDescent="0.25">
      <c r="A445">
        <v>30020</v>
      </c>
      <c r="B445" s="17" t="s">
        <v>424</v>
      </c>
      <c r="C445" s="45">
        <v>45616</v>
      </c>
      <c r="D445" s="46" t="s">
        <v>37</v>
      </c>
      <c r="E445" s="46" t="s">
        <v>41</v>
      </c>
      <c r="F445" s="64">
        <f t="shared" si="634"/>
        <v>1</v>
      </c>
      <c r="G445" s="49" t="s">
        <v>472</v>
      </c>
      <c r="H445" s="34" t="s">
        <v>431</v>
      </c>
      <c r="I445" s="28">
        <v>16.54</v>
      </c>
      <c r="J445" t="s">
        <v>36</v>
      </c>
      <c r="K445" s="47">
        <v>7300</v>
      </c>
      <c r="L445" s="3" t="s">
        <v>372</v>
      </c>
      <c r="M445" s="33">
        <f>IF(J445="mm",F445*I445/1000*K445*1.55,F445*I445*12*K445/1000)</f>
        <v>1448.904</v>
      </c>
      <c r="N445" s="2">
        <f>_xlfn.XLOOKUP(A445,'[1]Prix MP'!$A:$A,'[1]Prix MP'!$T:$T)</f>
        <v>0.52511806784840576</v>
      </c>
      <c r="O445" s="2">
        <f>_xlfn.XLOOKUP(A445,'[1]Prix MP'!$A:$A,'[1]Prix MP'!$U:$U)</f>
        <v>0.52511806784840576</v>
      </c>
      <c r="P445" s="11">
        <f>M445*N445</f>
        <v>760.84566897782645</v>
      </c>
      <c r="Q445" s="7">
        <f t="shared" si="636"/>
        <v>760.84566897782645</v>
      </c>
      <c r="R445" t="s">
        <v>426</v>
      </c>
      <c r="S445" s="1">
        <f>ROUND(IF(E445="I",0,IF(J445="po",I445,I445/25.4)),2)</f>
        <v>16.54</v>
      </c>
      <c r="T445" s="33">
        <f>ROUND(IF(E445="I",0,IF(J445="po",K445,K445*3.280839895)),0)</f>
        <v>7300</v>
      </c>
      <c r="V445" s="8"/>
    </row>
    <row r="446" spans="1:22" x14ac:dyDescent="0.25">
      <c r="A446">
        <v>30020</v>
      </c>
      <c r="B446" s="17" t="s">
        <v>424</v>
      </c>
      <c r="C446" s="45">
        <v>45593</v>
      </c>
      <c r="D446" s="46" t="s">
        <v>37</v>
      </c>
      <c r="E446" s="46" t="s">
        <v>41</v>
      </c>
      <c r="F446" s="64">
        <f t="shared" si="629"/>
        <v>1</v>
      </c>
      <c r="G446" s="49"/>
      <c r="H446" s="34" t="s">
        <v>432</v>
      </c>
      <c r="I446" s="28">
        <v>420</v>
      </c>
      <c r="J446" t="s">
        <v>2</v>
      </c>
      <c r="K446" s="47">
        <v>3000</v>
      </c>
      <c r="L446" s="3" t="str">
        <f t="shared" si="603"/>
        <v>m</v>
      </c>
      <c r="M446" s="33">
        <f t="shared" si="630"/>
        <v>1953</v>
      </c>
      <c r="N446" s="2">
        <f>_xlfn.XLOOKUP(A446,'[1]Prix MP'!$A:$A,'[1]Prix MP'!$T:$T)</f>
        <v>0.52511806784840576</v>
      </c>
      <c r="O446" s="2">
        <f>_xlfn.XLOOKUP(A446,'[1]Prix MP'!$A:$A,'[1]Prix MP'!$U:$U)</f>
        <v>0.52511806784840576</v>
      </c>
      <c r="P446" s="11">
        <f t="shared" si="631"/>
        <v>1025.5555865079364</v>
      </c>
      <c r="Q446" s="7">
        <f t="shared" si="431"/>
        <v>1025.5555865079364</v>
      </c>
      <c r="R446" t="s">
        <v>426</v>
      </c>
      <c r="S446" s="1">
        <f t="shared" si="632"/>
        <v>16.54</v>
      </c>
      <c r="T446" s="33">
        <f t="shared" si="633"/>
        <v>9843</v>
      </c>
      <c r="V446" s="8">
        <f t="shared" si="453"/>
        <v>1260</v>
      </c>
    </row>
    <row r="447" spans="1:22" x14ac:dyDescent="0.25">
      <c r="A447">
        <v>30020</v>
      </c>
      <c r="B447" s="17" t="s">
        <v>424</v>
      </c>
      <c r="C447" s="45">
        <v>45593</v>
      </c>
      <c r="D447" s="46" t="s">
        <v>37</v>
      </c>
      <c r="E447" s="46" t="s">
        <v>41</v>
      </c>
      <c r="F447" s="64">
        <f t="shared" si="629"/>
        <v>1</v>
      </c>
      <c r="G447" s="49"/>
      <c r="H447" s="34" t="s">
        <v>433</v>
      </c>
      <c r="I447" s="28">
        <v>420</v>
      </c>
      <c r="J447" t="s">
        <v>2</v>
      </c>
      <c r="K447" s="47">
        <v>3000</v>
      </c>
      <c r="L447" s="3" t="str">
        <f t="shared" si="603"/>
        <v>m</v>
      </c>
      <c r="M447" s="33">
        <f t="shared" si="630"/>
        <v>1953</v>
      </c>
      <c r="N447" s="2">
        <f>_xlfn.XLOOKUP(A447,'[1]Prix MP'!$A:$A,'[1]Prix MP'!$T:$T)</f>
        <v>0.52511806784840576</v>
      </c>
      <c r="O447" s="2">
        <f>_xlfn.XLOOKUP(A447,'[1]Prix MP'!$A:$A,'[1]Prix MP'!$U:$U)</f>
        <v>0.52511806784840576</v>
      </c>
      <c r="P447" s="11">
        <f t="shared" si="631"/>
        <v>1025.5555865079364</v>
      </c>
      <c r="Q447" s="7">
        <f t="shared" si="431"/>
        <v>1025.5555865079364</v>
      </c>
      <c r="R447" t="s">
        <v>426</v>
      </c>
      <c r="S447" s="1">
        <f t="shared" si="632"/>
        <v>16.54</v>
      </c>
      <c r="T447" s="33">
        <f t="shared" si="633"/>
        <v>9843</v>
      </c>
      <c r="V447" s="8">
        <f t="shared" si="453"/>
        <v>1260</v>
      </c>
    </row>
    <row r="448" spans="1:22" x14ac:dyDescent="0.25">
      <c r="A448">
        <v>30031</v>
      </c>
      <c r="B448" s="17" t="s">
        <v>33</v>
      </c>
      <c r="C448" s="45">
        <v>45597</v>
      </c>
      <c r="D448" s="46" t="s">
        <v>37</v>
      </c>
      <c r="E448" s="46" t="s">
        <v>42</v>
      </c>
      <c r="F448" s="64">
        <v>1</v>
      </c>
      <c r="G448" s="49"/>
      <c r="H448" s="34" t="s">
        <v>382</v>
      </c>
      <c r="I448" s="28">
        <v>1530</v>
      </c>
      <c r="J448" t="s">
        <v>2</v>
      </c>
      <c r="K448" s="47">
        <v>6050</v>
      </c>
      <c r="L448" s="3" t="s">
        <v>1</v>
      </c>
      <c r="M448" s="33">
        <f t="shared" ref="M448:M520" si="637">IF(J448="mm",F448*I448/1000*K448*1.55,F448*I448*12*K448/1000)</f>
        <v>14347.575000000001</v>
      </c>
      <c r="N448" s="2">
        <f>_xlfn.XLOOKUP(A448,'[1]Prix MP'!$A:$A,'[1]Prix MP'!$T:$T)</f>
        <v>0.25886883676290107</v>
      </c>
      <c r="O448" s="2">
        <f>_xlfn.XLOOKUP(A448,'[1]Prix MP'!$A:$A,'[1]Prix MP'!$U:$U)</f>
        <v>0.25886883676290107</v>
      </c>
      <c r="P448" s="11">
        <f t="shared" ref="P448:P520" si="638">M448*N448</f>
        <v>3714.1400506184805</v>
      </c>
      <c r="Q448" s="7">
        <f t="shared" si="431"/>
        <v>3714.1400506184805</v>
      </c>
      <c r="R448" t="s">
        <v>201</v>
      </c>
      <c r="S448" s="1">
        <f t="shared" ref="S448:S520" si="639">ROUND(IF(E448="I",0,IF(J448="po",I448,I448/25.4)),2)</f>
        <v>0</v>
      </c>
      <c r="T448" s="33">
        <f t="shared" ref="T448:T520" si="640">ROUND(IF(E448="I",0,IF(J448="po",K448,K448*3.280839895)),0)</f>
        <v>0</v>
      </c>
      <c r="V448" s="8">
        <f t="shared" si="453"/>
        <v>9256.5</v>
      </c>
    </row>
    <row r="449" spans="1:22" x14ac:dyDescent="0.25">
      <c r="A449">
        <v>30031</v>
      </c>
      <c r="B449" s="17" t="s">
        <v>33</v>
      </c>
      <c r="C449" s="45">
        <v>45628</v>
      </c>
      <c r="D449" s="46" t="s">
        <v>176</v>
      </c>
      <c r="E449" s="46" t="s">
        <v>42</v>
      </c>
      <c r="F449" s="64">
        <v>-1</v>
      </c>
      <c r="G449" s="49" t="s">
        <v>510</v>
      </c>
      <c r="H449" s="34" t="s">
        <v>382</v>
      </c>
      <c r="I449" s="28">
        <v>60.235999999999997</v>
      </c>
      <c r="J449" t="s">
        <v>36</v>
      </c>
      <c r="K449" s="47">
        <v>19849</v>
      </c>
      <c r="L449" s="3" t="s">
        <v>372</v>
      </c>
      <c r="M449" s="33">
        <f t="shared" ref="M449:M450" si="641">IF(J449="mm",F449*I449/1000*K449*1.55,F449*I449*12*K449/1000)</f>
        <v>-14347.492368000001</v>
      </c>
      <c r="N449" s="2">
        <f>_xlfn.XLOOKUP(A449,'[1]Prix MP'!$A:$A,'[1]Prix MP'!$T:$T)</f>
        <v>0.25886883676290107</v>
      </c>
      <c r="O449" s="2">
        <f>_xlfn.XLOOKUP(A449,'[1]Prix MP'!$A:$A,'[1]Prix MP'!$U:$U)</f>
        <v>0.25886883676290107</v>
      </c>
      <c r="P449" s="11">
        <f t="shared" ref="P449:P450" si="642">M449*N449</f>
        <v>-3714.1186597687611</v>
      </c>
      <c r="Q449" s="7">
        <f t="shared" ref="Q449:Q450" si="643">M449*O449</f>
        <v>-3714.1186597687611</v>
      </c>
      <c r="R449" t="s">
        <v>201</v>
      </c>
      <c r="S449" s="1">
        <f t="shared" ref="S449:S450" si="644">ROUND(IF(E449="I",0,IF(J449="po",I449,I449/25.4)),2)</f>
        <v>0</v>
      </c>
      <c r="T449" s="33">
        <f t="shared" ref="T449:T450" si="645">ROUND(IF(E449="I",0,IF(J449="po",K449,K449*3.280839895)),0)</f>
        <v>0</v>
      </c>
      <c r="V449" s="8"/>
    </row>
    <row r="450" spans="1:22" x14ac:dyDescent="0.25">
      <c r="A450">
        <v>30031</v>
      </c>
      <c r="B450" s="17" t="s">
        <v>33</v>
      </c>
      <c r="C450" s="45">
        <v>45628</v>
      </c>
      <c r="D450" s="46" t="s">
        <v>373</v>
      </c>
      <c r="E450" s="46" t="s">
        <v>42</v>
      </c>
      <c r="F450" s="64">
        <v>1</v>
      </c>
      <c r="G450" s="49" t="s">
        <v>510</v>
      </c>
      <c r="H450" s="34" t="s">
        <v>512</v>
      </c>
      <c r="I450" s="28">
        <v>60.235999999999997</v>
      </c>
      <c r="J450" t="s">
        <v>36</v>
      </c>
      <c r="K450" s="47">
        <v>5200</v>
      </c>
      <c r="L450" s="3" t="s">
        <v>372</v>
      </c>
      <c r="M450" s="33">
        <f t="shared" si="641"/>
        <v>3758.7264</v>
      </c>
      <c r="N450" s="2">
        <f>_xlfn.XLOOKUP(A450,'[1]Prix MP'!$A:$A,'[1]Prix MP'!$T:$T)</f>
        <v>0.25886883676290107</v>
      </c>
      <c r="O450" s="2">
        <f>_xlfn.XLOOKUP(A450,'[1]Prix MP'!$A:$A,'[1]Prix MP'!$U:$U)</f>
        <v>0.25886883676290107</v>
      </c>
      <c r="P450" s="11">
        <f t="shared" si="642"/>
        <v>973.01713087800681</v>
      </c>
      <c r="Q450" s="7">
        <f t="shared" si="643"/>
        <v>973.01713087800681</v>
      </c>
      <c r="R450" t="s">
        <v>201</v>
      </c>
      <c r="S450" s="1">
        <f t="shared" si="644"/>
        <v>0</v>
      </c>
      <c r="T450" s="33">
        <f t="shared" si="645"/>
        <v>0</v>
      </c>
      <c r="V450" s="8"/>
    </row>
    <row r="451" spans="1:22" x14ac:dyDescent="0.25">
      <c r="A451">
        <v>30031</v>
      </c>
      <c r="B451" s="17" t="s">
        <v>33</v>
      </c>
      <c r="C451" s="45">
        <v>45664</v>
      </c>
      <c r="D451" s="46" t="s">
        <v>176</v>
      </c>
      <c r="E451" s="46" t="s">
        <v>42</v>
      </c>
      <c r="F451" s="64">
        <v>-1</v>
      </c>
      <c r="G451" s="49" t="s">
        <v>621</v>
      </c>
      <c r="H451" s="34" t="s">
        <v>622</v>
      </c>
      <c r="I451" s="28">
        <v>60.235999999999997</v>
      </c>
      <c r="J451" t="s">
        <v>36</v>
      </c>
      <c r="K451" s="47">
        <v>5200</v>
      </c>
      <c r="L451" s="3" t="s">
        <v>372</v>
      </c>
      <c r="M451" s="33">
        <f>IF(J451="mm",F451*I451/1000*K451*1.55,F451*I451*12*K451/1000)</f>
        <v>-3758.7264</v>
      </c>
      <c r="N451" s="2">
        <f>_xlfn.XLOOKUP(A451,'[1]Prix MP'!$A:$A,'[1]Prix MP'!$T:$T)</f>
        <v>0.25886883676290107</v>
      </c>
      <c r="O451" s="2">
        <f>_xlfn.XLOOKUP(A451,'[1]Prix MP'!$A:$A,'[1]Prix MP'!$U:$U)</f>
        <v>0.25886883676290107</v>
      </c>
      <c r="P451" s="11">
        <f>M451*N451</f>
        <v>-973.01713087800681</v>
      </c>
      <c r="Q451" s="7">
        <f t="shared" ref="Q451" si="646">M451*O451</f>
        <v>-973.01713087800681</v>
      </c>
      <c r="R451" t="s">
        <v>201</v>
      </c>
      <c r="S451" s="1">
        <f>ROUND(IF(E451="I",0,IF(J451="po",I451,I451/25.4)),2)</f>
        <v>0</v>
      </c>
      <c r="T451" s="33">
        <f>ROUND(IF(E451="I",0,IF(J451="po",K451,K451*3.280839895)),0)</f>
        <v>0</v>
      </c>
      <c r="V451" s="8"/>
    </row>
    <row r="452" spans="1:22" x14ac:dyDescent="0.25">
      <c r="A452">
        <v>30031</v>
      </c>
      <c r="B452" s="17" t="s">
        <v>33</v>
      </c>
      <c r="C452" s="45">
        <v>45597</v>
      </c>
      <c r="D452" s="46" t="s">
        <v>37</v>
      </c>
      <c r="E452" s="46" t="s">
        <v>42</v>
      </c>
      <c r="F452" s="64">
        <v>1</v>
      </c>
      <c r="G452" s="49"/>
      <c r="H452" s="34" t="s">
        <v>383</v>
      </c>
      <c r="I452" s="28">
        <v>1530</v>
      </c>
      <c r="J452" t="s">
        <v>2</v>
      </c>
      <c r="K452" s="47">
        <v>6000</v>
      </c>
      <c r="L452" s="3" t="s">
        <v>1</v>
      </c>
      <c r="M452" s="33">
        <f t="shared" si="637"/>
        <v>14229</v>
      </c>
      <c r="N452" s="2">
        <f>_xlfn.XLOOKUP(A452,'[1]Prix MP'!$A:$A,'[1]Prix MP'!$T:$T)</f>
        <v>0.25886883676290107</v>
      </c>
      <c r="O452" s="2">
        <f>_xlfn.XLOOKUP(A452,'[1]Prix MP'!$A:$A,'[1]Prix MP'!$U:$U)</f>
        <v>0.25886883676290107</v>
      </c>
      <c r="P452" s="11">
        <f t="shared" si="638"/>
        <v>3683.4446782993191</v>
      </c>
      <c r="Q452" s="7">
        <f t="shared" si="431"/>
        <v>3683.4446782993191</v>
      </c>
      <c r="R452" t="s">
        <v>201</v>
      </c>
      <c r="S452" s="1">
        <f t="shared" si="639"/>
        <v>0</v>
      </c>
      <c r="T452" s="33">
        <f t="shared" si="640"/>
        <v>0</v>
      </c>
      <c r="V452" s="8">
        <f t="shared" ref="V452:V520" si="647">IF(J452="mm",I452*K452/1000,"")</f>
        <v>9180</v>
      </c>
    </row>
    <row r="453" spans="1:22" x14ac:dyDescent="0.25">
      <c r="A453">
        <v>30031</v>
      </c>
      <c r="B453" s="17" t="s">
        <v>33</v>
      </c>
      <c r="C453" s="45">
        <v>45628</v>
      </c>
      <c r="D453" s="46" t="s">
        <v>176</v>
      </c>
      <c r="E453" s="46" t="s">
        <v>42</v>
      </c>
      <c r="F453" s="64">
        <v>-1</v>
      </c>
      <c r="G453" s="49" t="s">
        <v>510</v>
      </c>
      <c r="H453" s="34" t="s">
        <v>383</v>
      </c>
      <c r="I453" s="28">
        <v>1530</v>
      </c>
      <c r="J453" t="s">
        <v>2</v>
      </c>
      <c r="K453" s="47">
        <v>6000</v>
      </c>
      <c r="L453" s="3" t="s">
        <v>1</v>
      </c>
      <c r="M453" s="33">
        <f t="shared" ref="M453:M454" si="648">IF(J453="mm",F453*I453/1000*K453*1.55,F453*I453*12*K453/1000)</f>
        <v>-14229</v>
      </c>
      <c r="N453" s="2">
        <f>_xlfn.XLOOKUP(A453,'[1]Prix MP'!$A:$A,'[1]Prix MP'!$T:$T)</f>
        <v>0.25886883676290107</v>
      </c>
      <c r="O453" s="2">
        <f>_xlfn.XLOOKUP(A453,'[1]Prix MP'!$A:$A,'[1]Prix MP'!$U:$U)</f>
        <v>0.25886883676290107</v>
      </c>
      <c r="P453" s="11">
        <f t="shared" ref="P453:P454" si="649">M453*N453</f>
        <v>-3683.4446782993191</v>
      </c>
      <c r="Q453" s="7">
        <f t="shared" ref="Q453:Q454" si="650">M453*O453</f>
        <v>-3683.4446782993191</v>
      </c>
      <c r="R453" t="s">
        <v>201</v>
      </c>
      <c r="S453" s="1">
        <f t="shared" ref="S453:S454" si="651">ROUND(IF(E453="I",0,IF(J453="po",I453,I453/25.4)),2)</f>
        <v>0</v>
      </c>
      <c r="T453" s="33">
        <f t="shared" ref="T453:T454" si="652">ROUND(IF(E453="I",0,IF(J453="po",K453,K453*3.280839895)),0)</f>
        <v>0</v>
      </c>
      <c r="V453" s="8"/>
    </row>
    <row r="454" spans="1:22" x14ac:dyDescent="0.25">
      <c r="A454">
        <v>30031</v>
      </c>
      <c r="B454" s="17" t="s">
        <v>33</v>
      </c>
      <c r="C454" s="45">
        <v>45628</v>
      </c>
      <c r="D454" s="46" t="s">
        <v>373</v>
      </c>
      <c r="E454" s="46" t="s">
        <v>42</v>
      </c>
      <c r="F454" s="64">
        <v>1</v>
      </c>
      <c r="G454" s="49" t="s">
        <v>510</v>
      </c>
      <c r="H454" s="34" t="s">
        <v>511</v>
      </c>
      <c r="I454" s="28">
        <v>60.235999999999997</v>
      </c>
      <c r="J454" t="s">
        <v>36</v>
      </c>
      <c r="K454" s="47">
        <v>10000</v>
      </c>
      <c r="L454" s="3" t="s">
        <v>372</v>
      </c>
      <c r="M454" s="33">
        <f t="shared" si="648"/>
        <v>7228.32</v>
      </c>
      <c r="N454" s="2">
        <f>_xlfn.XLOOKUP(A454,'[1]Prix MP'!$A:$A,'[1]Prix MP'!$T:$T)</f>
        <v>0.25886883676290107</v>
      </c>
      <c r="O454" s="2">
        <f>_xlfn.XLOOKUP(A454,'[1]Prix MP'!$A:$A,'[1]Prix MP'!$U:$U)</f>
        <v>0.25886883676290107</v>
      </c>
      <c r="P454" s="11">
        <f t="shared" si="649"/>
        <v>1871.1867901500129</v>
      </c>
      <c r="Q454" s="7">
        <f t="shared" si="650"/>
        <v>1871.1867901500129</v>
      </c>
      <c r="R454" t="s">
        <v>201</v>
      </c>
      <c r="S454" s="1">
        <f t="shared" si="651"/>
        <v>0</v>
      </c>
      <c r="T454" s="33">
        <f t="shared" si="652"/>
        <v>0</v>
      </c>
      <c r="V454" s="8"/>
    </row>
    <row r="455" spans="1:22" x14ac:dyDescent="0.25">
      <c r="A455">
        <v>30015</v>
      </c>
      <c r="B455" s="17" t="s">
        <v>33</v>
      </c>
      <c r="C455" s="45">
        <v>45637</v>
      </c>
      <c r="D455" s="46" t="s">
        <v>176</v>
      </c>
      <c r="E455" s="46" t="s">
        <v>42</v>
      </c>
      <c r="F455" s="64">
        <v>-1</v>
      </c>
      <c r="G455" s="49" t="s">
        <v>562</v>
      </c>
      <c r="H455" s="34" t="s">
        <v>511</v>
      </c>
      <c r="I455" s="28">
        <v>60.235999999999997</v>
      </c>
      <c r="J455" t="s">
        <v>36</v>
      </c>
      <c r="K455" s="47">
        <v>10000</v>
      </c>
      <c r="L455" s="3" t="s">
        <v>372</v>
      </c>
      <c r="M455" s="33">
        <f>IF(J455="mm",F455*I455/1000*K455*1.55,F455*I455*12*K455/1000)</f>
        <v>-7228.32</v>
      </c>
      <c r="N455" s="2">
        <f>_xlfn.XLOOKUP(A455,'[1]Prix MP'!$A:$A,'[1]Prix MP'!$T:$T)</f>
        <v>0.26885424108657641</v>
      </c>
      <c r="O455" s="2">
        <f>_xlfn.XLOOKUP(A455,'[1]Prix MP'!$A:$A,'[1]Prix MP'!$U:$U)</f>
        <v>0.26885424108657641</v>
      </c>
      <c r="P455" s="11">
        <f>M455*N455</f>
        <v>-1943.364487930922</v>
      </c>
      <c r="Q455" s="7">
        <f t="shared" ref="Q455" si="653">M455*O455</f>
        <v>-1943.364487930922</v>
      </c>
      <c r="R455" t="s">
        <v>201</v>
      </c>
      <c r="S455" s="1">
        <f t="shared" ref="S455" si="654">ROUND(IF(E455="I",0,IF(J455="po",I455,I455/25.4)),2)</f>
        <v>0</v>
      </c>
      <c r="T455" s="33">
        <f t="shared" ref="T455" si="655">ROUND(IF(E455="I",0,IF(J455="po",K455,K455*3.280839895)),0)</f>
        <v>0</v>
      </c>
      <c r="V455" s="8"/>
    </row>
    <row r="456" spans="1:22" x14ac:dyDescent="0.25">
      <c r="A456">
        <v>30031</v>
      </c>
      <c r="B456" s="17" t="s">
        <v>33</v>
      </c>
      <c r="C456" s="45">
        <v>45597</v>
      </c>
      <c r="D456" s="46" t="s">
        <v>37</v>
      </c>
      <c r="E456" s="46" t="s">
        <v>42</v>
      </c>
      <c r="F456" s="64">
        <v>1</v>
      </c>
      <c r="G456" s="49"/>
      <c r="H456" s="34" t="s">
        <v>384</v>
      </c>
      <c r="I456" s="28">
        <v>1530</v>
      </c>
      <c r="J456" t="s">
        <v>2</v>
      </c>
      <c r="K456" s="47">
        <v>6060</v>
      </c>
      <c r="L456" s="3" t="s">
        <v>1</v>
      </c>
      <c r="M456" s="33">
        <f t="shared" si="637"/>
        <v>14371.289999999999</v>
      </c>
      <c r="N456" s="2">
        <f>_xlfn.XLOOKUP(A456,'[1]Prix MP'!$A:$A,'[1]Prix MP'!$T:$T)</f>
        <v>0.25886883676290107</v>
      </c>
      <c r="O456" s="2">
        <f>_xlfn.XLOOKUP(A456,'[1]Prix MP'!$A:$A,'[1]Prix MP'!$U:$U)</f>
        <v>0.25886883676290107</v>
      </c>
      <c r="P456" s="11">
        <f t="shared" si="638"/>
        <v>3720.279125082312</v>
      </c>
      <c r="Q456" s="7">
        <f t="shared" si="431"/>
        <v>3720.279125082312</v>
      </c>
      <c r="R456" t="s">
        <v>201</v>
      </c>
      <c r="S456" s="1">
        <f t="shared" si="639"/>
        <v>0</v>
      </c>
      <c r="T456" s="33">
        <f t="shared" si="640"/>
        <v>0</v>
      </c>
      <c r="V456" s="8">
        <f t="shared" si="647"/>
        <v>9271.7999999999993</v>
      </c>
    </row>
    <row r="457" spans="1:22" x14ac:dyDescent="0.25">
      <c r="A457">
        <v>30015</v>
      </c>
      <c r="B457" s="17" t="s">
        <v>33</v>
      </c>
      <c r="C457" s="45">
        <v>45638</v>
      </c>
      <c r="D457" s="46" t="s">
        <v>176</v>
      </c>
      <c r="E457" s="46" t="s">
        <v>42</v>
      </c>
      <c r="F457" s="64">
        <v>-1</v>
      </c>
      <c r="G457" s="49" t="s">
        <v>565</v>
      </c>
      <c r="H457" s="34" t="s">
        <v>384</v>
      </c>
      <c r="I457" s="28">
        <v>1530</v>
      </c>
      <c r="J457" t="s">
        <v>2</v>
      </c>
      <c r="K457" s="47">
        <v>6060</v>
      </c>
      <c r="L457" s="3" t="s">
        <v>1</v>
      </c>
      <c r="M457" s="33">
        <f>IF(J457="mm",F457*I457/1000*K457*1.55,F457*I457*12*K457/1000)</f>
        <v>-14371.289999999999</v>
      </c>
      <c r="N457" s="2">
        <f>_xlfn.XLOOKUP(A457,'[1]Prix MP'!$A:$A,'[1]Prix MP'!$T:$T)</f>
        <v>0.26885424108657641</v>
      </c>
      <c r="O457" s="2">
        <f>_xlfn.XLOOKUP(A457,'[1]Prix MP'!$A:$A,'[1]Prix MP'!$U:$U)</f>
        <v>0.26885424108657641</v>
      </c>
      <c r="P457" s="11">
        <f>M457*N457</f>
        <v>-3863.7822663851043</v>
      </c>
      <c r="Q457" s="7">
        <f t="shared" ref="Q457" si="656">M457*O457</f>
        <v>-3863.7822663851043</v>
      </c>
      <c r="R457" t="s">
        <v>201</v>
      </c>
      <c r="S457" s="1">
        <f>ROUND(IF(E457="I",0,IF(J457="po",I457,I457/25.4)),2)</f>
        <v>0</v>
      </c>
      <c r="T457" s="33">
        <f>ROUND(IF(E457="I",0,IF(J457="po",K457,K457*3.280839895)),0)</f>
        <v>0</v>
      </c>
      <c r="V457" s="8"/>
    </row>
    <row r="458" spans="1:22" x14ac:dyDescent="0.25">
      <c r="A458">
        <v>30030</v>
      </c>
      <c r="B458" s="17" t="s">
        <v>385</v>
      </c>
      <c r="C458" s="45">
        <v>45597</v>
      </c>
      <c r="D458" s="46" t="s">
        <v>37</v>
      </c>
      <c r="E458" s="46" t="s">
        <v>41</v>
      </c>
      <c r="F458" s="64">
        <v>1</v>
      </c>
      <c r="G458" s="49"/>
      <c r="H458" s="34" t="s">
        <v>386</v>
      </c>
      <c r="I458" s="28">
        <v>1530</v>
      </c>
      <c r="J458" t="s">
        <v>2</v>
      </c>
      <c r="K458" s="47">
        <v>5980</v>
      </c>
      <c r="L458" s="3" t="s">
        <v>1</v>
      </c>
      <c r="M458" s="33">
        <f t="shared" si="637"/>
        <v>14181.57</v>
      </c>
      <c r="N458" s="2">
        <f>_xlfn.XLOOKUP(A458,'[1]Prix MP'!$A:$A,'[1]Prix MP'!$T:$T)</f>
        <v>0.2764469012790301</v>
      </c>
      <c r="O458" s="2">
        <f>_xlfn.XLOOKUP(A458,'[1]Prix MP'!$A:$A,'[1]Prix MP'!$U:$U)</f>
        <v>0.2764469012790301</v>
      </c>
      <c r="P458" s="11">
        <f t="shared" si="638"/>
        <v>3920.451081771655</v>
      </c>
      <c r="Q458" s="7">
        <f t="shared" si="431"/>
        <v>3920.451081771655</v>
      </c>
      <c r="R458" t="s">
        <v>423</v>
      </c>
      <c r="S458" s="1">
        <f t="shared" si="639"/>
        <v>60.24</v>
      </c>
      <c r="T458" s="33">
        <f t="shared" si="640"/>
        <v>19619</v>
      </c>
      <c r="V458" s="8">
        <f t="shared" si="647"/>
        <v>9149.4</v>
      </c>
    </row>
    <row r="459" spans="1:22" x14ac:dyDescent="0.25">
      <c r="A459">
        <v>30030</v>
      </c>
      <c r="B459" s="17" t="s">
        <v>385</v>
      </c>
      <c r="C459" s="45">
        <v>45597</v>
      </c>
      <c r="D459" s="46" t="s">
        <v>37</v>
      </c>
      <c r="E459" s="46" t="s">
        <v>42</v>
      </c>
      <c r="F459" s="64">
        <v>1</v>
      </c>
      <c r="G459" s="49"/>
      <c r="H459" s="34" t="s">
        <v>387</v>
      </c>
      <c r="I459" s="28">
        <v>1530</v>
      </c>
      <c r="J459" t="s">
        <v>2</v>
      </c>
      <c r="K459" s="47">
        <v>6000</v>
      </c>
      <c r="L459" s="3" t="s">
        <v>1</v>
      </c>
      <c r="M459" s="33">
        <f t="shared" si="637"/>
        <v>14229</v>
      </c>
      <c r="N459" s="2">
        <f>_xlfn.XLOOKUP(A459,'[1]Prix MP'!$A:$A,'[1]Prix MP'!$T:$T)</f>
        <v>0.2764469012790301</v>
      </c>
      <c r="O459" s="2">
        <f>_xlfn.XLOOKUP(A459,'[1]Prix MP'!$A:$A,'[1]Prix MP'!$U:$U)</f>
        <v>0.2764469012790301</v>
      </c>
      <c r="P459" s="11">
        <f t="shared" si="638"/>
        <v>3933.5629582993192</v>
      </c>
      <c r="Q459" s="7">
        <f t="shared" si="431"/>
        <v>3933.5629582993192</v>
      </c>
      <c r="R459" t="s">
        <v>423</v>
      </c>
      <c r="S459" s="1">
        <f t="shared" si="639"/>
        <v>0</v>
      </c>
      <c r="T459" s="33">
        <f t="shared" si="640"/>
        <v>0</v>
      </c>
      <c r="V459" s="8">
        <f t="shared" si="647"/>
        <v>9180</v>
      </c>
    </row>
    <row r="460" spans="1:22" x14ac:dyDescent="0.25">
      <c r="A460">
        <v>30030</v>
      </c>
      <c r="B460" s="17" t="s">
        <v>385</v>
      </c>
      <c r="C460" s="45">
        <v>45600</v>
      </c>
      <c r="D460" s="46" t="s">
        <v>176</v>
      </c>
      <c r="E460" s="46" t="s">
        <v>42</v>
      </c>
      <c r="F460" s="64">
        <v>-1</v>
      </c>
      <c r="G460" s="49" t="s">
        <v>417</v>
      </c>
      <c r="H460" s="34" t="s">
        <v>387</v>
      </c>
      <c r="I460" s="28">
        <v>1530</v>
      </c>
      <c r="J460" t="s">
        <v>2</v>
      </c>
      <c r="K460" s="47">
        <v>6000</v>
      </c>
      <c r="L460" s="3" t="s">
        <v>1</v>
      </c>
      <c r="M460" s="33">
        <f t="shared" ref="M460:M462" si="657">IF(J460="mm",F460*I460/1000*K460*1.55,F460*I460*12*K460/1000)</f>
        <v>-14229</v>
      </c>
      <c r="N460" s="2">
        <f>_xlfn.XLOOKUP(A460,'[1]Prix MP'!$A:$A,'[1]Prix MP'!$T:$T)</f>
        <v>0.2764469012790301</v>
      </c>
      <c r="O460" s="2">
        <f>_xlfn.XLOOKUP(A460,'[1]Prix MP'!$A:$A,'[1]Prix MP'!$U:$U)</f>
        <v>0.2764469012790301</v>
      </c>
      <c r="P460" s="11">
        <f t="shared" ref="P460:P462" si="658">M460*N460</f>
        <v>-3933.5629582993192</v>
      </c>
      <c r="Q460" s="7">
        <f t="shared" ref="Q460:Q462" si="659">M460*O460</f>
        <v>-3933.5629582993192</v>
      </c>
      <c r="R460" t="s">
        <v>423</v>
      </c>
      <c r="S460" s="1">
        <f t="shared" ref="S460:S462" si="660">ROUND(IF(E460="I",0,IF(J460="po",I460,I460/25.4)),2)</f>
        <v>0</v>
      </c>
      <c r="T460" s="33">
        <f t="shared" ref="T460:T462" si="661">ROUND(IF(E460="I",0,IF(J460="po",K460,K460*3.280839895)),0)</f>
        <v>0</v>
      </c>
      <c r="V460" s="8">
        <f t="shared" si="647"/>
        <v>9180</v>
      </c>
    </row>
    <row r="461" spans="1:22" x14ac:dyDescent="0.25">
      <c r="A461">
        <v>30030</v>
      </c>
      <c r="B461" s="17" t="s">
        <v>385</v>
      </c>
      <c r="C461" s="45">
        <v>45600</v>
      </c>
      <c r="D461" s="46" t="s">
        <v>373</v>
      </c>
      <c r="E461" s="46" t="s">
        <v>41</v>
      </c>
      <c r="F461" s="64">
        <v>1</v>
      </c>
      <c r="G461" s="49" t="s">
        <v>417</v>
      </c>
      <c r="H461" s="34" t="s">
        <v>418</v>
      </c>
      <c r="I461" s="28">
        <v>47</v>
      </c>
      <c r="J461" t="s">
        <v>36</v>
      </c>
      <c r="K461" s="47">
        <v>2000</v>
      </c>
      <c r="L461" s="3" t="s">
        <v>372</v>
      </c>
      <c r="M461" s="33">
        <f t="shared" si="657"/>
        <v>1128</v>
      </c>
      <c r="N461" s="2">
        <f>_xlfn.XLOOKUP(A461,'[1]Prix MP'!$A:$A,'[1]Prix MP'!$T:$T)</f>
        <v>0.2764469012790301</v>
      </c>
      <c r="O461" s="2">
        <f>_xlfn.XLOOKUP(A461,'[1]Prix MP'!$A:$A,'[1]Prix MP'!$U:$U)</f>
        <v>0.2764469012790301</v>
      </c>
      <c r="P461" s="11">
        <f t="shared" si="658"/>
        <v>311.83210464274595</v>
      </c>
      <c r="Q461" s="7">
        <f t="shared" si="659"/>
        <v>311.83210464274595</v>
      </c>
      <c r="R461" t="s">
        <v>423</v>
      </c>
      <c r="S461" s="1">
        <f t="shared" si="660"/>
        <v>47</v>
      </c>
      <c r="T461" s="33">
        <f t="shared" si="661"/>
        <v>2000</v>
      </c>
      <c r="V461" s="8" t="str">
        <f t="shared" si="647"/>
        <v/>
      </c>
    </row>
    <row r="462" spans="1:22" x14ac:dyDescent="0.25">
      <c r="A462">
        <v>30030</v>
      </c>
      <c r="B462" s="17" t="s">
        <v>385</v>
      </c>
      <c r="C462" s="45">
        <v>45600</v>
      </c>
      <c r="D462" s="46" t="s">
        <v>373</v>
      </c>
      <c r="E462" s="46" t="s">
        <v>41</v>
      </c>
      <c r="F462" s="64">
        <v>1</v>
      </c>
      <c r="G462" s="49" t="s">
        <v>417</v>
      </c>
      <c r="H462" s="34" t="s">
        <v>419</v>
      </c>
      <c r="I462" s="28">
        <v>60.235999999999997</v>
      </c>
      <c r="J462" t="s">
        <v>36</v>
      </c>
      <c r="K462" s="47">
        <v>17585</v>
      </c>
      <c r="L462" s="3" t="s">
        <v>372</v>
      </c>
      <c r="M462" s="33">
        <f t="shared" si="657"/>
        <v>12711.00072</v>
      </c>
      <c r="N462" s="2">
        <f>_xlfn.XLOOKUP(A462,'[1]Prix MP'!$A:$A,'[1]Prix MP'!$T:$T)</f>
        <v>0.2764469012790301</v>
      </c>
      <c r="O462" s="2">
        <f>_xlfn.XLOOKUP(A462,'[1]Prix MP'!$A:$A,'[1]Prix MP'!$U:$U)</f>
        <v>0.2764469012790301</v>
      </c>
      <c r="P462" s="11">
        <f t="shared" si="658"/>
        <v>3513.9167611995204</v>
      </c>
      <c r="Q462" s="7">
        <f t="shared" si="659"/>
        <v>3513.9167611995204</v>
      </c>
      <c r="R462" t="s">
        <v>423</v>
      </c>
      <c r="S462" s="1">
        <f t="shared" si="660"/>
        <v>60.24</v>
      </c>
      <c r="T462" s="33">
        <f t="shared" si="661"/>
        <v>17585</v>
      </c>
      <c r="V462" s="8" t="str">
        <f t="shared" si="647"/>
        <v/>
      </c>
    </row>
    <row r="463" spans="1:22" x14ac:dyDescent="0.25">
      <c r="A463">
        <v>30030</v>
      </c>
      <c r="B463" s="17" t="s">
        <v>385</v>
      </c>
      <c r="C463" s="45">
        <v>45597</v>
      </c>
      <c r="D463" s="46" t="s">
        <v>37</v>
      </c>
      <c r="E463" s="46" t="s">
        <v>41</v>
      </c>
      <c r="F463" s="64">
        <v>1</v>
      </c>
      <c r="G463" s="49"/>
      <c r="H463" s="34" t="s">
        <v>388</v>
      </c>
      <c r="I463" s="28">
        <v>1530</v>
      </c>
      <c r="J463" t="s">
        <v>2</v>
      </c>
      <c r="K463" s="47">
        <v>5860</v>
      </c>
      <c r="L463" s="3" t="s">
        <v>1</v>
      </c>
      <c r="M463" s="33">
        <f t="shared" si="637"/>
        <v>13896.99</v>
      </c>
      <c r="N463" s="2">
        <f>_xlfn.XLOOKUP(A463,'[1]Prix MP'!$A:$A,'[1]Prix MP'!$T:$T)</f>
        <v>0.2764469012790301</v>
      </c>
      <c r="O463" s="2">
        <f>_xlfn.XLOOKUP(A463,'[1]Prix MP'!$A:$A,'[1]Prix MP'!$U:$U)</f>
        <v>0.2764469012790301</v>
      </c>
      <c r="P463" s="11">
        <f t="shared" si="638"/>
        <v>3841.7798226056684</v>
      </c>
      <c r="Q463" s="7">
        <f t="shared" si="431"/>
        <v>3841.7798226056684</v>
      </c>
      <c r="R463" t="s">
        <v>423</v>
      </c>
      <c r="S463" s="1">
        <f t="shared" si="639"/>
        <v>60.24</v>
      </c>
      <c r="T463" s="33">
        <f t="shared" si="640"/>
        <v>19226</v>
      </c>
      <c r="V463" s="8">
        <f t="shared" si="647"/>
        <v>8965.7999999999993</v>
      </c>
    </row>
    <row r="464" spans="1:22" x14ac:dyDescent="0.25">
      <c r="A464">
        <v>30028</v>
      </c>
      <c r="B464" s="17" t="s">
        <v>34</v>
      </c>
      <c r="C464" s="45">
        <v>45597</v>
      </c>
      <c r="D464" s="46" t="s">
        <v>37</v>
      </c>
      <c r="E464" s="46" t="s">
        <v>42</v>
      </c>
      <c r="F464" s="64">
        <v>1</v>
      </c>
      <c r="G464" s="49"/>
      <c r="H464" s="34" t="s">
        <v>389</v>
      </c>
      <c r="I464" s="28">
        <v>1530</v>
      </c>
      <c r="J464" t="s">
        <v>2</v>
      </c>
      <c r="K464" s="47">
        <v>6000</v>
      </c>
      <c r="L464" s="3" t="s">
        <v>1</v>
      </c>
      <c r="M464" s="33">
        <f t="shared" si="637"/>
        <v>14229</v>
      </c>
      <c r="N464" s="2">
        <f>_xlfn.XLOOKUP(A464,'[1]Prix MP'!$A:$A,'[1]Prix MP'!$T:$T)</f>
        <v>0.30720851418225592</v>
      </c>
      <c r="O464" s="2">
        <f>_xlfn.XLOOKUP(A464,'[1]Prix MP'!$A:$A,'[1]Prix MP'!$U:$U)</f>
        <v>0.30720851418225592</v>
      </c>
      <c r="P464" s="11">
        <f t="shared" si="638"/>
        <v>4371.2699482993194</v>
      </c>
      <c r="Q464" s="7">
        <f t="shared" si="431"/>
        <v>4371.2699482993194</v>
      </c>
      <c r="R464" t="s">
        <v>197</v>
      </c>
      <c r="S464" s="1">
        <f t="shared" si="639"/>
        <v>0</v>
      </c>
      <c r="T464" s="33">
        <f t="shared" si="640"/>
        <v>0</v>
      </c>
      <c r="V464" s="8">
        <f t="shared" si="647"/>
        <v>9180</v>
      </c>
    </row>
    <row r="465" spans="1:22" x14ac:dyDescent="0.25">
      <c r="A465">
        <v>30028</v>
      </c>
      <c r="B465" s="17" t="s">
        <v>34</v>
      </c>
      <c r="C465" s="45">
        <v>45624</v>
      </c>
      <c r="D465" s="46" t="s">
        <v>176</v>
      </c>
      <c r="E465" s="46" t="s">
        <v>42</v>
      </c>
      <c r="F465" s="64">
        <v>-1</v>
      </c>
      <c r="G465" s="49" t="s">
        <v>556</v>
      </c>
      <c r="H465" s="34" t="s">
        <v>389</v>
      </c>
      <c r="I465" s="28">
        <v>1530</v>
      </c>
      <c r="J465" t="s">
        <v>2</v>
      </c>
      <c r="K465" s="47">
        <v>6000</v>
      </c>
      <c r="L465" s="3" t="s">
        <v>1</v>
      </c>
      <c r="M465" s="33">
        <f>IF(J465="mm",F465*I465/1000*K465*1.55,F465*I465*12*K465/1000)</f>
        <v>-14229</v>
      </c>
      <c r="N465" s="2">
        <f>_xlfn.XLOOKUP(A465,'[1]Prix MP'!$A:$A,'[1]Prix MP'!$T:$T)</f>
        <v>0.30720851418225592</v>
      </c>
      <c r="O465" s="2">
        <f>_xlfn.XLOOKUP(A465,'[1]Prix MP'!$A:$A,'[1]Prix MP'!$U:$U)</f>
        <v>0.30720851418225592</v>
      </c>
      <c r="P465" s="11">
        <f>M465*N465</f>
        <v>-4371.2699482993194</v>
      </c>
      <c r="Q465" s="7">
        <f t="shared" ref="Q465" si="662">M465*O465</f>
        <v>-4371.2699482993194</v>
      </c>
      <c r="R465" t="s">
        <v>197</v>
      </c>
      <c r="S465" s="1">
        <f>ROUND(IF(E465="I",0,IF(J465="po",I465,I465/25.4)),2)</f>
        <v>0</v>
      </c>
      <c r="T465" s="33">
        <f>ROUND(IF(E465="I",0,IF(J465="po",K465,K465*3.280839895)),0)</f>
        <v>0</v>
      </c>
      <c r="V465" s="8"/>
    </row>
    <row r="466" spans="1:22" x14ac:dyDescent="0.25">
      <c r="A466">
        <v>30028</v>
      </c>
      <c r="B466" s="17" t="s">
        <v>34</v>
      </c>
      <c r="C466" s="45">
        <v>45597</v>
      </c>
      <c r="D466" s="46" t="s">
        <v>37</v>
      </c>
      <c r="E466" s="46" t="s">
        <v>41</v>
      </c>
      <c r="F466" s="64">
        <v>1</v>
      </c>
      <c r="G466" s="49"/>
      <c r="H466" s="34" t="s">
        <v>390</v>
      </c>
      <c r="I466" s="28">
        <v>1530</v>
      </c>
      <c r="J466" t="s">
        <v>2</v>
      </c>
      <c r="K466" s="47">
        <v>6060</v>
      </c>
      <c r="L466" s="3" t="s">
        <v>1</v>
      </c>
      <c r="M466" s="33">
        <f t="shared" si="637"/>
        <v>14371.289999999999</v>
      </c>
      <c r="N466" s="2">
        <f>_xlfn.XLOOKUP(A466,'[1]Prix MP'!$A:$A,'[1]Prix MP'!$T:$T)</f>
        <v>0.30720851418225592</v>
      </c>
      <c r="O466" s="2">
        <f>_xlfn.XLOOKUP(A466,'[1]Prix MP'!$A:$A,'[1]Prix MP'!$U:$U)</f>
        <v>0.30720851418225592</v>
      </c>
      <c r="P466" s="11">
        <f t="shared" si="638"/>
        <v>4414.9826477823126</v>
      </c>
      <c r="Q466" s="7">
        <f t="shared" si="431"/>
        <v>4414.9826477823126</v>
      </c>
      <c r="R466" t="s">
        <v>197</v>
      </c>
      <c r="S466" s="1">
        <f t="shared" si="639"/>
        <v>60.24</v>
      </c>
      <c r="T466" s="33">
        <f t="shared" si="640"/>
        <v>19882</v>
      </c>
      <c r="V466" s="8">
        <f t="shared" si="647"/>
        <v>9271.7999999999993</v>
      </c>
    </row>
    <row r="467" spans="1:22" x14ac:dyDescent="0.25">
      <c r="A467">
        <v>30027</v>
      </c>
      <c r="B467" s="17" t="s">
        <v>35</v>
      </c>
      <c r="C467" s="45">
        <v>45597</v>
      </c>
      <c r="D467" s="46" t="s">
        <v>37</v>
      </c>
      <c r="E467" s="46" t="s">
        <v>41</v>
      </c>
      <c r="F467" s="64">
        <v>1</v>
      </c>
      <c r="G467" s="49"/>
      <c r="H467" s="34" t="s">
        <v>391</v>
      </c>
      <c r="I467" s="28">
        <v>1530</v>
      </c>
      <c r="J467" t="s">
        <v>2</v>
      </c>
      <c r="K467" s="47">
        <v>6000</v>
      </c>
      <c r="L467" s="3" t="s">
        <v>1</v>
      </c>
      <c r="M467" s="33">
        <f t="shared" si="637"/>
        <v>14229</v>
      </c>
      <c r="N467" s="2">
        <f>_xlfn.XLOOKUP(A467,'[1]Prix MP'!$A:$A,'[1]Prix MP'!$T:$T)</f>
        <v>0.30720851418225592</v>
      </c>
      <c r="O467" s="2">
        <f>_xlfn.XLOOKUP(A467,'[1]Prix MP'!$A:$A,'[1]Prix MP'!$U:$U)</f>
        <v>0.30720851418225592</v>
      </c>
      <c r="P467" s="11">
        <f t="shared" si="638"/>
        <v>4371.2699482993194</v>
      </c>
      <c r="Q467" s="7">
        <f t="shared" si="431"/>
        <v>4371.2699482993194</v>
      </c>
      <c r="R467" t="s">
        <v>198</v>
      </c>
      <c r="S467" s="1">
        <f t="shared" si="639"/>
        <v>60.24</v>
      </c>
      <c r="T467" s="33">
        <f t="shared" si="640"/>
        <v>19685</v>
      </c>
      <c r="V467" s="8">
        <f t="shared" si="647"/>
        <v>9180</v>
      </c>
    </row>
    <row r="468" spans="1:22" x14ac:dyDescent="0.25">
      <c r="A468">
        <v>30027</v>
      </c>
      <c r="B468" s="17" t="s">
        <v>35</v>
      </c>
      <c r="C468" s="45">
        <v>45597</v>
      </c>
      <c r="D468" s="46" t="s">
        <v>37</v>
      </c>
      <c r="E468" s="46" t="s">
        <v>42</v>
      </c>
      <c r="F468" s="64">
        <v>1</v>
      </c>
      <c r="G468" s="49"/>
      <c r="H468" s="34" t="s">
        <v>392</v>
      </c>
      <c r="I468" s="28">
        <v>1530</v>
      </c>
      <c r="J468" t="s">
        <v>2</v>
      </c>
      <c r="K468" s="47">
        <v>6000</v>
      </c>
      <c r="L468" s="3" t="s">
        <v>1</v>
      </c>
      <c r="M468" s="33">
        <f t="shared" si="637"/>
        <v>14229</v>
      </c>
      <c r="N468" s="2">
        <f>_xlfn.XLOOKUP(A468,'[1]Prix MP'!$A:$A,'[1]Prix MP'!$T:$T)</f>
        <v>0.30720851418225592</v>
      </c>
      <c r="O468" s="2">
        <f>_xlfn.XLOOKUP(A468,'[1]Prix MP'!$A:$A,'[1]Prix MP'!$U:$U)</f>
        <v>0.30720851418225592</v>
      </c>
      <c r="P468" s="11">
        <f t="shared" si="638"/>
        <v>4371.2699482993194</v>
      </c>
      <c r="Q468" s="7">
        <f t="shared" si="431"/>
        <v>4371.2699482993194</v>
      </c>
      <c r="R468" t="s">
        <v>198</v>
      </c>
      <c r="S468" s="1">
        <f t="shared" si="639"/>
        <v>0</v>
      </c>
      <c r="T468" s="33">
        <f t="shared" si="640"/>
        <v>0</v>
      </c>
      <c r="V468" s="8">
        <f t="shared" si="647"/>
        <v>9180</v>
      </c>
    </row>
    <row r="469" spans="1:22" x14ac:dyDescent="0.25">
      <c r="A469">
        <v>30027</v>
      </c>
      <c r="B469" s="17" t="s">
        <v>35</v>
      </c>
      <c r="C469" s="45">
        <v>45624</v>
      </c>
      <c r="D469" s="46" t="s">
        <v>176</v>
      </c>
      <c r="E469" s="46" t="s">
        <v>42</v>
      </c>
      <c r="F469" s="64">
        <v>-1</v>
      </c>
      <c r="G469" s="49" t="s">
        <v>488</v>
      </c>
      <c r="H469" s="34" t="s">
        <v>392</v>
      </c>
      <c r="I469" s="28">
        <v>1530</v>
      </c>
      <c r="J469" t="s">
        <v>2</v>
      </c>
      <c r="K469" s="47">
        <v>6000</v>
      </c>
      <c r="L469" s="3" t="s">
        <v>1</v>
      </c>
      <c r="M469" s="33">
        <f t="shared" ref="M469:M470" si="663">IF(J469="mm",F469*I469/1000*K469*1.55,F469*I469*12*K469/1000)</f>
        <v>-14229</v>
      </c>
      <c r="N469" s="2">
        <f>_xlfn.XLOOKUP(A469,'[1]Prix MP'!$A:$A,'[1]Prix MP'!$T:$T)</f>
        <v>0.30720851418225592</v>
      </c>
      <c r="O469" s="2">
        <f>_xlfn.XLOOKUP(A469,'[1]Prix MP'!$A:$A,'[1]Prix MP'!$U:$U)</f>
        <v>0.30720851418225592</v>
      </c>
      <c r="P469" s="11">
        <f t="shared" ref="P469:P470" si="664">M469*N469</f>
        <v>-4371.2699482993194</v>
      </c>
      <c r="Q469" s="7">
        <f t="shared" si="431"/>
        <v>-4371.2699482993194</v>
      </c>
      <c r="R469" t="s">
        <v>198</v>
      </c>
      <c r="S469" s="1">
        <f t="shared" ref="S469:S470" si="665">ROUND(IF(E469="I",0,IF(J469="po",I469,I469/25.4)),2)</f>
        <v>0</v>
      </c>
      <c r="T469" s="33">
        <f t="shared" ref="T469:T470" si="666">ROUND(IF(E469="I",0,IF(J469="po",K469,K469*3.280839895)),0)</f>
        <v>0</v>
      </c>
      <c r="V469" s="8"/>
    </row>
    <row r="470" spans="1:22" x14ac:dyDescent="0.25">
      <c r="A470">
        <v>30027</v>
      </c>
      <c r="B470" s="17" t="s">
        <v>35</v>
      </c>
      <c r="C470" s="45">
        <v>45624</v>
      </c>
      <c r="D470" s="46" t="s">
        <v>373</v>
      </c>
      <c r="E470" s="46" t="s">
        <v>42</v>
      </c>
      <c r="F470" s="64">
        <v>1</v>
      </c>
      <c r="G470" s="49" t="s">
        <v>488</v>
      </c>
      <c r="H470" s="34" t="s">
        <v>489</v>
      </c>
      <c r="I470" s="28">
        <v>60.235999999999997</v>
      </c>
      <c r="J470" t="s">
        <v>36</v>
      </c>
      <c r="K470" s="47">
        <v>14550</v>
      </c>
      <c r="L470" s="3" t="s">
        <v>372</v>
      </c>
      <c r="M470" s="33">
        <f t="shared" si="663"/>
        <v>10517.205599999999</v>
      </c>
      <c r="N470" s="2">
        <f>_xlfn.XLOOKUP(A470,'[1]Prix MP'!$A:$A,'[1]Prix MP'!$T:$T)</f>
        <v>0.30720851418225592</v>
      </c>
      <c r="O470" s="2">
        <f>_xlfn.XLOOKUP(A470,'[1]Prix MP'!$A:$A,'[1]Prix MP'!$U:$U)</f>
        <v>0.30720851418225592</v>
      </c>
      <c r="P470" s="11">
        <f t="shared" si="664"/>
        <v>3230.9751057253011</v>
      </c>
      <c r="Q470" s="7">
        <f t="shared" si="431"/>
        <v>3230.9751057253011</v>
      </c>
      <c r="R470" t="s">
        <v>198</v>
      </c>
      <c r="S470" s="1">
        <f t="shared" si="665"/>
        <v>0</v>
      </c>
      <c r="T470" s="33">
        <f t="shared" si="666"/>
        <v>0</v>
      </c>
      <c r="V470" s="8"/>
    </row>
    <row r="471" spans="1:22" x14ac:dyDescent="0.25">
      <c r="A471">
        <v>30027</v>
      </c>
      <c r="B471" s="17" t="s">
        <v>35</v>
      </c>
      <c r="C471" s="45">
        <v>45637</v>
      </c>
      <c r="D471" s="46" t="s">
        <v>176</v>
      </c>
      <c r="E471" s="46" t="s">
        <v>42</v>
      </c>
      <c r="F471" s="64">
        <v>-1</v>
      </c>
      <c r="G471" s="49" t="s">
        <v>563</v>
      </c>
      <c r="H471" s="34" t="s">
        <v>489</v>
      </c>
      <c r="I471" s="28">
        <v>60.235999999999997</v>
      </c>
      <c r="J471" t="s">
        <v>36</v>
      </c>
      <c r="K471" s="47">
        <v>14550</v>
      </c>
      <c r="L471" s="3" t="s">
        <v>372</v>
      </c>
      <c r="M471" s="33">
        <f>IF(J471="mm",F471*I471/1000*K471*1.55,F471*I471*12*K471/1000)</f>
        <v>-10517.205599999999</v>
      </c>
      <c r="N471" s="2">
        <f>_xlfn.XLOOKUP(A471,'[1]Prix MP'!$A:$A,'[1]Prix MP'!$T:$T)</f>
        <v>0.30720851418225592</v>
      </c>
      <c r="O471" s="2">
        <f>_xlfn.XLOOKUP(A471,'[1]Prix MP'!$A:$A,'[1]Prix MP'!$U:$U)</f>
        <v>0.30720851418225592</v>
      </c>
      <c r="P471" s="11">
        <f>M471*N471</f>
        <v>-3230.9751057253011</v>
      </c>
      <c r="Q471" s="7">
        <f t="shared" ref="Q471:Q472" si="667">M471*O471</f>
        <v>-3230.9751057253011</v>
      </c>
      <c r="R471" t="s">
        <v>198</v>
      </c>
      <c r="S471" s="1">
        <f>ROUND(IF(E471="I",0,IF(J471="po",I471,I471/25.4)),2)</f>
        <v>0</v>
      </c>
      <c r="T471" s="33">
        <f>ROUND(IF(E471="I",0,IF(J471="po",K471,K471*3.280839895)),0)</f>
        <v>0</v>
      </c>
      <c r="V471" s="8"/>
    </row>
    <row r="472" spans="1:22" x14ac:dyDescent="0.25">
      <c r="A472">
        <v>30027</v>
      </c>
      <c r="B472" s="17" t="s">
        <v>35</v>
      </c>
      <c r="C472" s="45">
        <v>45637</v>
      </c>
      <c r="D472" s="46" t="s">
        <v>373</v>
      </c>
      <c r="E472" s="46" t="s">
        <v>42</v>
      </c>
      <c r="F472" s="64">
        <v>1</v>
      </c>
      <c r="G472" s="49" t="s">
        <v>563</v>
      </c>
      <c r="H472" s="34" t="s">
        <v>564</v>
      </c>
      <c r="I472" s="28">
        <v>60.235999999999997</v>
      </c>
      <c r="J472" t="s">
        <v>36</v>
      </c>
      <c r="K472" s="47">
        <v>9700</v>
      </c>
      <c r="L472" s="3" t="s">
        <v>372</v>
      </c>
      <c r="M472" s="33">
        <f>IF(J472="mm",F472*I472/1000*K472*1.55,F472*I472*12*K472/1000)</f>
        <v>7011.4704000000002</v>
      </c>
      <c r="N472" s="2">
        <f>_xlfn.XLOOKUP(A472,'[1]Prix MP'!$A:$A,'[1]Prix MP'!$T:$T)</f>
        <v>0.30720851418225592</v>
      </c>
      <c r="O472" s="2">
        <f>_xlfn.XLOOKUP(A472,'[1]Prix MP'!$A:$A,'[1]Prix MP'!$U:$U)</f>
        <v>0.30720851418225592</v>
      </c>
      <c r="P472" s="11">
        <f>M472*N472</f>
        <v>2153.9834038168678</v>
      </c>
      <c r="Q472" s="7">
        <f t="shared" si="667"/>
        <v>2153.9834038168678</v>
      </c>
      <c r="R472" t="s">
        <v>198</v>
      </c>
      <c r="S472" s="1">
        <f>ROUND(IF(E472="I",0,IF(J472="po",I472,I472/25.4)),2)</f>
        <v>0</v>
      </c>
      <c r="T472" s="33">
        <f>ROUND(IF(E472="I",0,IF(J472="po",K472,K472*3.280839895)),0)</f>
        <v>0</v>
      </c>
      <c r="V472" s="8"/>
    </row>
    <row r="473" spans="1:22" x14ac:dyDescent="0.25">
      <c r="A473">
        <v>30027</v>
      </c>
      <c r="B473" s="17" t="s">
        <v>35</v>
      </c>
      <c r="C473" s="45">
        <v>45645</v>
      </c>
      <c r="D473" s="46" t="s">
        <v>176</v>
      </c>
      <c r="E473" s="46" t="s">
        <v>42</v>
      </c>
      <c r="F473" s="64">
        <v>-1</v>
      </c>
      <c r="G473" s="49" t="s">
        <v>576</v>
      </c>
      <c r="H473" s="34" t="s">
        <v>564</v>
      </c>
      <c r="I473" s="28">
        <v>60.235999999999997</v>
      </c>
      <c r="J473" t="s">
        <v>36</v>
      </c>
      <c r="K473" s="47">
        <v>9700</v>
      </c>
      <c r="L473" s="3" t="s">
        <v>372</v>
      </c>
      <c r="M473" s="33">
        <f t="shared" ref="M473:M474" si="668">IF(J473="mm",F473*I473/1000*K473*1.55,F473*I473*12*K473/1000)</f>
        <v>-7011.4704000000002</v>
      </c>
      <c r="N473" s="2">
        <f>_xlfn.XLOOKUP(A473,'[1]Prix MP'!$A:$A,'[1]Prix MP'!$T:$T)</f>
        <v>0.30720851418225592</v>
      </c>
      <c r="O473" s="2">
        <f>_xlfn.XLOOKUP(A473,'[1]Prix MP'!$A:$A,'[1]Prix MP'!$U:$U)</f>
        <v>0.30720851418225592</v>
      </c>
      <c r="P473" s="11">
        <f t="shared" ref="P473:P474" si="669">M473*N473</f>
        <v>-2153.9834038168678</v>
      </c>
      <c r="Q473" s="7">
        <f t="shared" ref="Q473:Q474" si="670">M473*O473</f>
        <v>-2153.9834038168678</v>
      </c>
      <c r="R473" t="s">
        <v>198</v>
      </c>
      <c r="S473" s="1">
        <f>ROUND(IF(E473="I",0,IF(J473="po",I473,I473/25.4)),2)</f>
        <v>0</v>
      </c>
      <c r="T473" s="33">
        <f>ROUND(IF(E473="I",0,IF(J473="po",K473,K473*3.280839895)),0)</f>
        <v>0</v>
      </c>
      <c r="V473" s="8"/>
    </row>
    <row r="474" spans="1:22" x14ac:dyDescent="0.25">
      <c r="A474">
        <v>30027</v>
      </c>
      <c r="B474" s="17" t="s">
        <v>35</v>
      </c>
      <c r="C474" s="45">
        <v>45645</v>
      </c>
      <c r="D474" s="46" t="s">
        <v>373</v>
      </c>
      <c r="E474" s="46" t="s">
        <v>42</v>
      </c>
      <c r="F474" s="64">
        <v>1</v>
      </c>
      <c r="G474" s="49" t="s">
        <v>576</v>
      </c>
      <c r="H474" s="34" t="s">
        <v>577</v>
      </c>
      <c r="I474" s="28">
        <v>60.235999999999997</v>
      </c>
      <c r="J474" t="s">
        <v>36</v>
      </c>
      <c r="K474" s="47">
        <v>5000</v>
      </c>
      <c r="L474" s="3" t="s">
        <v>372</v>
      </c>
      <c r="M474" s="33">
        <f t="shared" si="668"/>
        <v>3614.16</v>
      </c>
      <c r="N474" s="2">
        <f>_xlfn.XLOOKUP(A474,'[1]Prix MP'!$A:$A,'[1]Prix MP'!$T:$T)</f>
        <v>0.30720851418225592</v>
      </c>
      <c r="O474" s="2">
        <f>_xlfn.XLOOKUP(A474,'[1]Prix MP'!$A:$A,'[1]Prix MP'!$U:$U)</f>
        <v>0.30720851418225592</v>
      </c>
      <c r="P474" s="11">
        <f t="shared" si="669"/>
        <v>1110.3007236169419</v>
      </c>
      <c r="Q474" s="7">
        <f t="shared" si="670"/>
        <v>1110.3007236169419</v>
      </c>
      <c r="R474" t="s">
        <v>198</v>
      </c>
      <c r="S474" s="1">
        <f>ROUND(IF(E474="I",0,IF(J474="po",I474,I474/25.4)),2)</f>
        <v>0</v>
      </c>
      <c r="T474" s="33">
        <f>ROUND(IF(E474="I",0,IF(J474="po",K474,K474*3.280839895)),0)</f>
        <v>0</v>
      </c>
      <c r="V474" s="8"/>
    </row>
    <row r="475" spans="1:22" x14ac:dyDescent="0.25">
      <c r="A475">
        <v>30027</v>
      </c>
      <c r="B475" s="17" t="s">
        <v>35</v>
      </c>
      <c r="C475" s="45">
        <v>45678</v>
      </c>
      <c r="D475" s="46" t="s">
        <v>176</v>
      </c>
      <c r="E475" s="46" t="s">
        <v>42</v>
      </c>
      <c r="F475" s="64">
        <v>-1</v>
      </c>
      <c r="G475" s="49" t="s">
        <v>682</v>
      </c>
      <c r="H475" s="34" t="s">
        <v>577</v>
      </c>
      <c r="I475" s="28">
        <v>60.235999999999997</v>
      </c>
      <c r="J475" t="s">
        <v>36</v>
      </c>
      <c r="K475" s="47">
        <v>5000</v>
      </c>
      <c r="L475" s="3" t="s">
        <v>372</v>
      </c>
      <c r="M475" s="33">
        <f>IF(J475="mm",F475*I475/1000*K475*1.55,F475*I475*12*K475/1000)</f>
        <v>-3614.16</v>
      </c>
      <c r="N475" s="2">
        <f>_xlfn.XLOOKUP(A475,'[1]Prix MP'!$A:$A,'[1]Prix MP'!$T:$T)</f>
        <v>0.30720851418225592</v>
      </c>
      <c r="O475" s="2">
        <f>_xlfn.XLOOKUP(A475,'[1]Prix MP'!$A:$A,'[1]Prix MP'!$U:$U)</f>
        <v>0.30720851418225592</v>
      </c>
      <c r="P475" s="11">
        <f>M475*N475</f>
        <v>-1110.3007236169419</v>
      </c>
      <c r="Q475" s="7">
        <f t="shared" ref="Q475" si="671">M475*O475</f>
        <v>-1110.3007236169419</v>
      </c>
      <c r="R475" t="s">
        <v>198</v>
      </c>
      <c r="S475" s="1">
        <f>ROUND(IF(E475="I",0,IF(J475="po",I475,I475/25.4)),2)</f>
        <v>0</v>
      </c>
      <c r="T475" s="33">
        <f>ROUND(IF(E475="I",0,IF(J475="po",K475,K475*3.280839895)),0)</f>
        <v>0</v>
      </c>
      <c r="V475" s="8"/>
    </row>
    <row r="476" spans="1:22" x14ac:dyDescent="0.25">
      <c r="A476">
        <v>30027</v>
      </c>
      <c r="B476" s="17" t="s">
        <v>35</v>
      </c>
      <c r="C476" s="45">
        <v>45597</v>
      </c>
      <c r="D476" s="46" t="s">
        <v>37</v>
      </c>
      <c r="E476" s="46" t="s">
        <v>42</v>
      </c>
      <c r="F476" s="64">
        <v>1</v>
      </c>
      <c r="G476" s="49"/>
      <c r="H476" s="34" t="s">
        <v>393</v>
      </c>
      <c r="I476" s="28">
        <v>1530</v>
      </c>
      <c r="J476" t="s">
        <v>2</v>
      </c>
      <c r="K476" s="47">
        <v>6160</v>
      </c>
      <c r="L476" s="3" t="s">
        <v>1</v>
      </c>
      <c r="M476" s="33">
        <f t="shared" si="637"/>
        <v>14608.439999999999</v>
      </c>
      <c r="N476" s="2">
        <f>_xlfn.XLOOKUP(A476,'[1]Prix MP'!$A:$A,'[1]Prix MP'!$T:$T)</f>
        <v>0.30720851418225592</v>
      </c>
      <c r="O476" s="2">
        <f>_xlfn.XLOOKUP(A476,'[1]Prix MP'!$A:$A,'[1]Prix MP'!$U:$U)</f>
        <v>0.30720851418225592</v>
      </c>
      <c r="P476" s="11">
        <f t="shared" si="638"/>
        <v>4487.837146920634</v>
      </c>
      <c r="Q476" s="7">
        <f t="shared" si="431"/>
        <v>4487.837146920634</v>
      </c>
      <c r="R476" t="s">
        <v>198</v>
      </c>
      <c r="S476" s="1">
        <f t="shared" si="639"/>
        <v>0</v>
      </c>
      <c r="T476" s="33">
        <f t="shared" si="640"/>
        <v>0</v>
      </c>
      <c r="V476" s="8">
        <f t="shared" si="647"/>
        <v>9424.7999999999993</v>
      </c>
    </row>
    <row r="477" spans="1:22" x14ac:dyDescent="0.25">
      <c r="A477">
        <v>30027</v>
      </c>
      <c r="B477" s="17" t="s">
        <v>35</v>
      </c>
      <c r="C477" s="45">
        <v>45624</v>
      </c>
      <c r="D477" s="46" t="s">
        <v>176</v>
      </c>
      <c r="E477" s="46" t="s">
        <v>42</v>
      </c>
      <c r="F477" s="64">
        <v>-1</v>
      </c>
      <c r="G477" s="49" t="s">
        <v>480</v>
      </c>
      <c r="H477" s="34" t="s">
        <v>393</v>
      </c>
      <c r="I477" s="28">
        <v>1530</v>
      </c>
      <c r="J477" t="s">
        <v>2</v>
      </c>
      <c r="K477" s="47">
        <v>6160</v>
      </c>
      <c r="L477" s="3" t="s">
        <v>1</v>
      </c>
      <c r="M477" s="33">
        <f t="shared" ref="M477:M478" si="672">IF(J477="mm",F477*I477/1000*K477*1.55,F477*I477*12*K477/1000)</f>
        <v>-14608.439999999999</v>
      </c>
      <c r="N477" s="2">
        <f>_xlfn.XLOOKUP(A477,'[1]Prix MP'!$A:$A,'[1]Prix MP'!$T:$T)</f>
        <v>0.30720851418225592</v>
      </c>
      <c r="O477" s="2">
        <f>_xlfn.XLOOKUP(A477,'[1]Prix MP'!$A:$A,'[1]Prix MP'!$U:$U)</f>
        <v>0.30720851418225592</v>
      </c>
      <c r="P477" s="11">
        <f t="shared" ref="P477:P478" si="673">M477*N477</f>
        <v>-4487.837146920634</v>
      </c>
      <c r="Q477" s="7">
        <f t="shared" ref="Q477:Q478" si="674">M477*O477</f>
        <v>-4487.837146920634</v>
      </c>
      <c r="R477" t="s">
        <v>198</v>
      </c>
      <c r="S477" s="1">
        <f t="shared" ref="S477:S478" si="675">ROUND(IF(E477="I",0,IF(J477="po",I477,I477/25.4)),2)</f>
        <v>0</v>
      </c>
      <c r="T477" s="33">
        <f t="shared" ref="T477:T478" si="676">ROUND(IF(E477="I",0,IF(J477="po",K477,K477*3.280839895)),0)</f>
        <v>0</v>
      </c>
      <c r="V477" s="8"/>
    </row>
    <row r="478" spans="1:22" x14ac:dyDescent="0.25">
      <c r="A478">
        <v>30027</v>
      </c>
      <c r="B478" s="17" t="s">
        <v>35</v>
      </c>
      <c r="C478" s="45">
        <v>45624</v>
      </c>
      <c r="D478" s="46" t="s">
        <v>373</v>
      </c>
      <c r="E478" s="46" t="s">
        <v>42</v>
      </c>
      <c r="F478" s="64">
        <v>1</v>
      </c>
      <c r="G478" s="49" t="s">
        <v>480</v>
      </c>
      <c r="H478" s="34" t="s">
        <v>481</v>
      </c>
      <c r="I478" s="28">
        <v>60.235999999999997</v>
      </c>
      <c r="J478" t="s">
        <v>36</v>
      </c>
      <c r="K478" s="47">
        <v>10000</v>
      </c>
      <c r="L478" s="3" t="s">
        <v>372</v>
      </c>
      <c r="M478" s="33">
        <f t="shared" si="672"/>
        <v>7228.32</v>
      </c>
      <c r="N478" s="2">
        <f>_xlfn.XLOOKUP(A478,'[1]Prix MP'!$A:$A,'[1]Prix MP'!$T:$T)</f>
        <v>0.30720851418225592</v>
      </c>
      <c r="O478" s="2">
        <f>_xlfn.XLOOKUP(A478,'[1]Prix MP'!$A:$A,'[1]Prix MP'!$U:$U)</f>
        <v>0.30720851418225592</v>
      </c>
      <c r="P478" s="11">
        <f t="shared" si="673"/>
        <v>2220.6014472338838</v>
      </c>
      <c r="Q478" s="7">
        <f t="shared" si="674"/>
        <v>2220.6014472338838</v>
      </c>
      <c r="R478" t="s">
        <v>198</v>
      </c>
      <c r="S478" s="1">
        <f t="shared" si="675"/>
        <v>0</v>
      </c>
      <c r="T478" s="33">
        <f t="shared" si="676"/>
        <v>0</v>
      </c>
      <c r="V478" s="8"/>
    </row>
    <row r="479" spans="1:22" x14ac:dyDescent="0.25">
      <c r="A479">
        <v>30027</v>
      </c>
      <c r="B479" s="17" t="s">
        <v>35</v>
      </c>
      <c r="C479" s="45">
        <v>45624</v>
      </c>
      <c r="D479" s="46" t="s">
        <v>176</v>
      </c>
      <c r="E479" s="46" t="s">
        <v>42</v>
      </c>
      <c r="F479" s="64">
        <v>-1</v>
      </c>
      <c r="G479" s="49" t="s">
        <v>482</v>
      </c>
      <c r="H479" s="34" t="s">
        <v>481</v>
      </c>
      <c r="I479" s="28">
        <v>60.235999999999997</v>
      </c>
      <c r="J479" t="s">
        <v>36</v>
      </c>
      <c r="K479" s="47">
        <v>10000</v>
      </c>
      <c r="L479" s="3" t="s">
        <v>372</v>
      </c>
      <c r="M479" s="33">
        <f>IF(J479="mm",F479*I479/1000*K479*1.55,F479*I479*12*K479/1000)</f>
        <v>-7228.32</v>
      </c>
      <c r="N479" s="2">
        <f>_xlfn.XLOOKUP(A479,'[1]Prix MP'!$A:$A,'[1]Prix MP'!$T:$T)</f>
        <v>0.30720851418225592</v>
      </c>
      <c r="O479" s="2">
        <f>_xlfn.XLOOKUP(A479,'[1]Prix MP'!$A:$A,'[1]Prix MP'!$U:$U)</f>
        <v>0.30720851418225592</v>
      </c>
      <c r="P479" s="11">
        <f>M479*N479</f>
        <v>-2220.6014472338838</v>
      </c>
      <c r="Q479" s="7">
        <f t="shared" ref="Q479" si="677">M479*O479</f>
        <v>-2220.6014472338838</v>
      </c>
      <c r="R479" t="s">
        <v>198</v>
      </c>
      <c r="S479" s="1">
        <f>ROUND(IF(E479="I",0,IF(J479="po",I479,I479/25.4)),2)</f>
        <v>0</v>
      </c>
      <c r="T479" s="33">
        <f>ROUND(IF(E479="I",0,IF(J479="po",K479,K479*3.280839895)),0)</f>
        <v>0</v>
      </c>
      <c r="V479" s="8"/>
    </row>
    <row r="480" spans="1:22" x14ac:dyDescent="0.25">
      <c r="A480">
        <v>30027</v>
      </c>
      <c r="B480" s="17" t="s">
        <v>35</v>
      </c>
      <c r="C480" s="45">
        <v>45597</v>
      </c>
      <c r="D480" s="46" t="s">
        <v>37</v>
      </c>
      <c r="E480" s="46" t="s">
        <v>42</v>
      </c>
      <c r="F480" s="64">
        <v>1</v>
      </c>
      <c r="G480" s="49"/>
      <c r="H480" s="34" t="s">
        <v>394</v>
      </c>
      <c r="I480" s="28">
        <v>1530</v>
      </c>
      <c r="J480" t="s">
        <v>2</v>
      </c>
      <c r="K480" s="47">
        <v>6070</v>
      </c>
      <c r="L480" s="3" t="s">
        <v>1</v>
      </c>
      <c r="M480" s="33">
        <f t="shared" si="637"/>
        <v>14395.005000000001</v>
      </c>
      <c r="N480" s="2">
        <f>_xlfn.XLOOKUP(A480,'[1]Prix MP'!$A:$A,'[1]Prix MP'!$T:$T)</f>
        <v>0.30720851418225592</v>
      </c>
      <c r="O480" s="2">
        <f>_xlfn.XLOOKUP(A480,'[1]Prix MP'!$A:$A,'[1]Prix MP'!$U:$U)</f>
        <v>0.30720851418225592</v>
      </c>
      <c r="P480" s="11">
        <f t="shared" si="638"/>
        <v>4422.2680976961456</v>
      </c>
      <c r="Q480" s="7">
        <f t="shared" si="431"/>
        <v>4422.2680976961456</v>
      </c>
      <c r="R480" t="s">
        <v>198</v>
      </c>
      <c r="S480" s="1">
        <f t="shared" si="639"/>
        <v>0</v>
      </c>
      <c r="T480" s="33">
        <f t="shared" si="640"/>
        <v>0</v>
      </c>
      <c r="V480" s="8">
        <f t="shared" si="647"/>
        <v>9287.1</v>
      </c>
    </row>
    <row r="481" spans="1:22" x14ac:dyDescent="0.25">
      <c r="A481">
        <v>30027</v>
      </c>
      <c r="B481" s="17" t="s">
        <v>35</v>
      </c>
      <c r="C481" s="45">
        <v>45623</v>
      </c>
      <c r="D481" s="46" t="s">
        <v>176</v>
      </c>
      <c r="E481" s="46" t="s">
        <v>42</v>
      </c>
      <c r="F481" s="64">
        <v>-1</v>
      </c>
      <c r="G481" s="49" t="s">
        <v>479</v>
      </c>
      <c r="H481" s="34" t="s">
        <v>394</v>
      </c>
      <c r="I481" s="28">
        <v>1530</v>
      </c>
      <c r="J481" t="s">
        <v>2</v>
      </c>
      <c r="K481" s="47">
        <v>6070</v>
      </c>
      <c r="L481" s="3" t="s">
        <v>1</v>
      </c>
      <c r="M481" s="33">
        <f t="shared" ref="M481" si="678">IF(J481="mm",F481*I481/1000*K481*1.55,F481*I481*12*K481/1000)</f>
        <v>-14395.005000000001</v>
      </c>
      <c r="N481" s="2">
        <f>_xlfn.XLOOKUP(A481,'[1]Prix MP'!$A:$A,'[1]Prix MP'!$T:$T)</f>
        <v>0.30720851418225592</v>
      </c>
      <c r="O481" s="2">
        <f>_xlfn.XLOOKUP(A481,'[1]Prix MP'!$A:$A,'[1]Prix MP'!$U:$U)</f>
        <v>0.30720851418225592</v>
      </c>
      <c r="P481" s="11">
        <f t="shared" ref="P481" si="679">M481*N481</f>
        <v>-4422.2680976961456</v>
      </c>
      <c r="Q481" s="7">
        <f t="shared" ref="Q481" si="680">M481*O481</f>
        <v>-4422.2680976961456</v>
      </c>
      <c r="R481" t="s">
        <v>198</v>
      </c>
      <c r="S481" s="1">
        <f t="shared" ref="S481" si="681">ROUND(IF(E481="I",0,IF(J481="po",I481,I481/25.4)),2)</f>
        <v>0</v>
      </c>
      <c r="T481" s="33">
        <f t="shared" ref="T481" si="682">ROUND(IF(E481="I",0,IF(J481="po",K481,K481*3.280839895)),0)</f>
        <v>0</v>
      </c>
      <c r="V481" s="8"/>
    </row>
    <row r="482" spans="1:22" x14ac:dyDescent="0.25">
      <c r="A482">
        <v>30027</v>
      </c>
      <c r="B482" s="17" t="s">
        <v>35</v>
      </c>
      <c r="C482" s="45">
        <v>45597</v>
      </c>
      <c r="D482" s="46" t="s">
        <v>37</v>
      </c>
      <c r="E482" s="46" t="s">
        <v>42</v>
      </c>
      <c r="F482" s="64">
        <v>1</v>
      </c>
      <c r="G482" s="49"/>
      <c r="H482" s="34" t="s">
        <v>395</v>
      </c>
      <c r="I482" s="28">
        <v>1530</v>
      </c>
      <c r="J482" t="s">
        <v>2</v>
      </c>
      <c r="K482" s="47">
        <v>6050</v>
      </c>
      <c r="L482" s="3" t="s">
        <v>1</v>
      </c>
      <c r="M482" s="33">
        <f t="shared" si="637"/>
        <v>14347.575000000001</v>
      </c>
      <c r="N482" s="2">
        <f>_xlfn.XLOOKUP(A482,'[1]Prix MP'!$A:$A,'[1]Prix MP'!$T:$T)</f>
        <v>0.30720851418225592</v>
      </c>
      <c r="O482" s="2">
        <f>_xlfn.XLOOKUP(A482,'[1]Prix MP'!$A:$A,'[1]Prix MP'!$U:$U)</f>
        <v>0.30720851418225592</v>
      </c>
      <c r="P482" s="11">
        <f t="shared" si="638"/>
        <v>4407.6971978684805</v>
      </c>
      <c r="Q482" s="7">
        <f t="shared" si="431"/>
        <v>4407.6971978684805</v>
      </c>
      <c r="R482" t="s">
        <v>198</v>
      </c>
      <c r="S482" s="1">
        <f t="shared" si="639"/>
        <v>0</v>
      </c>
      <c r="T482" s="33">
        <f t="shared" si="640"/>
        <v>0</v>
      </c>
      <c r="V482" s="8">
        <f t="shared" si="647"/>
        <v>9256.5</v>
      </c>
    </row>
    <row r="483" spans="1:22" x14ac:dyDescent="0.25">
      <c r="A483">
        <v>30027</v>
      </c>
      <c r="B483" s="17" t="s">
        <v>35</v>
      </c>
      <c r="C483" s="45">
        <v>45597</v>
      </c>
      <c r="D483" s="46" t="s">
        <v>176</v>
      </c>
      <c r="E483" s="46" t="s">
        <v>42</v>
      </c>
      <c r="F483" s="64">
        <v>-1</v>
      </c>
      <c r="G483" s="49" t="s">
        <v>404</v>
      </c>
      <c r="H483" s="34" t="s">
        <v>395</v>
      </c>
      <c r="I483" s="28">
        <v>1530</v>
      </c>
      <c r="J483" t="s">
        <v>2</v>
      </c>
      <c r="K483" s="47">
        <v>6050</v>
      </c>
      <c r="L483" s="3" t="s">
        <v>1</v>
      </c>
      <c r="M483" s="33">
        <f t="shared" ref="M483:M484" si="683">IF(J483="mm",F483*I483/1000*K483*1.55,F483*I483*12*K483/1000)</f>
        <v>-14347.575000000001</v>
      </c>
      <c r="N483" s="2">
        <f>_xlfn.XLOOKUP(A483,'[1]Prix MP'!$A:$A,'[1]Prix MP'!$T:$T)</f>
        <v>0.30720851418225592</v>
      </c>
      <c r="O483" s="2">
        <f>_xlfn.XLOOKUP(A483,'[1]Prix MP'!$A:$A,'[1]Prix MP'!$U:$U)</f>
        <v>0.30720851418225592</v>
      </c>
      <c r="P483" s="11">
        <f t="shared" ref="P483:P484" si="684">M483*N483</f>
        <v>-4407.6971978684805</v>
      </c>
      <c r="Q483" s="7">
        <f t="shared" ref="Q483:Q484" si="685">M483*O483</f>
        <v>-4407.6971978684805</v>
      </c>
      <c r="R483" t="s">
        <v>198</v>
      </c>
      <c r="S483" s="1">
        <f t="shared" ref="S483:S484" si="686">ROUND(IF(E483="I",0,IF(J483="po",I483,I483/25.4)),2)</f>
        <v>0</v>
      </c>
      <c r="T483" s="33">
        <f t="shared" ref="T483:T484" si="687">ROUND(IF(E483="I",0,IF(J483="po",K483,K483*3.280839895)),0)</f>
        <v>0</v>
      </c>
      <c r="V483" s="8">
        <f t="shared" si="647"/>
        <v>9256.5</v>
      </c>
    </row>
    <row r="484" spans="1:22" x14ac:dyDescent="0.25">
      <c r="A484">
        <v>30027</v>
      </c>
      <c r="B484" s="17" t="s">
        <v>35</v>
      </c>
      <c r="C484" s="45">
        <v>45597</v>
      </c>
      <c r="D484" s="46" t="s">
        <v>373</v>
      </c>
      <c r="E484" s="46" t="s">
        <v>42</v>
      </c>
      <c r="F484" s="64">
        <v>1</v>
      </c>
      <c r="G484" s="49" t="s">
        <v>404</v>
      </c>
      <c r="H484" s="34" t="s">
        <v>405</v>
      </c>
      <c r="I484" s="28">
        <v>60.235999999999997</v>
      </c>
      <c r="J484" t="s">
        <v>36</v>
      </c>
      <c r="K484" s="47">
        <v>9800</v>
      </c>
      <c r="L484" s="3" t="s">
        <v>372</v>
      </c>
      <c r="M484" s="33">
        <f t="shared" si="683"/>
        <v>7083.7536</v>
      </c>
      <c r="N484" s="2">
        <f>_xlfn.XLOOKUP(A484,'[1]Prix MP'!$A:$A,'[1]Prix MP'!$T:$T)</f>
        <v>0.30720851418225592</v>
      </c>
      <c r="O484" s="2">
        <f>_xlfn.XLOOKUP(A484,'[1]Prix MP'!$A:$A,'[1]Prix MP'!$U:$U)</f>
        <v>0.30720851418225592</v>
      </c>
      <c r="P484" s="11">
        <f t="shared" si="684"/>
        <v>2176.1894182892065</v>
      </c>
      <c r="Q484" s="7">
        <f t="shared" si="685"/>
        <v>2176.1894182892065</v>
      </c>
      <c r="R484" t="s">
        <v>198</v>
      </c>
      <c r="S484" s="1">
        <f t="shared" si="686"/>
        <v>0</v>
      </c>
      <c r="T484" s="33">
        <f t="shared" si="687"/>
        <v>0</v>
      </c>
      <c r="V484" s="8" t="str">
        <f t="shared" si="647"/>
        <v/>
      </c>
    </row>
    <row r="485" spans="1:22" x14ac:dyDescent="0.25">
      <c r="A485">
        <v>30027</v>
      </c>
      <c r="B485" s="17" t="s">
        <v>35</v>
      </c>
      <c r="C485" s="45">
        <v>45600</v>
      </c>
      <c r="D485" s="46" t="s">
        <v>176</v>
      </c>
      <c r="E485" s="46" t="s">
        <v>42</v>
      </c>
      <c r="F485" s="64">
        <v>-1</v>
      </c>
      <c r="G485" s="49" t="s">
        <v>406</v>
      </c>
      <c r="H485" s="34" t="s">
        <v>405</v>
      </c>
      <c r="I485" s="28">
        <v>60.235999999999997</v>
      </c>
      <c r="J485" t="s">
        <v>36</v>
      </c>
      <c r="K485" s="47">
        <v>9800</v>
      </c>
      <c r="L485" s="3" t="s">
        <v>372</v>
      </c>
      <c r="M485" s="33">
        <f t="shared" ref="M485:M486" si="688">IF(J485="mm",F485*I485/1000*K485*1.55,F485*I485*12*K485/1000)</f>
        <v>-7083.7536</v>
      </c>
      <c r="N485" s="2">
        <f>_xlfn.XLOOKUP(A485,'[1]Prix MP'!$A:$A,'[1]Prix MP'!$T:$T)</f>
        <v>0.30720851418225592</v>
      </c>
      <c r="O485" s="2">
        <f>_xlfn.XLOOKUP(A485,'[1]Prix MP'!$A:$A,'[1]Prix MP'!$U:$U)</f>
        <v>0.30720851418225592</v>
      </c>
      <c r="P485" s="11">
        <f t="shared" ref="P485:P486" si="689">M485*N485</f>
        <v>-2176.1894182892065</v>
      </c>
      <c r="Q485" s="7">
        <f t="shared" ref="Q485:Q486" si="690">M485*O485</f>
        <v>-2176.1894182892065</v>
      </c>
      <c r="R485" t="s">
        <v>198</v>
      </c>
      <c r="S485" s="1">
        <f t="shared" ref="S485:S486" si="691">ROUND(IF(E485="I",0,IF(J485="po",I485,I485/25.4)),2)</f>
        <v>0</v>
      </c>
      <c r="T485" s="33">
        <f t="shared" ref="T485:T486" si="692">ROUND(IF(E485="I",0,IF(J485="po",K485,K485*3.280839895)),0)</f>
        <v>0</v>
      </c>
      <c r="V485" s="8" t="str">
        <f t="shared" si="647"/>
        <v/>
      </c>
    </row>
    <row r="486" spans="1:22" x14ac:dyDescent="0.25">
      <c r="A486">
        <v>30027</v>
      </c>
      <c r="B486" s="17" t="s">
        <v>35</v>
      </c>
      <c r="C486" s="45">
        <v>45600</v>
      </c>
      <c r="D486" s="46" t="s">
        <v>373</v>
      </c>
      <c r="E486" s="46" t="s">
        <v>42</v>
      </c>
      <c r="F486" s="64">
        <v>1</v>
      </c>
      <c r="G486" s="49" t="s">
        <v>406</v>
      </c>
      <c r="H486" s="34" t="s">
        <v>407</v>
      </c>
      <c r="I486" s="28">
        <v>60.235999999999997</v>
      </c>
      <c r="J486" t="s">
        <v>36</v>
      </c>
      <c r="K486" s="47">
        <v>4800</v>
      </c>
      <c r="L486" s="3" t="s">
        <v>372</v>
      </c>
      <c r="M486" s="33">
        <f t="shared" si="688"/>
        <v>3469.5936000000002</v>
      </c>
      <c r="N486" s="2">
        <f>_xlfn.XLOOKUP(A486,'[1]Prix MP'!$A:$A,'[1]Prix MP'!$T:$T)</f>
        <v>0.30720851418225592</v>
      </c>
      <c r="O486" s="2">
        <f>_xlfn.XLOOKUP(A486,'[1]Prix MP'!$A:$A,'[1]Prix MP'!$U:$U)</f>
        <v>0.30720851418225592</v>
      </c>
      <c r="P486" s="11">
        <f t="shared" si="689"/>
        <v>1065.8886946722644</v>
      </c>
      <c r="Q486" s="7">
        <f t="shared" si="690"/>
        <v>1065.8886946722644</v>
      </c>
      <c r="R486" t="s">
        <v>198</v>
      </c>
      <c r="S486" s="1">
        <f t="shared" si="691"/>
        <v>0</v>
      </c>
      <c r="T486" s="33">
        <f t="shared" si="692"/>
        <v>0</v>
      </c>
      <c r="V486" s="8" t="str">
        <f t="shared" si="647"/>
        <v/>
      </c>
    </row>
    <row r="487" spans="1:22" x14ac:dyDescent="0.25">
      <c r="A487">
        <v>30027</v>
      </c>
      <c r="B487" s="17" t="s">
        <v>35</v>
      </c>
      <c r="C487" s="45">
        <v>45600</v>
      </c>
      <c r="D487" s="46" t="s">
        <v>176</v>
      </c>
      <c r="E487" s="46" t="s">
        <v>42</v>
      </c>
      <c r="F487" s="64">
        <v>-1</v>
      </c>
      <c r="G487" s="49" t="s">
        <v>414</v>
      </c>
      <c r="H487" s="34" t="s">
        <v>407</v>
      </c>
      <c r="I487" s="28">
        <v>60.235999999999997</v>
      </c>
      <c r="J487" t="s">
        <v>36</v>
      </c>
      <c r="K487" s="47">
        <v>4800</v>
      </c>
      <c r="L487" s="3" t="s">
        <v>372</v>
      </c>
      <c r="M487" s="33">
        <f t="shared" ref="M487:M491" si="693">IF(J487="mm",F487*I487/1000*K487*1.55,F487*I487*12*K487/1000)</f>
        <v>-3469.5936000000002</v>
      </c>
      <c r="N487" s="2">
        <f>_xlfn.XLOOKUP(A487,'[1]Prix MP'!$A:$A,'[1]Prix MP'!$T:$T)</f>
        <v>0.30720851418225592</v>
      </c>
      <c r="O487" s="2">
        <f>_xlfn.XLOOKUP(A487,'[1]Prix MP'!$A:$A,'[1]Prix MP'!$U:$U)</f>
        <v>0.30720851418225592</v>
      </c>
      <c r="P487" s="11">
        <f t="shared" ref="P487:P491" si="694">M487*N487</f>
        <v>-1065.8886946722644</v>
      </c>
      <c r="Q487" s="7">
        <f t="shared" ref="Q487:Q491" si="695">M487*O487</f>
        <v>-1065.8886946722644</v>
      </c>
      <c r="R487" t="s">
        <v>198</v>
      </c>
      <c r="S487" s="1">
        <f t="shared" ref="S487:S491" si="696">ROUND(IF(E487="I",0,IF(J487="po",I487,I487/25.4)),2)</f>
        <v>0</v>
      </c>
      <c r="T487" s="33">
        <f t="shared" ref="T487:T491" si="697">ROUND(IF(E487="I",0,IF(J487="po",K487,K487*3.280839895)),0)</f>
        <v>0</v>
      </c>
      <c r="V487" s="8" t="str">
        <f t="shared" si="647"/>
        <v/>
      </c>
    </row>
    <row r="488" spans="1:22" x14ac:dyDescent="0.25">
      <c r="A488">
        <v>30027</v>
      </c>
      <c r="B488" s="17" t="s">
        <v>35</v>
      </c>
      <c r="C488" s="45">
        <v>45600</v>
      </c>
      <c r="D488" s="46" t="s">
        <v>373</v>
      </c>
      <c r="E488" s="46" t="s">
        <v>42</v>
      </c>
      <c r="F488" s="64">
        <v>1</v>
      </c>
      <c r="G488" s="49" t="s">
        <v>414</v>
      </c>
      <c r="H488" s="34" t="s">
        <v>415</v>
      </c>
      <c r="I488" s="28">
        <v>47</v>
      </c>
      <c r="J488" t="s">
        <v>36</v>
      </c>
      <c r="K488" s="47">
        <v>2000</v>
      </c>
      <c r="L488" s="3" t="s">
        <v>372</v>
      </c>
      <c r="M488" s="33">
        <f t="shared" si="693"/>
        <v>1128</v>
      </c>
      <c r="N488" s="2">
        <f>_xlfn.XLOOKUP(A488,'[1]Prix MP'!$A:$A,'[1]Prix MP'!$T:$T)</f>
        <v>0.30720851418225592</v>
      </c>
      <c r="O488" s="2">
        <f>_xlfn.XLOOKUP(A488,'[1]Prix MP'!$A:$A,'[1]Prix MP'!$U:$U)</f>
        <v>0.30720851418225592</v>
      </c>
      <c r="P488" s="11">
        <f t="shared" si="694"/>
        <v>346.53120399758467</v>
      </c>
      <c r="Q488" s="7">
        <f t="shared" si="695"/>
        <v>346.53120399758467</v>
      </c>
      <c r="R488" t="s">
        <v>198</v>
      </c>
      <c r="S488" s="1">
        <f t="shared" si="696"/>
        <v>0</v>
      </c>
      <c r="T488" s="33">
        <f t="shared" si="697"/>
        <v>0</v>
      </c>
      <c r="V488" s="8" t="str">
        <f t="shared" si="647"/>
        <v/>
      </c>
    </row>
    <row r="489" spans="1:22" x14ac:dyDescent="0.25">
      <c r="A489">
        <v>30027</v>
      </c>
      <c r="B489" s="17" t="s">
        <v>35</v>
      </c>
      <c r="C489" s="45">
        <v>45679</v>
      </c>
      <c r="D489" s="46" t="s">
        <v>176</v>
      </c>
      <c r="E489" s="46" t="s">
        <v>42</v>
      </c>
      <c r="F489" s="64">
        <v>-1</v>
      </c>
      <c r="G489" s="49" t="s">
        <v>685</v>
      </c>
      <c r="H489" s="34" t="s">
        <v>415</v>
      </c>
      <c r="I489" s="28">
        <v>47</v>
      </c>
      <c r="J489" t="s">
        <v>36</v>
      </c>
      <c r="K489" s="47">
        <v>2000</v>
      </c>
      <c r="L489" s="3" t="s">
        <v>372</v>
      </c>
      <c r="M489" s="33">
        <f>IF(J489="mm",F489*I489/1000*K489*1.55,F489*I489*12*K489/1000)</f>
        <v>-1128</v>
      </c>
      <c r="N489" s="2">
        <f>_xlfn.XLOOKUP(A489,'[1]Prix MP'!$A:$A,'[1]Prix MP'!$T:$T)</f>
        <v>0.30720851418225592</v>
      </c>
      <c r="O489" s="2">
        <f>_xlfn.XLOOKUP(A489,'[1]Prix MP'!$A:$A,'[1]Prix MP'!$U:$U)</f>
        <v>0.30720851418225592</v>
      </c>
      <c r="P489" s="11">
        <f>M489*N489</f>
        <v>-346.53120399758467</v>
      </c>
      <c r="Q489" s="7">
        <f t="shared" ref="Q489:Q490" si="698">M489*O489</f>
        <v>-346.53120399758467</v>
      </c>
      <c r="R489" t="s">
        <v>198</v>
      </c>
      <c r="S489" s="1">
        <f>ROUND(IF(E489="I",0,IF(J489="po",I489,I489/25.4)),2)</f>
        <v>0</v>
      </c>
      <c r="T489" s="33">
        <f>ROUND(IF(E489="I",0,IF(J489="po",K489,K489*3.280839895)),0)</f>
        <v>0</v>
      </c>
      <c r="V489" s="8"/>
    </row>
    <row r="490" spans="1:22" x14ac:dyDescent="0.25">
      <c r="A490">
        <v>30027</v>
      </c>
      <c r="B490" s="17" t="s">
        <v>35</v>
      </c>
      <c r="C490" s="45">
        <v>45679</v>
      </c>
      <c r="D490" s="46" t="s">
        <v>373</v>
      </c>
      <c r="E490" s="46" t="s">
        <v>41</v>
      </c>
      <c r="F490" s="64">
        <v>1</v>
      </c>
      <c r="G490" s="49" t="s">
        <v>685</v>
      </c>
      <c r="H490" s="34" t="s">
        <v>686</v>
      </c>
      <c r="I490" s="28">
        <v>40.5</v>
      </c>
      <c r="J490" t="s">
        <v>36</v>
      </c>
      <c r="K490" s="47">
        <v>1950</v>
      </c>
      <c r="L490" s="3" t="s">
        <v>372</v>
      </c>
      <c r="M490" s="33">
        <f>IF(J490="mm",F490*I490/1000*K490*1.55,F490*I490*12*K490/1000)</f>
        <v>947.7</v>
      </c>
      <c r="N490" s="2">
        <f>_xlfn.XLOOKUP(A490,'[1]Prix MP'!$A:$A,'[1]Prix MP'!$T:$T)</f>
        <v>0.30720851418225592</v>
      </c>
      <c r="O490" s="2">
        <f>_xlfn.XLOOKUP(A490,'[1]Prix MP'!$A:$A,'[1]Prix MP'!$U:$U)</f>
        <v>0.30720851418225592</v>
      </c>
      <c r="P490" s="11">
        <f>M490*N490</f>
        <v>291.14150889052394</v>
      </c>
      <c r="Q490" s="7">
        <f t="shared" si="698"/>
        <v>291.14150889052394</v>
      </c>
      <c r="R490" t="s">
        <v>198</v>
      </c>
      <c r="S490" s="1">
        <f>ROUND(IF(E490="I",0,IF(J490="po",I490,I490/25.4)),2)</f>
        <v>40.5</v>
      </c>
      <c r="T490" s="33">
        <f>ROUND(IF(E490="I",0,IF(J490="po",K490,K490*3.280839895)),0)</f>
        <v>1950</v>
      </c>
      <c r="V490" s="8"/>
    </row>
    <row r="491" spans="1:22" x14ac:dyDescent="0.25">
      <c r="A491">
        <v>30027</v>
      </c>
      <c r="B491" s="17" t="s">
        <v>35</v>
      </c>
      <c r="C491" s="45">
        <v>45600</v>
      </c>
      <c r="D491" s="46" t="s">
        <v>373</v>
      </c>
      <c r="E491" s="46" t="s">
        <v>41</v>
      </c>
      <c r="F491" s="64">
        <v>1</v>
      </c>
      <c r="G491" s="49" t="s">
        <v>414</v>
      </c>
      <c r="H491" s="34" t="s">
        <v>416</v>
      </c>
      <c r="I491" s="28">
        <v>60.235999999999997</v>
      </c>
      <c r="J491" t="s">
        <v>36</v>
      </c>
      <c r="K491" s="47">
        <v>2750</v>
      </c>
      <c r="L491" s="3" t="s">
        <v>372</v>
      </c>
      <c r="M491" s="33">
        <f t="shared" si="693"/>
        <v>1987.788</v>
      </c>
      <c r="N491" s="2">
        <f>_xlfn.XLOOKUP(A491,'[1]Prix MP'!$A:$A,'[1]Prix MP'!$T:$T)</f>
        <v>0.30720851418225592</v>
      </c>
      <c r="O491" s="2">
        <f>_xlfn.XLOOKUP(A491,'[1]Prix MP'!$A:$A,'[1]Prix MP'!$U:$U)</f>
        <v>0.30720851418225592</v>
      </c>
      <c r="P491" s="11">
        <f t="shared" si="694"/>
        <v>610.66539798931808</v>
      </c>
      <c r="Q491" s="7">
        <f t="shared" si="695"/>
        <v>610.66539798931808</v>
      </c>
      <c r="R491" t="s">
        <v>198</v>
      </c>
      <c r="S491" s="1">
        <f t="shared" si="696"/>
        <v>60.24</v>
      </c>
      <c r="T491" s="33">
        <f t="shared" si="697"/>
        <v>2750</v>
      </c>
      <c r="V491" s="8" t="str">
        <f t="shared" si="647"/>
        <v/>
      </c>
    </row>
    <row r="492" spans="1:22" x14ac:dyDescent="0.25">
      <c r="A492">
        <v>30027</v>
      </c>
      <c r="B492" s="17" t="s">
        <v>35</v>
      </c>
      <c r="C492" s="45">
        <v>45597</v>
      </c>
      <c r="D492" s="46" t="s">
        <v>37</v>
      </c>
      <c r="E492" s="46" t="s">
        <v>42</v>
      </c>
      <c r="F492" s="64">
        <v>1</v>
      </c>
      <c r="G492" s="49"/>
      <c r="H492" s="34" t="s">
        <v>396</v>
      </c>
      <c r="I492" s="28">
        <v>1530</v>
      </c>
      <c r="J492" t="s">
        <v>2</v>
      </c>
      <c r="K492" s="47">
        <v>6050</v>
      </c>
      <c r="L492" s="3" t="s">
        <v>1</v>
      </c>
      <c r="M492" s="33">
        <f t="shared" si="637"/>
        <v>14347.575000000001</v>
      </c>
      <c r="N492" s="2">
        <f>_xlfn.XLOOKUP(A492,'[1]Prix MP'!$A:$A,'[1]Prix MP'!$T:$T)</f>
        <v>0.30720851418225592</v>
      </c>
      <c r="O492" s="2">
        <f>_xlfn.XLOOKUP(A492,'[1]Prix MP'!$A:$A,'[1]Prix MP'!$U:$U)</f>
        <v>0.30720851418225592</v>
      </c>
      <c r="P492" s="11">
        <f t="shared" si="638"/>
        <v>4407.6971978684805</v>
      </c>
      <c r="Q492" s="7">
        <f t="shared" ref="Q492:Q520" si="699">M492*O492</f>
        <v>4407.6971978684805</v>
      </c>
      <c r="R492" t="s">
        <v>198</v>
      </c>
      <c r="S492" s="1">
        <f t="shared" si="639"/>
        <v>0</v>
      </c>
      <c r="T492" s="33">
        <f t="shared" si="640"/>
        <v>0</v>
      </c>
      <c r="V492" s="8">
        <f t="shared" si="647"/>
        <v>9256.5</v>
      </c>
    </row>
    <row r="493" spans="1:22" x14ac:dyDescent="0.25">
      <c r="A493">
        <v>30027</v>
      </c>
      <c r="B493" s="17" t="s">
        <v>35</v>
      </c>
      <c r="C493" s="45">
        <v>45597</v>
      </c>
      <c r="D493" s="46" t="s">
        <v>176</v>
      </c>
      <c r="E493" s="46" t="s">
        <v>42</v>
      </c>
      <c r="F493" s="64">
        <v>-1</v>
      </c>
      <c r="G493" s="49" t="s">
        <v>402</v>
      </c>
      <c r="H493" s="34" t="s">
        <v>396</v>
      </c>
      <c r="I493" s="28">
        <v>1530</v>
      </c>
      <c r="J493" t="s">
        <v>2</v>
      </c>
      <c r="K493" s="47">
        <v>6050</v>
      </c>
      <c r="L493" s="3" t="s">
        <v>1</v>
      </c>
      <c r="M493" s="33">
        <f>IF(J493="mm",F493*I493/1000*K493*1.55,F493*I493*12*K493/1000)</f>
        <v>-14347.575000000001</v>
      </c>
      <c r="N493" s="2">
        <f>_xlfn.XLOOKUP(A493,'[1]Prix MP'!$A:$A,'[1]Prix MP'!$T:$T)</f>
        <v>0.30720851418225592</v>
      </c>
      <c r="O493" s="2">
        <f>_xlfn.XLOOKUP(A493,'[1]Prix MP'!$A:$A,'[1]Prix MP'!$U:$U)</f>
        <v>0.30720851418225592</v>
      </c>
      <c r="P493" s="11">
        <f>M493*N493</f>
        <v>-4407.6971978684805</v>
      </c>
      <c r="Q493" s="7">
        <f t="shared" ref="Q493" si="700">M493*O493</f>
        <v>-4407.6971978684805</v>
      </c>
      <c r="R493" t="s">
        <v>198</v>
      </c>
      <c r="S493" s="1">
        <f>ROUND(IF(E493="I",0,IF(J493="po",I493,I493/25.4)),2)</f>
        <v>0</v>
      </c>
      <c r="T493" s="33">
        <f>ROUND(IF(E493="I",0,IF(J493="po",K493,K493*3.280839895)),0)</f>
        <v>0</v>
      </c>
      <c r="V493" s="8">
        <f t="shared" si="647"/>
        <v>9256.5</v>
      </c>
    </row>
    <row r="494" spans="1:22" x14ac:dyDescent="0.25">
      <c r="A494">
        <v>30027</v>
      </c>
      <c r="B494" s="17" t="s">
        <v>35</v>
      </c>
      <c r="C494" s="45">
        <v>45597</v>
      </c>
      <c r="D494" s="46" t="s">
        <v>373</v>
      </c>
      <c r="E494" s="46" t="s">
        <v>42</v>
      </c>
      <c r="F494" s="64">
        <v>1</v>
      </c>
      <c r="G494" s="49" t="s">
        <v>402</v>
      </c>
      <c r="H494" s="34" t="s">
        <v>403</v>
      </c>
      <c r="I494" s="28">
        <v>60.235999999999997</v>
      </c>
      <c r="J494" t="s">
        <v>36</v>
      </c>
      <c r="K494" s="47">
        <v>4900</v>
      </c>
      <c r="L494" s="3" t="s">
        <v>372</v>
      </c>
      <c r="M494" s="33">
        <f>IF(J494="mm",F494*I494/1000*K494*1.55,F494*I494*12*K494/1000)</f>
        <v>3541.8768</v>
      </c>
      <c r="N494" s="2">
        <f>_xlfn.XLOOKUP(A494,'[1]Prix MP'!$A:$A,'[1]Prix MP'!$T:$T)</f>
        <v>0.30720851418225592</v>
      </c>
      <c r="O494" s="2">
        <f>_xlfn.XLOOKUP(A494,'[1]Prix MP'!$A:$A,'[1]Prix MP'!$U:$U)</f>
        <v>0.30720851418225592</v>
      </c>
      <c r="P494" s="11">
        <f>M494*N494</f>
        <v>1088.0947091446033</v>
      </c>
      <c r="Q494" s="7">
        <f t="shared" ref="Q494" si="701">M494*O494</f>
        <v>1088.0947091446033</v>
      </c>
      <c r="R494" t="s">
        <v>198</v>
      </c>
      <c r="S494" s="1">
        <f>ROUND(IF(E494="I",0,IF(J494="po",I494,I494/25.4)),2)</f>
        <v>0</v>
      </c>
      <c r="T494" s="33">
        <f>ROUND(IF(E494="I",0,IF(J494="po",K494,K494*3.280839895)),0)</f>
        <v>0</v>
      </c>
      <c r="V494" s="8" t="str">
        <f t="shared" si="647"/>
        <v/>
      </c>
    </row>
    <row r="495" spans="1:22" x14ac:dyDescent="0.25">
      <c r="A495">
        <v>30027</v>
      </c>
      <c r="B495" s="17" t="s">
        <v>35</v>
      </c>
      <c r="C495" s="45">
        <v>45597</v>
      </c>
      <c r="D495" s="46" t="s">
        <v>176</v>
      </c>
      <c r="E495" s="46" t="s">
        <v>42</v>
      </c>
      <c r="F495" s="64">
        <v>-1</v>
      </c>
      <c r="G495" s="49" t="s">
        <v>404</v>
      </c>
      <c r="H495" s="34" t="s">
        <v>403</v>
      </c>
      <c r="I495" s="28">
        <v>60.235999999999997</v>
      </c>
      <c r="J495" t="s">
        <v>36</v>
      </c>
      <c r="K495" s="47">
        <v>4900</v>
      </c>
      <c r="L495" s="3" t="s">
        <v>372</v>
      </c>
      <c r="M495" s="33">
        <f>IF(J495="mm",F495*I495/1000*K495*1.55,F495*I495*12*K495/1000)</f>
        <v>-3541.8768</v>
      </c>
      <c r="N495" s="2">
        <f>_xlfn.XLOOKUP(A495,'[1]Prix MP'!$A:$A,'[1]Prix MP'!$T:$T)</f>
        <v>0.30720851418225592</v>
      </c>
      <c r="O495" s="2">
        <f>_xlfn.XLOOKUP(A495,'[1]Prix MP'!$A:$A,'[1]Prix MP'!$U:$U)</f>
        <v>0.30720851418225592</v>
      </c>
      <c r="P495" s="11">
        <f>M495*N495</f>
        <v>-1088.0947091446033</v>
      </c>
      <c r="Q495" s="7">
        <f t="shared" ref="Q495" si="702">M495*O495</f>
        <v>-1088.0947091446033</v>
      </c>
      <c r="R495" t="s">
        <v>198</v>
      </c>
      <c r="S495" s="1">
        <f>ROUND(IF(E495="I",0,IF(J495="po",I495,I495/25.4)),2)</f>
        <v>0</v>
      </c>
      <c r="T495" s="33">
        <f>ROUND(IF(E495="I",0,IF(J495="po",K495,K495*3.280839895)),0)</f>
        <v>0</v>
      </c>
      <c r="V495" s="8" t="str">
        <f t="shared" si="647"/>
        <v/>
      </c>
    </row>
    <row r="496" spans="1:22" x14ac:dyDescent="0.25">
      <c r="A496" s="107">
        <v>30029</v>
      </c>
      <c r="B496" s="105" t="s">
        <v>397</v>
      </c>
      <c r="C496" s="45">
        <v>45597</v>
      </c>
      <c r="D496" s="46" t="s">
        <v>37</v>
      </c>
      <c r="E496" s="46" t="s">
        <v>42</v>
      </c>
      <c r="F496" s="64">
        <v>1</v>
      </c>
      <c r="G496" s="49"/>
      <c r="H496" s="34" t="s">
        <v>398</v>
      </c>
      <c r="I496" s="28">
        <v>1530</v>
      </c>
      <c r="J496" t="s">
        <v>2</v>
      </c>
      <c r="K496" s="47">
        <v>3600</v>
      </c>
      <c r="L496" s="3" t="s">
        <v>1</v>
      </c>
      <c r="M496" s="33">
        <f t="shared" si="637"/>
        <v>8537.4</v>
      </c>
      <c r="N496" s="2">
        <f>_xlfn.XLOOKUP(A496,'[1]Prix MP'!$A:$A,'[1]Prix MP'!$T:$T)</f>
        <v>0.28523593353709464</v>
      </c>
      <c r="O496" s="2">
        <f>_xlfn.XLOOKUP(A496,'[1]Prix MP'!$A:$A,'[1]Prix MP'!$U:$U)</f>
        <v>0.28523593353709464</v>
      </c>
      <c r="P496" s="11">
        <f t="shared" si="638"/>
        <v>2435.1732589795915</v>
      </c>
      <c r="Q496" s="7">
        <f t="shared" si="699"/>
        <v>2435.1732589795915</v>
      </c>
      <c r="R496" t="s">
        <v>206</v>
      </c>
      <c r="S496" s="1">
        <f t="shared" si="639"/>
        <v>0</v>
      </c>
      <c r="T496" s="33">
        <f t="shared" si="640"/>
        <v>0</v>
      </c>
      <c r="V496" s="8">
        <f t="shared" si="647"/>
        <v>5508</v>
      </c>
    </row>
    <row r="497" spans="1:22" x14ac:dyDescent="0.25">
      <c r="A497" s="107">
        <v>30029</v>
      </c>
      <c r="B497" s="105" t="s">
        <v>397</v>
      </c>
      <c r="C497" s="45">
        <v>45681</v>
      </c>
      <c r="D497" s="46" t="s">
        <v>176</v>
      </c>
      <c r="E497" s="46" t="s">
        <v>42</v>
      </c>
      <c r="F497" s="64">
        <v>-1</v>
      </c>
      <c r="G497" s="49" t="s">
        <v>689</v>
      </c>
      <c r="H497" s="34" t="s">
        <v>398</v>
      </c>
      <c r="I497" s="28">
        <v>1530</v>
      </c>
      <c r="J497" t="s">
        <v>2</v>
      </c>
      <c r="K497" s="47">
        <v>3600</v>
      </c>
      <c r="L497" s="3" t="s">
        <v>1</v>
      </c>
      <c r="M497" s="33">
        <f t="shared" ref="M497" si="703">IF(J497="mm",F497*I497/1000*K497*1.55,F497*I497*12*K497/1000)</f>
        <v>-8537.4</v>
      </c>
      <c r="N497" s="2">
        <f>_xlfn.XLOOKUP(A497,'[1]Prix MP'!$A:$A,'[1]Prix MP'!$T:$T)</f>
        <v>0.28523593353709464</v>
      </c>
      <c r="O497" s="2">
        <f>_xlfn.XLOOKUP(A497,'[1]Prix MP'!$A:$A,'[1]Prix MP'!$U:$U)</f>
        <v>0.28523593353709464</v>
      </c>
      <c r="P497" s="11">
        <f t="shared" ref="P497" si="704">M497*N497</f>
        <v>-2435.1732589795915</v>
      </c>
      <c r="Q497" s="7">
        <f t="shared" ref="Q497" si="705">M497*O497</f>
        <v>-2435.1732589795915</v>
      </c>
      <c r="R497" t="s">
        <v>206</v>
      </c>
      <c r="S497" s="1">
        <f>ROUND(IF(E497="I",0,IF(J497="po",I497,I497/25.4)),2)</f>
        <v>0</v>
      </c>
      <c r="T497" s="33">
        <f>ROUND(IF(E497="I",0,IF(J497="po",K497,K497*3.280839895)),0)</f>
        <v>0</v>
      </c>
      <c r="V497" s="8"/>
    </row>
    <row r="498" spans="1:22" x14ac:dyDescent="0.25">
      <c r="A498" s="107">
        <v>30029</v>
      </c>
      <c r="B498" s="105" t="s">
        <v>397</v>
      </c>
      <c r="C498" s="45">
        <v>45597</v>
      </c>
      <c r="D498" s="46" t="s">
        <v>37</v>
      </c>
      <c r="E498" s="46" t="s">
        <v>42</v>
      </c>
      <c r="F498" s="64">
        <v>1</v>
      </c>
      <c r="G498" s="49"/>
      <c r="H498" s="34" t="s">
        <v>399</v>
      </c>
      <c r="I498" s="28">
        <v>1530</v>
      </c>
      <c r="J498" t="s">
        <v>2</v>
      </c>
      <c r="K498" s="47">
        <v>5950</v>
      </c>
      <c r="L498" s="3" t="s">
        <v>1</v>
      </c>
      <c r="M498" s="33">
        <f t="shared" si="637"/>
        <v>14110.425000000001</v>
      </c>
      <c r="N498" s="2">
        <f>_xlfn.XLOOKUP(A498,'[1]Prix MP'!$A:$A,'[1]Prix MP'!$T:$T)</f>
        <v>0.28523593353709464</v>
      </c>
      <c r="O498" s="2">
        <f>_xlfn.XLOOKUP(A498,'[1]Prix MP'!$A:$A,'[1]Prix MP'!$U:$U)</f>
        <v>0.28523593353709464</v>
      </c>
      <c r="P498" s="11">
        <f t="shared" si="638"/>
        <v>4024.8002474801592</v>
      </c>
      <c r="Q498" s="7">
        <f t="shared" si="699"/>
        <v>4024.8002474801592</v>
      </c>
      <c r="R498" t="s">
        <v>206</v>
      </c>
      <c r="S498" s="1">
        <f t="shared" si="639"/>
        <v>0</v>
      </c>
      <c r="T498" s="33">
        <f t="shared" si="640"/>
        <v>0</v>
      </c>
      <c r="V498" s="8">
        <f t="shared" si="647"/>
        <v>9103.5</v>
      </c>
    </row>
    <row r="499" spans="1:22" x14ac:dyDescent="0.25">
      <c r="A499" s="107">
        <v>30029</v>
      </c>
      <c r="B499" s="105" t="s">
        <v>397</v>
      </c>
      <c r="C499" s="45">
        <v>45681</v>
      </c>
      <c r="D499" s="46" t="s">
        <v>176</v>
      </c>
      <c r="E499" s="46" t="s">
        <v>42</v>
      </c>
      <c r="F499" s="64">
        <v>-1</v>
      </c>
      <c r="G499" s="49" t="s">
        <v>689</v>
      </c>
      <c r="H499" s="34" t="s">
        <v>399</v>
      </c>
      <c r="I499" s="28">
        <v>1530</v>
      </c>
      <c r="J499" t="s">
        <v>2</v>
      </c>
      <c r="K499" s="47">
        <v>5950</v>
      </c>
      <c r="L499" s="3" t="s">
        <v>1</v>
      </c>
      <c r="M499" s="33">
        <f t="shared" ref="M499" si="706">IF(J499="mm",F499*I499/1000*K499*1.55,F499*I499*12*K499/1000)</f>
        <v>-14110.425000000001</v>
      </c>
      <c r="N499" s="2">
        <f>_xlfn.XLOOKUP(A499,'[1]Prix MP'!$A:$A,'[1]Prix MP'!$T:$T)</f>
        <v>0.28523593353709464</v>
      </c>
      <c r="O499" s="2">
        <f>_xlfn.XLOOKUP(A499,'[1]Prix MP'!$A:$A,'[1]Prix MP'!$U:$U)</f>
        <v>0.28523593353709464</v>
      </c>
      <c r="P499" s="11">
        <f t="shared" ref="P499" si="707">M499*N499</f>
        <v>-4024.8002474801592</v>
      </c>
      <c r="Q499" s="7">
        <f t="shared" ref="Q499" si="708">M499*O499</f>
        <v>-4024.8002474801592</v>
      </c>
      <c r="R499" t="s">
        <v>206</v>
      </c>
      <c r="S499" s="1">
        <f>ROUND(IF(E499="I",0,IF(J499="po",I499,I499/25.4)),2)</f>
        <v>0</v>
      </c>
      <c r="T499" s="33">
        <f>ROUND(IF(E499="I",0,IF(J499="po",K499,K499*3.280839895)),0)</f>
        <v>0</v>
      </c>
      <c r="V499" s="8"/>
    </row>
    <row r="500" spans="1:22" x14ac:dyDescent="0.25">
      <c r="A500" s="107">
        <v>30029</v>
      </c>
      <c r="B500" s="105" t="s">
        <v>397</v>
      </c>
      <c r="C500" s="45">
        <v>45597</v>
      </c>
      <c r="D500" s="46" t="s">
        <v>37</v>
      </c>
      <c r="E500" s="46" t="s">
        <v>42</v>
      </c>
      <c r="F500" s="64">
        <v>1</v>
      </c>
      <c r="G500" s="49"/>
      <c r="H500" s="34" t="s">
        <v>400</v>
      </c>
      <c r="I500" s="28">
        <v>1530</v>
      </c>
      <c r="J500" t="s">
        <v>2</v>
      </c>
      <c r="K500" s="47">
        <v>5970</v>
      </c>
      <c r="L500" s="3" t="s">
        <v>1</v>
      </c>
      <c r="M500" s="33">
        <f t="shared" si="637"/>
        <v>14157.855000000001</v>
      </c>
      <c r="N500" s="2">
        <f>_xlfn.XLOOKUP(A500,'[1]Prix MP'!$A:$A,'[1]Prix MP'!$T:$T)</f>
        <v>0.28523593353709464</v>
      </c>
      <c r="O500" s="2">
        <f>_xlfn.XLOOKUP(A500,'[1]Prix MP'!$A:$A,'[1]Prix MP'!$U:$U)</f>
        <v>0.28523593353709464</v>
      </c>
      <c r="P500" s="11">
        <f t="shared" si="638"/>
        <v>4038.3289878078235</v>
      </c>
      <c r="Q500" s="7">
        <f t="shared" si="699"/>
        <v>4038.3289878078235</v>
      </c>
      <c r="R500" t="s">
        <v>206</v>
      </c>
      <c r="S500" s="1">
        <f t="shared" si="639"/>
        <v>0</v>
      </c>
      <c r="T500" s="33">
        <f t="shared" si="640"/>
        <v>0</v>
      </c>
      <c r="V500" s="8">
        <f t="shared" si="647"/>
        <v>9134.1</v>
      </c>
    </row>
    <row r="501" spans="1:22" x14ac:dyDescent="0.25">
      <c r="A501" s="107">
        <v>30029</v>
      </c>
      <c r="B501" s="105" t="s">
        <v>397</v>
      </c>
      <c r="C501" s="45">
        <v>45628</v>
      </c>
      <c r="D501" s="46" t="s">
        <v>176</v>
      </c>
      <c r="E501" s="46" t="s">
        <v>42</v>
      </c>
      <c r="F501" s="64">
        <v>-1</v>
      </c>
      <c r="G501" s="49" t="s">
        <v>504</v>
      </c>
      <c r="H501" s="34" t="s">
        <v>400</v>
      </c>
      <c r="I501" s="28">
        <v>1530</v>
      </c>
      <c r="J501" t="s">
        <v>2</v>
      </c>
      <c r="K501" s="47">
        <v>5970</v>
      </c>
      <c r="L501" s="3" t="s">
        <v>1</v>
      </c>
      <c r="M501" s="33">
        <f t="shared" ref="M501:M518" si="709">IF(J501="mm",F501*I501/1000*K501*1.55,F501*I501*12*K501/1000)</f>
        <v>-14157.855000000001</v>
      </c>
      <c r="N501" s="2">
        <f>_xlfn.XLOOKUP(A501,'[1]Prix MP'!$A:$A,'[1]Prix MP'!$T:$T)</f>
        <v>0.28523593353709464</v>
      </c>
      <c r="O501" s="2">
        <f>_xlfn.XLOOKUP(A501,'[1]Prix MP'!$A:$A,'[1]Prix MP'!$U:$U)</f>
        <v>0.28523593353709464</v>
      </c>
      <c r="P501" s="11">
        <f t="shared" ref="P501:P518" si="710">M501*N501</f>
        <v>-4038.3289878078235</v>
      </c>
      <c r="Q501" s="7">
        <f t="shared" ref="Q501:Q518" si="711">M501*O501</f>
        <v>-4038.3289878078235</v>
      </c>
      <c r="R501" t="s">
        <v>206</v>
      </c>
      <c r="S501" s="1">
        <f t="shared" ref="S501:S518" si="712">ROUND(IF(E501="I",0,IF(J501="po",I501,I501/25.4)),2)</f>
        <v>0</v>
      </c>
      <c r="T501" s="33">
        <f t="shared" ref="T501:T518" si="713">ROUND(IF(E501="I",0,IF(J501="po",K501,K501*3.280839895)),0)</f>
        <v>0</v>
      </c>
      <c r="V501" s="8"/>
    </row>
    <row r="502" spans="1:22" x14ac:dyDescent="0.25">
      <c r="A502" s="107">
        <v>30029</v>
      </c>
      <c r="B502" s="105" t="s">
        <v>397</v>
      </c>
      <c r="C502" s="45">
        <v>45628</v>
      </c>
      <c r="D502" s="46" t="s">
        <v>373</v>
      </c>
      <c r="E502" s="46" t="s">
        <v>41</v>
      </c>
      <c r="F502" s="64">
        <v>1</v>
      </c>
      <c r="G502" s="49" t="s">
        <v>504</v>
      </c>
      <c r="H502" s="34" t="s">
        <v>505</v>
      </c>
      <c r="I502" s="28">
        <v>7.5</v>
      </c>
      <c r="J502" t="s">
        <v>36</v>
      </c>
      <c r="K502" s="47">
        <v>4800</v>
      </c>
      <c r="L502" s="3" t="s">
        <v>372</v>
      </c>
      <c r="M502" s="33">
        <f t="shared" si="709"/>
        <v>432</v>
      </c>
      <c r="N502" s="2">
        <f>_xlfn.XLOOKUP(A502,'[1]Prix MP'!$A:$A,'[1]Prix MP'!$T:$T)</f>
        <v>0.28523593353709464</v>
      </c>
      <c r="O502" s="2">
        <f>_xlfn.XLOOKUP(A502,'[1]Prix MP'!$A:$A,'[1]Prix MP'!$U:$U)</f>
        <v>0.28523593353709464</v>
      </c>
      <c r="P502" s="11">
        <f t="shared" si="710"/>
        <v>123.22192328802488</v>
      </c>
      <c r="Q502" s="7">
        <f t="shared" si="711"/>
        <v>123.22192328802488</v>
      </c>
      <c r="R502" t="s">
        <v>206</v>
      </c>
      <c r="S502" s="1">
        <f t="shared" si="712"/>
        <v>7.5</v>
      </c>
      <c r="T502" s="33">
        <f t="shared" si="713"/>
        <v>4800</v>
      </c>
      <c r="V502" s="8"/>
    </row>
    <row r="503" spans="1:22" x14ac:dyDescent="0.25">
      <c r="A503" s="107">
        <v>30029</v>
      </c>
      <c r="B503" s="105" t="s">
        <v>397</v>
      </c>
      <c r="C503" s="45">
        <v>45628</v>
      </c>
      <c r="D503" s="46" t="s">
        <v>373</v>
      </c>
      <c r="E503" s="46" t="s">
        <v>41</v>
      </c>
      <c r="F503" s="64">
        <v>1</v>
      </c>
      <c r="G503" s="49" t="s">
        <v>504</v>
      </c>
      <c r="H503" s="34" t="s">
        <v>566</v>
      </c>
      <c r="I503" s="28">
        <v>8.75</v>
      </c>
      <c r="J503" t="s">
        <v>36</v>
      </c>
      <c r="K503" s="47">
        <v>4800</v>
      </c>
      <c r="L503" s="3" t="s">
        <v>372</v>
      </c>
      <c r="M503" s="33">
        <f t="shared" ref="M503:M507" si="714">IF(J503="mm",F503*I503/1000*K503*1.55,F503*I503*12*K503/1000)</f>
        <v>504</v>
      </c>
      <c r="N503" s="2">
        <f>_xlfn.XLOOKUP(A503,'[1]Prix MP'!$A:$A,'[1]Prix MP'!$T:$T)</f>
        <v>0.28523593353709464</v>
      </c>
      <c r="O503" s="2">
        <f>_xlfn.XLOOKUP(A503,'[1]Prix MP'!$A:$A,'[1]Prix MP'!$U:$U)</f>
        <v>0.28523593353709464</v>
      </c>
      <c r="P503" s="11">
        <f t="shared" ref="P503:P507" si="715">M503*N503</f>
        <v>143.7589105026957</v>
      </c>
      <c r="Q503" s="7">
        <f t="shared" ref="Q503:Q508" si="716">M503*O503</f>
        <v>143.7589105026957</v>
      </c>
      <c r="R503" t="s">
        <v>206</v>
      </c>
      <c r="S503" s="1">
        <f t="shared" ref="S503:S507" si="717">ROUND(IF(E503="I",0,IF(J503="po",I503,I503/25.4)),2)</f>
        <v>8.75</v>
      </c>
      <c r="T503" s="33">
        <f t="shared" ref="T503:T507" si="718">ROUND(IF(E503="I",0,IF(J503="po",K503,K503*3.280839895)),0)</f>
        <v>4800</v>
      </c>
      <c r="V503" s="8"/>
    </row>
    <row r="504" spans="1:22" x14ac:dyDescent="0.25">
      <c r="A504" s="107">
        <v>30029</v>
      </c>
      <c r="B504" s="17" t="s">
        <v>397</v>
      </c>
      <c r="C504" s="45">
        <v>45628</v>
      </c>
      <c r="D504" s="46" t="s">
        <v>373</v>
      </c>
      <c r="E504" s="46" t="s">
        <v>41</v>
      </c>
      <c r="F504" s="64">
        <v>1</v>
      </c>
      <c r="G504" s="49" t="s">
        <v>504</v>
      </c>
      <c r="H504" s="34" t="s">
        <v>567</v>
      </c>
      <c r="I504" s="28">
        <v>8.75</v>
      </c>
      <c r="J504" t="s">
        <v>36</v>
      </c>
      <c r="K504" s="47">
        <v>4800</v>
      </c>
      <c r="L504" s="3" t="s">
        <v>372</v>
      </c>
      <c r="M504" s="33">
        <f t="shared" si="714"/>
        <v>504</v>
      </c>
      <c r="N504" s="2">
        <f>_xlfn.XLOOKUP(A504,'[1]Prix MP'!$A:$A,'[1]Prix MP'!$T:$T)</f>
        <v>0.28523593353709464</v>
      </c>
      <c r="O504" s="2">
        <f>_xlfn.XLOOKUP(A504,'[1]Prix MP'!$A:$A,'[1]Prix MP'!$U:$U)</f>
        <v>0.28523593353709464</v>
      </c>
      <c r="P504" s="11">
        <f t="shared" si="715"/>
        <v>143.7589105026957</v>
      </c>
      <c r="Q504" s="7">
        <f t="shared" si="716"/>
        <v>143.7589105026957</v>
      </c>
      <c r="R504" t="s">
        <v>206</v>
      </c>
      <c r="S504" s="1">
        <f t="shared" si="717"/>
        <v>8.75</v>
      </c>
      <c r="T504" s="33">
        <f t="shared" si="718"/>
        <v>4800</v>
      </c>
      <c r="V504" s="8"/>
    </row>
    <row r="505" spans="1:22" x14ac:dyDescent="0.25">
      <c r="A505" s="107">
        <v>30029</v>
      </c>
      <c r="B505" s="17" t="s">
        <v>397</v>
      </c>
      <c r="C505" s="45">
        <v>45628</v>
      </c>
      <c r="D505" s="46" t="s">
        <v>373</v>
      </c>
      <c r="E505" s="46" t="s">
        <v>41</v>
      </c>
      <c r="F505" s="64">
        <v>1</v>
      </c>
      <c r="G505" s="49" t="s">
        <v>504</v>
      </c>
      <c r="H505" s="34" t="s">
        <v>568</v>
      </c>
      <c r="I505" s="28">
        <v>8.75</v>
      </c>
      <c r="J505" t="s">
        <v>36</v>
      </c>
      <c r="K505" s="47">
        <v>4800</v>
      </c>
      <c r="L505" s="3" t="s">
        <v>372</v>
      </c>
      <c r="M505" s="33">
        <f t="shared" si="714"/>
        <v>504</v>
      </c>
      <c r="N505" s="2">
        <f>_xlfn.XLOOKUP(A505,'[1]Prix MP'!$A:$A,'[1]Prix MP'!$T:$T)</f>
        <v>0.28523593353709464</v>
      </c>
      <c r="O505" s="2">
        <f>_xlfn.XLOOKUP(A505,'[1]Prix MP'!$A:$A,'[1]Prix MP'!$U:$U)</f>
        <v>0.28523593353709464</v>
      </c>
      <c r="P505" s="11">
        <f t="shared" si="715"/>
        <v>143.7589105026957</v>
      </c>
      <c r="Q505" s="7">
        <f t="shared" si="716"/>
        <v>143.7589105026957</v>
      </c>
      <c r="R505" t="s">
        <v>206</v>
      </c>
      <c r="S505" s="1">
        <f t="shared" si="717"/>
        <v>8.75</v>
      </c>
      <c r="T505" s="33">
        <f t="shared" si="718"/>
        <v>4800</v>
      </c>
      <c r="V505" s="8"/>
    </row>
    <row r="506" spans="1:22" x14ac:dyDescent="0.25">
      <c r="A506" s="107">
        <v>30029</v>
      </c>
      <c r="B506" s="17" t="s">
        <v>397</v>
      </c>
      <c r="C506" s="45">
        <v>45628</v>
      </c>
      <c r="D506" s="46" t="s">
        <v>373</v>
      </c>
      <c r="E506" s="46" t="s">
        <v>41</v>
      </c>
      <c r="F506" s="64">
        <v>1</v>
      </c>
      <c r="G506" s="49" t="s">
        <v>504</v>
      </c>
      <c r="H506" s="34" t="s">
        <v>569</v>
      </c>
      <c r="I506" s="28">
        <v>8.75</v>
      </c>
      <c r="J506" t="s">
        <v>36</v>
      </c>
      <c r="K506" s="47">
        <v>4800</v>
      </c>
      <c r="L506" s="3" t="s">
        <v>372</v>
      </c>
      <c r="M506" s="33">
        <f t="shared" si="714"/>
        <v>504</v>
      </c>
      <c r="N506" s="2">
        <f>_xlfn.XLOOKUP(A506,'[1]Prix MP'!$A:$A,'[1]Prix MP'!$T:$T)</f>
        <v>0.28523593353709464</v>
      </c>
      <c r="O506" s="2">
        <f>_xlfn.XLOOKUP(A506,'[1]Prix MP'!$A:$A,'[1]Prix MP'!$U:$U)</f>
        <v>0.28523593353709464</v>
      </c>
      <c r="P506" s="11">
        <f t="shared" si="715"/>
        <v>143.7589105026957</v>
      </c>
      <c r="Q506" s="7">
        <f t="shared" si="716"/>
        <v>143.7589105026957</v>
      </c>
      <c r="R506" t="s">
        <v>206</v>
      </c>
      <c r="S506" s="1">
        <f t="shared" si="717"/>
        <v>8.75</v>
      </c>
      <c r="T506" s="33">
        <f t="shared" si="718"/>
        <v>4800</v>
      </c>
      <c r="V506" s="8"/>
    </row>
    <row r="507" spans="1:22" x14ac:dyDescent="0.25">
      <c r="A507" s="107">
        <v>30029</v>
      </c>
      <c r="B507" s="17" t="s">
        <v>397</v>
      </c>
      <c r="C507" s="45">
        <v>45628</v>
      </c>
      <c r="D507" s="46" t="s">
        <v>373</v>
      </c>
      <c r="E507" s="46" t="s">
        <v>41</v>
      </c>
      <c r="F507" s="64">
        <v>1</v>
      </c>
      <c r="G507" s="49" t="s">
        <v>504</v>
      </c>
      <c r="H507" s="34" t="s">
        <v>570</v>
      </c>
      <c r="I507" s="28">
        <v>8.75</v>
      </c>
      <c r="J507" t="s">
        <v>36</v>
      </c>
      <c r="K507" s="47">
        <v>4800</v>
      </c>
      <c r="L507" s="3" t="s">
        <v>372</v>
      </c>
      <c r="M507" s="33">
        <f t="shared" si="714"/>
        <v>504</v>
      </c>
      <c r="N507" s="2">
        <f>_xlfn.XLOOKUP(A507,'[1]Prix MP'!$A:$A,'[1]Prix MP'!$T:$T)</f>
        <v>0.28523593353709464</v>
      </c>
      <c r="O507" s="2">
        <f>_xlfn.XLOOKUP(A507,'[1]Prix MP'!$A:$A,'[1]Prix MP'!$U:$U)</f>
        <v>0.28523593353709464</v>
      </c>
      <c r="P507" s="11">
        <f t="shared" si="715"/>
        <v>143.7589105026957</v>
      </c>
      <c r="Q507" s="7">
        <f t="shared" si="716"/>
        <v>143.7589105026957</v>
      </c>
      <c r="R507" t="s">
        <v>206</v>
      </c>
      <c r="S507" s="1">
        <f t="shared" si="717"/>
        <v>8.75</v>
      </c>
      <c r="T507" s="33">
        <f t="shared" si="718"/>
        <v>4800</v>
      </c>
      <c r="V507" s="8"/>
    </row>
    <row r="508" spans="1:22" x14ac:dyDescent="0.25">
      <c r="A508" s="107">
        <v>30029</v>
      </c>
      <c r="B508" s="17" t="s">
        <v>397</v>
      </c>
      <c r="C508" s="45">
        <v>45628</v>
      </c>
      <c r="D508" s="46" t="s">
        <v>373</v>
      </c>
      <c r="E508" s="46" t="s">
        <v>41</v>
      </c>
      <c r="F508" s="64">
        <v>1</v>
      </c>
      <c r="G508" s="49" t="s">
        <v>504</v>
      </c>
      <c r="H508" s="34" t="s">
        <v>571</v>
      </c>
      <c r="I508" s="28">
        <v>8.75</v>
      </c>
      <c r="J508" t="s">
        <v>36</v>
      </c>
      <c r="K508" s="47">
        <v>4800</v>
      </c>
      <c r="L508" s="3" t="s">
        <v>372</v>
      </c>
      <c r="M508" s="33">
        <f>IF(J508="mm",F508*I508/1000*K508*1.55,F508*I508*12*K508/1000)</f>
        <v>504</v>
      </c>
      <c r="N508" s="2">
        <f>_xlfn.XLOOKUP(A508,'[1]Prix MP'!$A:$A,'[1]Prix MP'!$T:$T)</f>
        <v>0.28523593353709464</v>
      </c>
      <c r="O508" s="2">
        <f>_xlfn.XLOOKUP(A508,'[1]Prix MP'!$A:$A,'[1]Prix MP'!$U:$U)</f>
        <v>0.28523593353709464</v>
      </c>
      <c r="P508" s="11">
        <f>M508*N508</f>
        <v>143.7589105026957</v>
      </c>
      <c r="Q508" s="7">
        <f t="shared" si="716"/>
        <v>143.7589105026957</v>
      </c>
      <c r="R508" t="s">
        <v>206</v>
      </c>
      <c r="S508" s="1">
        <f>ROUND(IF(E508="I",0,IF(J508="po",I508,I508/25.4)),2)</f>
        <v>8.75</v>
      </c>
      <c r="T508" s="33">
        <f>ROUND(IF(E508="I",0,IF(J508="po",K508,K508*3.280839895)),0)</f>
        <v>4800</v>
      </c>
      <c r="V508" s="8"/>
    </row>
    <row r="509" spans="1:22" x14ac:dyDescent="0.25">
      <c r="A509" s="107">
        <v>30029</v>
      </c>
      <c r="B509" s="17" t="s">
        <v>397</v>
      </c>
      <c r="C509" s="45">
        <v>45628</v>
      </c>
      <c r="D509" s="46" t="s">
        <v>373</v>
      </c>
      <c r="E509" s="46" t="s">
        <v>42</v>
      </c>
      <c r="F509" s="64">
        <v>1</v>
      </c>
      <c r="G509" s="49" t="s">
        <v>504</v>
      </c>
      <c r="H509" s="34" t="s">
        <v>506</v>
      </c>
      <c r="I509" s="28">
        <v>24.4</v>
      </c>
      <c r="J509" t="s">
        <v>36</v>
      </c>
      <c r="K509" s="47">
        <v>4800</v>
      </c>
      <c r="L509" s="3" t="s">
        <v>372</v>
      </c>
      <c r="M509" s="33">
        <f t="shared" si="709"/>
        <v>1405.4399999999998</v>
      </c>
      <c r="N509" s="2">
        <f>_xlfn.XLOOKUP(A509,'[1]Prix MP'!$A:$A,'[1]Prix MP'!$T:$T)</f>
        <v>0.28523593353709464</v>
      </c>
      <c r="O509" s="2">
        <f>_xlfn.XLOOKUP(A509,'[1]Prix MP'!$A:$A,'[1]Prix MP'!$U:$U)</f>
        <v>0.28523593353709464</v>
      </c>
      <c r="P509" s="11">
        <f t="shared" si="710"/>
        <v>400.88199043037423</v>
      </c>
      <c r="Q509" s="7">
        <f t="shared" si="711"/>
        <v>400.88199043037423</v>
      </c>
      <c r="R509" t="s">
        <v>206</v>
      </c>
      <c r="S509" s="1">
        <f t="shared" si="712"/>
        <v>0</v>
      </c>
      <c r="T509" s="33">
        <f t="shared" si="713"/>
        <v>0</v>
      </c>
      <c r="V509" s="8"/>
    </row>
    <row r="510" spans="1:22" x14ac:dyDescent="0.25">
      <c r="A510" s="107">
        <v>30029</v>
      </c>
      <c r="B510" s="17" t="s">
        <v>397</v>
      </c>
      <c r="C510" s="45">
        <v>45628</v>
      </c>
      <c r="D510" s="46" t="s">
        <v>176</v>
      </c>
      <c r="E510" s="46" t="s">
        <v>42</v>
      </c>
      <c r="F510" s="64">
        <v>-1</v>
      </c>
      <c r="G510" s="49" t="s">
        <v>504</v>
      </c>
      <c r="H510" s="34" t="s">
        <v>506</v>
      </c>
      <c r="I510" s="28">
        <v>24.4</v>
      </c>
      <c r="J510" t="s">
        <v>36</v>
      </c>
      <c r="K510" s="47">
        <v>4800</v>
      </c>
      <c r="L510" s="3" t="s">
        <v>372</v>
      </c>
      <c r="M510" s="33">
        <f t="shared" ref="M510:M515" si="719">IF(J510="mm",F510*I510/1000*K510*1.55,F510*I510*12*K510/1000)</f>
        <v>-1405.4399999999998</v>
      </c>
      <c r="N510" s="2">
        <f>_xlfn.XLOOKUP(A510,'[1]Prix MP'!$A:$A,'[1]Prix MP'!$T:$T)</f>
        <v>0.28523593353709464</v>
      </c>
      <c r="O510" s="2">
        <f>_xlfn.XLOOKUP(A510,'[1]Prix MP'!$A:$A,'[1]Prix MP'!$U:$U)</f>
        <v>0.28523593353709464</v>
      </c>
      <c r="P510" s="11">
        <f t="shared" ref="P510:P515" si="720">M510*N510</f>
        <v>-400.88199043037423</v>
      </c>
      <c r="Q510" s="7">
        <f t="shared" ref="Q510:Q515" si="721">M510*O510</f>
        <v>-400.88199043037423</v>
      </c>
      <c r="R510" t="s">
        <v>206</v>
      </c>
      <c r="S510" s="1">
        <f t="shared" ref="S510:S515" si="722">ROUND(IF(E510="I",0,IF(J510="po",I510,I510/25.4)),2)</f>
        <v>0</v>
      </c>
      <c r="T510" s="33">
        <f t="shared" ref="T510:T515" si="723">ROUND(IF(E510="I",0,IF(J510="po",K510,K510*3.280839895)),0)</f>
        <v>0</v>
      </c>
      <c r="V510" s="8"/>
    </row>
    <row r="511" spans="1:22" x14ac:dyDescent="0.25">
      <c r="A511" s="107">
        <v>30029</v>
      </c>
      <c r="B511" s="17" t="s">
        <v>397</v>
      </c>
      <c r="C511" s="45">
        <v>45628</v>
      </c>
      <c r="D511" s="46" t="s">
        <v>373</v>
      </c>
      <c r="E511" s="46" t="s">
        <v>41</v>
      </c>
      <c r="F511" s="64">
        <v>1</v>
      </c>
      <c r="G511" s="49" t="s">
        <v>504</v>
      </c>
      <c r="H511" s="34" t="s">
        <v>573</v>
      </c>
      <c r="I511" s="28">
        <v>8.75</v>
      </c>
      <c r="J511" t="s">
        <v>36</v>
      </c>
      <c r="K511" s="47">
        <v>4500</v>
      </c>
      <c r="L511" s="3" t="s">
        <v>372</v>
      </c>
      <c r="M511" s="33">
        <f>IF(J511="mm",F511*I511/1000*K511*1.55,F511*I511*12*K511/1000)</f>
        <v>472.5</v>
      </c>
      <c r="N511" s="2">
        <f>_xlfn.XLOOKUP(A511,'[1]Prix MP'!$A:$A,'[1]Prix MP'!$T:$T)</f>
        <v>0.28523593353709464</v>
      </c>
      <c r="O511" s="2">
        <f>_xlfn.XLOOKUP(A511,'[1]Prix MP'!$A:$A,'[1]Prix MP'!$U:$U)</f>
        <v>0.28523593353709464</v>
      </c>
      <c r="P511" s="11">
        <f>M511*N511</f>
        <v>134.77397859627723</v>
      </c>
      <c r="Q511" s="7">
        <f t="shared" ref="Q511:Q512" si="724">M511*O511</f>
        <v>134.77397859627723</v>
      </c>
      <c r="R511" t="s">
        <v>206</v>
      </c>
      <c r="S511" s="1">
        <f>ROUND(IF(E511="I",0,IF(J511="po",I511,I511/25.4)),2)</f>
        <v>8.75</v>
      </c>
      <c r="T511" s="33">
        <f>ROUND(IF(E511="I",0,IF(J511="po",K511,K511*3.280839895)),0)</f>
        <v>4500</v>
      </c>
      <c r="V511" s="8"/>
    </row>
    <row r="512" spans="1:22" x14ac:dyDescent="0.25">
      <c r="A512" s="107">
        <v>30029</v>
      </c>
      <c r="B512" s="17" t="s">
        <v>397</v>
      </c>
      <c r="C512" s="45">
        <v>45628</v>
      </c>
      <c r="D512" s="46" t="s">
        <v>373</v>
      </c>
      <c r="E512" s="46" t="s">
        <v>41</v>
      </c>
      <c r="F512" s="64">
        <v>1</v>
      </c>
      <c r="G512" s="49" t="s">
        <v>504</v>
      </c>
      <c r="H512" s="34" t="s">
        <v>572</v>
      </c>
      <c r="I512" s="28">
        <v>8.75</v>
      </c>
      <c r="J512" t="s">
        <v>36</v>
      </c>
      <c r="K512" s="47">
        <v>4800</v>
      </c>
      <c r="L512" s="3" t="s">
        <v>372</v>
      </c>
      <c r="M512" s="33">
        <f t="shared" ref="M512" si="725">IF(J512="mm",F512*I512/1000*K512*1.55,F512*I512*12*K512/1000)</f>
        <v>504</v>
      </c>
      <c r="N512" s="2">
        <f>_xlfn.XLOOKUP(A512,'[1]Prix MP'!$A:$A,'[1]Prix MP'!$T:$T)</f>
        <v>0.28523593353709464</v>
      </c>
      <c r="O512" s="2">
        <f>_xlfn.XLOOKUP(A512,'[1]Prix MP'!$A:$A,'[1]Prix MP'!$U:$U)</f>
        <v>0.28523593353709464</v>
      </c>
      <c r="P512" s="11">
        <f t="shared" ref="P512" si="726">M512*N512</f>
        <v>143.7589105026957</v>
      </c>
      <c r="Q512" s="7">
        <f t="shared" si="724"/>
        <v>143.7589105026957</v>
      </c>
      <c r="R512" t="s">
        <v>206</v>
      </c>
      <c r="S512" s="1">
        <f t="shared" ref="S512" si="727">ROUND(IF(E512="I",0,IF(J512="po",I512,I512/25.4)),2)</f>
        <v>8.75</v>
      </c>
      <c r="T512" s="33">
        <f t="shared" ref="T512" si="728">ROUND(IF(E512="I",0,IF(J512="po",K512,K512*3.280839895)),0)</f>
        <v>4800</v>
      </c>
      <c r="V512" s="8"/>
    </row>
    <row r="513" spans="1:50" x14ac:dyDescent="0.25">
      <c r="A513" s="107">
        <v>30029</v>
      </c>
      <c r="B513" s="17" t="s">
        <v>397</v>
      </c>
      <c r="C513" s="45">
        <v>45628</v>
      </c>
      <c r="D513" s="46" t="s">
        <v>373</v>
      </c>
      <c r="E513" s="46" t="s">
        <v>42</v>
      </c>
      <c r="F513" s="64">
        <v>1</v>
      </c>
      <c r="G513" s="49" t="s">
        <v>504</v>
      </c>
      <c r="H513" s="34" t="s">
        <v>532</v>
      </c>
      <c r="I513" s="28">
        <v>17.125</v>
      </c>
      <c r="J513" t="s">
        <v>36</v>
      </c>
      <c r="K513" s="47">
        <v>4800</v>
      </c>
      <c r="L513" s="3" t="s">
        <v>372</v>
      </c>
      <c r="M513" s="33">
        <f t="shared" si="719"/>
        <v>986.4</v>
      </c>
      <c r="N513" s="2">
        <f>_xlfn.XLOOKUP(A513,'[1]Prix MP'!$A:$A,'[1]Prix MP'!$T:$T)</f>
        <v>0.28523593353709464</v>
      </c>
      <c r="O513" s="2">
        <f>_xlfn.XLOOKUP(A513,'[1]Prix MP'!$A:$A,'[1]Prix MP'!$U:$U)</f>
        <v>0.28523593353709464</v>
      </c>
      <c r="P513" s="11">
        <f t="shared" si="720"/>
        <v>281.35672484099013</v>
      </c>
      <c r="Q513" s="7">
        <f t="shared" si="721"/>
        <v>281.35672484099013</v>
      </c>
      <c r="R513" t="s">
        <v>206</v>
      </c>
      <c r="S513" s="1">
        <f t="shared" si="722"/>
        <v>0</v>
      </c>
      <c r="T513" s="33">
        <f t="shared" si="723"/>
        <v>0</v>
      </c>
      <c r="V513" s="8"/>
    </row>
    <row r="514" spans="1:50" x14ac:dyDescent="0.25">
      <c r="A514" s="107">
        <v>30029</v>
      </c>
      <c r="B514" s="17" t="s">
        <v>397</v>
      </c>
      <c r="C514" s="45">
        <v>45645</v>
      </c>
      <c r="D514" s="46" t="s">
        <v>38</v>
      </c>
      <c r="E514" s="46" t="s">
        <v>42</v>
      </c>
      <c r="F514" s="64">
        <v>-1</v>
      </c>
      <c r="G514" s="49" t="s">
        <v>626</v>
      </c>
      <c r="H514" s="34" t="s">
        <v>532</v>
      </c>
      <c r="I514" s="28">
        <v>17.125</v>
      </c>
      <c r="J514" t="s">
        <v>36</v>
      </c>
      <c r="K514" s="47">
        <v>4800</v>
      </c>
      <c r="L514" s="3" t="s">
        <v>372</v>
      </c>
      <c r="M514" s="33">
        <f t="shared" ref="M514" si="729">IF(J514="mm",F514*I514/1000*K514*1.55,F514*I514*12*K514/1000)</f>
        <v>-986.4</v>
      </c>
      <c r="N514" s="2">
        <f>_xlfn.XLOOKUP(A514,'[1]Prix MP'!$A:$A,'[1]Prix MP'!$T:$T)</f>
        <v>0.28523593353709464</v>
      </c>
      <c r="O514" s="2">
        <f>_xlfn.XLOOKUP(A514,'[1]Prix MP'!$A:$A,'[1]Prix MP'!$U:$U)</f>
        <v>0.28523593353709464</v>
      </c>
      <c r="P514" s="11">
        <f t="shared" ref="P514" si="730">M514*N514</f>
        <v>-281.35672484099013</v>
      </c>
      <c r="Q514" s="7">
        <f t="shared" ref="Q514" si="731">M514*O514</f>
        <v>-281.35672484099013</v>
      </c>
      <c r="R514" t="s">
        <v>206</v>
      </c>
      <c r="S514" s="1">
        <f>ROUND(IF(E514="I",0,IF(J514="po",I514,I514/25.4)),2)</f>
        <v>0</v>
      </c>
      <c r="T514" s="33">
        <f>ROUND(IF(E514="I",0,IF(J514="po",K514,K514*3.280839895)),0)</f>
        <v>0</v>
      </c>
      <c r="V514" s="8"/>
    </row>
    <row r="515" spans="1:50" x14ac:dyDescent="0.25">
      <c r="A515" s="107">
        <v>30029</v>
      </c>
      <c r="B515" s="17" t="s">
        <v>397</v>
      </c>
      <c r="C515" s="45">
        <v>45628</v>
      </c>
      <c r="D515" s="46" t="s">
        <v>373</v>
      </c>
      <c r="E515" s="46" t="s">
        <v>41</v>
      </c>
      <c r="F515" s="64">
        <v>1</v>
      </c>
      <c r="G515" s="49" t="s">
        <v>504</v>
      </c>
      <c r="H515" s="34" t="s">
        <v>533</v>
      </c>
      <c r="I515" s="28">
        <v>7.2750000000000004</v>
      </c>
      <c r="J515" t="s">
        <v>36</v>
      </c>
      <c r="K515" s="47">
        <v>4800</v>
      </c>
      <c r="L515" s="3" t="s">
        <v>372</v>
      </c>
      <c r="M515" s="33">
        <f t="shared" si="719"/>
        <v>419.04000000000008</v>
      </c>
      <c r="N515" s="2">
        <f>_xlfn.XLOOKUP(A515,'[1]Prix MP'!$A:$A,'[1]Prix MP'!$T:$T)</f>
        <v>0.28523593353709464</v>
      </c>
      <c r="O515" s="2">
        <f>_xlfn.XLOOKUP(A515,'[1]Prix MP'!$A:$A,'[1]Prix MP'!$U:$U)</f>
        <v>0.28523593353709464</v>
      </c>
      <c r="P515" s="11">
        <f t="shared" si="720"/>
        <v>119.52526558938416</v>
      </c>
      <c r="Q515" s="7">
        <f t="shared" si="721"/>
        <v>119.52526558938416</v>
      </c>
      <c r="R515" t="s">
        <v>206</v>
      </c>
      <c r="S515" s="1">
        <f t="shared" si="722"/>
        <v>7.28</v>
      </c>
      <c r="T515" s="33">
        <f t="shared" si="723"/>
        <v>4800</v>
      </c>
      <c r="V515" s="8"/>
    </row>
    <row r="516" spans="1:50" x14ac:dyDescent="0.25">
      <c r="A516" s="107">
        <v>30029</v>
      </c>
      <c r="B516" s="17" t="s">
        <v>397</v>
      </c>
      <c r="C516" s="45">
        <v>45628</v>
      </c>
      <c r="D516" s="46" t="s">
        <v>373</v>
      </c>
      <c r="E516" s="46" t="s">
        <v>42</v>
      </c>
      <c r="F516" s="64">
        <v>1</v>
      </c>
      <c r="G516" s="49" t="s">
        <v>504</v>
      </c>
      <c r="H516" s="34" t="s">
        <v>507</v>
      </c>
      <c r="I516" s="28">
        <v>10</v>
      </c>
      <c r="J516" t="s">
        <v>36</v>
      </c>
      <c r="K516" s="47">
        <v>4800</v>
      </c>
      <c r="L516" s="3" t="s">
        <v>372</v>
      </c>
      <c r="M516" s="33">
        <f t="shared" si="709"/>
        <v>576</v>
      </c>
      <c r="N516" s="2">
        <f>_xlfn.XLOOKUP(A516,'[1]Prix MP'!$A:$A,'[1]Prix MP'!$T:$T)</f>
        <v>0.28523593353709464</v>
      </c>
      <c r="O516" s="2">
        <f>_xlfn.XLOOKUP(A516,'[1]Prix MP'!$A:$A,'[1]Prix MP'!$U:$U)</f>
        <v>0.28523593353709464</v>
      </c>
      <c r="P516" s="11">
        <f t="shared" si="710"/>
        <v>164.29589771736653</v>
      </c>
      <c r="Q516" s="7">
        <f t="shared" si="711"/>
        <v>164.29589771736653</v>
      </c>
      <c r="R516" t="s">
        <v>206</v>
      </c>
      <c r="S516" s="1">
        <f t="shared" si="712"/>
        <v>0</v>
      </c>
      <c r="T516" s="33">
        <f t="shared" si="713"/>
        <v>0</v>
      </c>
      <c r="V516" s="8"/>
    </row>
    <row r="517" spans="1:50" x14ac:dyDescent="0.25">
      <c r="A517" s="107">
        <v>30029</v>
      </c>
      <c r="B517" s="17" t="s">
        <v>397</v>
      </c>
      <c r="C517" s="45">
        <v>45629</v>
      </c>
      <c r="D517" s="46" t="s">
        <v>176</v>
      </c>
      <c r="E517" s="46" t="s">
        <v>42</v>
      </c>
      <c r="F517" s="64">
        <v>-1</v>
      </c>
      <c r="G517" s="49" t="s">
        <v>509</v>
      </c>
      <c r="H517" s="34" t="s">
        <v>507</v>
      </c>
      <c r="I517" s="28">
        <v>10</v>
      </c>
      <c r="J517" t="s">
        <v>36</v>
      </c>
      <c r="K517" s="47">
        <v>4800</v>
      </c>
      <c r="L517" s="3" t="s">
        <v>372</v>
      </c>
      <c r="M517" s="33">
        <f>IF(J517="mm",F517*I517/1000*K517*1.55,F517*I517*12*K517/1000)</f>
        <v>-576</v>
      </c>
      <c r="N517" s="2">
        <f>_xlfn.XLOOKUP(A517,'[1]Prix MP'!$A:$A,'[1]Prix MP'!$T:$T)</f>
        <v>0.28523593353709464</v>
      </c>
      <c r="O517" s="2">
        <f>_xlfn.XLOOKUP(A517,'[1]Prix MP'!$A:$A,'[1]Prix MP'!$U:$U)</f>
        <v>0.28523593353709464</v>
      </c>
      <c r="P517" s="11">
        <f>M517*N517</f>
        <v>-164.29589771736653</v>
      </c>
      <c r="Q517" s="7">
        <f t="shared" ref="Q517" si="732">M517*O517</f>
        <v>-164.29589771736653</v>
      </c>
      <c r="R517" t="s">
        <v>206</v>
      </c>
      <c r="S517" s="1">
        <f>ROUND(IF(E517="I",0,IF(J517="po",I517,I517/25.4)),2)</f>
        <v>0</v>
      </c>
      <c r="T517" s="33">
        <f>ROUND(IF(E517="I",0,IF(J517="po",K517,K517*3.280839895)),0)</f>
        <v>0</v>
      </c>
      <c r="V517" s="8"/>
    </row>
    <row r="518" spans="1:50" x14ac:dyDescent="0.25">
      <c r="A518" s="107">
        <v>30029</v>
      </c>
      <c r="B518" s="105" t="s">
        <v>397</v>
      </c>
      <c r="C518" s="45">
        <v>45628</v>
      </c>
      <c r="D518" s="46" t="s">
        <v>373</v>
      </c>
      <c r="E518" s="46" t="s">
        <v>42</v>
      </c>
      <c r="F518" s="64">
        <v>1</v>
      </c>
      <c r="G518" s="49" t="s">
        <v>504</v>
      </c>
      <c r="H518" s="34" t="s">
        <v>508</v>
      </c>
      <c r="I518" s="28">
        <v>60.235999999999997</v>
      </c>
      <c r="J518" t="s">
        <v>36</v>
      </c>
      <c r="K518" s="47">
        <v>9850</v>
      </c>
      <c r="L518" s="3" t="s">
        <v>372</v>
      </c>
      <c r="M518" s="33">
        <f t="shared" si="709"/>
        <v>7119.8951999999999</v>
      </c>
      <c r="N518" s="2">
        <f>_xlfn.XLOOKUP(A518,'[1]Prix MP'!$A:$A,'[1]Prix MP'!$T:$T)</f>
        <v>0.28523593353709464</v>
      </c>
      <c r="O518" s="2">
        <f>_xlfn.XLOOKUP(A518,'[1]Prix MP'!$A:$A,'[1]Prix MP'!$U:$U)</f>
        <v>0.28523593353709464</v>
      </c>
      <c r="P518" s="11">
        <f t="shared" si="710"/>
        <v>2030.8499540582791</v>
      </c>
      <c r="Q518" s="7">
        <f t="shared" si="711"/>
        <v>2030.8499540582791</v>
      </c>
      <c r="R518" t="s">
        <v>206</v>
      </c>
      <c r="S518" s="1">
        <f t="shared" si="712"/>
        <v>0</v>
      </c>
      <c r="T518" s="33">
        <f t="shared" si="713"/>
        <v>0</v>
      </c>
      <c r="V518" s="8"/>
    </row>
    <row r="519" spans="1:50" x14ac:dyDescent="0.25">
      <c r="A519" s="107">
        <v>30029</v>
      </c>
      <c r="B519" s="105" t="s">
        <v>397</v>
      </c>
      <c r="C519" s="45">
        <v>45681</v>
      </c>
      <c r="D519" s="46" t="s">
        <v>176</v>
      </c>
      <c r="E519" s="46" t="s">
        <v>42</v>
      </c>
      <c r="F519" s="64">
        <v>-1</v>
      </c>
      <c r="G519" s="49" t="s">
        <v>689</v>
      </c>
      <c r="H519" s="34" t="s">
        <v>508</v>
      </c>
      <c r="I519" s="28">
        <v>60.235999999999997</v>
      </c>
      <c r="J519" t="s">
        <v>36</v>
      </c>
      <c r="K519" s="47">
        <v>9850</v>
      </c>
      <c r="L519" s="3" t="s">
        <v>372</v>
      </c>
      <c r="M519" s="33">
        <f>IF(J519="mm",F519*I519/1000*K519*1.55,F519*I519*12*K519/1000)</f>
        <v>-7119.8951999999999</v>
      </c>
      <c r="N519" s="2">
        <f>_xlfn.XLOOKUP(A519,'[1]Prix MP'!$A:$A,'[1]Prix MP'!$T:$T)</f>
        <v>0.28523593353709464</v>
      </c>
      <c r="O519" s="2">
        <f>_xlfn.XLOOKUP(A519,'[1]Prix MP'!$A:$A,'[1]Prix MP'!$U:$U)</f>
        <v>0.28523593353709464</v>
      </c>
      <c r="P519" s="11">
        <f>M519*N519</f>
        <v>-2030.8499540582791</v>
      </c>
      <c r="Q519" s="7">
        <f t="shared" ref="Q519" si="733">M519*O519</f>
        <v>-2030.8499540582791</v>
      </c>
      <c r="R519" t="s">
        <v>206</v>
      </c>
      <c r="S519" s="1">
        <f>ROUND(IF(E519="I",0,IF(J519="po",I519,I519/25.4)),2)</f>
        <v>0</v>
      </c>
      <c r="T519" s="33">
        <f>ROUND(IF(E519="I",0,IF(J519="po",K519,K519*3.280839895)),0)</f>
        <v>0</v>
      </c>
      <c r="V519" s="8"/>
    </row>
    <row r="520" spans="1:50" x14ac:dyDescent="0.25">
      <c r="A520" s="107">
        <v>30029</v>
      </c>
      <c r="B520" s="105" t="s">
        <v>397</v>
      </c>
      <c r="C520" s="45">
        <v>45597</v>
      </c>
      <c r="D520" s="46" t="s">
        <v>37</v>
      </c>
      <c r="E520" s="46" t="s">
        <v>42</v>
      </c>
      <c r="F520" s="64">
        <v>1</v>
      </c>
      <c r="G520" s="49"/>
      <c r="H520" s="34" t="s">
        <v>401</v>
      </c>
      <c r="I520" s="28">
        <v>1530</v>
      </c>
      <c r="J520" t="s">
        <v>2</v>
      </c>
      <c r="K520" s="47">
        <v>5980</v>
      </c>
      <c r="L520" s="3" t="s">
        <v>1</v>
      </c>
      <c r="M520" s="33">
        <f t="shared" si="637"/>
        <v>14181.57</v>
      </c>
      <c r="N520" s="2">
        <f>_xlfn.XLOOKUP(A520,'[1]Prix MP'!$A:$A,'[1]Prix MP'!$T:$T)</f>
        <v>0.28523593353709464</v>
      </c>
      <c r="O520" s="2">
        <f>_xlfn.XLOOKUP(A520,'[1]Prix MP'!$A:$A,'[1]Prix MP'!$U:$U)</f>
        <v>0.28523593353709464</v>
      </c>
      <c r="P520" s="11">
        <f t="shared" si="638"/>
        <v>4045.0933579716552</v>
      </c>
      <c r="Q520" s="7">
        <f t="shared" si="699"/>
        <v>4045.0933579716552</v>
      </c>
      <c r="R520" t="s">
        <v>206</v>
      </c>
      <c r="S520" s="1">
        <f t="shared" si="639"/>
        <v>0</v>
      </c>
      <c r="T520" s="33">
        <f t="shared" si="640"/>
        <v>0</v>
      </c>
      <c r="V520" s="8">
        <f t="shared" si="647"/>
        <v>9149.4</v>
      </c>
    </row>
    <row r="521" spans="1:50" x14ac:dyDescent="0.25">
      <c r="A521" s="107">
        <v>30029</v>
      </c>
      <c r="B521" s="105" t="s">
        <v>397</v>
      </c>
      <c r="C521" s="45">
        <v>45681</v>
      </c>
      <c r="D521" s="46" t="s">
        <v>176</v>
      </c>
      <c r="E521" s="46" t="s">
        <v>42</v>
      </c>
      <c r="F521" s="64">
        <v>-1</v>
      </c>
      <c r="G521" s="49" t="s">
        <v>689</v>
      </c>
      <c r="H521" s="34" t="s">
        <v>401</v>
      </c>
      <c r="I521" s="28">
        <v>1530</v>
      </c>
      <c r="J521" t="s">
        <v>2</v>
      </c>
      <c r="K521" s="47">
        <v>5980</v>
      </c>
      <c r="L521" s="3" t="s">
        <v>1</v>
      </c>
      <c r="M521" s="33">
        <v>14181.57</v>
      </c>
      <c r="N521" s="2">
        <v>0.28523593353709464</v>
      </c>
      <c r="O521" s="2">
        <v>0.28523593353709464</v>
      </c>
      <c r="P521" s="11">
        <v>4045.0933579716552</v>
      </c>
      <c r="Q521" s="11">
        <v>4045.0933579716552</v>
      </c>
      <c r="R521" t="s">
        <v>206</v>
      </c>
      <c r="S521" s="1">
        <f>ROUND(IF(E521="I",0,IF(J521="po",I521,I521/25.4)),2)</f>
        <v>0</v>
      </c>
      <c r="T521" s="33">
        <f>ROUND(IF(E521="I",0,IF(J521="po",K521,K521*3.280839895)),0)</f>
        <v>0</v>
      </c>
      <c r="V521" s="8"/>
    </row>
    <row r="522" spans="1:50" x14ac:dyDescent="0.25">
      <c r="A522">
        <v>30036</v>
      </c>
      <c r="B522" s="105" t="s">
        <v>33</v>
      </c>
      <c r="C522" s="45">
        <v>45646</v>
      </c>
      <c r="D522" s="46" t="s">
        <v>37</v>
      </c>
      <c r="E522" s="46" t="s">
        <v>42</v>
      </c>
      <c r="F522" s="64">
        <v>1</v>
      </c>
      <c r="G522" s="49"/>
      <c r="H522" s="34" t="s">
        <v>578</v>
      </c>
      <c r="I522" s="28">
        <v>1530</v>
      </c>
      <c r="J522" t="s">
        <v>2</v>
      </c>
      <c r="K522" s="47">
        <v>6000</v>
      </c>
      <c r="L522" s="3" t="s">
        <v>1</v>
      </c>
      <c r="M522" s="33">
        <f t="shared" ref="M522:M546" si="734">IF(J522="mm",F522*I522/1000*K522*1.55,F522*I522*12*K522/1000)</f>
        <v>14229</v>
      </c>
      <c r="N522" s="2">
        <f>_xlfn.XLOOKUP(A522,'[1]Prix MP'!$A:$A,'[1]Prix MP'!$T:$T)</f>
        <v>0.2582568285373486</v>
      </c>
      <c r="O522" s="2">
        <f>_xlfn.XLOOKUP(A522,'[1]Prix MP'!$A:$A,'[1]Prix MP'!$U:$U)</f>
        <v>0.2582568285373486</v>
      </c>
      <c r="P522" s="11">
        <f t="shared" ref="P522:P546" si="735">M522*N522</f>
        <v>3674.7364132579332</v>
      </c>
      <c r="Q522" s="7">
        <f t="shared" ref="Q522:Q587" si="736">M522*O522</f>
        <v>3674.7364132579332</v>
      </c>
      <c r="R522" t="s">
        <v>206</v>
      </c>
      <c r="S522" s="1">
        <f t="shared" ref="S522:S546" si="737">ROUND(IF(E522="I",0,IF(J522="po",I522,I522/25.4)),2)</f>
        <v>0</v>
      </c>
      <c r="T522" s="33">
        <f t="shared" ref="T522:T546" si="738">ROUND(IF(E522="I",0,IF(J522="po",K522,K522*3.280839895)),0)</f>
        <v>0</v>
      </c>
    </row>
    <row r="523" spans="1:50" x14ac:dyDescent="0.25">
      <c r="A523">
        <v>30036</v>
      </c>
      <c r="B523" s="17" t="s">
        <v>33</v>
      </c>
      <c r="C523" s="45">
        <v>45667</v>
      </c>
      <c r="D523" s="46" t="s">
        <v>176</v>
      </c>
      <c r="E523" s="46" t="s">
        <v>42</v>
      </c>
      <c r="F523" s="64">
        <v>-1</v>
      </c>
      <c r="G523" s="49" t="s">
        <v>630</v>
      </c>
      <c r="H523" s="34" t="s">
        <v>578</v>
      </c>
      <c r="I523" s="28">
        <v>1530</v>
      </c>
      <c r="J523" t="s">
        <v>2</v>
      </c>
      <c r="K523" s="47">
        <v>6000</v>
      </c>
      <c r="L523" s="3" t="s">
        <v>1</v>
      </c>
      <c r="M523" s="33">
        <f t="shared" ref="M523" si="739">IF(J523="mm",F523*I523/1000*K523*1.55,F523*I523*12*K523/1000)</f>
        <v>-14229</v>
      </c>
      <c r="N523" s="2">
        <f>_xlfn.XLOOKUP(A523,'[1]Prix MP'!$A:$A,'[1]Prix MP'!$T:$T)</f>
        <v>0.2582568285373486</v>
      </c>
      <c r="O523" s="2">
        <f>_xlfn.XLOOKUP(A523,'[1]Prix MP'!$A:$A,'[1]Prix MP'!$U:$U)</f>
        <v>0.2582568285373486</v>
      </c>
      <c r="P523" s="11">
        <f t="shared" ref="P523" si="740">M523*N523</f>
        <v>-3674.7364132579332</v>
      </c>
      <c r="Q523" s="7">
        <f t="shared" ref="Q523" si="741">M523*O523</f>
        <v>-3674.7364132579332</v>
      </c>
      <c r="R523" t="s">
        <v>206</v>
      </c>
      <c r="S523" s="1">
        <f>ROUND(IF(E523="I",0,IF(J523="po",I523,I523/25.4)),2)</f>
        <v>0</v>
      </c>
      <c r="T523" s="33">
        <f>ROUND(IF(E523="I",0,IF(J523="po",K523,K523*3.280839895)),0)</f>
        <v>0</v>
      </c>
    </row>
    <row r="524" spans="1:50" x14ac:dyDescent="0.25">
      <c r="A524">
        <v>30036</v>
      </c>
      <c r="B524" s="17" t="s">
        <v>33</v>
      </c>
      <c r="C524" s="45">
        <v>45667</v>
      </c>
      <c r="D524" s="46" t="s">
        <v>373</v>
      </c>
      <c r="E524" s="46" t="s">
        <v>42</v>
      </c>
      <c r="F524" s="64">
        <v>1</v>
      </c>
      <c r="G524" s="49" t="s">
        <v>630</v>
      </c>
      <c r="H524" s="34" t="s">
        <v>631</v>
      </c>
      <c r="I524" s="28">
        <v>60.235999999999997</v>
      </c>
      <c r="J524" t="s">
        <v>36</v>
      </c>
      <c r="K524" s="47">
        <v>14700</v>
      </c>
      <c r="L524" s="3" t="s">
        <v>372</v>
      </c>
      <c r="M524" s="33">
        <f>IF(J524="mm",F524*I524/1000*K524*1.55,F524*I524*12*K524/1000)</f>
        <v>10625.6304</v>
      </c>
      <c r="N524" s="2">
        <f>_xlfn.XLOOKUP(A524,'[1]Prix MP'!$A:$A,'[1]Prix MP'!$T:$T)</f>
        <v>0.2582568285373486</v>
      </c>
      <c r="O524" s="2">
        <f>_xlfn.XLOOKUP(A524,'[1]Prix MP'!$A:$A,'[1]Prix MP'!$U:$U)</f>
        <v>0.2582568285373486</v>
      </c>
      <c r="P524" s="11">
        <f>M524*N524</f>
        <v>2744.1416083140389</v>
      </c>
      <c r="Q524" s="7">
        <f t="shared" ref="Q524" si="742">M524*O524</f>
        <v>2744.1416083140389</v>
      </c>
      <c r="R524" t="s">
        <v>206</v>
      </c>
      <c r="S524" s="1">
        <f>ROUND(IF(E524="I",0,IF(J524="po",I524,I524/25.4)),2)</f>
        <v>0</v>
      </c>
      <c r="T524" s="33">
        <f>ROUND(IF(E524="I",0,IF(J524="po",K524,K524*3.280839895)),0)</f>
        <v>0</v>
      </c>
    </row>
    <row r="525" spans="1:50" x14ac:dyDescent="0.25">
      <c r="A525">
        <v>30036</v>
      </c>
      <c r="B525" s="17" t="s">
        <v>33</v>
      </c>
      <c r="C525" s="45">
        <v>45670</v>
      </c>
      <c r="D525" s="46" t="s">
        <v>176</v>
      </c>
      <c r="E525" s="46" t="s">
        <v>42</v>
      </c>
      <c r="F525" s="64">
        <v>-1</v>
      </c>
      <c r="G525" s="49" t="s">
        <v>632</v>
      </c>
      <c r="H525" s="34" t="s">
        <v>631</v>
      </c>
      <c r="I525" s="28">
        <v>60.235999999999997</v>
      </c>
      <c r="J525" t="s">
        <v>36</v>
      </c>
      <c r="K525" s="47">
        <v>14700</v>
      </c>
      <c r="L525" s="3" t="s">
        <v>372</v>
      </c>
      <c r="M525" s="33">
        <f t="shared" ref="M525:M526" si="743">IF(J525="mm",F525*I525/1000*K525*1.55,F525*I525*12*K525/1000)</f>
        <v>-10625.6304</v>
      </c>
      <c r="N525" s="2">
        <f>_xlfn.XLOOKUP(A525,'[1]Prix MP'!$A:$A,'[1]Prix MP'!$T:$T)</f>
        <v>0.2582568285373486</v>
      </c>
      <c r="O525" s="2">
        <f>_xlfn.XLOOKUP(A525,'[1]Prix MP'!$A:$A,'[1]Prix MP'!$U:$U)</f>
        <v>0.2582568285373486</v>
      </c>
      <c r="P525" s="11">
        <f t="shared" ref="P525:P526" si="744">M525*N525</f>
        <v>-2744.1416083140389</v>
      </c>
      <c r="Q525" s="7">
        <f t="shared" ref="Q525:Q526" si="745">M525*O525</f>
        <v>-2744.1416083140389</v>
      </c>
      <c r="R525" t="s">
        <v>206</v>
      </c>
      <c r="S525" s="1">
        <f t="shared" ref="S525:S526" si="746">ROUND(IF(E525="I",0,IF(J525="po",I525,I525/25.4)),2)</f>
        <v>0</v>
      </c>
      <c r="T525" s="33">
        <f t="shared" ref="T525:T526" si="747">ROUND(IF(E525="I",0,IF(J525="po",K525,K525*3.280839895)),0)</f>
        <v>0</v>
      </c>
    </row>
    <row r="526" spans="1:50" x14ac:dyDescent="0.25">
      <c r="A526">
        <v>30036</v>
      </c>
      <c r="B526" s="17" t="s">
        <v>33</v>
      </c>
      <c r="C526" s="45">
        <v>45670</v>
      </c>
      <c r="D526" s="46" t="s">
        <v>373</v>
      </c>
      <c r="E526" s="46" t="s">
        <v>42</v>
      </c>
      <c r="F526" s="64">
        <v>1</v>
      </c>
      <c r="G526" s="49" t="s">
        <v>632</v>
      </c>
      <c r="H526" s="34" t="s">
        <v>633</v>
      </c>
      <c r="I526" s="28">
        <v>60.235999999999997</v>
      </c>
      <c r="J526" t="s">
        <v>36</v>
      </c>
      <c r="K526" s="47">
        <v>5000</v>
      </c>
      <c r="L526" s="3" t="s">
        <v>372</v>
      </c>
      <c r="M526" s="33">
        <f t="shared" si="743"/>
        <v>3614.16</v>
      </c>
      <c r="N526" s="2">
        <f>_xlfn.XLOOKUP(A526,'[1]Prix MP'!$A:$A,'[1]Prix MP'!$T:$T)</f>
        <v>0.2582568285373486</v>
      </c>
      <c r="O526" s="2">
        <f>_xlfn.XLOOKUP(A526,'[1]Prix MP'!$A:$A,'[1]Prix MP'!$U:$U)</f>
        <v>0.2582568285373486</v>
      </c>
      <c r="P526" s="11">
        <f t="shared" si="744"/>
        <v>933.38149942654377</v>
      </c>
      <c r="Q526" s="7">
        <f t="shared" si="745"/>
        <v>933.38149942654377</v>
      </c>
      <c r="R526" t="s">
        <v>206</v>
      </c>
      <c r="S526" s="1">
        <f t="shared" si="746"/>
        <v>0</v>
      </c>
      <c r="T526" s="33">
        <f t="shared" si="747"/>
        <v>0</v>
      </c>
      <c r="AX526"/>
    </row>
    <row r="527" spans="1:50" x14ac:dyDescent="0.25">
      <c r="A527">
        <v>30036</v>
      </c>
      <c r="B527" s="17" t="s">
        <v>33</v>
      </c>
      <c r="C527" s="45">
        <v>45678</v>
      </c>
      <c r="D527" s="46" t="s">
        <v>176</v>
      </c>
      <c r="E527" s="46" t="s">
        <v>42</v>
      </c>
      <c r="F527" s="64">
        <v>-1</v>
      </c>
      <c r="G527" s="49" t="s">
        <v>680</v>
      </c>
      <c r="H527" s="34" t="s">
        <v>633</v>
      </c>
      <c r="I527" s="28">
        <v>60.235999999999997</v>
      </c>
      <c r="J527" t="s">
        <v>36</v>
      </c>
      <c r="K527" s="47">
        <v>5000</v>
      </c>
      <c r="L527" s="3" t="s">
        <v>372</v>
      </c>
      <c r="M527" s="33">
        <f t="shared" ref="M527" si="748">IF(J527="mm",F527*I527/1000*K527*1.55,F527*I527*12*K527/1000)</f>
        <v>-3614.16</v>
      </c>
      <c r="N527" s="2">
        <f>_xlfn.XLOOKUP(A527,'[1]Prix MP'!$A:$A,'[1]Prix MP'!$T:$T)</f>
        <v>0.2582568285373486</v>
      </c>
      <c r="O527" s="2">
        <f>_xlfn.XLOOKUP(A527,'[1]Prix MP'!$A:$A,'[1]Prix MP'!$U:$U)</f>
        <v>0.2582568285373486</v>
      </c>
      <c r="P527" s="11">
        <f t="shared" ref="P527" si="749">M527*N527</f>
        <v>-933.38149942654377</v>
      </c>
      <c r="Q527" s="7">
        <f t="shared" ref="Q527" si="750">M527*O527</f>
        <v>-933.38149942654377</v>
      </c>
      <c r="R527" t="s">
        <v>206</v>
      </c>
      <c r="S527" s="1">
        <f t="shared" ref="S527" si="751">ROUND(IF(E527="I",0,IF(J527="po",I527,I527/25.4)),2)</f>
        <v>0</v>
      </c>
      <c r="T527" s="33">
        <f t="shared" ref="T527" si="752">ROUND(IF(E527="I",0,IF(J527="po",K527,K527*3.280839895)),0)</f>
        <v>0</v>
      </c>
      <c r="AX527"/>
    </row>
    <row r="528" spans="1:50" x14ac:dyDescent="0.25">
      <c r="A528" s="104">
        <v>30036</v>
      </c>
      <c r="B528" s="17" t="s">
        <v>33</v>
      </c>
      <c r="C528" s="45">
        <v>45646</v>
      </c>
      <c r="D528" s="46" t="s">
        <v>37</v>
      </c>
      <c r="E528" s="46" t="s">
        <v>41</v>
      </c>
      <c r="F528" s="64">
        <v>1</v>
      </c>
      <c r="G528" s="49"/>
      <c r="H528" s="34" t="s">
        <v>579</v>
      </c>
      <c r="I528" s="28">
        <v>1530</v>
      </c>
      <c r="J528" t="s">
        <v>2</v>
      </c>
      <c r="K528" s="47">
        <v>5990</v>
      </c>
      <c r="L528" s="3" t="s">
        <v>1</v>
      </c>
      <c r="M528" s="33">
        <f t="shared" si="734"/>
        <v>14205.285000000002</v>
      </c>
      <c r="N528" s="2">
        <f>_xlfn.XLOOKUP(A528,'[1]Prix MP'!$A:$A,'[1]Prix MP'!$T:$T)</f>
        <v>0.2582568285373486</v>
      </c>
      <c r="O528" s="2">
        <f>_xlfn.XLOOKUP(A528,'[1]Prix MP'!$A:$A,'[1]Prix MP'!$U:$U)</f>
        <v>0.2582568285373486</v>
      </c>
      <c r="P528" s="11">
        <f t="shared" si="735"/>
        <v>3668.6118525691704</v>
      </c>
      <c r="Q528" s="7">
        <f t="shared" si="736"/>
        <v>3668.6118525691704</v>
      </c>
      <c r="R528" t="s">
        <v>206</v>
      </c>
      <c r="S528" s="1">
        <f t="shared" si="737"/>
        <v>60.24</v>
      </c>
      <c r="T528" s="33">
        <f t="shared" si="738"/>
        <v>19652</v>
      </c>
      <c r="AX528"/>
    </row>
    <row r="529" spans="1:50" x14ac:dyDescent="0.25">
      <c r="A529">
        <v>30036</v>
      </c>
      <c r="B529" s="17" t="s">
        <v>33</v>
      </c>
      <c r="C529" s="45">
        <v>45646</v>
      </c>
      <c r="D529" s="46" t="s">
        <v>37</v>
      </c>
      <c r="E529" s="46" t="s">
        <v>42</v>
      </c>
      <c r="F529" s="64">
        <v>1</v>
      </c>
      <c r="G529" s="49"/>
      <c r="H529" s="34" t="s">
        <v>580</v>
      </c>
      <c r="I529" s="28">
        <v>1530</v>
      </c>
      <c r="J529" t="s">
        <v>2</v>
      </c>
      <c r="K529" s="47">
        <v>6050</v>
      </c>
      <c r="L529" s="3" t="s">
        <v>1</v>
      </c>
      <c r="M529" s="33">
        <f t="shared" si="734"/>
        <v>14347.575000000001</v>
      </c>
      <c r="N529" s="2">
        <f>_xlfn.XLOOKUP(A529,'[1]Prix MP'!$A:$A,'[1]Prix MP'!$T:$T)</f>
        <v>0.2582568285373486</v>
      </c>
      <c r="O529" s="2">
        <f>_xlfn.XLOOKUP(A529,'[1]Prix MP'!$A:$A,'[1]Prix MP'!$U:$U)</f>
        <v>0.2582568285373486</v>
      </c>
      <c r="P529" s="11">
        <f t="shared" si="735"/>
        <v>3705.3592167017496</v>
      </c>
      <c r="Q529" s="7">
        <f t="shared" si="736"/>
        <v>3705.3592167017496</v>
      </c>
      <c r="R529" t="s">
        <v>206</v>
      </c>
      <c r="S529" s="1">
        <f t="shared" si="737"/>
        <v>0</v>
      </c>
      <c r="T529" s="33">
        <f t="shared" si="738"/>
        <v>0</v>
      </c>
      <c r="AX529"/>
    </row>
    <row r="530" spans="1:50" x14ac:dyDescent="0.25">
      <c r="A530">
        <v>30036</v>
      </c>
      <c r="B530" s="17" t="s">
        <v>33</v>
      </c>
      <c r="C530" s="45">
        <v>45674</v>
      </c>
      <c r="D530" s="46" t="s">
        <v>176</v>
      </c>
      <c r="E530" s="46" t="s">
        <v>42</v>
      </c>
      <c r="F530" s="64">
        <v>-1</v>
      </c>
      <c r="G530" s="49" t="s">
        <v>675</v>
      </c>
      <c r="H530" s="34" t="s">
        <v>580</v>
      </c>
      <c r="I530" s="28">
        <v>1530</v>
      </c>
      <c r="J530" t="s">
        <v>2</v>
      </c>
      <c r="K530" s="47">
        <v>6050</v>
      </c>
      <c r="L530" s="3" t="s">
        <v>1</v>
      </c>
      <c r="M530" s="33">
        <f t="shared" ref="M530" si="753">IF(J530="mm",F530*I530/1000*K530*1.55,F530*I530*12*K530/1000)</f>
        <v>-14347.575000000001</v>
      </c>
      <c r="N530" s="2">
        <f>_xlfn.XLOOKUP(A530,'[1]Prix MP'!$A:$A,'[1]Prix MP'!$T:$T)</f>
        <v>0.2582568285373486</v>
      </c>
      <c r="O530" s="2">
        <f>_xlfn.XLOOKUP(A530,'[1]Prix MP'!$A:$A,'[1]Prix MP'!$U:$U)</f>
        <v>0.2582568285373486</v>
      </c>
      <c r="P530" s="11">
        <f t="shared" ref="P530" si="754">M530*N530</f>
        <v>-3705.3592167017496</v>
      </c>
      <c r="Q530" s="7">
        <f t="shared" ref="Q530" si="755">M530*O530</f>
        <v>-3705.3592167017496</v>
      </c>
      <c r="R530" t="s">
        <v>206</v>
      </c>
      <c r="S530" s="1">
        <f t="shared" ref="S530" si="756">ROUND(IF(E530="I",0,IF(J530="po",I530,I530/25.4)),2)</f>
        <v>0</v>
      </c>
      <c r="T530" s="33">
        <f t="shared" ref="T530" si="757">ROUND(IF(E530="I",0,IF(J530="po",K530,K530*3.280839895)),0)</f>
        <v>0</v>
      </c>
      <c r="AX530"/>
    </row>
    <row r="531" spans="1:50" x14ac:dyDescent="0.25">
      <c r="A531" s="104">
        <v>30036</v>
      </c>
      <c r="B531" s="17" t="s">
        <v>33</v>
      </c>
      <c r="C531" s="45">
        <v>45646</v>
      </c>
      <c r="D531" s="46" t="s">
        <v>37</v>
      </c>
      <c r="E531" s="46" t="s">
        <v>41</v>
      </c>
      <c r="F531" s="64">
        <v>1</v>
      </c>
      <c r="G531" s="49"/>
      <c r="H531" s="34" t="s">
        <v>581</v>
      </c>
      <c r="I531" s="28">
        <v>1530</v>
      </c>
      <c r="J531" t="s">
        <v>2</v>
      </c>
      <c r="K531" s="47">
        <v>5740</v>
      </c>
      <c r="L531" s="3" t="s">
        <v>1</v>
      </c>
      <c r="M531" s="33">
        <f t="shared" si="734"/>
        <v>13612.410000000002</v>
      </c>
      <c r="N531" s="2">
        <f>_xlfn.XLOOKUP(A531,'[1]Prix MP'!$A:$A,'[1]Prix MP'!$T:$T)</f>
        <v>0.2582568285373486</v>
      </c>
      <c r="O531" s="2">
        <f>_xlfn.XLOOKUP(A531,'[1]Prix MP'!$A:$A,'[1]Prix MP'!$U:$U)</f>
        <v>0.2582568285373486</v>
      </c>
      <c r="P531" s="11">
        <f t="shared" si="735"/>
        <v>3515.4978353500901</v>
      </c>
      <c r="Q531" s="7">
        <f t="shared" si="736"/>
        <v>3515.4978353500901</v>
      </c>
      <c r="R531" t="s">
        <v>206</v>
      </c>
      <c r="S531" s="1">
        <f t="shared" si="737"/>
        <v>60.24</v>
      </c>
      <c r="T531" s="33">
        <f t="shared" si="738"/>
        <v>18832</v>
      </c>
      <c r="AX531"/>
    </row>
    <row r="532" spans="1:50" x14ac:dyDescent="0.25">
      <c r="A532">
        <v>30036</v>
      </c>
      <c r="B532" s="17" t="s">
        <v>33</v>
      </c>
      <c r="C532" s="45">
        <v>45646</v>
      </c>
      <c r="D532" s="46" t="s">
        <v>37</v>
      </c>
      <c r="E532" s="46" t="s">
        <v>41</v>
      </c>
      <c r="F532" s="64">
        <v>1</v>
      </c>
      <c r="G532" s="49"/>
      <c r="H532" s="34" t="s">
        <v>582</v>
      </c>
      <c r="I532" s="28">
        <v>1530</v>
      </c>
      <c r="J532" t="s">
        <v>2</v>
      </c>
      <c r="K532" s="47">
        <v>6020</v>
      </c>
      <c r="L532" s="3" t="s">
        <v>1</v>
      </c>
      <c r="M532" s="33">
        <f t="shared" si="734"/>
        <v>14276.43</v>
      </c>
      <c r="N532" s="2">
        <f>_xlfn.XLOOKUP(A532,'[1]Prix MP'!$A:$A,'[1]Prix MP'!$T:$T)</f>
        <v>0.2582568285373486</v>
      </c>
      <c r="O532" s="2">
        <f>_xlfn.XLOOKUP(A532,'[1]Prix MP'!$A:$A,'[1]Prix MP'!$U:$U)</f>
        <v>0.2582568285373486</v>
      </c>
      <c r="P532" s="11">
        <f t="shared" si="735"/>
        <v>3686.9855346354598</v>
      </c>
      <c r="Q532" s="7">
        <f t="shared" si="736"/>
        <v>3686.9855346354598</v>
      </c>
      <c r="R532" t="s">
        <v>206</v>
      </c>
      <c r="S532" s="1">
        <f t="shared" si="737"/>
        <v>60.24</v>
      </c>
      <c r="T532" s="33">
        <f t="shared" si="738"/>
        <v>19751</v>
      </c>
      <c r="AX532"/>
    </row>
    <row r="533" spans="1:50" x14ac:dyDescent="0.25">
      <c r="A533">
        <v>30037</v>
      </c>
      <c r="B533" s="17" t="s">
        <v>583</v>
      </c>
      <c r="C533" s="45">
        <v>45646</v>
      </c>
      <c r="D533" s="46" t="s">
        <v>37</v>
      </c>
      <c r="E533" s="46" t="s">
        <v>41</v>
      </c>
      <c r="F533" s="64">
        <v>1</v>
      </c>
      <c r="G533" s="49"/>
      <c r="H533" s="34" t="s">
        <v>584</v>
      </c>
      <c r="I533" s="28">
        <v>1520</v>
      </c>
      <c r="J533" t="s">
        <v>2</v>
      </c>
      <c r="K533" s="47">
        <v>6000</v>
      </c>
      <c r="L533" s="3" t="s">
        <v>1</v>
      </c>
      <c r="M533" s="33">
        <f t="shared" si="734"/>
        <v>14136</v>
      </c>
      <c r="N533" s="2">
        <f>_xlfn.XLOOKUP(A533,'[1]Prix MP'!$A:$A,'[1]Prix MP'!$T:$T)</f>
        <v>0.475309731763155</v>
      </c>
      <c r="O533" s="2">
        <f>_xlfn.XLOOKUP(A533,'[1]Prix MP'!$A:$A,'[1]Prix MP'!$U:$U)</f>
        <v>0.475309731763155</v>
      </c>
      <c r="P533" s="11">
        <f t="shared" si="735"/>
        <v>6718.9783682039588</v>
      </c>
      <c r="Q533" s="7">
        <f t="shared" si="736"/>
        <v>6718.9783682039588</v>
      </c>
      <c r="R533" t="s">
        <v>206</v>
      </c>
      <c r="S533" s="1">
        <f t="shared" si="737"/>
        <v>59.84</v>
      </c>
      <c r="T533" s="33">
        <f t="shared" si="738"/>
        <v>19685</v>
      </c>
      <c r="AX533"/>
    </row>
    <row r="534" spans="1:50" x14ac:dyDescent="0.25">
      <c r="A534">
        <v>30038</v>
      </c>
      <c r="B534" s="17" t="s">
        <v>34</v>
      </c>
      <c r="C534" s="45">
        <v>45646</v>
      </c>
      <c r="D534" s="46" t="s">
        <v>37</v>
      </c>
      <c r="E534" s="46" t="s">
        <v>41</v>
      </c>
      <c r="F534" s="64">
        <v>1</v>
      </c>
      <c r="G534" s="49"/>
      <c r="H534" s="34" t="s">
        <v>585</v>
      </c>
      <c r="I534" s="28">
        <v>1530</v>
      </c>
      <c r="J534" t="s">
        <v>2</v>
      </c>
      <c r="K534" s="47">
        <v>5930</v>
      </c>
      <c r="L534" s="3" t="s">
        <v>1</v>
      </c>
      <c r="M534" s="33">
        <f t="shared" si="734"/>
        <v>14062.994999999999</v>
      </c>
      <c r="N534" s="2">
        <f>_xlfn.XLOOKUP(A534,'[1]Prix MP'!$A:$A,'[1]Prix MP'!$T:$T)</f>
        <v>0.28991037692444538</v>
      </c>
      <c r="O534" s="2">
        <f>_xlfn.XLOOKUP(A534,'[1]Prix MP'!$A:$A,'[1]Prix MP'!$U:$U)</f>
        <v>0.28991037692444538</v>
      </c>
      <c r="P534" s="11">
        <f t="shared" si="735"/>
        <v>4077.0081811365903</v>
      </c>
      <c r="Q534" s="7">
        <f t="shared" si="736"/>
        <v>4077.0081811365903</v>
      </c>
      <c r="R534" t="s">
        <v>206</v>
      </c>
      <c r="S534" s="1">
        <f t="shared" si="737"/>
        <v>60.24</v>
      </c>
      <c r="T534" s="33">
        <f t="shared" si="738"/>
        <v>19455</v>
      </c>
      <c r="AX534"/>
    </row>
    <row r="535" spans="1:50" x14ac:dyDescent="0.25">
      <c r="A535">
        <v>30038</v>
      </c>
      <c r="B535" s="17" t="s">
        <v>34</v>
      </c>
      <c r="C535" s="45">
        <v>45646</v>
      </c>
      <c r="D535" s="46" t="s">
        <v>37</v>
      </c>
      <c r="E535" s="46" t="s">
        <v>41</v>
      </c>
      <c r="F535" s="64">
        <v>1</v>
      </c>
      <c r="G535" s="49"/>
      <c r="H535" s="34" t="s">
        <v>586</v>
      </c>
      <c r="I535" s="28">
        <v>1530</v>
      </c>
      <c r="J535" t="s">
        <v>2</v>
      </c>
      <c r="K535" s="47">
        <v>6000</v>
      </c>
      <c r="L535" s="3" t="s">
        <v>1</v>
      </c>
      <c r="M535" s="33">
        <f t="shared" si="734"/>
        <v>14229</v>
      </c>
      <c r="N535" s="2">
        <f>_xlfn.XLOOKUP(A535,'[1]Prix MP'!$A:$A,'[1]Prix MP'!$T:$T)</f>
        <v>0.28991037692444538</v>
      </c>
      <c r="O535" s="2">
        <f>_xlfn.XLOOKUP(A535,'[1]Prix MP'!$A:$A,'[1]Prix MP'!$U:$U)</f>
        <v>0.28991037692444538</v>
      </c>
      <c r="P535" s="11">
        <f t="shared" si="735"/>
        <v>4125.134753257933</v>
      </c>
      <c r="Q535" s="7">
        <f t="shared" si="736"/>
        <v>4125.134753257933</v>
      </c>
      <c r="R535" t="s">
        <v>206</v>
      </c>
      <c r="S535" s="1">
        <f t="shared" si="737"/>
        <v>60.24</v>
      </c>
      <c r="T535" s="33">
        <f t="shared" si="738"/>
        <v>19685</v>
      </c>
      <c r="AX535"/>
    </row>
    <row r="536" spans="1:50" x14ac:dyDescent="0.25">
      <c r="A536">
        <v>30039</v>
      </c>
      <c r="B536" s="17" t="s">
        <v>35</v>
      </c>
      <c r="C536" s="45">
        <v>45646</v>
      </c>
      <c r="D536" s="46" t="s">
        <v>37</v>
      </c>
      <c r="E536" s="46" t="s">
        <v>41</v>
      </c>
      <c r="F536" s="64">
        <v>1</v>
      </c>
      <c r="G536" s="49"/>
      <c r="H536" s="34" t="s">
        <v>587</v>
      </c>
      <c r="I536" s="28">
        <v>1530</v>
      </c>
      <c r="J536" t="s">
        <v>2</v>
      </c>
      <c r="K536" s="47">
        <v>6000</v>
      </c>
      <c r="L536" s="3" t="s">
        <v>1</v>
      </c>
      <c r="M536" s="33">
        <f t="shared" si="734"/>
        <v>14229</v>
      </c>
      <c r="N536" s="2">
        <f>_xlfn.XLOOKUP(A536,'[1]Prix MP'!$A:$A,'[1]Prix MP'!$T:$T)</f>
        <v>0.28991037692444538</v>
      </c>
      <c r="O536" s="2">
        <f>_xlfn.XLOOKUP(A536,'[1]Prix MP'!$A:$A,'[1]Prix MP'!$U:$U)</f>
        <v>0.28991037692444538</v>
      </c>
      <c r="P536" s="11">
        <f t="shared" si="735"/>
        <v>4125.134753257933</v>
      </c>
      <c r="Q536" s="7">
        <f t="shared" si="736"/>
        <v>4125.134753257933</v>
      </c>
      <c r="R536" t="s">
        <v>206</v>
      </c>
      <c r="S536" s="1">
        <f t="shared" si="737"/>
        <v>60.24</v>
      </c>
      <c r="T536" s="33">
        <f t="shared" si="738"/>
        <v>19685</v>
      </c>
      <c r="AX536"/>
    </row>
    <row r="537" spans="1:50" x14ac:dyDescent="0.25">
      <c r="A537">
        <v>30039</v>
      </c>
      <c r="B537" s="17" t="s">
        <v>35</v>
      </c>
      <c r="C537" s="45">
        <v>45646</v>
      </c>
      <c r="D537" s="46" t="s">
        <v>37</v>
      </c>
      <c r="E537" s="46" t="s">
        <v>42</v>
      </c>
      <c r="F537" s="64">
        <v>1</v>
      </c>
      <c r="G537" s="49"/>
      <c r="H537" s="34" t="s">
        <v>588</v>
      </c>
      <c r="I537" s="28">
        <v>1530</v>
      </c>
      <c r="J537" t="s">
        <v>2</v>
      </c>
      <c r="K537" s="47">
        <v>6000</v>
      </c>
      <c r="L537" s="3" t="s">
        <v>1</v>
      </c>
      <c r="M537" s="33">
        <f t="shared" si="734"/>
        <v>14229</v>
      </c>
      <c r="N537" s="2">
        <f>_xlfn.XLOOKUP(A537,'[1]Prix MP'!$A:$A,'[1]Prix MP'!$T:$T)</f>
        <v>0.28991037692444538</v>
      </c>
      <c r="O537" s="2">
        <f>_xlfn.XLOOKUP(A537,'[1]Prix MP'!$A:$A,'[1]Prix MP'!$U:$U)</f>
        <v>0.28991037692444538</v>
      </c>
      <c r="P537" s="11">
        <f t="shared" si="735"/>
        <v>4125.134753257933</v>
      </c>
      <c r="Q537" s="7">
        <f t="shared" si="736"/>
        <v>4125.134753257933</v>
      </c>
      <c r="R537" t="s">
        <v>206</v>
      </c>
      <c r="S537" s="1">
        <f t="shared" si="737"/>
        <v>0</v>
      </c>
      <c r="T537" s="33">
        <f t="shared" si="738"/>
        <v>0</v>
      </c>
      <c r="AX537"/>
    </row>
    <row r="538" spans="1:50" x14ac:dyDescent="0.25">
      <c r="A538">
        <v>30039</v>
      </c>
      <c r="B538" s="17" t="s">
        <v>35</v>
      </c>
      <c r="C538" s="45">
        <v>45678</v>
      </c>
      <c r="D538" s="46" t="s">
        <v>176</v>
      </c>
      <c r="E538" s="46" t="s">
        <v>42</v>
      </c>
      <c r="F538" s="64">
        <v>-1</v>
      </c>
      <c r="G538" s="49" t="s">
        <v>683</v>
      </c>
      <c r="H538" s="34" t="s">
        <v>588</v>
      </c>
      <c r="I538" s="28">
        <v>1530</v>
      </c>
      <c r="J538" t="s">
        <v>2</v>
      </c>
      <c r="K538" s="47">
        <v>6000</v>
      </c>
      <c r="L538" s="3" t="s">
        <v>1</v>
      </c>
      <c r="M538" s="33">
        <f t="shared" ref="M538" si="758">IF(J538="mm",F538*I538/1000*K538*1.55,F538*I538*12*K538/1000)</f>
        <v>-14229</v>
      </c>
      <c r="N538" s="2">
        <f>_xlfn.XLOOKUP(A538,'[1]Prix MP'!$A:$A,'[1]Prix MP'!$T:$T)</f>
        <v>0.28991037692444538</v>
      </c>
      <c r="O538" s="2">
        <f>_xlfn.XLOOKUP(A538,'[1]Prix MP'!$A:$A,'[1]Prix MP'!$U:$U)</f>
        <v>0.28991037692444538</v>
      </c>
      <c r="P538" s="11">
        <f t="shared" ref="P538" si="759">M538*N538</f>
        <v>-4125.134753257933</v>
      </c>
      <c r="Q538" s="7">
        <f t="shared" ref="Q538" si="760">M538*O538</f>
        <v>-4125.134753257933</v>
      </c>
      <c r="R538" t="s">
        <v>206</v>
      </c>
      <c r="S538" s="1">
        <f>ROUND(IF(E538="I",0,IF(J538="po",I538,I538/25.4)),2)</f>
        <v>0</v>
      </c>
      <c r="T538" s="33">
        <f>ROUND(IF(E538="I",0,IF(J538="po",K538,K538*3.280839895)),0)</f>
        <v>0</v>
      </c>
      <c r="AX538"/>
    </row>
    <row r="539" spans="1:50" x14ac:dyDescent="0.25">
      <c r="A539">
        <v>30039</v>
      </c>
      <c r="B539" s="17" t="s">
        <v>35</v>
      </c>
      <c r="C539" s="45">
        <v>45646</v>
      </c>
      <c r="D539" s="46" t="s">
        <v>37</v>
      </c>
      <c r="E539" s="46" t="s">
        <v>41</v>
      </c>
      <c r="F539" s="64">
        <v>1</v>
      </c>
      <c r="G539" s="49"/>
      <c r="H539" s="34" t="s">
        <v>589</v>
      </c>
      <c r="I539" s="28">
        <v>1530</v>
      </c>
      <c r="J539" t="s">
        <v>2</v>
      </c>
      <c r="K539" s="47">
        <v>6000</v>
      </c>
      <c r="L539" s="3" t="s">
        <v>1</v>
      </c>
      <c r="M539" s="33">
        <f t="shared" si="734"/>
        <v>14229</v>
      </c>
      <c r="N539" s="2">
        <f>_xlfn.XLOOKUP(A539,'[1]Prix MP'!$A:$A,'[1]Prix MP'!$T:$T)</f>
        <v>0.28991037692444538</v>
      </c>
      <c r="O539" s="2">
        <f>_xlfn.XLOOKUP(A539,'[1]Prix MP'!$A:$A,'[1]Prix MP'!$U:$U)</f>
        <v>0.28991037692444538</v>
      </c>
      <c r="P539" s="11">
        <f t="shared" si="735"/>
        <v>4125.134753257933</v>
      </c>
      <c r="Q539" s="7">
        <f t="shared" si="736"/>
        <v>4125.134753257933</v>
      </c>
      <c r="R539" t="s">
        <v>206</v>
      </c>
      <c r="S539" s="1">
        <f t="shared" si="737"/>
        <v>60.24</v>
      </c>
      <c r="T539" s="33">
        <f t="shared" si="738"/>
        <v>19685</v>
      </c>
      <c r="AX539"/>
    </row>
    <row r="540" spans="1:50" x14ac:dyDescent="0.25">
      <c r="A540">
        <v>30039</v>
      </c>
      <c r="B540" s="17" t="s">
        <v>35</v>
      </c>
      <c r="C540" s="45">
        <v>45646</v>
      </c>
      <c r="D540" s="46" t="s">
        <v>37</v>
      </c>
      <c r="E540" s="46" t="s">
        <v>41</v>
      </c>
      <c r="F540" s="64">
        <v>1</v>
      </c>
      <c r="G540" s="49"/>
      <c r="H540" s="34" t="s">
        <v>590</v>
      </c>
      <c r="I540" s="28">
        <v>1530</v>
      </c>
      <c r="J540" t="s">
        <v>2</v>
      </c>
      <c r="K540" s="47">
        <v>6000</v>
      </c>
      <c r="L540" s="3" t="s">
        <v>1</v>
      </c>
      <c r="M540" s="33">
        <f t="shared" si="734"/>
        <v>14229</v>
      </c>
      <c r="N540" s="2">
        <f>_xlfn.XLOOKUP(A540,'[1]Prix MP'!$A:$A,'[1]Prix MP'!$T:$T)</f>
        <v>0.28991037692444538</v>
      </c>
      <c r="O540" s="2">
        <f>_xlfn.XLOOKUP(A540,'[1]Prix MP'!$A:$A,'[1]Prix MP'!$U:$U)</f>
        <v>0.28991037692444538</v>
      </c>
      <c r="P540" s="11">
        <f t="shared" si="735"/>
        <v>4125.134753257933</v>
      </c>
      <c r="Q540" s="7">
        <f t="shared" si="736"/>
        <v>4125.134753257933</v>
      </c>
      <c r="R540" t="s">
        <v>206</v>
      </c>
      <c r="S540" s="1">
        <f t="shared" si="737"/>
        <v>60.24</v>
      </c>
      <c r="T540" s="33">
        <f t="shared" si="738"/>
        <v>19685</v>
      </c>
      <c r="AX540"/>
    </row>
    <row r="541" spans="1:50" x14ac:dyDescent="0.25">
      <c r="A541">
        <v>30039</v>
      </c>
      <c r="B541" s="17" t="s">
        <v>35</v>
      </c>
      <c r="C541" s="45">
        <v>45646</v>
      </c>
      <c r="D541" s="46" t="s">
        <v>37</v>
      </c>
      <c r="E541" s="46" t="s">
        <v>41</v>
      </c>
      <c r="F541" s="64">
        <v>1</v>
      </c>
      <c r="G541" s="49"/>
      <c r="H541" s="34" t="s">
        <v>591</v>
      </c>
      <c r="I541" s="28">
        <v>1530</v>
      </c>
      <c r="J541" t="s">
        <v>2</v>
      </c>
      <c r="K541" s="47">
        <v>6080</v>
      </c>
      <c r="L541" s="3" t="s">
        <v>1</v>
      </c>
      <c r="M541" s="33">
        <f t="shared" si="734"/>
        <v>14418.72</v>
      </c>
      <c r="N541" s="2">
        <f>_xlfn.XLOOKUP(A541,'[1]Prix MP'!$A:$A,'[1]Prix MP'!$T:$T)</f>
        <v>0.28991037692444538</v>
      </c>
      <c r="O541" s="2">
        <f>_xlfn.XLOOKUP(A541,'[1]Prix MP'!$A:$A,'[1]Prix MP'!$U:$U)</f>
        <v>0.28991037692444538</v>
      </c>
      <c r="P541" s="11">
        <f t="shared" si="735"/>
        <v>4180.1365499680387</v>
      </c>
      <c r="Q541" s="7">
        <f t="shared" si="736"/>
        <v>4180.1365499680387</v>
      </c>
      <c r="R541" t="s">
        <v>206</v>
      </c>
      <c r="S541" s="1">
        <f t="shared" si="737"/>
        <v>60.24</v>
      </c>
      <c r="T541" s="33">
        <f t="shared" si="738"/>
        <v>19948</v>
      </c>
      <c r="AX541"/>
    </row>
    <row r="542" spans="1:50" x14ac:dyDescent="0.25">
      <c r="A542">
        <v>30039</v>
      </c>
      <c r="B542" s="17" t="s">
        <v>35</v>
      </c>
      <c r="C542" s="45">
        <v>45646</v>
      </c>
      <c r="D542" s="46" t="s">
        <v>37</v>
      </c>
      <c r="E542" s="46" t="s">
        <v>41</v>
      </c>
      <c r="F542" s="64">
        <v>1</v>
      </c>
      <c r="G542" s="49"/>
      <c r="H542" s="34" t="s">
        <v>592</v>
      </c>
      <c r="I542" s="28">
        <v>1530</v>
      </c>
      <c r="J542" t="s">
        <v>2</v>
      </c>
      <c r="K542" s="47">
        <v>6080</v>
      </c>
      <c r="L542" s="3" t="s">
        <v>1</v>
      </c>
      <c r="M542" s="33">
        <f t="shared" si="734"/>
        <v>14418.72</v>
      </c>
      <c r="N542" s="2">
        <f>_xlfn.XLOOKUP(A542,'[1]Prix MP'!$A:$A,'[1]Prix MP'!$T:$T)</f>
        <v>0.28991037692444538</v>
      </c>
      <c r="O542" s="2">
        <f>_xlfn.XLOOKUP(A542,'[1]Prix MP'!$A:$A,'[1]Prix MP'!$U:$U)</f>
        <v>0.28991037692444538</v>
      </c>
      <c r="P542" s="11">
        <f t="shared" si="735"/>
        <v>4180.1365499680387</v>
      </c>
      <c r="Q542" s="7">
        <f t="shared" si="736"/>
        <v>4180.1365499680387</v>
      </c>
      <c r="R542" t="s">
        <v>206</v>
      </c>
      <c r="S542" s="1">
        <f t="shared" si="737"/>
        <v>60.24</v>
      </c>
      <c r="T542" s="33">
        <f t="shared" si="738"/>
        <v>19948</v>
      </c>
      <c r="AX542"/>
    </row>
    <row r="543" spans="1:50" x14ac:dyDescent="0.25">
      <c r="A543">
        <v>30039</v>
      </c>
      <c r="B543" s="17" t="s">
        <v>35</v>
      </c>
      <c r="C543" s="45">
        <v>45646</v>
      </c>
      <c r="D543" s="46" t="s">
        <v>37</v>
      </c>
      <c r="E543" s="46" t="s">
        <v>41</v>
      </c>
      <c r="F543" s="64">
        <v>1</v>
      </c>
      <c r="G543" s="49"/>
      <c r="H543" s="34" t="s">
        <v>593</v>
      </c>
      <c r="I543" s="28">
        <v>1530</v>
      </c>
      <c r="J543" t="s">
        <v>2</v>
      </c>
      <c r="K543" s="47">
        <v>5980</v>
      </c>
      <c r="L543" s="3" t="s">
        <v>1</v>
      </c>
      <c r="M543" s="33">
        <f t="shared" si="734"/>
        <v>14181.57</v>
      </c>
      <c r="N543" s="2">
        <f>_xlfn.XLOOKUP(A543,'[1]Prix MP'!$A:$A,'[1]Prix MP'!$T:$T)</f>
        <v>0.28991037692444538</v>
      </c>
      <c r="O543" s="2">
        <f>_xlfn.XLOOKUP(A543,'[1]Prix MP'!$A:$A,'[1]Prix MP'!$U:$U)</f>
        <v>0.28991037692444538</v>
      </c>
      <c r="P543" s="11">
        <f t="shared" si="735"/>
        <v>4111.3843040804068</v>
      </c>
      <c r="Q543" s="7">
        <f t="shared" si="736"/>
        <v>4111.3843040804068</v>
      </c>
      <c r="R543" t="s">
        <v>206</v>
      </c>
      <c r="S543" s="1">
        <f t="shared" si="737"/>
        <v>60.24</v>
      </c>
      <c r="T543" s="33">
        <f t="shared" si="738"/>
        <v>19619</v>
      </c>
      <c r="AX543"/>
    </row>
    <row r="544" spans="1:50" x14ac:dyDescent="0.25">
      <c r="A544">
        <v>30039</v>
      </c>
      <c r="B544" s="17" t="s">
        <v>35</v>
      </c>
      <c r="C544" s="45">
        <v>45646</v>
      </c>
      <c r="D544" s="46" t="s">
        <v>37</v>
      </c>
      <c r="E544" s="46" t="s">
        <v>41</v>
      </c>
      <c r="F544" s="64">
        <v>1</v>
      </c>
      <c r="G544" s="49"/>
      <c r="H544" s="34" t="s">
        <v>594</v>
      </c>
      <c r="I544" s="28">
        <v>1530</v>
      </c>
      <c r="J544" t="s">
        <v>2</v>
      </c>
      <c r="K544" s="47">
        <v>6050</v>
      </c>
      <c r="L544" s="3" t="s">
        <v>1</v>
      </c>
      <c r="M544" s="33">
        <f t="shared" si="734"/>
        <v>14347.575000000001</v>
      </c>
      <c r="N544" s="2">
        <f>_xlfn.XLOOKUP(A544,'[1]Prix MP'!$A:$A,'[1]Prix MP'!$T:$T)</f>
        <v>0.28991037692444538</v>
      </c>
      <c r="O544" s="2">
        <f>_xlfn.XLOOKUP(A544,'[1]Prix MP'!$A:$A,'[1]Prix MP'!$U:$U)</f>
        <v>0.28991037692444538</v>
      </c>
      <c r="P544" s="11">
        <f t="shared" si="735"/>
        <v>4159.5108762017499</v>
      </c>
      <c r="Q544" s="7">
        <f t="shared" si="736"/>
        <v>4159.5108762017499</v>
      </c>
      <c r="R544" t="s">
        <v>206</v>
      </c>
      <c r="S544" s="1">
        <f t="shared" si="737"/>
        <v>60.24</v>
      </c>
      <c r="T544" s="33">
        <f t="shared" si="738"/>
        <v>19849</v>
      </c>
      <c r="AX544"/>
    </row>
    <row r="545" spans="1:50" x14ac:dyDescent="0.25">
      <c r="A545">
        <v>30039</v>
      </c>
      <c r="B545" s="17" t="s">
        <v>35</v>
      </c>
      <c r="C545" s="45">
        <v>45646</v>
      </c>
      <c r="D545" s="46" t="s">
        <v>37</v>
      </c>
      <c r="E545" s="46" t="s">
        <v>41</v>
      </c>
      <c r="F545" s="64">
        <v>1</v>
      </c>
      <c r="G545" s="49"/>
      <c r="H545" s="34" t="s">
        <v>595</v>
      </c>
      <c r="I545" s="28">
        <v>1530</v>
      </c>
      <c r="J545" t="s">
        <v>2</v>
      </c>
      <c r="K545" s="47">
        <v>5730</v>
      </c>
      <c r="L545" s="3" t="s">
        <v>1</v>
      </c>
      <c r="M545" s="33">
        <f t="shared" si="734"/>
        <v>13588.695</v>
      </c>
      <c r="N545" s="2">
        <f>_xlfn.XLOOKUP(A545,'[1]Prix MP'!$A:$A,'[1]Prix MP'!$T:$T)</f>
        <v>0.28991037692444538</v>
      </c>
      <c r="O545" s="2">
        <f>_xlfn.XLOOKUP(A545,'[1]Prix MP'!$A:$A,'[1]Prix MP'!$U:$U)</f>
        <v>0.28991037692444538</v>
      </c>
      <c r="P545" s="11">
        <f t="shared" si="735"/>
        <v>3939.503689361326</v>
      </c>
      <c r="Q545" s="7">
        <f t="shared" si="736"/>
        <v>3939.503689361326</v>
      </c>
      <c r="R545" t="s">
        <v>206</v>
      </c>
      <c r="S545" s="1">
        <f t="shared" si="737"/>
        <v>60.24</v>
      </c>
      <c r="T545" s="33">
        <f t="shared" si="738"/>
        <v>18799</v>
      </c>
      <c r="AX545"/>
    </row>
    <row r="546" spans="1:50" x14ac:dyDescent="0.25">
      <c r="A546">
        <v>30039</v>
      </c>
      <c r="B546" s="17" t="s">
        <v>35</v>
      </c>
      <c r="C546" s="45">
        <v>45646</v>
      </c>
      <c r="D546" s="46" t="s">
        <v>37</v>
      </c>
      <c r="E546" s="46" t="s">
        <v>41</v>
      </c>
      <c r="F546" s="64">
        <v>1</v>
      </c>
      <c r="G546" s="49"/>
      <c r="H546" s="34" t="s">
        <v>596</v>
      </c>
      <c r="I546" s="28">
        <v>1530</v>
      </c>
      <c r="J546" t="s">
        <v>2</v>
      </c>
      <c r="K546" s="47">
        <v>6060</v>
      </c>
      <c r="L546" s="3" t="s">
        <v>1</v>
      </c>
      <c r="M546" s="33">
        <f t="shared" si="734"/>
        <v>14371.289999999999</v>
      </c>
      <c r="N546" s="2">
        <f>_xlfn.XLOOKUP(A546,'[1]Prix MP'!$A:$A,'[1]Prix MP'!$T:$T)</f>
        <v>0.28991037692444538</v>
      </c>
      <c r="O546" s="2">
        <f>_xlfn.XLOOKUP(A546,'[1]Prix MP'!$A:$A,'[1]Prix MP'!$U:$U)</f>
        <v>0.28991037692444538</v>
      </c>
      <c r="P546" s="11">
        <f t="shared" si="735"/>
        <v>4166.3861007905125</v>
      </c>
      <c r="Q546" s="7">
        <f t="shared" si="736"/>
        <v>4166.3861007905125</v>
      </c>
      <c r="R546" t="s">
        <v>206</v>
      </c>
      <c r="S546" s="1">
        <f t="shared" si="737"/>
        <v>60.24</v>
      </c>
      <c r="T546" s="33">
        <f t="shared" si="738"/>
        <v>19882</v>
      </c>
      <c r="AX546"/>
    </row>
    <row r="547" spans="1:50" x14ac:dyDescent="0.25">
      <c r="A547">
        <v>30042</v>
      </c>
      <c r="B547" s="17" t="s">
        <v>30</v>
      </c>
      <c r="C547" s="45">
        <v>45672</v>
      </c>
      <c r="D547" s="46" t="s">
        <v>37</v>
      </c>
      <c r="E547" s="46" t="s">
        <v>41</v>
      </c>
      <c r="F547" s="64">
        <v>1</v>
      </c>
      <c r="G547" s="49"/>
      <c r="H547" s="34" t="s">
        <v>637</v>
      </c>
      <c r="I547" s="28">
        <v>1540</v>
      </c>
      <c r="J547" t="s">
        <v>2</v>
      </c>
      <c r="K547" s="47">
        <v>3200</v>
      </c>
      <c r="L547" s="3" t="s">
        <v>1</v>
      </c>
      <c r="M547" s="33">
        <f t="shared" ref="M547:M587" si="761">IF(J547="mm",F547*I547/1000*K547*1.55,F547*I547*12*K547/1000)</f>
        <v>7638.4000000000005</v>
      </c>
      <c r="N547" s="2">
        <f>_xlfn.XLOOKUP(A547,'[1]Prix MP'!$A:$A,'[1]Prix MP'!$T:$T)</f>
        <v>0.2734860931279533</v>
      </c>
      <c r="O547" s="18">
        <f>_xlfn.XLOOKUP(A547,'[1]Prix MP'!$A:$A,'[1]Prix MP'!$U:$U)</f>
        <v>0.2734860931279533</v>
      </c>
      <c r="P547" s="11">
        <f t="shared" ref="P547:P587" si="762">M547*N547</f>
        <v>2088.9961737485587</v>
      </c>
      <c r="Q547" s="7">
        <f t="shared" si="736"/>
        <v>2088.9961737485587</v>
      </c>
      <c r="R547" t="s">
        <v>203</v>
      </c>
      <c r="S547" s="1">
        <f t="shared" ref="S547:S587" si="763">ROUND(IF(E547="I",0,IF(J547="po",I547,I547/25.4)),2)</f>
        <v>60.63</v>
      </c>
      <c r="T547" s="33">
        <f t="shared" ref="T547:T587" si="764">ROUND(IF(E547="I",0,IF(J547="po",K547,K547*3.280839895)),0)</f>
        <v>10499</v>
      </c>
      <c r="AX547"/>
    </row>
    <row r="548" spans="1:50" x14ac:dyDescent="0.25">
      <c r="A548">
        <v>30042</v>
      </c>
      <c r="B548" s="17" t="s">
        <v>30</v>
      </c>
      <c r="C548" s="45">
        <v>45672</v>
      </c>
      <c r="D548" s="46" t="s">
        <v>37</v>
      </c>
      <c r="E548" s="46" t="s">
        <v>41</v>
      </c>
      <c r="F548" s="64">
        <v>1</v>
      </c>
      <c r="G548" s="49"/>
      <c r="H548" s="34" t="s">
        <v>638</v>
      </c>
      <c r="I548" s="28">
        <v>1540</v>
      </c>
      <c r="J548" t="s">
        <v>2</v>
      </c>
      <c r="K548" s="47">
        <v>3200</v>
      </c>
      <c r="L548" s="3" t="s">
        <v>1</v>
      </c>
      <c r="M548" s="33">
        <f t="shared" si="761"/>
        <v>7638.4000000000005</v>
      </c>
      <c r="N548" s="2">
        <f>_xlfn.XLOOKUP(A548,'[1]Prix MP'!$A:$A,'[1]Prix MP'!$T:$T)</f>
        <v>0.2734860931279533</v>
      </c>
      <c r="O548" s="18">
        <f>_xlfn.XLOOKUP(A548,'[1]Prix MP'!$A:$A,'[1]Prix MP'!$U:$U)</f>
        <v>0.2734860931279533</v>
      </c>
      <c r="P548" s="11">
        <f t="shared" si="762"/>
        <v>2088.9961737485587</v>
      </c>
      <c r="Q548" s="7">
        <f t="shared" si="736"/>
        <v>2088.9961737485587</v>
      </c>
      <c r="R548" t="s">
        <v>203</v>
      </c>
      <c r="S548" s="1">
        <f t="shared" si="763"/>
        <v>60.63</v>
      </c>
      <c r="T548" s="33">
        <f t="shared" si="764"/>
        <v>10499</v>
      </c>
      <c r="AX548"/>
    </row>
    <row r="549" spans="1:50" x14ac:dyDescent="0.25">
      <c r="A549">
        <v>30042</v>
      </c>
      <c r="B549" s="17" t="s">
        <v>30</v>
      </c>
      <c r="C549" s="45">
        <v>45672</v>
      </c>
      <c r="D549" s="46" t="s">
        <v>37</v>
      </c>
      <c r="E549" s="46" t="s">
        <v>42</v>
      </c>
      <c r="F549" s="64">
        <v>1</v>
      </c>
      <c r="G549" s="49"/>
      <c r="H549" s="34" t="s">
        <v>639</v>
      </c>
      <c r="I549" s="28">
        <v>1540</v>
      </c>
      <c r="J549" t="s">
        <v>2</v>
      </c>
      <c r="K549" s="47">
        <v>3200</v>
      </c>
      <c r="L549" s="3" t="s">
        <v>1</v>
      </c>
      <c r="M549" s="33">
        <f t="shared" si="761"/>
        <v>7638.4000000000005</v>
      </c>
      <c r="N549" s="2">
        <f>_xlfn.XLOOKUP(A549,'[1]Prix MP'!$A:$A,'[1]Prix MP'!$T:$T)</f>
        <v>0.2734860931279533</v>
      </c>
      <c r="O549" s="18">
        <f>_xlfn.XLOOKUP(A549,'[1]Prix MP'!$A:$A,'[1]Prix MP'!$U:$U)</f>
        <v>0.2734860931279533</v>
      </c>
      <c r="P549" s="11">
        <f t="shared" si="762"/>
        <v>2088.9961737485587</v>
      </c>
      <c r="Q549" s="7">
        <f t="shared" si="736"/>
        <v>2088.9961737485587</v>
      </c>
      <c r="R549" t="s">
        <v>203</v>
      </c>
      <c r="S549" s="1">
        <f t="shared" si="763"/>
        <v>0</v>
      </c>
      <c r="T549" s="33">
        <f t="shared" si="764"/>
        <v>0</v>
      </c>
      <c r="AX549"/>
    </row>
    <row r="550" spans="1:50" x14ac:dyDescent="0.25">
      <c r="A550">
        <v>30042</v>
      </c>
      <c r="B550" s="17" t="s">
        <v>30</v>
      </c>
      <c r="C550" s="45">
        <v>45673</v>
      </c>
      <c r="D550" s="46" t="s">
        <v>176</v>
      </c>
      <c r="E550" s="46" t="s">
        <v>42</v>
      </c>
      <c r="F550" s="64">
        <v>-1</v>
      </c>
      <c r="G550" s="49" t="s">
        <v>671</v>
      </c>
      <c r="H550" s="34" t="s">
        <v>639</v>
      </c>
      <c r="I550" s="28">
        <v>1540</v>
      </c>
      <c r="J550" t="s">
        <v>2</v>
      </c>
      <c r="K550" s="47">
        <v>3200</v>
      </c>
      <c r="L550" s="3" t="s">
        <v>1</v>
      </c>
      <c r="M550" s="33">
        <f t="shared" ref="M550" si="765">IF(J550="mm",F550*I550/1000*K550*1.55,F550*I550*12*K550/1000)</f>
        <v>-7638.4000000000005</v>
      </c>
      <c r="N550" s="2">
        <f>_xlfn.XLOOKUP(A550,'[1]Prix MP'!$A:$A,'[1]Prix MP'!$T:$T)</f>
        <v>0.2734860931279533</v>
      </c>
      <c r="O550" s="18">
        <f>_xlfn.XLOOKUP(A550,'[1]Prix MP'!$A:$A,'[1]Prix MP'!$U:$U)</f>
        <v>0.2734860931279533</v>
      </c>
      <c r="P550" s="11">
        <f t="shared" ref="P550" si="766">M550*N550</f>
        <v>-2088.9961737485587</v>
      </c>
      <c r="Q550" s="7">
        <f t="shared" ref="Q550" si="767">M550*O550</f>
        <v>-2088.9961737485587</v>
      </c>
      <c r="R550" t="s">
        <v>203</v>
      </c>
      <c r="S550" s="1">
        <f>ROUND(IF(E550="I",0,IF(J550="po",I550,I550/25.4)),2)</f>
        <v>0</v>
      </c>
      <c r="T550" s="33">
        <f>ROUND(IF(E550="I",0,IF(J550="po",K550,K550*3.280839895)),0)</f>
        <v>0</v>
      </c>
      <c r="AX550"/>
    </row>
    <row r="551" spans="1:50" x14ac:dyDescent="0.25">
      <c r="A551">
        <v>30042</v>
      </c>
      <c r="B551" s="17" t="s">
        <v>30</v>
      </c>
      <c r="C551" s="45">
        <v>45672</v>
      </c>
      <c r="D551" s="46" t="s">
        <v>37</v>
      </c>
      <c r="E551" s="46" t="s">
        <v>42</v>
      </c>
      <c r="F551" s="64">
        <v>1</v>
      </c>
      <c r="G551" s="49"/>
      <c r="H551" s="34" t="s">
        <v>640</v>
      </c>
      <c r="I551" s="28">
        <v>1540</v>
      </c>
      <c r="J551" t="s">
        <v>2</v>
      </c>
      <c r="K551" s="47">
        <v>3200</v>
      </c>
      <c r="L551" s="3" t="s">
        <v>1</v>
      </c>
      <c r="M551" s="33">
        <f t="shared" si="761"/>
        <v>7638.4000000000005</v>
      </c>
      <c r="N551" s="2">
        <f>_xlfn.XLOOKUP(A551,'[1]Prix MP'!$A:$A,'[1]Prix MP'!$T:$T)</f>
        <v>0.2734860931279533</v>
      </c>
      <c r="O551" s="18">
        <f>_xlfn.XLOOKUP(A551,'[1]Prix MP'!$A:$A,'[1]Prix MP'!$U:$U)</f>
        <v>0.2734860931279533</v>
      </c>
      <c r="P551" s="11">
        <f t="shared" si="762"/>
        <v>2088.9961737485587</v>
      </c>
      <c r="Q551" s="7">
        <f t="shared" si="736"/>
        <v>2088.9961737485587</v>
      </c>
      <c r="R551" t="s">
        <v>203</v>
      </c>
      <c r="S551" s="1">
        <f t="shared" si="763"/>
        <v>0</v>
      </c>
      <c r="T551" s="33">
        <f t="shared" si="764"/>
        <v>0</v>
      </c>
      <c r="AX551"/>
    </row>
    <row r="552" spans="1:50" x14ac:dyDescent="0.25">
      <c r="A552">
        <v>30042</v>
      </c>
      <c r="B552" s="17" t="s">
        <v>30</v>
      </c>
      <c r="C552" s="45">
        <v>45673</v>
      </c>
      <c r="D552" s="46" t="s">
        <v>176</v>
      </c>
      <c r="E552" s="46" t="s">
        <v>42</v>
      </c>
      <c r="F552" s="64">
        <v>-1</v>
      </c>
      <c r="G552" s="49" t="s">
        <v>671</v>
      </c>
      <c r="H552" s="34" t="s">
        <v>640</v>
      </c>
      <c r="I552" s="28">
        <v>1540</v>
      </c>
      <c r="J552" t="s">
        <v>2</v>
      </c>
      <c r="K552" s="47">
        <v>3200</v>
      </c>
      <c r="L552" s="3" t="s">
        <v>1</v>
      </c>
      <c r="M552" s="33">
        <f t="shared" ref="M552" si="768">IF(J552="mm",F552*I552/1000*K552*1.55,F552*I552*12*K552/1000)</f>
        <v>-7638.4000000000005</v>
      </c>
      <c r="N552" s="2">
        <f>_xlfn.XLOOKUP(A552,'[1]Prix MP'!$A:$A,'[1]Prix MP'!$T:$T)</f>
        <v>0.2734860931279533</v>
      </c>
      <c r="O552" s="18">
        <f>_xlfn.XLOOKUP(A552,'[1]Prix MP'!$A:$A,'[1]Prix MP'!$U:$U)</f>
        <v>0.2734860931279533</v>
      </c>
      <c r="P552" s="11">
        <f t="shared" ref="P552" si="769">M552*N552</f>
        <v>-2088.9961737485587</v>
      </c>
      <c r="Q552" s="7">
        <f t="shared" ref="Q552" si="770">M552*O552</f>
        <v>-2088.9961737485587</v>
      </c>
      <c r="R552" t="s">
        <v>203</v>
      </c>
      <c r="S552" s="1">
        <f>ROUND(IF(E552="I",0,IF(J552="po",I552,I552/25.4)),2)</f>
        <v>0</v>
      </c>
      <c r="T552" s="33">
        <f>ROUND(IF(E552="I",0,IF(J552="po",K552,K552*3.280839895)),0)</f>
        <v>0</v>
      </c>
      <c r="AX552"/>
    </row>
    <row r="553" spans="1:50" x14ac:dyDescent="0.25">
      <c r="A553">
        <v>30042</v>
      </c>
      <c r="B553" s="17" t="s">
        <v>30</v>
      </c>
      <c r="C553" s="45">
        <v>45672</v>
      </c>
      <c r="D553" s="46" t="s">
        <v>37</v>
      </c>
      <c r="E553" s="46" t="s">
        <v>42</v>
      </c>
      <c r="F553" s="64">
        <v>1</v>
      </c>
      <c r="G553" s="49"/>
      <c r="H553" s="34" t="s">
        <v>641</v>
      </c>
      <c r="I553" s="28">
        <v>1540</v>
      </c>
      <c r="J553" t="s">
        <v>2</v>
      </c>
      <c r="K553" s="47">
        <v>3200</v>
      </c>
      <c r="L553" s="3" t="s">
        <v>1</v>
      </c>
      <c r="M553" s="33">
        <f t="shared" si="761"/>
        <v>7638.4000000000005</v>
      </c>
      <c r="N553" s="2">
        <f>_xlfn.XLOOKUP(A553,'[1]Prix MP'!$A:$A,'[1]Prix MP'!$T:$T)</f>
        <v>0.2734860931279533</v>
      </c>
      <c r="O553" s="18">
        <f>_xlfn.XLOOKUP(A553,'[1]Prix MP'!$A:$A,'[1]Prix MP'!$U:$U)</f>
        <v>0.2734860931279533</v>
      </c>
      <c r="P553" s="11">
        <f t="shared" si="762"/>
        <v>2088.9961737485587</v>
      </c>
      <c r="Q553" s="7">
        <f t="shared" si="736"/>
        <v>2088.9961737485587</v>
      </c>
      <c r="R553" t="s">
        <v>203</v>
      </c>
      <c r="S553" s="1">
        <f t="shared" si="763"/>
        <v>0</v>
      </c>
      <c r="T553" s="33">
        <f t="shared" si="764"/>
        <v>0</v>
      </c>
      <c r="AX553"/>
    </row>
    <row r="554" spans="1:50" x14ac:dyDescent="0.25">
      <c r="A554">
        <v>30042</v>
      </c>
      <c r="B554" s="17" t="s">
        <v>30</v>
      </c>
      <c r="C554" s="45">
        <v>45673</v>
      </c>
      <c r="D554" s="46" t="s">
        <v>176</v>
      </c>
      <c r="E554" s="46" t="s">
        <v>42</v>
      </c>
      <c r="F554" s="64">
        <v>-1</v>
      </c>
      <c r="G554" s="49" t="s">
        <v>671</v>
      </c>
      <c r="H554" s="34" t="s">
        <v>641</v>
      </c>
      <c r="I554" s="28">
        <v>1540</v>
      </c>
      <c r="J554" t="s">
        <v>2</v>
      </c>
      <c r="K554" s="47">
        <v>3200</v>
      </c>
      <c r="L554" s="3" t="s">
        <v>1</v>
      </c>
      <c r="M554" s="33">
        <f t="shared" ref="M554" si="771">IF(J554="mm",F554*I554/1000*K554*1.55,F554*I554*12*K554/1000)</f>
        <v>-7638.4000000000005</v>
      </c>
      <c r="N554" s="2">
        <f>_xlfn.XLOOKUP(A554,'[1]Prix MP'!$A:$A,'[1]Prix MP'!$T:$T)</f>
        <v>0.2734860931279533</v>
      </c>
      <c r="O554" s="18">
        <f>_xlfn.XLOOKUP(A554,'[1]Prix MP'!$A:$A,'[1]Prix MP'!$U:$U)</f>
        <v>0.2734860931279533</v>
      </c>
      <c r="P554" s="11">
        <f t="shared" ref="P554" si="772">M554*N554</f>
        <v>-2088.9961737485587</v>
      </c>
      <c r="Q554" s="7">
        <f t="shared" ref="Q554" si="773">M554*O554</f>
        <v>-2088.9961737485587</v>
      </c>
      <c r="R554" t="s">
        <v>203</v>
      </c>
      <c r="S554" s="1">
        <f>ROUND(IF(E554="I",0,IF(J554="po",I554,I554/25.4)),2)</f>
        <v>0</v>
      </c>
      <c r="T554" s="33">
        <f>ROUND(IF(E554="I",0,IF(J554="po",K554,K554*3.280839895)),0)</f>
        <v>0</v>
      </c>
      <c r="AX554"/>
    </row>
    <row r="555" spans="1:50" x14ac:dyDescent="0.25">
      <c r="A555">
        <v>30042</v>
      </c>
      <c r="B555" s="17" t="s">
        <v>30</v>
      </c>
      <c r="C555" s="45">
        <v>45672</v>
      </c>
      <c r="D555" s="46" t="s">
        <v>37</v>
      </c>
      <c r="E555" s="46" t="s">
        <v>42</v>
      </c>
      <c r="F555" s="64">
        <v>1</v>
      </c>
      <c r="G555" s="49"/>
      <c r="H555" s="34" t="s">
        <v>642</v>
      </c>
      <c r="I555" s="28">
        <v>1540</v>
      </c>
      <c r="J555" t="s">
        <v>2</v>
      </c>
      <c r="K555" s="47">
        <v>3200</v>
      </c>
      <c r="L555" s="3" t="s">
        <v>1</v>
      </c>
      <c r="M555" s="33">
        <f t="shared" si="761"/>
        <v>7638.4000000000005</v>
      </c>
      <c r="N555" s="2">
        <f>_xlfn.XLOOKUP(A555,'[1]Prix MP'!$A:$A,'[1]Prix MP'!$T:$T)</f>
        <v>0.2734860931279533</v>
      </c>
      <c r="O555" s="18">
        <f>_xlfn.XLOOKUP(A555,'[1]Prix MP'!$A:$A,'[1]Prix MP'!$U:$U)</f>
        <v>0.2734860931279533</v>
      </c>
      <c r="P555" s="11">
        <f t="shared" si="762"/>
        <v>2088.9961737485587</v>
      </c>
      <c r="Q555" s="7">
        <f t="shared" si="736"/>
        <v>2088.9961737485587</v>
      </c>
      <c r="R555" t="s">
        <v>203</v>
      </c>
      <c r="S555" s="1">
        <f t="shared" si="763"/>
        <v>0</v>
      </c>
      <c r="T555" s="33">
        <f t="shared" si="764"/>
        <v>0</v>
      </c>
      <c r="AX555"/>
    </row>
    <row r="556" spans="1:50" x14ac:dyDescent="0.25">
      <c r="A556">
        <v>30042</v>
      </c>
      <c r="B556" s="17" t="s">
        <v>30</v>
      </c>
      <c r="C556" s="45">
        <v>45673</v>
      </c>
      <c r="D556" s="46" t="s">
        <v>176</v>
      </c>
      <c r="E556" s="46" t="s">
        <v>42</v>
      </c>
      <c r="F556" s="64">
        <v>-1</v>
      </c>
      <c r="G556" s="49" t="s">
        <v>672</v>
      </c>
      <c r="H556" s="34" t="s">
        <v>642</v>
      </c>
      <c r="I556" s="28">
        <v>1540</v>
      </c>
      <c r="J556" t="s">
        <v>2</v>
      </c>
      <c r="K556" s="47">
        <v>3200</v>
      </c>
      <c r="L556" s="3" t="s">
        <v>1</v>
      </c>
      <c r="M556" s="33">
        <f t="shared" ref="M556" si="774">IF(J556="mm",F556*I556/1000*K556*1.55,F556*I556*12*K556/1000)</f>
        <v>-7638.4000000000005</v>
      </c>
      <c r="N556" s="2">
        <f>_xlfn.XLOOKUP(A556,'[1]Prix MP'!$A:$A,'[1]Prix MP'!$T:$T)</f>
        <v>0.2734860931279533</v>
      </c>
      <c r="O556" s="18">
        <f>_xlfn.XLOOKUP(A556,'[1]Prix MP'!$A:$A,'[1]Prix MP'!$U:$U)</f>
        <v>0.2734860931279533</v>
      </c>
      <c r="P556" s="11">
        <f t="shared" ref="P556" si="775">M556*N556</f>
        <v>-2088.9961737485587</v>
      </c>
      <c r="Q556" s="7">
        <f t="shared" ref="Q556" si="776">M556*O556</f>
        <v>-2088.9961737485587</v>
      </c>
      <c r="R556" t="s">
        <v>203</v>
      </c>
      <c r="S556" s="1">
        <f>ROUND(IF(E556="I",0,IF(J556="po",I556,I556/25.4)),2)</f>
        <v>0</v>
      </c>
      <c r="T556" s="33">
        <f>ROUND(IF(E556="I",0,IF(J556="po",K556,K556*3.280839895)),0)</f>
        <v>0</v>
      </c>
      <c r="AX556"/>
    </row>
    <row r="557" spans="1:50" x14ac:dyDescent="0.25">
      <c r="A557">
        <v>30042</v>
      </c>
      <c r="B557" s="17" t="s">
        <v>30</v>
      </c>
      <c r="C557" s="45">
        <v>45672</v>
      </c>
      <c r="D557" s="46" t="s">
        <v>37</v>
      </c>
      <c r="E557" s="46" t="s">
        <v>42</v>
      </c>
      <c r="F557" s="64">
        <v>1</v>
      </c>
      <c r="G557" s="49"/>
      <c r="H557" s="34" t="s">
        <v>643</v>
      </c>
      <c r="I557" s="28">
        <v>1540</v>
      </c>
      <c r="J557" t="s">
        <v>2</v>
      </c>
      <c r="K557" s="47">
        <v>3200</v>
      </c>
      <c r="L557" s="3" t="s">
        <v>1</v>
      </c>
      <c r="M557" s="33">
        <f t="shared" si="761"/>
        <v>7638.4000000000005</v>
      </c>
      <c r="N557" s="2">
        <f>_xlfn.XLOOKUP(A557,'[1]Prix MP'!$A:$A,'[1]Prix MP'!$T:$T)</f>
        <v>0.2734860931279533</v>
      </c>
      <c r="O557" s="18">
        <f>_xlfn.XLOOKUP(A557,'[1]Prix MP'!$A:$A,'[1]Prix MP'!$U:$U)</f>
        <v>0.2734860931279533</v>
      </c>
      <c r="P557" s="11">
        <f t="shared" si="762"/>
        <v>2088.9961737485587</v>
      </c>
      <c r="Q557" s="7">
        <f t="shared" si="736"/>
        <v>2088.9961737485587</v>
      </c>
      <c r="R557" t="s">
        <v>203</v>
      </c>
      <c r="S557" s="1">
        <f t="shared" si="763"/>
        <v>0</v>
      </c>
      <c r="T557" s="33">
        <f t="shared" si="764"/>
        <v>0</v>
      </c>
      <c r="AX557"/>
    </row>
    <row r="558" spans="1:50" x14ac:dyDescent="0.25">
      <c r="A558">
        <v>30042</v>
      </c>
      <c r="B558" s="17" t="s">
        <v>30</v>
      </c>
      <c r="C558" s="45">
        <v>45673</v>
      </c>
      <c r="D558" s="46" t="s">
        <v>176</v>
      </c>
      <c r="E558" s="46" t="s">
        <v>42</v>
      </c>
      <c r="F558" s="64">
        <v>-1</v>
      </c>
      <c r="G558" s="49" t="s">
        <v>673</v>
      </c>
      <c r="H558" s="34" t="s">
        <v>643</v>
      </c>
      <c r="I558" s="28">
        <v>1540</v>
      </c>
      <c r="J558" t="s">
        <v>2</v>
      </c>
      <c r="K558" s="47">
        <v>3200</v>
      </c>
      <c r="L558" s="3" t="s">
        <v>1</v>
      </c>
      <c r="M558" s="33">
        <f t="shared" ref="M558" si="777">IF(J558="mm",F558*I558/1000*K558*1.55,F558*I558*12*K558/1000)</f>
        <v>-7638.4000000000005</v>
      </c>
      <c r="N558" s="2">
        <f>_xlfn.XLOOKUP(A558,'[1]Prix MP'!$A:$A,'[1]Prix MP'!$T:$T)</f>
        <v>0.2734860931279533</v>
      </c>
      <c r="O558" s="18">
        <f>_xlfn.XLOOKUP(A558,'[1]Prix MP'!$A:$A,'[1]Prix MP'!$U:$U)</f>
        <v>0.2734860931279533</v>
      </c>
      <c r="P558" s="11">
        <f t="shared" ref="P558" si="778">M558*N558</f>
        <v>-2088.9961737485587</v>
      </c>
      <c r="Q558" s="7">
        <f t="shared" ref="Q558" si="779">M558*O558</f>
        <v>-2088.9961737485587</v>
      </c>
      <c r="R558" t="s">
        <v>203</v>
      </c>
      <c r="S558" s="1">
        <f>ROUND(IF(E558="I",0,IF(J558="po",I558,I558/25.4)),2)</f>
        <v>0</v>
      </c>
      <c r="T558" s="33">
        <f>ROUND(IF(E558="I",0,IF(J558="po",K558,K558*3.280839895)),0)</f>
        <v>0</v>
      </c>
      <c r="AX558"/>
    </row>
    <row r="559" spans="1:50" x14ac:dyDescent="0.25">
      <c r="A559">
        <v>30042</v>
      </c>
      <c r="B559" s="17" t="s">
        <v>30</v>
      </c>
      <c r="C559" s="45">
        <v>45672</v>
      </c>
      <c r="D559" s="46" t="s">
        <v>37</v>
      </c>
      <c r="E559" s="46" t="s">
        <v>42</v>
      </c>
      <c r="F559" s="64">
        <v>1</v>
      </c>
      <c r="G559" s="49"/>
      <c r="H559" s="34" t="s">
        <v>644</v>
      </c>
      <c r="I559" s="28">
        <v>1540</v>
      </c>
      <c r="J559" t="s">
        <v>2</v>
      </c>
      <c r="K559" s="47">
        <v>3200</v>
      </c>
      <c r="L559" s="3" t="s">
        <v>1</v>
      </c>
      <c r="M559" s="33">
        <f t="shared" si="761"/>
        <v>7638.4000000000005</v>
      </c>
      <c r="N559" s="2">
        <f>_xlfn.XLOOKUP(A559,'[1]Prix MP'!$A:$A,'[1]Prix MP'!$T:$T)</f>
        <v>0.2734860931279533</v>
      </c>
      <c r="O559" s="18">
        <f>_xlfn.XLOOKUP(A559,'[1]Prix MP'!$A:$A,'[1]Prix MP'!$U:$U)</f>
        <v>0.2734860931279533</v>
      </c>
      <c r="P559" s="11">
        <f t="shared" si="762"/>
        <v>2088.9961737485587</v>
      </c>
      <c r="Q559" s="7">
        <f t="shared" si="736"/>
        <v>2088.9961737485587</v>
      </c>
      <c r="R559" t="s">
        <v>203</v>
      </c>
      <c r="S559" s="1">
        <f t="shared" si="763"/>
        <v>0</v>
      </c>
      <c r="T559" s="33">
        <f t="shared" si="764"/>
        <v>0</v>
      </c>
      <c r="AX559"/>
    </row>
    <row r="560" spans="1:50" x14ac:dyDescent="0.25">
      <c r="A560">
        <v>30042</v>
      </c>
      <c r="B560" s="17" t="s">
        <v>30</v>
      </c>
      <c r="C560" s="45">
        <v>45673</v>
      </c>
      <c r="D560" s="46" t="s">
        <v>176</v>
      </c>
      <c r="E560" s="46" t="s">
        <v>42</v>
      </c>
      <c r="F560" s="64">
        <v>-1</v>
      </c>
      <c r="G560" s="49" t="s">
        <v>674</v>
      </c>
      <c r="H560" s="34" t="s">
        <v>644</v>
      </c>
      <c r="I560" s="28">
        <v>1540</v>
      </c>
      <c r="J560" t="s">
        <v>2</v>
      </c>
      <c r="K560" s="47">
        <v>3200</v>
      </c>
      <c r="L560" s="3" t="s">
        <v>1</v>
      </c>
      <c r="M560" s="33">
        <f t="shared" ref="M560" si="780">IF(J560="mm",F560*I560/1000*K560*1.55,F560*I560*12*K560/1000)</f>
        <v>-7638.4000000000005</v>
      </c>
      <c r="N560" s="2">
        <f>_xlfn.XLOOKUP(A560,'[1]Prix MP'!$A:$A,'[1]Prix MP'!$T:$T)</f>
        <v>0.2734860931279533</v>
      </c>
      <c r="O560" s="18">
        <f>_xlfn.XLOOKUP(A560,'[1]Prix MP'!$A:$A,'[1]Prix MP'!$U:$U)</f>
        <v>0.2734860931279533</v>
      </c>
      <c r="P560" s="11">
        <f t="shared" ref="P560" si="781">M560*N560</f>
        <v>-2088.9961737485587</v>
      </c>
      <c r="Q560" s="7">
        <f t="shared" ref="Q560" si="782">M560*O560</f>
        <v>-2088.9961737485587</v>
      </c>
      <c r="R560" t="s">
        <v>203</v>
      </c>
      <c r="S560" s="1">
        <f t="shared" ref="S560" si="783">ROUND(IF(E560="I",0,IF(J560="po",I560,I560/25.4)),2)</f>
        <v>0</v>
      </c>
      <c r="T560" s="33">
        <f t="shared" ref="T560" si="784">ROUND(IF(E560="I",0,IF(J560="po",K560,K560*3.280839895)),0)</f>
        <v>0</v>
      </c>
      <c r="AX560"/>
    </row>
    <row r="561" spans="1:50" x14ac:dyDescent="0.25">
      <c r="A561">
        <v>30042</v>
      </c>
      <c r="B561" s="17" t="s">
        <v>30</v>
      </c>
      <c r="C561" s="45">
        <v>45672</v>
      </c>
      <c r="D561" s="46" t="s">
        <v>37</v>
      </c>
      <c r="E561" s="46" t="s">
        <v>42</v>
      </c>
      <c r="F561" s="64">
        <v>1</v>
      </c>
      <c r="G561" s="49"/>
      <c r="H561" s="34" t="s">
        <v>645</v>
      </c>
      <c r="I561" s="28">
        <v>1540</v>
      </c>
      <c r="J561" t="s">
        <v>2</v>
      </c>
      <c r="K561" s="47">
        <v>3200</v>
      </c>
      <c r="L561" s="3" t="s">
        <v>1</v>
      </c>
      <c r="M561" s="33">
        <f t="shared" si="761"/>
        <v>7638.4000000000005</v>
      </c>
      <c r="N561" s="2">
        <f>_xlfn.XLOOKUP(A561,'[1]Prix MP'!$A:$A,'[1]Prix MP'!$T:$T)</f>
        <v>0.2734860931279533</v>
      </c>
      <c r="O561" s="18">
        <f>_xlfn.XLOOKUP(A561,'[1]Prix MP'!$A:$A,'[1]Prix MP'!$U:$U)</f>
        <v>0.2734860931279533</v>
      </c>
      <c r="P561" s="11">
        <f t="shared" si="762"/>
        <v>2088.9961737485587</v>
      </c>
      <c r="Q561" s="7">
        <f t="shared" si="736"/>
        <v>2088.9961737485587</v>
      </c>
      <c r="R561" t="s">
        <v>203</v>
      </c>
      <c r="S561" s="1">
        <f t="shared" si="763"/>
        <v>0</v>
      </c>
      <c r="T561" s="33">
        <f t="shared" si="764"/>
        <v>0</v>
      </c>
      <c r="AX561"/>
    </row>
    <row r="562" spans="1:50" x14ac:dyDescent="0.25">
      <c r="A562">
        <v>30042</v>
      </c>
      <c r="B562" s="17" t="s">
        <v>30</v>
      </c>
      <c r="C562" s="45">
        <v>45674</v>
      </c>
      <c r="D562" s="46" t="s">
        <v>176</v>
      </c>
      <c r="E562" s="46" t="s">
        <v>42</v>
      </c>
      <c r="F562" s="64">
        <v>-1</v>
      </c>
      <c r="G562" s="49" t="s">
        <v>678</v>
      </c>
      <c r="H562" s="34" t="s">
        <v>645</v>
      </c>
      <c r="I562" s="28">
        <v>1540</v>
      </c>
      <c r="J562" t="s">
        <v>2</v>
      </c>
      <c r="K562" s="47">
        <v>3200</v>
      </c>
      <c r="L562" s="3" t="s">
        <v>1</v>
      </c>
      <c r="M562" s="33">
        <f t="shared" ref="M562" si="785">IF(J562="mm",F562*I562/1000*K562*1.55,F562*I562*12*K562/1000)</f>
        <v>-7638.4000000000005</v>
      </c>
      <c r="N562" s="2">
        <f>_xlfn.XLOOKUP(A562,'[1]Prix MP'!$A:$A,'[1]Prix MP'!$T:$T)</f>
        <v>0.2734860931279533</v>
      </c>
      <c r="O562" s="18">
        <f>_xlfn.XLOOKUP(A562,'[1]Prix MP'!$A:$A,'[1]Prix MP'!$U:$U)</f>
        <v>0.2734860931279533</v>
      </c>
      <c r="P562" s="11">
        <f t="shared" ref="P562" si="786">M562*N562</f>
        <v>-2088.9961737485587</v>
      </c>
      <c r="Q562" s="7">
        <f t="shared" ref="Q562" si="787">M562*O562</f>
        <v>-2088.9961737485587</v>
      </c>
      <c r="R562" t="s">
        <v>203</v>
      </c>
      <c r="S562" s="1">
        <f>ROUND(IF(E562="I",0,IF(J562="po",I562,I562/25.4)),2)</f>
        <v>0</v>
      </c>
      <c r="T562" s="33">
        <f>ROUND(IF(E562="I",0,IF(J562="po",K562,K562*3.280839895)),0)</f>
        <v>0</v>
      </c>
      <c r="AX562"/>
    </row>
    <row r="563" spans="1:50" x14ac:dyDescent="0.25">
      <c r="A563">
        <v>30042</v>
      </c>
      <c r="B563" s="17" t="s">
        <v>30</v>
      </c>
      <c r="C563" s="45">
        <v>45672</v>
      </c>
      <c r="D563" s="46" t="s">
        <v>37</v>
      </c>
      <c r="E563" s="46" t="s">
        <v>42</v>
      </c>
      <c r="F563" s="64">
        <v>1</v>
      </c>
      <c r="G563" s="49"/>
      <c r="H563" s="34" t="s">
        <v>646</v>
      </c>
      <c r="I563" s="28">
        <v>1540</v>
      </c>
      <c r="J563" t="s">
        <v>2</v>
      </c>
      <c r="K563" s="47">
        <v>3200</v>
      </c>
      <c r="L563" s="3" t="s">
        <v>1</v>
      </c>
      <c r="M563" s="33">
        <f t="shared" si="761"/>
        <v>7638.4000000000005</v>
      </c>
      <c r="N563" s="2">
        <f>_xlfn.XLOOKUP(A563,'[1]Prix MP'!$A:$A,'[1]Prix MP'!$T:$T)</f>
        <v>0.2734860931279533</v>
      </c>
      <c r="O563" s="18">
        <f>_xlfn.XLOOKUP(A563,'[1]Prix MP'!$A:$A,'[1]Prix MP'!$U:$U)</f>
        <v>0.2734860931279533</v>
      </c>
      <c r="P563" s="11">
        <f t="shared" si="762"/>
        <v>2088.9961737485587</v>
      </c>
      <c r="Q563" s="7">
        <f t="shared" si="736"/>
        <v>2088.9961737485587</v>
      </c>
      <c r="R563" t="s">
        <v>203</v>
      </c>
      <c r="S563" s="1">
        <f t="shared" si="763"/>
        <v>0</v>
      </c>
      <c r="T563" s="33">
        <f t="shared" si="764"/>
        <v>0</v>
      </c>
      <c r="AX563"/>
    </row>
    <row r="564" spans="1:50" x14ac:dyDescent="0.25">
      <c r="A564">
        <v>30042</v>
      </c>
      <c r="B564" s="17" t="s">
        <v>30</v>
      </c>
      <c r="C564" s="45">
        <v>45674</v>
      </c>
      <c r="D564" s="46" t="s">
        <v>176</v>
      </c>
      <c r="E564" s="46" t="s">
        <v>42</v>
      </c>
      <c r="F564" s="64">
        <v>-1</v>
      </c>
      <c r="G564" s="49" t="s">
        <v>679</v>
      </c>
      <c r="H564" s="34" t="s">
        <v>646</v>
      </c>
      <c r="I564" s="28">
        <v>1540</v>
      </c>
      <c r="J564" t="s">
        <v>2</v>
      </c>
      <c r="K564" s="47">
        <v>3200</v>
      </c>
      <c r="L564" s="3" t="s">
        <v>1</v>
      </c>
      <c r="M564" s="33">
        <f t="shared" ref="M564" si="788">IF(J564="mm",F564*I564/1000*K564*1.55,F564*I564*12*K564/1000)</f>
        <v>-7638.4000000000005</v>
      </c>
      <c r="N564" s="2">
        <f>_xlfn.XLOOKUP(A564,'[1]Prix MP'!$A:$A,'[1]Prix MP'!$T:$T)</f>
        <v>0.2734860931279533</v>
      </c>
      <c r="O564" s="18">
        <f>_xlfn.XLOOKUP(A564,'[1]Prix MP'!$A:$A,'[1]Prix MP'!$U:$U)</f>
        <v>0.2734860931279533</v>
      </c>
      <c r="P564" s="11">
        <f t="shared" ref="P564" si="789">M564*N564</f>
        <v>-2088.9961737485587</v>
      </c>
      <c r="Q564" s="7">
        <f t="shared" ref="Q564" si="790">M564*O564</f>
        <v>-2088.9961737485587</v>
      </c>
      <c r="R564" t="s">
        <v>203</v>
      </c>
      <c r="S564" s="1">
        <f>ROUND(IF(E564="I",0,IF(J564="po",I564,I564/25.4)),2)</f>
        <v>0</v>
      </c>
      <c r="T564" s="33">
        <f>ROUND(IF(E564="I",0,IF(J564="po",K564,K564*3.280839895)),0)</f>
        <v>0</v>
      </c>
      <c r="AX564"/>
    </row>
    <row r="565" spans="1:50" x14ac:dyDescent="0.25">
      <c r="A565">
        <v>30042</v>
      </c>
      <c r="B565" s="17" t="s">
        <v>30</v>
      </c>
      <c r="C565" s="45">
        <v>45672</v>
      </c>
      <c r="D565" s="46" t="s">
        <v>37</v>
      </c>
      <c r="E565" s="46" t="s">
        <v>41</v>
      </c>
      <c r="F565" s="64">
        <v>1</v>
      </c>
      <c r="G565" s="49"/>
      <c r="H565" s="34" t="s">
        <v>647</v>
      </c>
      <c r="I565" s="28">
        <v>1540</v>
      </c>
      <c r="J565" t="s">
        <v>2</v>
      </c>
      <c r="K565" s="47">
        <v>3200</v>
      </c>
      <c r="L565" s="3" t="s">
        <v>1</v>
      </c>
      <c r="M565" s="33">
        <f t="shared" si="761"/>
        <v>7638.4000000000005</v>
      </c>
      <c r="N565" s="2">
        <f>_xlfn.XLOOKUP(A565,'[1]Prix MP'!$A:$A,'[1]Prix MP'!$T:$T)</f>
        <v>0.2734860931279533</v>
      </c>
      <c r="O565" s="18">
        <f>_xlfn.XLOOKUP(A565,'[1]Prix MP'!$A:$A,'[1]Prix MP'!$U:$U)</f>
        <v>0.2734860931279533</v>
      </c>
      <c r="P565" s="11">
        <f t="shared" si="762"/>
        <v>2088.9961737485587</v>
      </c>
      <c r="Q565" s="7">
        <f t="shared" si="736"/>
        <v>2088.9961737485587</v>
      </c>
      <c r="R565" t="s">
        <v>203</v>
      </c>
      <c r="S565" s="1">
        <f t="shared" si="763"/>
        <v>60.63</v>
      </c>
      <c r="T565" s="33">
        <f t="shared" si="764"/>
        <v>10499</v>
      </c>
      <c r="AX565"/>
    </row>
    <row r="566" spans="1:50" x14ac:dyDescent="0.25">
      <c r="A566">
        <v>30042</v>
      </c>
      <c r="B566" s="17" t="s">
        <v>30</v>
      </c>
      <c r="C566" s="45">
        <v>45672</v>
      </c>
      <c r="D566" s="46" t="s">
        <v>37</v>
      </c>
      <c r="E566" s="46" t="s">
        <v>41</v>
      </c>
      <c r="F566" s="64">
        <v>1</v>
      </c>
      <c r="G566" s="49"/>
      <c r="H566" s="34" t="s">
        <v>648</v>
      </c>
      <c r="I566" s="28">
        <v>1540</v>
      </c>
      <c r="J566" t="s">
        <v>2</v>
      </c>
      <c r="K566" s="47">
        <v>3200</v>
      </c>
      <c r="L566" s="3" t="s">
        <v>1</v>
      </c>
      <c r="M566" s="33">
        <f t="shared" si="761"/>
        <v>7638.4000000000005</v>
      </c>
      <c r="N566" s="2">
        <f>_xlfn.XLOOKUP(A566,'[1]Prix MP'!$A:$A,'[1]Prix MP'!$T:$T)</f>
        <v>0.2734860931279533</v>
      </c>
      <c r="O566" s="18">
        <f>_xlfn.XLOOKUP(A566,'[1]Prix MP'!$A:$A,'[1]Prix MP'!$U:$U)</f>
        <v>0.2734860931279533</v>
      </c>
      <c r="P566" s="11">
        <f t="shared" si="762"/>
        <v>2088.9961737485587</v>
      </c>
      <c r="Q566" s="7">
        <f t="shared" si="736"/>
        <v>2088.9961737485587</v>
      </c>
      <c r="R566" t="s">
        <v>203</v>
      </c>
      <c r="S566" s="1">
        <f t="shared" si="763"/>
        <v>60.63</v>
      </c>
      <c r="T566" s="33">
        <f t="shared" si="764"/>
        <v>10499</v>
      </c>
      <c r="AX566"/>
    </row>
    <row r="567" spans="1:50" x14ac:dyDescent="0.25">
      <c r="A567">
        <v>30042</v>
      </c>
      <c r="B567" s="17" t="s">
        <v>30</v>
      </c>
      <c r="C567" s="45">
        <v>45672</v>
      </c>
      <c r="D567" s="46" t="s">
        <v>37</v>
      </c>
      <c r="E567" s="46" t="s">
        <v>41</v>
      </c>
      <c r="F567" s="64">
        <v>1</v>
      </c>
      <c r="G567" s="49"/>
      <c r="H567" s="34" t="s">
        <v>649</v>
      </c>
      <c r="I567" s="28">
        <v>1540</v>
      </c>
      <c r="J567" t="s">
        <v>2</v>
      </c>
      <c r="K567" s="47">
        <v>3200</v>
      </c>
      <c r="L567" s="3" t="s">
        <v>1</v>
      </c>
      <c r="M567" s="33">
        <f t="shared" si="761"/>
        <v>7638.4000000000005</v>
      </c>
      <c r="N567" s="2">
        <f>_xlfn.XLOOKUP(A567,'[1]Prix MP'!$A:$A,'[1]Prix MP'!$T:$T)</f>
        <v>0.2734860931279533</v>
      </c>
      <c r="O567" s="18">
        <f>_xlfn.XLOOKUP(A567,'[1]Prix MP'!$A:$A,'[1]Prix MP'!$U:$U)</f>
        <v>0.2734860931279533</v>
      </c>
      <c r="P567" s="11">
        <f t="shared" si="762"/>
        <v>2088.9961737485587</v>
      </c>
      <c r="Q567" s="7">
        <f t="shared" si="736"/>
        <v>2088.9961737485587</v>
      </c>
      <c r="R567" t="s">
        <v>203</v>
      </c>
      <c r="S567" s="1">
        <f t="shared" si="763"/>
        <v>60.63</v>
      </c>
      <c r="T567" s="33">
        <f t="shared" si="764"/>
        <v>10499</v>
      </c>
      <c r="AX567"/>
    </row>
    <row r="568" spans="1:50" x14ac:dyDescent="0.25">
      <c r="A568">
        <v>30042</v>
      </c>
      <c r="B568" s="17" t="s">
        <v>30</v>
      </c>
      <c r="C568" s="45">
        <v>45672</v>
      </c>
      <c r="D568" s="46" t="s">
        <v>37</v>
      </c>
      <c r="E568" s="46" t="s">
        <v>41</v>
      </c>
      <c r="F568" s="64">
        <v>1</v>
      </c>
      <c r="G568" s="49"/>
      <c r="H568" s="34" t="s">
        <v>650</v>
      </c>
      <c r="I568" s="28">
        <v>1540</v>
      </c>
      <c r="J568" t="s">
        <v>2</v>
      </c>
      <c r="K568" s="47">
        <v>3200</v>
      </c>
      <c r="L568" s="3" t="s">
        <v>1</v>
      </c>
      <c r="M568" s="33">
        <f t="shared" si="761"/>
        <v>7638.4000000000005</v>
      </c>
      <c r="N568" s="2">
        <f>_xlfn.XLOOKUP(A568,'[1]Prix MP'!$A:$A,'[1]Prix MP'!$T:$T)</f>
        <v>0.2734860931279533</v>
      </c>
      <c r="O568" s="18">
        <f>_xlfn.XLOOKUP(A568,'[1]Prix MP'!$A:$A,'[1]Prix MP'!$U:$U)</f>
        <v>0.2734860931279533</v>
      </c>
      <c r="P568" s="11">
        <f t="shared" si="762"/>
        <v>2088.9961737485587</v>
      </c>
      <c r="Q568" s="7">
        <f t="shared" si="736"/>
        <v>2088.9961737485587</v>
      </c>
      <c r="R568" t="s">
        <v>203</v>
      </c>
      <c r="S568" s="1">
        <f t="shared" si="763"/>
        <v>60.63</v>
      </c>
      <c r="T568" s="33">
        <f t="shared" si="764"/>
        <v>10499</v>
      </c>
      <c r="AX568"/>
    </row>
    <row r="569" spans="1:50" x14ac:dyDescent="0.25">
      <c r="A569">
        <v>30042</v>
      </c>
      <c r="B569" s="17" t="s">
        <v>30</v>
      </c>
      <c r="C569" s="45">
        <v>45672</v>
      </c>
      <c r="D569" s="46" t="s">
        <v>37</v>
      </c>
      <c r="E569" s="46" t="s">
        <v>41</v>
      </c>
      <c r="F569" s="64">
        <v>1</v>
      </c>
      <c r="G569" s="49"/>
      <c r="H569" s="34" t="s">
        <v>651</v>
      </c>
      <c r="I569" s="28">
        <v>1540</v>
      </c>
      <c r="J569" t="s">
        <v>2</v>
      </c>
      <c r="K569" s="47">
        <v>3200</v>
      </c>
      <c r="L569" s="3" t="s">
        <v>1</v>
      </c>
      <c r="M569" s="33">
        <f t="shared" si="761"/>
        <v>7638.4000000000005</v>
      </c>
      <c r="N569" s="2">
        <f>_xlfn.XLOOKUP(A569,'[1]Prix MP'!$A:$A,'[1]Prix MP'!$T:$T)</f>
        <v>0.2734860931279533</v>
      </c>
      <c r="O569" s="18">
        <f>_xlfn.XLOOKUP(A569,'[1]Prix MP'!$A:$A,'[1]Prix MP'!$U:$U)</f>
        <v>0.2734860931279533</v>
      </c>
      <c r="P569" s="11">
        <f t="shared" si="762"/>
        <v>2088.9961737485587</v>
      </c>
      <c r="Q569" s="7">
        <f t="shared" si="736"/>
        <v>2088.9961737485587</v>
      </c>
      <c r="R569" t="s">
        <v>203</v>
      </c>
      <c r="S569" s="1">
        <f t="shared" si="763"/>
        <v>60.63</v>
      </c>
      <c r="T569" s="33">
        <f t="shared" si="764"/>
        <v>10499</v>
      </c>
      <c r="AX569"/>
    </row>
    <row r="570" spans="1:50" x14ac:dyDescent="0.25">
      <c r="A570">
        <v>30042</v>
      </c>
      <c r="B570" s="17" t="s">
        <v>30</v>
      </c>
      <c r="C570" s="45">
        <v>45672</v>
      </c>
      <c r="D570" s="46" t="s">
        <v>37</v>
      </c>
      <c r="E570" s="46" t="s">
        <v>41</v>
      </c>
      <c r="F570" s="64">
        <v>1</v>
      </c>
      <c r="G570" s="49"/>
      <c r="H570" s="34" t="s">
        <v>652</v>
      </c>
      <c r="I570" s="28">
        <v>1540</v>
      </c>
      <c r="J570" t="s">
        <v>2</v>
      </c>
      <c r="K570" s="47">
        <v>3200</v>
      </c>
      <c r="L570" s="3" t="s">
        <v>1</v>
      </c>
      <c r="M570" s="33">
        <f t="shared" si="761"/>
        <v>7638.4000000000005</v>
      </c>
      <c r="N570" s="2">
        <f>_xlfn.XLOOKUP(A570,'[1]Prix MP'!$A:$A,'[1]Prix MP'!$T:$T)</f>
        <v>0.2734860931279533</v>
      </c>
      <c r="O570" s="18">
        <f>_xlfn.XLOOKUP(A570,'[1]Prix MP'!$A:$A,'[1]Prix MP'!$U:$U)</f>
        <v>0.2734860931279533</v>
      </c>
      <c r="P570" s="11">
        <f t="shared" si="762"/>
        <v>2088.9961737485587</v>
      </c>
      <c r="Q570" s="7">
        <f t="shared" si="736"/>
        <v>2088.9961737485587</v>
      </c>
      <c r="R570" t="s">
        <v>203</v>
      </c>
      <c r="S570" s="1">
        <f t="shared" si="763"/>
        <v>60.63</v>
      </c>
      <c r="T570" s="33">
        <f t="shared" si="764"/>
        <v>10499</v>
      </c>
      <c r="AX570"/>
    </row>
    <row r="571" spans="1:50" x14ac:dyDescent="0.25">
      <c r="A571">
        <v>30042</v>
      </c>
      <c r="B571" s="17" t="s">
        <v>30</v>
      </c>
      <c r="C571" s="45">
        <v>45672</v>
      </c>
      <c r="D571" s="46" t="s">
        <v>37</v>
      </c>
      <c r="E571" s="46" t="s">
        <v>41</v>
      </c>
      <c r="F571" s="64">
        <v>1</v>
      </c>
      <c r="G571" s="49"/>
      <c r="H571" s="34" t="s">
        <v>653</v>
      </c>
      <c r="I571" s="28">
        <v>1540</v>
      </c>
      <c r="J571" t="s">
        <v>2</v>
      </c>
      <c r="K571" s="47">
        <v>3200</v>
      </c>
      <c r="L571" s="3" t="s">
        <v>1</v>
      </c>
      <c r="M571" s="33">
        <f t="shared" si="761"/>
        <v>7638.4000000000005</v>
      </c>
      <c r="N571" s="2">
        <f>_xlfn.XLOOKUP(A571,'[1]Prix MP'!$A:$A,'[1]Prix MP'!$T:$T)</f>
        <v>0.2734860931279533</v>
      </c>
      <c r="O571" s="18">
        <f>_xlfn.XLOOKUP(A571,'[1]Prix MP'!$A:$A,'[1]Prix MP'!$U:$U)</f>
        <v>0.2734860931279533</v>
      </c>
      <c r="P571" s="11">
        <f t="shared" si="762"/>
        <v>2088.9961737485587</v>
      </c>
      <c r="Q571" s="7">
        <f t="shared" si="736"/>
        <v>2088.9961737485587</v>
      </c>
      <c r="R571" t="s">
        <v>203</v>
      </c>
      <c r="S571" s="1">
        <f t="shared" si="763"/>
        <v>60.63</v>
      </c>
      <c r="T571" s="33">
        <f t="shared" si="764"/>
        <v>10499</v>
      </c>
      <c r="AX571"/>
    </row>
    <row r="572" spans="1:50" x14ac:dyDescent="0.25">
      <c r="A572">
        <v>30042</v>
      </c>
      <c r="B572" s="17" t="s">
        <v>30</v>
      </c>
      <c r="C572" s="45">
        <v>45672</v>
      </c>
      <c r="D572" s="46" t="s">
        <v>37</v>
      </c>
      <c r="E572" s="46" t="s">
        <v>41</v>
      </c>
      <c r="F572" s="64">
        <v>1</v>
      </c>
      <c r="G572" s="49"/>
      <c r="H572" s="34" t="s">
        <v>654</v>
      </c>
      <c r="I572" s="28">
        <v>1540</v>
      </c>
      <c r="J572" t="s">
        <v>2</v>
      </c>
      <c r="K572" s="47">
        <v>3200</v>
      </c>
      <c r="L572" s="3" t="s">
        <v>1</v>
      </c>
      <c r="M572" s="33">
        <f t="shared" si="761"/>
        <v>7638.4000000000005</v>
      </c>
      <c r="N572" s="2">
        <f>_xlfn.XLOOKUP(A572,'[1]Prix MP'!$A:$A,'[1]Prix MP'!$T:$T)</f>
        <v>0.2734860931279533</v>
      </c>
      <c r="O572" s="18">
        <f>_xlfn.XLOOKUP(A572,'[1]Prix MP'!$A:$A,'[1]Prix MP'!$U:$U)</f>
        <v>0.2734860931279533</v>
      </c>
      <c r="P572" s="11">
        <f t="shared" si="762"/>
        <v>2088.9961737485587</v>
      </c>
      <c r="Q572" s="7">
        <f t="shared" si="736"/>
        <v>2088.9961737485587</v>
      </c>
      <c r="R572" t="s">
        <v>203</v>
      </c>
      <c r="S572" s="1">
        <f t="shared" si="763"/>
        <v>60.63</v>
      </c>
      <c r="T572" s="33">
        <f t="shared" si="764"/>
        <v>10499</v>
      </c>
      <c r="AX572"/>
    </row>
    <row r="573" spans="1:50" x14ac:dyDescent="0.25">
      <c r="A573">
        <v>30042</v>
      </c>
      <c r="B573" s="17" t="s">
        <v>30</v>
      </c>
      <c r="C573" s="45">
        <v>45672</v>
      </c>
      <c r="D573" s="46" t="s">
        <v>37</v>
      </c>
      <c r="E573" s="46" t="s">
        <v>41</v>
      </c>
      <c r="F573" s="64">
        <v>1</v>
      </c>
      <c r="G573" s="49"/>
      <c r="H573" s="34" t="s">
        <v>655</v>
      </c>
      <c r="I573" s="28">
        <v>1540</v>
      </c>
      <c r="J573" t="s">
        <v>2</v>
      </c>
      <c r="K573" s="47">
        <v>3200</v>
      </c>
      <c r="L573" s="3" t="s">
        <v>1</v>
      </c>
      <c r="M573" s="33">
        <f t="shared" si="761"/>
        <v>7638.4000000000005</v>
      </c>
      <c r="N573" s="2">
        <f>_xlfn.XLOOKUP(A573,'[1]Prix MP'!$A:$A,'[1]Prix MP'!$T:$T)</f>
        <v>0.2734860931279533</v>
      </c>
      <c r="O573" s="18">
        <f>_xlfn.XLOOKUP(A573,'[1]Prix MP'!$A:$A,'[1]Prix MP'!$U:$U)</f>
        <v>0.2734860931279533</v>
      </c>
      <c r="P573" s="11">
        <f t="shared" si="762"/>
        <v>2088.9961737485587</v>
      </c>
      <c r="Q573" s="7">
        <f t="shared" si="736"/>
        <v>2088.9961737485587</v>
      </c>
      <c r="R573" t="s">
        <v>203</v>
      </c>
      <c r="S573" s="1">
        <f t="shared" si="763"/>
        <v>60.63</v>
      </c>
      <c r="T573" s="33">
        <f t="shared" si="764"/>
        <v>10499</v>
      </c>
      <c r="AX573"/>
    </row>
    <row r="574" spans="1:50" x14ac:dyDescent="0.25">
      <c r="A574">
        <v>30042</v>
      </c>
      <c r="B574" s="17" t="s">
        <v>30</v>
      </c>
      <c r="C574" s="45">
        <v>45672</v>
      </c>
      <c r="D574" s="46" t="s">
        <v>37</v>
      </c>
      <c r="E574" s="46" t="s">
        <v>41</v>
      </c>
      <c r="F574" s="64">
        <v>1</v>
      </c>
      <c r="G574" s="49"/>
      <c r="H574" s="34" t="s">
        <v>656</v>
      </c>
      <c r="I574" s="28">
        <v>1540</v>
      </c>
      <c r="J574" t="s">
        <v>2</v>
      </c>
      <c r="K574" s="47">
        <v>3200</v>
      </c>
      <c r="L574" s="3" t="s">
        <v>1</v>
      </c>
      <c r="M574" s="33">
        <f t="shared" si="761"/>
        <v>7638.4000000000005</v>
      </c>
      <c r="N574" s="2">
        <f>_xlfn.XLOOKUP(A574,'[1]Prix MP'!$A:$A,'[1]Prix MP'!$T:$T)</f>
        <v>0.2734860931279533</v>
      </c>
      <c r="O574" s="18">
        <f>_xlfn.XLOOKUP(A574,'[1]Prix MP'!$A:$A,'[1]Prix MP'!$U:$U)</f>
        <v>0.2734860931279533</v>
      </c>
      <c r="P574" s="11">
        <f t="shared" si="762"/>
        <v>2088.9961737485587</v>
      </c>
      <c r="Q574" s="7">
        <f t="shared" si="736"/>
        <v>2088.9961737485587</v>
      </c>
      <c r="R574" t="s">
        <v>203</v>
      </c>
      <c r="S574" s="1">
        <f t="shared" si="763"/>
        <v>60.63</v>
      </c>
      <c r="T574" s="33">
        <f t="shared" si="764"/>
        <v>10499</v>
      </c>
      <c r="AX574"/>
    </row>
    <row r="575" spans="1:50" x14ac:dyDescent="0.25">
      <c r="A575">
        <v>30042</v>
      </c>
      <c r="B575" s="17" t="s">
        <v>30</v>
      </c>
      <c r="C575" s="45">
        <v>45672</v>
      </c>
      <c r="D575" s="46" t="s">
        <v>37</v>
      </c>
      <c r="E575" s="46" t="s">
        <v>41</v>
      </c>
      <c r="F575" s="64">
        <v>1</v>
      </c>
      <c r="G575" s="49"/>
      <c r="H575" s="34" t="s">
        <v>657</v>
      </c>
      <c r="I575" s="28">
        <v>1540</v>
      </c>
      <c r="J575" t="s">
        <v>2</v>
      </c>
      <c r="K575" s="47">
        <v>3200</v>
      </c>
      <c r="L575" s="3" t="s">
        <v>1</v>
      </c>
      <c r="M575" s="33">
        <f t="shared" si="761"/>
        <v>7638.4000000000005</v>
      </c>
      <c r="N575" s="2">
        <f>_xlfn.XLOOKUP(A575,'[1]Prix MP'!$A:$A,'[1]Prix MP'!$T:$T)</f>
        <v>0.2734860931279533</v>
      </c>
      <c r="O575" s="18">
        <f>_xlfn.XLOOKUP(A575,'[1]Prix MP'!$A:$A,'[1]Prix MP'!$U:$U)</f>
        <v>0.2734860931279533</v>
      </c>
      <c r="P575" s="11">
        <f t="shared" si="762"/>
        <v>2088.9961737485587</v>
      </c>
      <c r="Q575" s="7">
        <f t="shared" si="736"/>
        <v>2088.9961737485587</v>
      </c>
      <c r="R575" t="s">
        <v>203</v>
      </c>
      <c r="S575" s="1">
        <f t="shared" si="763"/>
        <v>60.63</v>
      </c>
      <c r="T575" s="33">
        <f t="shared" si="764"/>
        <v>10499</v>
      </c>
      <c r="AX575"/>
    </row>
    <row r="576" spans="1:50" x14ac:dyDescent="0.25">
      <c r="A576">
        <v>30042</v>
      </c>
      <c r="B576" s="17" t="s">
        <v>30</v>
      </c>
      <c r="C576" s="45">
        <v>45672</v>
      </c>
      <c r="D576" s="46" t="s">
        <v>37</v>
      </c>
      <c r="E576" s="46" t="s">
        <v>41</v>
      </c>
      <c r="F576" s="64">
        <v>1</v>
      </c>
      <c r="G576" s="49"/>
      <c r="H576" s="34" t="s">
        <v>658</v>
      </c>
      <c r="I576" s="28">
        <v>1540</v>
      </c>
      <c r="J576" t="s">
        <v>2</v>
      </c>
      <c r="K576" s="47">
        <v>3200</v>
      </c>
      <c r="L576" s="3" t="s">
        <v>1</v>
      </c>
      <c r="M576" s="33">
        <f t="shared" si="761"/>
        <v>7638.4000000000005</v>
      </c>
      <c r="N576" s="2">
        <f>_xlfn.XLOOKUP(A576,'[1]Prix MP'!$A:$A,'[1]Prix MP'!$T:$T)</f>
        <v>0.2734860931279533</v>
      </c>
      <c r="O576" s="18">
        <f>_xlfn.XLOOKUP(A576,'[1]Prix MP'!$A:$A,'[1]Prix MP'!$U:$U)</f>
        <v>0.2734860931279533</v>
      </c>
      <c r="P576" s="11">
        <f t="shared" si="762"/>
        <v>2088.9961737485587</v>
      </c>
      <c r="Q576" s="7">
        <f t="shared" si="736"/>
        <v>2088.9961737485587</v>
      </c>
      <c r="R576" t="s">
        <v>203</v>
      </c>
      <c r="S576" s="1">
        <f t="shared" si="763"/>
        <v>60.63</v>
      </c>
      <c r="T576" s="33">
        <f t="shared" si="764"/>
        <v>10499</v>
      </c>
      <c r="AX576"/>
    </row>
    <row r="577" spans="1:50" x14ac:dyDescent="0.25">
      <c r="A577">
        <v>30042</v>
      </c>
      <c r="B577" s="17" t="s">
        <v>30</v>
      </c>
      <c r="C577" s="45">
        <v>45672</v>
      </c>
      <c r="D577" s="46" t="s">
        <v>37</v>
      </c>
      <c r="E577" s="46" t="s">
        <v>41</v>
      </c>
      <c r="F577" s="64">
        <v>1</v>
      </c>
      <c r="G577" s="49"/>
      <c r="H577" s="34" t="s">
        <v>659</v>
      </c>
      <c r="I577" s="28">
        <v>1540</v>
      </c>
      <c r="J577" t="s">
        <v>2</v>
      </c>
      <c r="K577" s="47">
        <v>3200</v>
      </c>
      <c r="L577" s="3" t="s">
        <v>1</v>
      </c>
      <c r="M577" s="33">
        <f t="shared" si="761"/>
        <v>7638.4000000000005</v>
      </c>
      <c r="N577" s="2">
        <f>_xlfn.XLOOKUP(A577,'[1]Prix MP'!$A:$A,'[1]Prix MP'!$T:$T)</f>
        <v>0.2734860931279533</v>
      </c>
      <c r="O577" s="18">
        <f>_xlfn.XLOOKUP(A577,'[1]Prix MP'!$A:$A,'[1]Prix MP'!$U:$U)</f>
        <v>0.2734860931279533</v>
      </c>
      <c r="P577" s="11">
        <f t="shared" si="762"/>
        <v>2088.9961737485587</v>
      </c>
      <c r="Q577" s="7">
        <f t="shared" si="736"/>
        <v>2088.9961737485587</v>
      </c>
      <c r="R577" t="s">
        <v>203</v>
      </c>
      <c r="S577" s="1">
        <f t="shared" si="763"/>
        <v>60.63</v>
      </c>
      <c r="T577" s="33">
        <f t="shared" si="764"/>
        <v>10499</v>
      </c>
      <c r="AX577"/>
    </row>
    <row r="578" spans="1:50" x14ac:dyDescent="0.25">
      <c r="A578">
        <v>30042</v>
      </c>
      <c r="B578" s="17" t="s">
        <v>30</v>
      </c>
      <c r="C578" s="45">
        <v>45672</v>
      </c>
      <c r="D578" s="46" t="s">
        <v>37</v>
      </c>
      <c r="E578" s="46" t="s">
        <v>41</v>
      </c>
      <c r="F578" s="64">
        <v>1</v>
      </c>
      <c r="G578" s="49"/>
      <c r="H578" s="34" t="s">
        <v>660</v>
      </c>
      <c r="I578" s="28">
        <v>1540</v>
      </c>
      <c r="J578" t="s">
        <v>2</v>
      </c>
      <c r="K578" s="47">
        <v>3200</v>
      </c>
      <c r="L578" s="3" t="s">
        <v>1</v>
      </c>
      <c r="M578" s="33">
        <f t="shared" si="761"/>
        <v>7638.4000000000005</v>
      </c>
      <c r="N578" s="2">
        <f>_xlfn.XLOOKUP(A578,'[1]Prix MP'!$A:$A,'[1]Prix MP'!$T:$T)</f>
        <v>0.2734860931279533</v>
      </c>
      <c r="O578" s="18">
        <f>_xlfn.XLOOKUP(A578,'[1]Prix MP'!$A:$A,'[1]Prix MP'!$U:$U)</f>
        <v>0.2734860931279533</v>
      </c>
      <c r="P578" s="11">
        <f t="shared" si="762"/>
        <v>2088.9961737485587</v>
      </c>
      <c r="Q578" s="7">
        <f t="shared" si="736"/>
        <v>2088.9961737485587</v>
      </c>
      <c r="R578" t="s">
        <v>203</v>
      </c>
      <c r="S578" s="1">
        <f t="shared" si="763"/>
        <v>60.63</v>
      </c>
      <c r="T578" s="33">
        <f t="shared" si="764"/>
        <v>10499</v>
      </c>
      <c r="AX578"/>
    </row>
    <row r="579" spans="1:50" x14ac:dyDescent="0.25">
      <c r="A579">
        <v>30042</v>
      </c>
      <c r="B579" s="17" t="s">
        <v>30</v>
      </c>
      <c r="C579" s="45">
        <v>45672</v>
      </c>
      <c r="D579" s="46" t="s">
        <v>37</v>
      </c>
      <c r="E579" s="46" t="s">
        <v>41</v>
      </c>
      <c r="F579" s="64">
        <v>1</v>
      </c>
      <c r="G579" s="49"/>
      <c r="H579" s="34" t="s">
        <v>661</v>
      </c>
      <c r="I579" s="28">
        <v>1540</v>
      </c>
      <c r="J579" t="s">
        <v>2</v>
      </c>
      <c r="K579" s="47">
        <v>3200</v>
      </c>
      <c r="L579" s="3" t="s">
        <v>1</v>
      </c>
      <c r="M579" s="33">
        <f t="shared" si="761"/>
        <v>7638.4000000000005</v>
      </c>
      <c r="N579" s="2">
        <f>_xlfn.XLOOKUP(A579,'[1]Prix MP'!$A:$A,'[1]Prix MP'!$T:$T)</f>
        <v>0.2734860931279533</v>
      </c>
      <c r="O579" s="18">
        <f>_xlfn.XLOOKUP(A579,'[1]Prix MP'!$A:$A,'[1]Prix MP'!$U:$U)</f>
        <v>0.2734860931279533</v>
      </c>
      <c r="P579" s="11">
        <f t="shared" si="762"/>
        <v>2088.9961737485587</v>
      </c>
      <c r="Q579" s="7">
        <f t="shared" si="736"/>
        <v>2088.9961737485587</v>
      </c>
      <c r="R579" t="s">
        <v>203</v>
      </c>
      <c r="S579" s="1">
        <f t="shared" si="763"/>
        <v>60.63</v>
      </c>
      <c r="T579" s="33">
        <f t="shared" si="764"/>
        <v>10499</v>
      </c>
      <c r="AX579"/>
    </row>
    <row r="580" spans="1:50" x14ac:dyDescent="0.25">
      <c r="A580">
        <v>30042</v>
      </c>
      <c r="B580" s="17" t="s">
        <v>30</v>
      </c>
      <c r="C580" s="45">
        <v>45672</v>
      </c>
      <c r="D580" s="46" t="s">
        <v>37</v>
      </c>
      <c r="E580" s="46" t="s">
        <v>41</v>
      </c>
      <c r="F580" s="64">
        <v>1</v>
      </c>
      <c r="G580" s="49"/>
      <c r="H580" s="34" t="s">
        <v>662</v>
      </c>
      <c r="I580" s="28">
        <v>1540</v>
      </c>
      <c r="J580" t="s">
        <v>2</v>
      </c>
      <c r="K580" s="47">
        <v>3200</v>
      </c>
      <c r="L580" s="3" t="s">
        <v>1</v>
      </c>
      <c r="M580" s="33">
        <f t="shared" si="761"/>
        <v>7638.4000000000005</v>
      </c>
      <c r="N580" s="2">
        <f>_xlfn.XLOOKUP(A580,'[1]Prix MP'!$A:$A,'[1]Prix MP'!$T:$T)</f>
        <v>0.2734860931279533</v>
      </c>
      <c r="O580" s="18">
        <f>_xlfn.XLOOKUP(A580,'[1]Prix MP'!$A:$A,'[1]Prix MP'!$U:$U)</f>
        <v>0.2734860931279533</v>
      </c>
      <c r="P580" s="11">
        <f t="shared" si="762"/>
        <v>2088.9961737485587</v>
      </c>
      <c r="Q580" s="7">
        <f t="shared" si="736"/>
        <v>2088.9961737485587</v>
      </c>
      <c r="R580" t="s">
        <v>203</v>
      </c>
      <c r="S580" s="1">
        <f t="shared" si="763"/>
        <v>60.63</v>
      </c>
      <c r="T580" s="33">
        <f t="shared" si="764"/>
        <v>10499</v>
      </c>
      <c r="AX580"/>
    </row>
    <row r="581" spans="1:50" x14ac:dyDescent="0.25">
      <c r="A581">
        <v>30042</v>
      </c>
      <c r="B581" s="17" t="s">
        <v>30</v>
      </c>
      <c r="C581" s="45">
        <v>45672</v>
      </c>
      <c r="D581" s="46" t="s">
        <v>37</v>
      </c>
      <c r="E581" s="46" t="s">
        <v>41</v>
      </c>
      <c r="F581" s="64">
        <v>1</v>
      </c>
      <c r="G581" s="49"/>
      <c r="H581" s="34" t="s">
        <v>663</v>
      </c>
      <c r="I581" s="28">
        <v>1540</v>
      </c>
      <c r="J581" t="s">
        <v>2</v>
      </c>
      <c r="K581" s="47">
        <v>3200</v>
      </c>
      <c r="L581" s="3" t="s">
        <v>1</v>
      </c>
      <c r="M581" s="33">
        <f t="shared" si="761"/>
        <v>7638.4000000000005</v>
      </c>
      <c r="N581" s="2">
        <f>_xlfn.XLOOKUP(A581,'[1]Prix MP'!$A:$A,'[1]Prix MP'!$T:$T)</f>
        <v>0.2734860931279533</v>
      </c>
      <c r="O581" s="18">
        <f>_xlfn.XLOOKUP(A581,'[1]Prix MP'!$A:$A,'[1]Prix MP'!$U:$U)</f>
        <v>0.2734860931279533</v>
      </c>
      <c r="P581" s="11">
        <f t="shared" si="762"/>
        <v>2088.9961737485587</v>
      </c>
      <c r="Q581" s="7">
        <f t="shared" si="736"/>
        <v>2088.9961737485587</v>
      </c>
      <c r="R581" t="s">
        <v>203</v>
      </c>
      <c r="S581" s="1">
        <f t="shared" si="763"/>
        <v>60.63</v>
      </c>
      <c r="T581" s="33">
        <f t="shared" si="764"/>
        <v>10499</v>
      </c>
      <c r="AX581"/>
    </row>
    <row r="582" spans="1:50" x14ac:dyDescent="0.25">
      <c r="A582">
        <v>30042</v>
      </c>
      <c r="B582" s="17" t="s">
        <v>30</v>
      </c>
      <c r="C582" s="45">
        <v>45672</v>
      </c>
      <c r="D582" s="46" t="s">
        <v>37</v>
      </c>
      <c r="E582" s="46" t="s">
        <v>41</v>
      </c>
      <c r="F582" s="64">
        <v>1</v>
      </c>
      <c r="G582" s="49"/>
      <c r="H582" s="34" t="s">
        <v>664</v>
      </c>
      <c r="I582" s="28">
        <v>1540</v>
      </c>
      <c r="J582" t="s">
        <v>2</v>
      </c>
      <c r="K582" s="47">
        <v>3200</v>
      </c>
      <c r="L582" s="3" t="s">
        <v>1</v>
      </c>
      <c r="M582" s="33">
        <f t="shared" si="761"/>
        <v>7638.4000000000005</v>
      </c>
      <c r="N582" s="2">
        <f>_xlfn.XLOOKUP(A582,'[1]Prix MP'!$A:$A,'[1]Prix MP'!$T:$T)</f>
        <v>0.2734860931279533</v>
      </c>
      <c r="O582" s="18">
        <f>_xlfn.XLOOKUP(A582,'[1]Prix MP'!$A:$A,'[1]Prix MP'!$U:$U)</f>
        <v>0.2734860931279533</v>
      </c>
      <c r="P582" s="11">
        <f t="shared" si="762"/>
        <v>2088.9961737485587</v>
      </c>
      <c r="Q582" s="7">
        <f t="shared" si="736"/>
        <v>2088.9961737485587</v>
      </c>
      <c r="R582" t="s">
        <v>203</v>
      </c>
      <c r="S582" s="1">
        <f t="shared" si="763"/>
        <v>60.63</v>
      </c>
      <c r="T582" s="33">
        <f t="shared" si="764"/>
        <v>10499</v>
      </c>
      <c r="AX582"/>
    </row>
    <row r="583" spans="1:50" x14ac:dyDescent="0.25">
      <c r="A583">
        <v>30042</v>
      </c>
      <c r="B583" s="17" t="s">
        <v>30</v>
      </c>
      <c r="C583" s="45">
        <v>45672</v>
      </c>
      <c r="D583" s="46" t="s">
        <v>37</v>
      </c>
      <c r="E583" s="46" t="s">
        <v>41</v>
      </c>
      <c r="F583" s="64">
        <v>1</v>
      </c>
      <c r="G583" s="49"/>
      <c r="H583" s="34" t="s">
        <v>665</v>
      </c>
      <c r="I583" s="28">
        <v>1540</v>
      </c>
      <c r="J583" t="s">
        <v>2</v>
      </c>
      <c r="K583" s="47">
        <v>3200</v>
      </c>
      <c r="L583" s="3" t="s">
        <v>1</v>
      </c>
      <c r="M583" s="33">
        <f t="shared" si="761"/>
        <v>7638.4000000000005</v>
      </c>
      <c r="N583" s="2">
        <f>_xlfn.XLOOKUP(A583,'[1]Prix MP'!$A:$A,'[1]Prix MP'!$T:$T)</f>
        <v>0.2734860931279533</v>
      </c>
      <c r="O583" s="18">
        <f>_xlfn.XLOOKUP(A583,'[1]Prix MP'!$A:$A,'[1]Prix MP'!$U:$U)</f>
        <v>0.2734860931279533</v>
      </c>
      <c r="P583" s="11">
        <f t="shared" si="762"/>
        <v>2088.9961737485587</v>
      </c>
      <c r="Q583" s="7">
        <f t="shared" si="736"/>
        <v>2088.9961737485587</v>
      </c>
      <c r="R583" t="s">
        <v>203</v>
      </c>
      <c r="S583" s="1">
        <f t="shared" si="763"/>
        <v>60.63</v>
      </c>
      <c r="T583" s="33">
        <f t="shared" si="764"/>
        <v>10499</v>
      </c>
      <c r="AX583"/>
    </row>
    <row r="584" spans="1:50" x14ac:dyDescent="0.25">
      <c r="A584">
        <v>30042</v>
      </c>
      <c r="B584" s="17" t="s">
        <v>30</v>
      </c>
      <c r="C584" s="45">
        <v>45672</v>
      </c>
      <c r="D584" s="46" t="s">
        <v>37</v>
      </c>
      <c r="E584" s="46" t="s">
        <v>41</v>
      </c>
      <c r="F584" s="64">
        <v>1</v>
      </c>
      <c r="G584" s="49"/>
      <c r="H584" s="34" t="s">
        <v>666</v>
      </c>
      <c r="I584" s="28">
        <v>1540</v>
      </c>
      <c r="J584" t="s">
        <v>2</v>
      </c>
      <c r="K584" s="47">
        <v>3200</v>
      </c>
      <c r="L584" s="3" t="s">
        <v>1</v>
      </c>
      <c r="M584" s="33">
        <f t="shared" si="761"/>
        <v>7638.4000000000005</v>
      </c>
      <c r="N584" s="2">
        <f>_xlfn.XLOOKUP(A584,'[1]Prix MP'!$A:$A,'[1]Prix MP'!$T:$T)</f>
        <v>0.2734860931279533</v>
      </c>
      <c r="O584" s="18">
        <f>_xlfn.XLOOKUP(A584,'[1]Prix MP'!$A:$A,'[1]Prix MP'!$U:$U)</f>
        <v>0.2734860931279533</v>
      </c>
      <c r="P584" s="11">
        <f t="shared" si="762"/>
        <v>2088.9961737485587</v>
      </c>
      <c r="Q584" s="7">
        <f t="shared" si="736"/>
        <v>2088.9961737485587</v>
      </c>
      <c r="R584" t="s">
        <v>203</v>
      </c>
      <c r="S584" s="1">
        <f t="shared" si="763"/>
        <v>60.63</v>
      </c>
      <c r="T584" s="33">
        <f t="shared" si="764"/>
        <v>10499</v>
      </c>
      <c r="AX584"/>
    </row>
    <row r="585" spans="1:50" x14ac:dyDescent="0.25">
      <c r="A585">
        <v>30042</v>
      </c>
      <c r="B585" s="17" t="s">
        <v>30</v>
      </c>
      <c r="C585" s="45">
        <v>45672</v>
      </c>
      <c r="D585" s="46" t="s">
        <v>37</v>
      </c>
      <c r="E585" s="46" t="s">
        <v>41</v>
      </c>
      <c r="F585" s="64">
        <v>1</v>
      </c>
      <c r="G585" s="49"/>
      <c r="H585" s="34" t="s">
        <v>667</v>
      </c>
      <c r="I585" s="28">
        <v>1540</v>
      </c>
      <c r="J585" t="s">
        <v>2</v>
      </c>
      <c r="K585" s="47">
        <v>3200</v>
      </c>
      <c r="L585" s="3" t="s">
        <v>1</v>
      </c>
      <c r="M585" s="33">
        <f t="shared" si="761"/>
        <v>7638.4000000000005</v>
      </c>
      <c r="N585" s="2">
        <f>_xlfn.XLOOKUP(A585,'[1]Prix MP'!$A:$A,'[1]Prix MP'!$T:$T)</f>
        <v>0.2734860931279533</v>
      </c>
      <c r="O585" s="18">
        <f>_xlfn.XLOOKUP(A585,'[1]Prix MP'!$A:$A,'[1]Prix MP'!$U:$U)</f>
        <v>0.2734860931279533</v>
      </c>
      <c r="P585" s="11">
        <f t="shared" si="762"/>
        <v>2088.9961737485587</v>
      </c>
      <c r="Q585" s="7">
        <f t="shared" si="736"/>
        <v>2088.9961737485587</v>
      </c>
      <c r="R585" t="s">
        <v>203</v>
      </c>
      <c r="S585" s="1">
        <f t="shared" si="763"/>
        <v>60.63</v>
      </c>
      <c r="T585" s="33">
        <f t="shared" si="764"/>
        <v>10499</v>
      </c>
      <c r="AX585"/>
    </row>
    <row r="586" spans="1:50" x14ac:dyDescent="0.25">
      <c r="A586">
        <v>30042</v>
      </c>
      <c r="B586" s="17" t="s">
        <v>30</v>
      </c>
      <c r="C586" s="45">
        <v>45672</v>
      </c>
      <c r="D586" s="46" t="s">
        <v>37</v>
      </c>
      <c r="E586" s="46" t="s">
        <v>41</v>
      </c>
      <c r="F586" s="64">
        <v>1</v>
      </c>
      <c r="G586" s="49"/>
      <c r="H586" s="34" t="s">
        <v>668</v>
      </c>
      <c r="I586" s="28">
        <v>1540</v>
      </c>
      <c r="J586" t="s">
        <v>2</v>
      </c>
      <c r="K586" s="47">
        <v>3200</v>
      </c>
      <c r="L586" s="3" t="s">
        <v>1</v>
      </c>
      <c r="M586" s="33">
        <f t="shared" si="761"/>
        <v>7638.4000000000005</v>
      </c>
      <c r="N586" s="2">
        <f>_xlfn.XLOOKUP(A586,'[1]Prix MP'!$A:$A,'[1]Prix MP'!$T:$T)</f>
        <v>0.2734860931279533</v>
      </c>
      <c r="O586" s="18">
        <f>_xlfn.XLOOKUP(A586,'[1]Prix MP'!$A:$A,'[1]Prix MP'!$U:$U)</f>
        <v>0.2734860931279533</v>
      </c>
      <c r="P586" s="11">
        <f t="shared" si="762"/>
        <v>2088.9961737485587</v>
      </c>
      <c r="Q586" s="7">
        <f t="shared" si="736"/>
        <v>2088.9961737485587</v>
      </c>
      <c r="R586" t="s">
        <v>203</v>
      </c>
      <c r="S586" s="1">
        <f t="shared" si="763"/>
        <v>60.63</v>
      </c>
      <c r="T586" s="33">
        <f t="shared" si="764"/>
        <v>10499</v>
      </c>
      <c r="AX586"/>
    </row>
    <row r="587" spans="1:50" x14ac:dyDescent="0.25">
      <c r="A587">
        <v>30042</v>
      </c>
      <c r="B587" s="17" t="s">
        <v>30</v>
      </c>
      <c r="C587" s="45">
        <v>45672</v>
      </c>
      <c r="D587" s="46" t="s">
        <v>37</v>
      </c>
      <c r="E587" s="46" t="s">
        <v>41</v>
      </c>
      <c r="F587" s="64">
        <v>1</v>
      </c>
      <c r="G587" s="49"/>
      <c r="H587" s="34" t="s">
        <v>669</v>
      </c>
      <c r="I587" s="28">
        <v>1540</v>
      </c>
      <c r="J587" t="s">
        <v>2</v>
      </c>
      <c r="K587" s="47">
        <v>3200</v>
      </c>
      <c r="L587" s="3" t="s">
        <v>1</v>
      </c>
      <c r="M587" s="33">
        <f t="shared" si="761"/>
        <v>7638.4000000000005</v>
      </c>
      <c r="N587" s="2">
        <f>_xlfn.XLOOKUP(A587,'[1]Prix MP'!$A:$A,'[1]Prix MP'!$T:$T)</f>
        <v>0.2734860931279533</v>
      </c>
      <c r="O587" s="18">
        <f>_xlfn.XLOOKUP(A587,'[1]Prix MP'!$A:$A,'[1]Prix MP'!$U:$U)</f>
        <v>0.2734860931279533</v>
      </c>
      <c r="P587" s="11">
        <f t="shared" si="762"/>
        <v>2088.9961737485587</v>
      </c>
      <c r="Q587" s="7">
        <f t="shared" si="736"/>
        <v>2088.9961737485587</v>
      </c>
      <c r="R587" t="s">
        <v>203</v>
      </c>
      <c r="S587" s="1">
        <f t="shared" si="763"/>
        <v>60.63</v>
      </c>
      <c r="T587" s="33">
        <f t="shared" si="764"/>
        <v>10499</v>
      </c>
      <c r="AX587"/>
    </row>
    <row r="588" spans="1:50" x14ac:dyDescent="0.25">
      <c r="A588">
        <v>30042</v>
      </c>
      <c r="B588" s="17" t="s">
        <v>30</v>
      </c>
      <c r="C588" s="45">
        <v>45672</v>
      </c>
      <c r="D588" s="46" t="s">
        <v>37</v>
      </c>
      <c r="E588" s="46" t="s">
        <v>41</v>
      </c>
      <c r="F588" s="64">
        <v>1</v>
      </c>
      <c r="G588" s="49"/>
      <c r="H588" s="34" t="s">
        <v>670</v>
      </c>
      <c r="I588" s="28">
        <v>1540</v>
      </c>
      <c r="J588" t="s">
        <v>2</v>
      </c>
      <c r="K588" s="47">
        <v>3200</v>
      </c>
      <c r="L588" s="3" t="s">
        <v>1</v>
      </c>
      <c r="M588" s="33">
        <f t="shared" ref="M588" si="791">IF(J588="mm",F588*I588/1000*K588*1.55,F588*I588*12*K588/1000)</f>
        <v>7638.4000000000005</v>
      </c>
      <c r="N588" s="2">
        <f>_xlfn.XLOOKUP(A588,'[1]Prix MP'!$A:$A,'[1]Prix MP'!$T:$T)</f>
        <v>0.2734860931279533</v>
      </c>
      <c r="O588" s="18">
        <f>_xlfn.XLOOKUP(A588,'[1]Prix MP'!$A:$A,'[1]Prix MP'!$U:$U)</f>
        <v>0.2734860931279533</v>
      </c>
      <c r="P588" s="11">
        <f t="shared" ref="P588" si="792">M588*N588</f>
        <v>2088.9961737485587</v>
      </c>
      <c r="Q588" s="7">
        <f t="shared" ref="Q588" si="793">M588*O588</f>
        <v>2088.9961737485587</v>
      </c>
      <c r="R588" t="s">
        <v>203</v>
      </c>
      <c r="S588" s="1">
        <f t="shared" ref="S588" si="794">ROUND(IF(E588="I",0,IF(J588="po",I588,I588/25.4)),2)</f>
        <v>60.63</v>
      </c>
      <c r="T588" s="33">
        <f t="shared" ref="T588" si="795">ROUND(IF(E588="I",0,IF(J588="po",K588,K588*3.280839895)),0)</f>
        <v>10499</v>
      </c>
      <c r="AX588"/>
    </row>
  </sheetData>
  <phoneticPr fontId="5" type="noConversion"/>
  <conditionalFormatting sqref="H1:H2 D3:D1048576">
    <cfRule type="containsText" dxfId="0" priority="28" operator="containsText" text="out">
      <formula>NOT(ISERROR(SEARCH("out",D1)))</formula>
    </cfRule>
  </conditionalFormatting>
  <pageMargins left="0.70866141732283472" right="0.70866141732283472" top="0.74803149606299213" bottom="0.74803149606299213" header="0.31496062992125984" footer="0.31496062992125984"/>
  <pageSetup scale="78" fitToHeight="0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AFAC-C887-4EBD-9BFD-F4BB4705E298}">
  <sheetPr codeName="Sheet2"/>
  <dimension ref="A1:Q57"/>
  <sheetViews>
    <sheetView zoomScale="85" zoomScaleNormal="85" workbookViewId="0">
      <selection activeCell="E35" sqref="E35"/>
    </sheetView>
  </sheetViews>
  <sheetFormatPr defaultRowHeight="15" x14ac:dyDescent="0.25"/>
  <cols>
    <col min="1" max="1" width="11.7109375" customWidth="1"/>
    <col min="2" max="2" width="12.28515625" customWidth="1"/>
    <col min="3" max="3" width="20.28515625" customWidth="1"/>
    <col min="4" max="4" width="14.42578125" customWidth="1"/>
    <col min="5" max="5" width="11.28515625" customWidth="1"/>
    <col min="6" max="6" width="14.85546875" customWidth="1"/>
    <col min="7" max="7" width="12" customWidth="1"/>
    <col min="8" max="8" width="9.140625" customWidth="1"/>
    <col min="9" max="9" width="12.7109375" style="2" bestFit="1" customWidth="1"/>
    <col min="10" max="10" width="12.7109375" customWidth="1"/>
    <col min="11" max="11" width="11.140625" customWidth="1"/>
    <col min="12" max="12" width="15.42578125" customWidth="1"/>
    <col min="13" max="13" width="56.85546875" bestFit="1" customWidth="1"/>
    <col min="15" max="15" width="59.28515625" bestFit="1" customWidth="1"/>
    <col min="16" max="16" width="10.85546875" bestFit="1" customWidth="1"/>
    <col min="17" max="17" width="19.28515625" bestFit="1" customWidth="1"/>
  </cols>
  <sheetData>
    <row r="1" spans="1:17" ht="15.75" x14ac:dyDescent="0.25">
      <c r="A1" s="16" t="s">
        <v>15</v>
      </c>
      <c r="D1" s="81" t="s">
        <v>435</v>
      </c>
      <c r="E1" s="81"/>
      <c r="G1" s="2"/>
      <c r="I1"/>
      <c r="K1" s="9"/>
    </row>
    <row r="2" spans="1:17" x14ac:dyDescent="0.25">
      <c r="F2" s="2" t="s">
        <v>14</v>
      </c>
      <c r="I2" s="8">
        <f>SUBTOTAL(9,I4:I10005)</f>
        <v>39302</v>
      </c>
      <c r="J2" s="62">
        <f>SUBTOTAL(9,J4:J10005)</f>
        <v>22152.695736461501</v>
      </c>
      <c r="K2" s="9"/>
      <c r="L2" s="62">
        <f>SUBTOTAL(9,L4:L10005)</f>
        <v>27949.537590020296</v>
      </c>
    </row>
    <row r="3" spans="1:17" x14ac:dyDescent="0.25">
      <c r="A3" s="26" t="s">
        <v>10</v>
      </c>
      <c r="B3" s="4" t="s">
        <v>13</v>
      </c>
      <c r="C3" s="4" t="s">
        <v>4</v>
      </c>
      <c r="D3" s="4" t="s">
        <v>43</v>
      </c>
      <c r="E3" s="4" t="s">
        <v>606</v>
      </c>
      <c r="F3" s="6" t="s">
        <v>7</v>
      </c>
      <c r="G3" s="4" t="s">
        <v>6</v>
      </c>
      <c r="H3" s="4" t="s">
        <v>5</v>
      </c>
      <c r="I3" s="4" t="s">
        <v>19</v>
      </c>
      <c r="J3" s="5" t="s">
        <v>3</v>
      </c>
      <c r="K3" s="6" t="s">
        <v>12</v>
      </c>
      <c r="L3" s="5" t="s">
        <v>11</v>
      </c>
      <c r="M3" s="4" t="s">
        <v>338</v>
      </c>
      <c r="O3" s="61" t="s">
        <v>111</v>
      </c>
      <c r="P3" t="s">
        <v>169</v>
      </c>
      <c r="Q3" t="s">
        <v>170</v>
      </c>
    </row>
    <row r="4" spans="1:17" x14ac:dyDescent="0.25">
      <c r="A4" s="44">
        <v>300002</v>
      </c>
      <c r="B4" s="10">
        <v>45355</v>
      </c>
      <c r="C4" t="s">
        <v>18</v>
      </c>
      <c r="D4" t="s">
        <v>45</v>
      </c>
      <c r="F4" s="2">
        <v>4.32</v>
      </c>
      <c r="G4" t="s">
        <v>16</v>
      </c>
      <c r="H4" t="s">
        <v>17</v>
      </c>
      <c r="I4">
        <v>220</v>
      </c>
      <c r="J4" s="1">
        <f t="shared" ref="J4:J7" si="0">F4*I4</f>
        <v>950.40000000000009</v>
      </c>
      <c r="K4" s="2">
        <v>1</v>
      </c>
      <c r="L4" s="11">
        <f t="shared" ref="L4:L7" si="1">J4*K4</f>
        <v>950.40000000000009</v>
      </c>
      <c r="M4" t="str">
        <f t="shared" ref="M4:M39" si="2">CONCATENATE(A4," ",C4," ",D4)</f>
        <v>300002 Polyrol 16.75x3</v>
      </c>
      <c r="O4" s="27" t="s">
        <v>548</v>
      </c>
      <c r="P4">
        <v>56</v>
      </c>
      <c r="Q4" s="7">
        <v>241.92000000000007</v>
      </c>
    </row>
    <row r="5" spans="1:17" x14ac:dyDescent="0.25">
      <c r="A5" s="44">
        <v>300002</v>
      </c>
      <c r="B5" s="10">
        <v>45443</v>
      </c>
      <c r="C5" t="s">
        <v>18</v>
      </c>
      <c r="D5" t="s">
        <v>45</v>
      </c>
      <c r="F5" s="2">
        <v>4.32</v>
      </c>
      <c r="G5" t="s">
        <v>16</v>
      </c>
      <c r="H5" t="s">
        <v>17</v>
      </c>
      <c r="I5">
        <v>-65</v>
      </c>
      <c r="J5" s="1">
        <f t="shared" si="0"/>
        <v>-280.8</v>
      </c>
      <c r="K5" s="2">
        <v>1</v>
      </c>
      <c r="L5" s="11">
        <f t="shared" si="1"/>
        <v>-280.8</v>
      </c>
      <c r="M5" t="str">
        <f t="shared" si="2"/>
        <v>300002 Polyrol 16.75x3</v>
      </c>
      <c r="O5" s="27" t="s">
        <v>549</v>
      </c>
      <c r="P5">
        <v>0</v>
      </c>
      <c r="Q5" s="7">
        <v>0</v>
      </c>
    </row>
    <row r="6" spans="1:17" x14ac:dyDescent="0.25">
      <c r="A6" s="44">
        <v>300002</v>
      </c>
      <c r="B6" s="10">
        <v>45473</v>
      </c>
      <c r="C6" t="s">
        <v>18</v>
      </c>
      <c r="D6" t="s">
        <v>45</v>
      </c>
      <c r="F6" s="2">
        <v>4.32</v>
      </c>
      <c r="G6" t="s">
        <v>16</v>
      </c>
      <c r="H6" t="s">
        <v>17</v>
      </c>
      <c r="I6">
        <v>-10</v>
      </c>
      <c r="J6" s="1">
        <f t="shared" si="0"/>
        <v>-43.2</v>
      </c>
      <c r="K6" s="2">
        <v>1</v>
      </c>
      <c r="L6" s="11">
        <f t="shared" si="1"/>
        <v>-43.2</v>
      </c>
      <c r="M6" t="str">
        <f t="shared" si="2"/>
        <v>300002 Polyrol 16.75x3</v>
      </c>
      <c r="O6" s="27" t="s">
        <v>550</v>
      </c>
      <c r="P6">
        <v>0</v>
      </c>
      <c r="Q6" s="7">
        <v>0</v>
      </c>
    </row>
    <row r="7" spans="1:17" x14ac:dyDescent="0.25">
      <c r="A7" s="44">
        <v>300002</v>
      </c>
      <c r="B7" s="10">
        <v>45535</v>
      </c>
      <c r="C7" t="s">
        <v>18</v>
      </c>
      <c r="D7" t="s">
        <v>45</v>
      </c>
      <c r="F7" s="2">
        <v>4.32</v>
      </c>
      <c r="G7" t="s">
        <v>16</v>
      </c>
      <c r="H7" t="s">
        <v>17</v>
      </c>
      <c r="I7">
        <v>-20</v>
      </c>
      <c r="J7" s="1">
        <f t="shared" si="0"/>
        <v>-86.4</v>
      </c>
      <c r="K7" s="2">
        <v>1</v>
      </c>
      <c r="L7" s="11">
        <f t="shared" si="1"/>
        <v>-86.4</v>
      </c>
      <c r="M7" t="str">
        <f t="shared" si="2"/>
        <v>300002 Polyrol 16.75x3</v>
      </c>
      <c r="O7" s="27" t="s">
        <v>608</v>
      </c>
      <c r="P7">
        <v>59</v>
      </c>
      <c r="Q7" s="7">
        <v>1280.3</v>
      </c>
    </row>
    <row r="8" spans="1:17" x14ac:dyDescent="0.25">
      <c r="A8" s="44">
        <v>300002</v>
      </c>
      <c r="B8" s="10">
        <v>45565</v>
      </c>
      <c r="C8" t="s">
        <v>18</v>
      </c>
      <c r="D8" t="s">
        <v>45</v>
      </c>
      <c r="F8" s="2">
        <v>4.32</v>
      </c>
      <c r="G8" t="s">
        <v>16</v>
      </c>
      <c r="H8" t="s">
        <v>17</v>
      </c>
      <c r="I8">
        <f>72-125</f>
        <v>-53</v>
      </c>
      <c r="J8" s="1">
        <f t="shared" ref="J8" si="3">F8*I8</f>
        <v>-228.96</v>
      </c>
      <c r="K8" s="2">
        <v>1</v>
      </c>
      <c r="L8" s="11">
        <f t="shared" ref="L8" si="4">J8*K8</f>
        <v>-228.96</v>
      </c>
      <c r="M8" t="str">
        <f t="shared" si="2"/>
        <v>300002 Polyrol 16.75x3</v>
      </c>
      <c r="O8" s="27" t="s">
        <v>551</v>
      </c>
      <c r="P8">
        <v>252</v>
      </c>
      <c r="Q8" s="7">
        <v>2556.0000000000005</v>
      </c>
    </row>
    <row r="9" spans="1:17" x14ac:dyDescent="0.25">
      <c r="A9" s="25">
        <v>300002</v>
      </c>
      <c r="B9" s="10">
        <v>45626</v>
      </c>
      <c r="C9" t="s">
        <v>18</v>
      </c>
      <c r="D9" t="s">
        <v>45</v>
      </c>
      <c r="F9" s="18">
        <v>4.32</v>
      </c>
      <c r="G9" t="s">
        <v>16</v>
      </c>
      <c r="H9" t="s">
        <v>17</v>
      </c>
      <c r="I9">
        <v>-16</v>
      </c>
      <c r="J9" s="11">
        <f t="shared" ref="J9" si="5">F9*I9</f>
        <v>-69.12</v>
      </c>
      <c r="K9" s="18">
        <v>1</v>
      </c>
      <c r="L9" s="11">
        <f t="shared" ref="L9" si="6">J9*K9</f>
        <v>-69.12</v>
      </c>
      <c r="M9" t="str">
        <f t="shared" ref="M9" si="7">CONCATENATE(A9," ",C9," ",D9)</f>
        <v>300002 Polyrol 16.75x3</v>
      </c>
      <c r="O9" s="27" t="s">
        <v>552</v>
      </c>
      <c r="P9">
        <v>2</v>
      </c>
      <c r="Q9" s="7">
        <v>80</v>
      </c>
    </row>
    <row r="10" spans="1:17" x14ac:dyDescent="0.25">
      <c r="A10" s="79">
        <v>300005</v>
      </c>
      <c r="B10" s="80">
        <v>45355</v>
      </c>
      <c r="C10" s="81" t="s">
        <v>18</v>
      </c>
      <c r="D10" s="81" t="s">
        <v>46</v>
      </c>
      <c r="E10" s="81"/>
      <c r="F10" s="82">
        <v>31</v>
      </c>
      <c r="G10" s="81" t="s">
        <v>16</v>
      </c>
      <c r="H10" s="81" t="s">
        <v>17</v>
      </c>
      <c r="I10" s="81">
        <v>2</v>
      </c>
      <c r="J10" s="83">
        <f t="shared" ref="J10:J13" si="8">F10*I10</f>
        <v>62</v>
      </c>
      <c r="K10" s="82">
        <v>1</v>
      </c>
      <c r="L10" s="83">
        <f t="shared" ref="L10:L13" si="9">J10*K10</f>
        <v>62</v>
      </c>
      <c r="M10" s="81" t="str">
        <f t="shared" si="2"/>
        <v>300005 Polyrol palette 46x46</v>
      </c>
      <c r="O10" s="27" t="s">
        <v>553</v>
      </c>
      <c r="P10">
        <v>332</v>
      </c>
      <c r="Q10" s="7">
        <v>0</v>
      </c>
    </row>
    <row r="11" spans="1:17" x14ac:dyDescent="0.25">
      <c r="A11" s="79">
        <v>300005</v>
      </c>
      <c r="B11" s="80">
        <v>45443</v>
      </c>
      <c r="C11" s="81" t="s">
        <v>18</v>
      </c>
      <c r="D11" s="81" t="s">
        <v>46</v>
      </c>
      <c r="E11" s="81"/>
      <c r="F11" s="82">
        <v>31</v>
      </c>
      <c r="G11" s="81" t="s">
        <v>16</v>
      </c>
      <c r="H11" s="81" t="s">
        <v>17</v>
      </c>
      <c r="I11" s="81">
        <v>-1</v>
      </c>
      <c r="J11" s="83">
        <f t="shared" ref="J11:J12" si="10">F11*I11</f>
        <v>-31</v>
      </c>
      <c r="K11" s="82">
        <v>1</v>
      </c>
      <c r="L11" s="83">
        <f t="shared" ref="L11:L12" si="11">J11*K11</f>
        <v>-31</v>
      </c>
      <c r="M11" s="81" t="str">
        <f t="shared" si="2"/>
        <v>300005 Polyrol palette 46x46</v>
      </c>
      <c r="O11" s="27" t="s">
        <v>554</v>
      </c>
      <c r="P11">
        <v>302</v>
      </c>
      <c r="Q11" s="7">
        <v>0</v>
      </c>
    </row>
    <row r="12" spans="1:17" x14ac:dyDescent="0.25">
      <c r="A12" s="79">
        <v>300005</v>
      </c>
      <c r="B12" s="80">
        <v>45603</v>
      </c>
      <c r="C12" s="81" t="s">
        <v>18</v>
      </c>
      <c r="D12" s="81" t="s">
        <v>46</v>
      </c>
      <c r="E12" s="81"/>
      <c r="F12" s="82">
        <v>31</v>
      </c>
      <c r="G12" s="81" t="s">
        <v>16</v>
      </c>
      <c r="H12" s="81" t="s">
        <v>17</v>
      </c>
      <c r="I12" s="81">
        <v>-1</v>
      </c>
      <c r="J12" s="83">
        <f t="shared" si="10"/>
        <v>-31</v>
      </c>
      <c r="K12" s="82">
        <v>1</v>
      </c>
      <c r="L12" s="83">
        <f t="shared" si="11"/>
        <v>-31</v>
      </c>
      <c r="M12" s="81" t="str">
        <f t="shared" si="2"/>
        <v>300005 Polyrol palette 46x46</v>
      </c>
      <c r="O12" s="27" t="s">
        <v>555</v>
      </c>
      <c r="P12">
        <v>0</v>
      </c>
      <c r="Q12" s="7">
        <v>0</v>
      </c>
    </row>
    <row r="13" spans="1:17" x14ac:dyDescent="0.25">
      <c r="A13" s="79">
        <v>300006</v>
      </c>
      <c r="B13" s="80">
        <v>45355</v>
      </c>
      <c r="C13" s="81" t="s">
        <v>18</v>
      </c>
      <c r="D13" s="81" t="s">
        <v>47</v>
      </c>
      <c r="E13" s="81"/>
      <c r="F13" s="82">
        <v>60</v>
      </c>
      <c r="G13" s="81" t="s">
        <v>16</v>
      </c>
      <c r="H13" s="81" t="s">
        <v>17</v>
      </c>
      <c r="I13" s="81">
        <v>1</v>
      </c>
      <c r="J13" s="83">
        <f t="shared" si="8"/>
        <v>60</v>
      </c>
      <c r="K13" s="82">
        <v>1</v>
      </c>
      <c r="L13" s="83">
        <f t="shared" si="9"/>
        <v>60</v>
      </c>
      <c r="M13" s="81" t="str">
        <f t="shared" si="2"/>
        <v>300006 Polyrol palette 92x46</v>
      </c>
      <c r="O13" s="27" t="s">
        <v>436</v>
      </c>
      <c r="P13">
        <v>14300</v>
      </c>
      <c r="Q13" s="7">
        <v>2188.6227672238883</v>
      </c>
    </row>
    <row r="14" spans="1:17" x14ac:dyDescent="0.25">
      <c r="A14" s="79">
        <v>300006</v>
      </c>
      <c r="B14" s="80">
        <v>45603</v>
      </c>
      <c r="C14" s="81" t="s">
        <v>18</v>
      </c>
      <c r="D14" s="81" t="s">
        <v>47</v>
      </c>
      <c r="E14" s="81"/>
      <c r="F14" s="82">
        <v>60</v>
      </c>
      <c r="G14" s="81" t="s">
        <v>16</v>
      </c>
      <c r="H14" s="81" t="s">
        <v>17</v>
      </c>
      <c r="I14" s="81">
        <v>-1</v>
      </c>
      <c r="J14" s="83">
        <f t="shared" ref="J14" si="12">F14*I14</f>
        <v>-60</v>
      </c>
      <c r="K14" s="82">
        <v>1</v>
      </c>
      <c r="L14" s="83">
        <f t="shared" ref="L14" si="13">J14*K14</f>
        <v>-60</v>
      </c>
      <c r="M14" s="81" t="str">
        <f t="shared" ref="M14" si="14">CONCATENATE(A14," ",C14," ",D14)</f>
        <v>300006 Polyrol palette 92x46</v>
      </c>
      <c r="O14" s="27" t="s">
        <v>437</v>
      </c>
      <c r="P14">
        <v>2070</v>
      </c>
      <c r="Q14" s="7">
        <v>2324.8748227964015</v>
      </c>
    </row>
    <row r="15" spans="1:17" x14ac:dyDescent="0.25">
      <c r="A15" s="96">
        <v>300007</v>
      </c>
      <c r="B15" s="92">
        <v>45545</v>
      </c>
      <c r="C15" s="93" t="s">
        <v>20</v>
      </c>
      <c r="D15" s="93" t="s">
        <v>607</v>
      </c>
      <c r="E15" s="93" t="s">
        <v>44</v>
      </c>
      <c r="F15" s="94">
        <v>19.2</v>
      </c>
      <c r="G15" s="93" t="s">
        <v>16</v>
      </c>
      <c r="H15" s="93" t="s">
        <v>17</v>
      </c>
      <c r="I15" s="93">
        <v>100</v>
      </c>
      <c r="J15" s="95">
        <f>Table2[[#This Row],[Prix unitaire]]*Table2[[#This Row],[Qté]]</f>
        <v>1920</v>
      </c>
      <c r="K15" s="94">
        <v>1</v>
      </c>
      <c r="L15" s="95">
        <f t="shared" ref="L15" si="15">J15*K15</f>
        <v>1920</v>
      </c>
      <c r="M15" s="93" t="str">
        <f t="shared" si="2"/>
        <v>300007 Forest Palettes 48x40</v>
      </c>
      <c r="O15" s="27" t="s">
        <v>611</v>
      </c>
      <c r="P15">
        <v>14400</v>
      </c>
      <c r="Q15" s="7">
        <v>3304.0174968451588</v>
      </c>
    </row>
    <row r="16" spans="1:17" x14ac:dyDescent="0.25">
      <c r="A16" s="96">
        <v>300007</v>
      </c>
      <c r="B16" s="92">
        <v>45565</v>
      </c>
      <c r="C16" s="93" t="s">
        <v>20</v>
      </c>
      <c r="D16" s="93" t="s">
        <v>607</v>
      </c>
      <c r="E16" s="93" t="s">
        <v>44</v>
      </c>
      <c r="F16" s="94">
        <v>19.2</v>
      </c>
      <c r="G16" s="93" t="s">
        <v>16</v>
      </c>
      <c r="H16" s="93" t="s">
        <v>17</v>
      </c>
      <c r="I16" s="93">
        <v>-29</v>
      </c>
      <c r="J16" s="95">
        <f>Table2[[#This Row],[Prix unitaire]]*Table2[[#This Row],[Qté]]</f>
        <v>-556.79999999999995</v>
      </c>
      <c r="K16" s="94">
        <v>1</v>
      </c>
      <c r="L16" s="95">
        <f t="shared" ref="L16:L17" si="16">J16*K16</f>
        <v>-556.79999999999995</v>
      </c>
      <c r="M16" s="93" t="str">
        <f t="shared" si="2"/>
        <v>300007 Forest Palettes 48x40</v>
      </c>
      <c r="O16" s="27" t="s">
        <v>612</v>
      </c>
      <c r="P16">
        <v>5520</v>
      </c>
      <c r="Q16" s="7">
        <v>1994.7025031548419</v>
      </c>
    </row>
    <row r="17" spans="1:17" x14ac:dyDescent="0.25">
      <c r="A17" s="96">
        <v>300007</v>
      </c>
      <c r="B17" s="92">
        <v>45626</v>
      </c>
      <c r="C17" s="93" t="s">
        <v>20</v>
      </c>
      <c r="D17" s="93" t="s">
        <v>607</v>
      </c>
      <c r="E17" s="93" t="s">
        <v>44</v>
      </c>
      <c r="F17" s="94">
        <v>19.2</v>
      </c>
      <c r="G17" s="93" t="s">
        <v>16</v>
      </c>
      <c r="H17" s="93" t="s">
        <v>17</v>
      </c>
      <c r="I17" s="93">
        <v>-71</v>
      </c>
      <c r="J17" s="95">
        <f>Table2[[#This Row],[Prix unitaire]]*Table2[[#This Row],[Qté]]</f>
        <v>-1363.2</v>
      </c>
      <c r="K17" s="94">
        <v>1</v>
      </c>
      <c r="L17" s="95">
        <f t="shared" si="16"/>
        <v>-1363.2</v>
      </c>
      <c r="M17" s="93" t="str">
        <f>CONCATENATE(A17," ",C17," ",D17)</f>
        <v>300007 Forest Palettes 48x40</v>
      </c>
      <c r="O17" s="27" t="s">
        <v>613</v>
      </c>
      <c r="P17">
        <v>160</v>
      </c>
      <c r="Q17" s="7">
        <v>430.40000000000009</v>
      </c>
    </row>
    <row r="18" spans="1:17" x14ac:dyDescent="0.25">
      <c r="A18" s="44">
        <v>300007</v>
      </c>
      <c r="B18" s="10">
        <v>45615</v>
      </c>
      <c r="C18" t="s">
        <v>20</v>
      </c>
      <c r="D18" t="s">
        <v>607</v>
      </c>
      <c r="E18" t="s">
        <v>44</v>
      </c>
      <c r="F18" s="2">
        <f>2170/100</f>
        <v>21.7</v>
      </c>
      <c r="G18" t="s">
        <v>16</v>
      </c>
      <c r="H18" t="s">
        <v>17</v>
      </c>
      <c r="I18">
        <v>100</v>
      </c>
      <c r="J18" s="11">
        <f>Table2[[#This Row],[Prix unitaire]]*Table2[[#This Row],[Qté]]</f>
        <v>2170</v>
      </c>
      <c r="K18" s="2">
        <v>1</v>
      </c>
      <c r="L18" s="11">
        <f t="shared" ref="L18" si="17">J18*K18</f>
        <v>2170</v>
      </c>
      <c r="M18" t="str">
        <f>CONCATENATE(A18," ",C18," ",D18)</f>
        <v>300007 Forest Palettes 48x40</v>
      </c>
      <c r="O18" s="27" t="s">
        <v>614</v>
      </c>
      <c r="P18">
        <v>368</v>
      </c>
      <c r="Q18" s="7">
        <v>1203.3599999999999</v>
      </c>
    </row>
    <row r="19" spans="1:17" x14ac:dyDescent="0.25">
      <c r="A19" s="25">
        <v>300007</v>
      </c>
      <c r="B19" s="10">
        <v>45626</v>
      </c>
      <c r="C19" t="s">
        <v>20</v>
      </c>
      <c r="D19" t="s">
        <v>607</v>
      </c>
      <c r="E19" t="s">
        <v>44</v>
      </c>
      <c r="F19" s="2">
        <f>2170/100</f>
        <v>21.7</v>
      </c>
      <c r="G19" t="s">
        <v>16</v>
      </c>
      <c r="H19" t="s">
        <v>17</v>
      </c>
      <c r="I19">
        <v>-11</v>
      </c>
      <c r="J19" s="11">
        <f>Table2[[#This Row],[Prix unitaire]]*Table2[[#This Row],[Qté]]</f>
        <v>-238.7</v>
      </c>
      <c r="K19" s="18">
        <v>1</v>
      </c>
      <c r="L19" s="11">
        <f t="shared" ref="L19" si="18">J19*K19</f>
        <v>-238.7</v>
      </c>
      <c r="M19" t="str">
        <f>CONCATENATE(A19," ",C19," ",D19)</f>
        <v>300007 Forest Palettes 48x40</v>
      </c>
      <c r="O19" s="27" t="s">
        <v>615</v>
      </c>
      <c r="Q19" s="7">
        <v>4431.34</v>
      </c>
    </row>
    <row r="20" spans="1:17" x14ac:dyDescent="0.25">
      <c r="A20" s="25">
        <v>300007</v>
      </c>
      <c r="B20" s="10">
        <v>45657</v>
      </c>
      <c r="C20" t="s">
        <v>20</v>
      </c>
      <c r="D20" t="s">
        <v>607</v>
      </c>
      <c r="E20" t="s">
        <v>44</v>
      </c>
      <c r="F20" s="2">
        <f>2170/100</f>
        <v>21.7</v>
      </c>
      <c r="G20" t="s">
        <v>16</v>
      </c>
      <c r="H20" t="s">
        <v>17</v>
      </c>
      <c r="I20">
        <v>-30</v>
      </c>
      <c r="J20" s="11">
        <f>Table2[[#This Row],[Prix unitaire]]*Table2[[#This Row],[Qté]]</f>
        <v>-651</v>
      </c>
      <c r="K20" s="18">
        <v>1</v>
      </c>
      <c r="L20" s="11">
        <f t="shared" ref="L20" si="19">J20*K20</f>
        <v>-651</v>
      </c>
      <c r="M20" t="str">
        <f>CONCATENATE(A20," ",C20," ",D20)</f>
        <v>300007 Forest Palettes 48x40</v>
      </c>
      <c r="O20" s="27" t="s">
        <v>616</v>
      </c>
      <c r="P20">
        <v>300</v>
      </c>
      <c r="Q20" s="7">
        <v>2400</v>
      </c>
    </row>
    <row r="21" spans="1:17" x14ac:dyDescent="0.25">
      <c r="A21" s="25">
        <v>300007</v>
      </c>
      <c r="B21" s="10">
        <v>45657</v>
      </c>
      <c r="C21" t="s">
        <v>20</v>
      </c>
      <c r="D21" t="s">
        <v>607</v>
      </c>
      <c r="E21" t="s">
        <v>44</v>
      </c>
      <c r="F21" s="2">
        <f>2170/100</f>
        <v>21.7</v>
      </c>
      <c r="G21" t="s">
        <v>16</v>
      </c>
      <c r="H21" t="s">
        <v>17</v>
      </c>
      <c r="I21">
        <v>100</v>
      </c>
      <c r="J21" s="11">
        <f>Table2[[#This Row],[Prix unitaire]]*Table2[[#This Row],[Qté]]</f>
        <v>2170</v>
      </c>
      <c r="K21" s="18">
        <v>1</v>
      </c>
      <c r="L21" s="11">
        <f t="shared" ref="L21" si="20">J21*K21</f>
        <v>2170</v>
      </c>
      <c r="M21" t="str">
        <f>CONCATENATE(A21," ",C21," ",D21)</f>
        <v>300007 Forest Palettes 48x40</v>
      </c>
      <c r="O21" s="27" t="s">
        <v>617</v>
      </c>
      <c r="P21">
        <v>171</v>
      </c>
      <c r="Q21" s="7">
        <v>1368</v>
      </c>
    </row>
    <row r="22" spans="1:17" x14ac:dyDescent="0.25">
      <c r="A22" s="96">
        <v>300008</v>
      </c>
      <c r="B22" s="92">
        <v>45474</v>
      </c>
      <c r="C22" s="93" t="s">
        <v>18</v>
      </c>
      <c r="D22" s="93" t="s">
        <v>122</v>
      </c>
      <c r="E22" s="93"/>
      <c r="F22" s="94">
        <v>10.85</v>
      </c>
      <c r="G22" s="93" t="s">
        <v>16</v>
      </c>
      <c r="H22" s="93" t="s">
        <v>17</v>
      </c>
      <c r="I22" s="93">
        <v>175</v>
      </c>
      <c r="J22" s="95">
        <f>Table2[[#This Row],[Prix unitaire]]*Table2[[#This Row],[Qté]]</f>
        <v>1898.75</v>
      </c>
      <c r="K22" s="94">
        <v>1</v>
      </c>
      <c r="L22" s="95">
        <f t="shared" ref="L22:L33" si="21">J22*K22</f>
        <v>1898.75</v>
      </c>
      <c r="M22" s="93" t="str">
        <f t="shared" si="2"/>
        <v>300008 Polyrol 60x3</v>
      </c>
      <c r="O22" s="27" t="s">
        <v>618</v>
      </c>
      <c r="P22">
        <v>26</v>
      </c>
      <c r="Q22" s="7">
        <v>208</v>
      </c>
    </row>
    <row r="23" spans="1:17" x14ac:dyDescent="0.25">
      <c r="A23" s="96">
        <v>300008</v>
      </c>
      <c r="B23" s="92">
        <v>45565</v>
      </c>
      <c r="C23" s="93" t="s">
        <v>18</v>
      </c>
      <c r="D23" s="93" t="s">
        <v>122</v>
      </c>
      <c r="E23" s="93"/>
      <c r="F23" s="94">
        <v>10.85</v>
      </c>
      <c r="G23" s="93" t="s">
        <v>16</v>
      </c>
      <c r="H23" s="93" t="s">
        <v>17</v>
      </c>
      <c r="I23" s="93">
        <v>-70</v>
      </c>
      <c r="J23" s="95">
        <f>Table2[[#This Row],[Prix unitaire]]*Table2[[#This Row],[Qté]]</f>
        <v>-759.5</v>
      </c>
      <c r="K23" s="94">
        <v>1</v>
      </c>
      <c r="L23" s="95">
        <f t="shared" ref="L23:L26" si="22">J23*K23</f>
        <v>-759.5</v>
      </c>
      <c r="M23" s="93" t="str">
        <f t="shared" si="2"/>
        <v>300008 Polyrol 60x3</v>
      </c>
      <c r="O23" s="27" t="s">
        <v>619</v>
      </c>
      <c r="P23">
        <v>884</v>
      </c>
      <c r="Q23" s="7">
        <v>1768</v>
      </c>
    </row>
    <row r="24" spans="1:17" x14ac:dyDescent="0.25">
      <c r="A24" s="96">
        <v>300008</v>
      </c>
      <c r="B24" s="92">
        <v>45596</v>
      </c>
      <c r="C24" s="93" t="s">
        <v>18</v>
      </c>
      <c r="D24" s="93" t="s">
        <v>122</v>
      </c>
      <c r="E24" s="93"/>
      <c r="F24" s="94">
        <v>10.85</v>
      </c>
      <c r="G24" s="93" t="s">
        <v>16</v>
      </c>
      <c r="H24" s="93" t="s">
        <v>17</v>
      </c>
      <c r="I24" s="93">
        <v>-30</v>
      </c>
      <c r="J24" s="95">
        <f>Table2[[#This Row],[Prix unitaire]]*Table2[[#This Row],[Qté]]</f>
        <v>-325.5</v>
      </c>
      <c r="K24" s="94">
        <v>1</v>
      </c>
      <c r="L24" s="95">
        <f t="shared" si="22"/>
        <v>-325.5</v>
      </c>
      <c r="M24" s="93" t="str">
        <f>CONCATENATE(A24," ",C24," ",D24)</f>
        <v>300008 Polyrol 60x3</v>
      </c>
      <c r="O24" s="27" t="s">
        <v>112</v>
      </c>
      <c r="P24">
        <v>39202</v>
      </c>
      <c r="Q24" s="7">
        <v>25779.537590020293</v>
      </c>
    </row>
    <row r="25" spans="1:17" x14ac:dyDescent="0.25">
      <c r="A25" s="96">
        <v>300008</v>
      </c>
      <c r="B25" s="92">
        <v>45626</v>
      </c>
      <c r="C25" s="93" t="s">
        <v>18</v>
      </c>
      <c r="D25" s="93" t="s">
        <v>122</v>
      </c>
      <c r="E25" s="93"/>
      <c r="F25" s="94">
        <v>10.85</v>
      </c>
      <c r="G25" s="93" t="s">
        <v>16</v>
      </c>
      <c r="H25" s="93" t="s">
        <v>17</v>
      </c>
      <c r="I25" s="93">
        <v>-75</v>
      </c>
      <c r="J25" s="95">
        <f>Table2[[#This Row],[Prix unitaire]]*Table2[[#This Row],[Qté]]</f>
        <v>-813.75</v>
      </c>
      <c r="K25" s="94">
        <v>1</v>
      </c>
      <c r="L25" s="95">
        <f t="shared" ref="L25" si="23">J25*K25</f>
        <v>-813.75</v>
      </c>
      <c r="M25" s="93" t="str">
        <f>CONCATENATE(A25," ",C25," ",D25)</f>
        <v>300008 Polyrol 60x3</v>
      </c>
    </row>
    <row r="26" spans="1:17" x14ac:dyDescent="0.25">
      <c r="A26" s="44">
        <v>300008</v>
      </c>
      <c r="B26" s="10">
        <v>45603</v>
      </c>
      <c r="C26" t="s">
        <v>18</v>
      </c>
      <c r="D26" t="s">
        <v>122</v>
      </c>
      <c r="F26" s="2">
        <f>(3430+120)/350</f>
        <v>10.142857142857142</v>
      </c>
      <c r="G26" t="s">
        <v>16</v>
      </c>
      <c r="H26" t="s">
        <v>17</v>
      </c>
      <c r="I26">
        <v>350</v>
      </c>
      <c r="J26" s="11">
        <f>Table2[[#This Row],[Prix unitaire]]*Table2[[#This Row],[Qté]]</f>
        <v>3550</v>
      </c>
      <c r="K26" s="2">
        <v>1</v>
      </c>
      <c r="L26" s="11">
        <f t="shared" si="22"/>
        <v>3550</v>
      </c>
      <c r="M26" t="str">
        <f>CONCATENATE(A26," ",C26," ",D26)</f>
        <v>300008 Polyrol 60x3</v>
      </c>
    </row>
    <row r="27" spans="1:17" x14ac:dyDescent="0.25">
      <c r="A27" s="25">
        <v>300008</v>
      </c>
      <c r="B27" s="10">
        <v>45626</v>
      </c>
      <c r="C27" t="s">
        <v>18</v>
      </c>
      <c r="D27" t="s">
        <v>122</v>
      </c>
      <c r="F27" s="2">
        <f>(3430+120)/350</f>
        <v>10.142857142857142</v>
      </c>
      <c r="G27" t="s">
        <v>16</v>
      </c>
      <c r="H27" t="s">
        <v>17</v>
      </c>
      <c r="I27">
        <f>75-118</f>
        <v>-43</v>
      </c>
      <c r="J27" s="11">
        <f>Table2[[#This Row],[Prix unitaire]]*Table2[[#This Row],[Qté]]</f>
        <v>-436.14285714285711</v>
      </c>
      <c r="K27" s="18">
        <v>1</v>
      </c>
      <c r="L27" s="11">
        <f t="shared" ref="L27" si="24">J27*K27</f>
        <v>-436.14285714285711</v>
      </c>
      <c r="M27" t="str">
        <f>CONCATENATE(A27," ",C27," ",D27)</f>
        <v>300008 Polyrol 60x3</v>
      </c>
    </row>
    <row r="28" spans="1:17" x14ac:dyDescent="0.25">
      <c r="A28" s="25">
        <v>300008</v>
      </c>
      <c r="B28" s="10">
        <v>45657</v>
      </c>
      <c r="C28" t="s">
        <v>18</v>
      </c>
      <c r="D28" t="s">
        <v>122</v>
      </c>
      <c r="F28" s="2">
        <f>(3430+120)/350</f>
        <v>10.142857142857142</v>
      </c>
      <c r="G28" t="s">
        <v>16</v>
      </c>
      <c r="H28" t="s">
        <v>17</v>
      </c>
      <c r="I28">
        <v>-55</v>
      </c>
      <c r="J28" s="11">
        <f>Table2[[#This Row],[Prix unitaire]]*Table2[[#This Row],[Qté]]</f>
        <v>-557.85714285714278</v>
      </c>
      <c r="K28" s="18">
        <v>1</v>
      </c>
      <c r="L28" s="11">
        <f t="shared" ref="L28" si="25">J28*K28</f>
        <v>-557.85714285714278</v>
      </c>
      <c r="M28" t="str">
        <f>CONCATENATE(A28," ",C28," ",D28)</f>
        <v>300008 Polyrol 60x3</v>
      </c>
    </row>
    <row r="29" spans="1:17" x14ac:dyDescent="0.25">
      <c r="A29" s="79">
        <v>300009</v>
      </c>
      <c r="B29" s="80">
        <v>45474</v>
      </c>
      <c r="C29" s="81" t="s">
        <v>18</v>
      </c>
      <c r="D29" s="81" t="s">
        <v>123</v>
      </c>
      <c r="E29" s="81"/>
      <c r="F29" s="82">
        <v>40</v>
      </c>
      <c r="G29" s="81" t="s">
        <v>16</v>
      </c>
      <c r="H29" s="81" t="s">
        <v>17</v>
      </c>
      <c r="I29" s="81">
        <v>1</v>
      </c>
      <c r="J29" s="83">
        <f>Table2[[#This Row],[Prix unitaire]]*Table2[[#This Row],[Qté]]</f>
        <v>40</v>
      </c>
      <c r="K29" s="82">
        <v>1</v>
      </c>
      <c r="L29" s="83">
        <f t="shared" si="21"/>
        <v>40</v>
      </c>
      <c r="M29" s="81" t="str">
        <f t="shared" si="2"/>
        <v>300009 Polyrol palette 60x46</v>
      </c>
    </row>
    <row r="30" spans="1:17" x14ac:dyDescent="0.25">
      <c r="A30" s="79">
        <v>300009</v>
      </c>
      <c r="B30" s="80">
        <v>45603</v>
      </c>
      <c r="C30" s="81" t="s">
        <v>18</v>
      </c>
      <c r="D30" s="81" t="s">
        <v>123</v>
      </c>
      <c r="E30" s="81"/>
      <c r="F30" s="82">
        <v>40</v>
      </c>
      <c r="G30" s="81" t="s">
        <v>16</v>
      </c>
      <c r="H30" s="81" t="s">
        <v>17</v>
      </c>
      <c r="I30" s="81">
        <v>-1</v>
      </c>
      <c r="J30" s="83">
        <f>Table2[[#This Row],[Prix unitaire]]*Table2[[#This Row],[Qté]]</f>
        <v>-40</v>
      </c>
      <c r="K30" s="82">
        <v>1</v>
      </c>
      <c r="L30" s="83">
        <f t="shared" ref="L30" si="26">J30*K30</f>
        <v>-40</v>
      </c>
      <c r="M30" s="81" t="str">
        <f t="shared" ref="M30" si="27">CONCATENATE(A30," ",C30," ",D30)</f>
        <v>300009 Polyrol palette 60x46</v>
      </c>
    </row>
    <row r="31" spans="1:17" x14ac:dyDescent="0.25">
      <c r="A31" s="25">
        <v>300009</v>
      </c>
      <c r="B31" s="10">
        <v>45603</v>
      </c>
      <c r="C31" t="s">
        <v>18</v>
      </c>
      <c r="D31" t="s">
        <v>123</v>
      </c>
      <c r="F31" s="18">
        <v>40</v>
      </c>
      <c r="G31" t="s">
        <v>16</v>
      </c>
      <c r="H31" t="s">
        <v>17</v>
      </c>
      <c r="I31">
        <v>2</v>
      </c>
      <c r="J31" s="11">
        <f>Table2[[#This Row],[Prix unitaire]]*Table2[[#This Row],[Qté]]</f>
        <v>80</v>
      </c>
      <c r="K31" s="18">
        <v>1</v>
      </c>
      <c r="L31" s="11">
        <f t="shared" ref="L31" si="28">J31*K31</f>
        <v>80</v>
      </c>
      <c r="M31" t="str">
        <f t="shared" ref="M31" si="29">CONCATENATE(A31," ",C31," ",D31)</f>
        <v>300009 Polyrol palette 60x46</v>
      </c>
    </row>
    <row r="32" spans="1:17" x14ac:dyDescent="0.25">
      <c r="A32" s="44">
        <v>300010</v>
      </c>
      <c r="B32" s="10">
        <v>45565</v>
      </c>
      <c r="C32" t="s">
        <v>174</v>
      </c>
      <c r="D32" t="s">
        <v>172</v>
      </c>
      <c r="F32" s="2">
        <v>0</v>
      </c>
      <c r="G32" t="s">
        <v>171</v>
      </c>
      <c r="H32" t="s">
        <v>0</v>
      </c>
      <c r="I32">
        <v>332</v>
      </c>
      <c r="J32" s="11">
        <f>Table2[[#This Row],[Prix unitaire]]*Table2[[#This Row],[Qté]]</f>
        <v>0</v>
      </c>
      <c r="K32" s="2">
        <v>1</v>
      </c>
      <c r="L32" s="11">
        <f t="shared" si="21"/>
        <v>0</v>
      </c>
      <c r="M32" t="str">
        <f t="shared" si="2"/>
        <v>300010 AKO samples AH2008 Label TC DT 4x6 perf (6.045USD/rl)</v>
      </c>
    </row>
    <row r="33" spans="1:13" x14ac:dyDescent="0.25">
      <c r="A33" s="44">
        <v>300011</v>
      </c>
      <c r="B33" s="10">
        <v>45565</v>
      </c>
      <c r="C33" t="s">
        <v>174</v>
      </c>
      <c r="D33" t="s">
        <v>173</v>
      </c>
      <c r="F33" s="2">
        <v>0</v>
      </c>
      <c r="G33" t="s">
        <v>171</v>
      </c>
      <c r="H33" t="s">
        <v>0</v>
      </c>
      <c r="I33">
        <v>302</v>
      </c>
      <c r="J33" s="11">
        <f>Table2[[#This Row],[Prix unitaire]]*Table2[[#This Row],[Qté]]</f>
        <v>0</v>
      </c>
      <c r="K33" s="2">
        <v>1</v>
      </c>
      <c r="L33" s="11">
        <f t="shared" si="21"/>
        <v>0</v>
      </c>
      <c r="M33" t="str">
        <f t="shared" si="2"/>
        <v>300011 AKO samples AH1003 Label 4x6 TT perf (5.446USD/rl)</v>
      </c>
    </row>
    <row r="34" spans="1:13" x14ac:dyDescent="0.25">
      <c r="A34" s="79">
        <v>300012</v>
      </c>
      <c r="B34" s="80">
        <v>45580</v>
      </c>
      <c r="C34" s="81" t="s">
        <v>324</v>
      </c>
      <c r="D34" s="81" t="s">
        <v>325</v>
      </c>
      <c r="E34" s="81"/>
      <c r="F34" s="82">
        <v>20.85</v>
      </c>
      <c r="G34" s="81" t="s">
        <v>323</v>
      </c>
      <c r="H34" s="81" t="s">
        <v>0</v>
      </c>
      <c r="I34" s="82">
        <v>99</v>
      </c>
      <c r="J34" s="83">
        <f>Table2[[#This Row],[Prix unitaire]]*Table2[[#This Row],[Qté]]</f>
        <v>2064.15</v>
      </c>
      <c r="K34" s="82">
        <v>1.3641665997100305</v>
      </c>
      <c r="L34" s="83">
        <f>J34*K34</f>
        <v>2815.8444867914595</v>
      </c>
      <c r="M34" s="81" t="str">
        <f t="shared" si="2"/>
        <v>300012 4x6 ED3049 4x6 (1000/roul; 4/boite)</v>
      </c>
    </row>
    <row r="35" spans="1:13" x14ac:dyDescent="0.25">
      <c r="A35" s="79">
        <v>300012</v>
      </c>
      <c r="B35" s="80">
        <v>45581</v>
      </c>
      <c r="C35" s="81" t="s">
        <v>324</v>
      </c>
      <c r="D35" s="81" t="s">
        <v>325</v>
      </c>
      <c r="E35" s="81"/>
      <c r="F35" s="82">
        <v>20.85</v>
      </c>
      <c r="G35" s="81" t="s">
        <v>323</v>
      </c>
      <c r="H35" s="81" t="s">
        <v>0</v>
      </c>
      <c r="I35" s="82">
        <v>-29</v>
      </c>
      <c r="J35" s="83">
        <f>Table2[[#This Row],[Prix unitaire]]*Table2[[#This Row],[Qté]]</f>
        <v>-604.65000000000009</v>
      </c>
      <c r="K35" s="82">
        <v>1.3641665997100305</v>
      </c>
      <c r="L35" s="83">
        <f>J35*K35</f>
        <v>-824.84333451467012</v>
      </c>
      <c r="M35" s="81" t="str">
        <f t="shared" si="2"/>
        <v>300012 4x6 ED3049 4x6 (1000/roul; 4/boite)</v>
      </c>
    </row>
    <row r="36" spans="1:13" x14ac:dyDescent="0.25">
      <c r="A36" s="79">
        <v>300012</v>
      </c>
      <c r="B36" s="80">
        <v>45603</v>
      </c>
      <c r="C36" s="81" t="s">
        <v>324</v>
      </c>
      <c r="D36" s="81" t="s">
        <v>325</v>
      </c>
      <c r="E36" s="81"/>
      <c r="F36" s="82">
        <v>20.85</v>
      </c>
      <c r="G36" s="81" t="s">
        <v>323</v>
      </c>
      <c r="H36" s="81" t="s">
        <v>0</v>
      </c>
      <c r="I36" s="82">
        <v>-70</v>
      </c>
      <c r="J36" s="83">
        <f>Table2[[#This Row],[Prix unitaire]]*Table2[[#This Row],[Qté]]</f>
        <v>-1459.5</v>
      </c>
      <c r="K36" s="82">
        <v>1.3641665997100305</v>
      </c>
      <c r="L36" s="83">
        <f>J36*K36</f>
        <v>-1991.0011522767895</v>
      </c>
      <c r="M36" s="81" t="str">
        <f t="shared" ref="M36" si="30">CONCATENATE(A36," ",C36," ",D36)</f>
        <v>300012 4x6 ED3049 4x6 (1000/roul; 4/boite)</v>
      </c>
    </row>
    <row r="37" spans="1:13" x14ac:dyDescent="0.25">
      <c r="A37" s="44">
        <v>300013</v>
      </c>
      <c r="B37" s="10">
        <v>45572</v>
      </c>
      <c r="C37" t="s">
        <v>335</v>
      </c>
      <c r="D37" t="s">
        <v>336</v>
      </c>
      <c r="F37" s="2">
        <f>Calcul!G20</f>
        <v>0.15917256488901005</v>
      </c>
      <c r="G37" t="s">
        <v>16</v>
      </c>
      <c r="H37" t="s">
        <v>17</v>
      </c>
      <c r="I37" s="33">
        <v>14850</v>
      </c>
      <c r="J37" s="1">
        <f>F37*I37</f>
        <v>2363.7125886017993</v>
      </c>
      <c r="K37" s="2">
        <v>1</v>
      </c>
      <c r="L37" s="11">
        <f>J37*K37</f>
        <v>2363.7125886017993</v>
      </c>
      <c r="M37" t="str">
        <f t="shared" si="2"/>
        <v>300013 Yazoo 1.5x2.362</v>
      </c>
    </row>
    <row r="38" spans="1:13" x14ac:dyDescent="0.25">
      <c r="A38" s="25">
        <v>300013</v>
      </c>
      <c r="B38" s="10">
        <v>45626</v>
      </c>
      <c r="C38" t="s">
        <v>335</v>
      </c>
      <c r="D38" t="s">
        <v>336</v>
      </c>
      <c r="F38" s="2">
        <v>0.15917256488901005</v>
      </c>
      <c r="G38" t="s">
        <v>16</v>
      </c>
      <c r="H38" t="s">
        <v>17</v>
      </c>
      <c r="I38" s="84">
        <f>26*550-I37</f>
        <v>-550</v>
      </c>
      <c r="J38" s="11">
        <f t="shared" ref="J38:J40" si="31">F38*I38</f>
        <v>-87.544910688955525</v>
      </c>
      <c r="K38" s="18">
        <v>2</v>
      </c>
      <c r="L38" s="11">
        <f t="shared" ref="L38:L40" si="32">J38*K38</f>
        <v>-175.08982137791105</v>
      </c>
      <c r="M38" t="s">
        <v>436</v>
      </c>
    </row>
    <row r="39" spans="1:13" x14ac:dyDescent="0.25">
      <c r="A39" s="44">
        <v>300014</v>
      </c>
      <c r="B39" s="10">
        <v>45572</v>
      </c>
      <c r="C39" t="s">
        <v>335</v>
      </c>
      <c r="D39" t="s">
        <v>337</v>
      </c>
      <c r="F39" s="2">
        <f>Calcul!G21</f>
        <v>0.42117297514427554</v>
      </c>
      <c r="G39" t="s">
        <v>16</v>
      </c>
      <c r="H39" t="s">
        <v>17</v>
      </c>
      <c r="I39" s="33">
        <v>2760</v>
      </c>
      <c r="J39" s="1">
        <f t="shared" si="31"/>
        <v>1162.4374113982005</v>
      </c>
      <c r="K39" s="2">
        <v>3</v>
      </c>
      <c r="L39" s="11">
        <f t="shared" si="32"/>
        <v>3487.3122341946018</v>
      </c>
      <c r="M39" t="str">
        <f t="shared" si="2"/>
        <v>300014 Yazoo 3x4.125</v>
      </c>
    </row>
    <row r="40" spans="1:13" x14ac:dyDescent="0.25">
      <c r="A40" s="25">
        <v>300014</v>
      </c>
      <c r="B40" s="10">
        <v>45626</v>
      </c>
      <c r="C40" t="s">
        <v>335</v>
      </c>
      <c r="D40" t="s">
        <v>337</v>
      </c>
      <c r="F40" s="18">
        <v>0.42117297514427554</v>
      </c>
      <c r="G40" t="s">
        <v>16</v>
      </c>
      <c r="H40" t="s">
        <v>17</v>
      </c>
      <c r="I40" s="84">
        <f>1610-2760</f>
        <v>-1150</v>
      </c>
      <c r="J40" s="11">
        <f t="shared" si="31"/>
        <v>-484.34892141591689</v>
      </c>
      <c r="K40" s="18">
        <v>4</v>
      </c>
      <c r="L40" s="11">
        <f t="shared" si="32"/>
        <v>-1937.3956856636676</v>
      </c>
      <c r="M40" t="s">
        <v>437</v>
      </c>
    </row>
    <row r="41" spans="1:13" x14ac:dyDescent="0.25">
      <c r="A41" s="25">
        <v>300014</v>
      </c>
      <c r="B41" s="10">
        <v>45657</v>
      </c>
      <c r="C41" t="s">
        <v>335</v>
      </c>
      <c r="D41" t="s">
        <v>337</v>
      </c>
      <c r="F41" s="18">
        <v>0.42117297514427554</v>
      </c>
      <c r="G41" t="s">
        <v>16</v>
      </c>
      <c r="H41" t="s">
        <v>17</v>
      </c>
      <c r="I41" s="84">
        <v>460</v>
      </c>
      <c r="J41" s="11">
        <f t="shared" ref="J41" si="33">F41*I41</f>
        <v>193.73956856636676</v>
      </c>
      <c r="K41" s="18">
        <v>4</v>
      </c>
      <c r="L41" s="11">
        <f t="shared" ref="L41" si="34">J41*K41</f>
        <v>774.95827426546703</v>
      </c>
      <c r="M41" t="s">
        <v>437</v>
      </c>
    </row>
    <row r="42" spans="1:13" x14ac:dyDescent="0.25">
      <c r="A42" s="44">
        <v>300015</v>
      </c>
      <c r="B42" s="10">
        <v>45601</v>
      </c>
      <c r="C42" t="s">
        <v>335</v>
      </c>
      <c r="D42" t="s">
        <v>490</v>
      </c>
      <c r="F42" s="2">
        <v>0.20395169733612092</v>
      </c>
      <c r="G42" t="s">
        <v>16</v>
      </c>
      <c r="H42" t="s">
        <v>17</v>
      </c>
      <c r="I42" s="33">
        <v>16200</v>
      </c>
      <c r="J42" s="1">
        <f>Table2[[#This Row],[Prix unitaire]]*Table2[[#This Row],[Qté]]</f>
        <v>3304.0174968451588</v>
      </c>
      <c r="K42" s="2">
        <v>1</v>
      </c>
      <c r="L42" s="11">
        <f t="shared" ref="L42:L48" si="35">J42*K42</f>
        <v>3304.0174968451588</v>
      </c>
      <c r="M42" t="str">
        <f t="shared" ref="M42:M49" si="36">CONCATENATE(A42," ",C42," ",D42)</f>
        <v>300015 Yazoo 1x4</v>
      </c>
    </row>
    <row r="43" spans="1:13" x14ac:dyDescent="0.25">
      <c r="A43" s="44">
        <v>300015</v>
      </c>
      <c r="B43" s="10">
        <v>45657</v>
      </c>
      <c r="C43" t="s">
        <v>335</v>
      </c>
      <c r="D43" t="s">
        <v>490</v>
      </c>
      <c r="F43" s="2">
        <v>0.20395169733612092</v>
      </c>
      <c r="G43" t="s">
        <v>16</v>
      </c>
      <c r="H43" t="s">
        <v>17</v>
      </c>
      <c r="I43" s="33">
        <f>14400-16200</f>
        <v>-1800</v>
      </c>
      <c r="J43" s="1"/>
      <c r="K43" s="2"/>
      <c r="L43" s="11"/>
      <c r="M43" t="str">
        <f>CONCATENATE(A43," ",C43," ",D43)</f>
        <v>300015 Yazoo 1x4</v>
      </c>
    </row>
    <row r="44" spans="1:13" x14ac:dyDescent="0.25">
      <c r="A44" s="44">
        <v>300016</v>
      </c>
      <c r="B44" s="10">
        <v>45601</v>
      </c>
      <c r="C44" t="s">
        <v>335</v>
      </c>
      <c r="D44" t="s">
        <v>491</v>
      </c>
      <c r="F44" s="2">
        <v>0.36135914912225398</v>
      </c>
      <c r="G44" t="s">
        <v>16</v>
      </c>
      <c r="H44" t="s">
        <v>17</v>
      </c>
      <c r="I44" s="33">
        <v>5520</v>
      </c>
      <c r="J44" s="1">
        <f>Table2[[#This Row],[Prix unitaire]]*Table2[[#This Row],[Qté]]</f>
        <v>1994.7025031548419</v>
      </c>
      <c r="K44" s="2">
        <v>1</v>
      </c>
      <c r="L44" s="11">
        <f t="shared" si="35"/>
        <v>1994.7025031548419</v>
      </c>
      <c r="M44" t="str">
        <f t="shared" si="36"/>
        <v>300016 Yazoo 3x4</v>
      </c>
    </row>
    <row r="45" spans="1:13" x14ac:dyDescent="0.25">
      <c r="A45" s="44">
        <v>300017</v>
      </c>
      <c r="B45" s="10">
        <v>45604</v>
      </c>
      <c r="C45" t="s">
        <v>493</v>
      </c>
      <c r="D45" t="s">
        <v>495</v>
      </c>
      <c r="F45" s="2">
        <v>2.69</v>
      </c>
      <c r="G45" t="s">
        <v>16</v>
      </c>
      <c r="H45" t="s">
        <v>17</v>
      </c>
      <c r="I45" s="33">
        <v>250</v>
      </c>
      <c r="J45" s="1">
        <f>Table2[[#This Row],[Prix unitaire]]*Table2[[#This Row],[Qté]]</f>
        <v>672.5</v>
      </c>
      <c r="K45" s="2">
        <v>1</v>
      </c>
      <c r="L45" s="11">
        <f t="shared" si="35"/>
        <v>672.5</v>
      </c>
      <c r="M45" t="str">
        <f t="shared" si="36"/>
        <v>300017 Uline Carton</v>
      </c>
    </row>
    <row r="46" spans="1:13" x14ac:dyDescent="0.25">
      <c r="A46" s="44">
        <v>300017</v>
      </c>
      <c r="B46" s="10">
        <v>45626</v>
      </c>
      <c r="C46" t="s">
        <v>493</v>
      </c>
      <c r="D46" t="s">
        <v>495</v>
      </c>
      <c r="F46" s="2">
        <v>2.69</v>
      </c>
      <c r="G46" t="s">
        <v>16</v>
      </c>
      <c r="H46" t="s">
        <v>17</v>
      </c>
      <c r="I46" s="33">
        <v>-20</v>
      </c>
      <c r="J46" s="1">
        <f>Table2[[#This Row],[Prix unitaire]]*Table2[[#This Row],[Qté]]</f>
        <v>-53.8</v>
      </c>
      <c r="K46" s="2">
        <v>1</v>
      </c>
      <c r="L46" s="11">
        <f t="shared" ref="L46" si="37">J46*K46</f>
        <v>-53.8</v>
      </c>
      <c r="M46" t="str">
        <f t="shared" si="36"/>
        <v>300017 Uline Carton</v>
      </c>
    </row>
    <row r="47" spans="1:13" x14ac:dyDescent="0.25">
      <c r="A47" s="44">
        <v>300017</v>
      </c>
      <c r="B47" s="10">
        <v>45657</v>
      </c>
      <c r="C47" t="s">
        <v>493</v>
      </c>
      <c r="D47" t="s">
        <v>495</v>
      </c>
      <c r="F47" s="2">
        <v>2.69</v>
      </c>
      <c r="G47" t="s">
        <v>16</v>
      </c>
      <c r="H47" t="s">
        <v>17</v>
      </c>
      <c r="I47" s="33">
        <v>-70</v>
      </c>
      <c r="J47" s="1">
        <f>Table2[[#This Row],[Prix unitaire]]*Table2[[#This Row],[Qté]]</f>
        <v>-188.29999999999998</v>
      </c>
      <c r="K47" s="2">
        <v>1</v>
      </c>
      <c r="L47" s="11">
        <f t="shared" ref="L47" si="38">J47*K47</f>
        <v>-188.29999999999998</v>
      </c>
      <c r="M47" t="str">
        <f t="shared" ref="M47" si="39">CONCATENATE(A47," ",C47," ",D47)</f>
        <v>300017 Uline Carton</v>
      </c>
    </row>
    <row r="48" spans="1:13" x14ac:dyDescent="0.25">
      <c r="A48" s="44">
        <v>300018</v>
      </c>
      <c r="B48" s="10">
        <v>45597</v>
      </c>
      <c r="C48" t="s">
        <v>492</v>
      </c>
      <c r="D48" t="s">
        <v>494</v>
      </c>
      <c r="F48" s="2">
        <v>3.27</v>
      </c>
      <c r="G48" t="s">
        <v>16</v>
      </c>
      <c r="H48" t="s">
        <v>17</v>
      </c>
      <c r="I48" s="33">
        <v>528</v>
      </c>
      <c r="J48" s="1">
        <f>Table2[[#This Row],[Prix unitaire]]*Table2[[#This Row],[Qté]]</f>
        <v>1726.56</v>
      </c>
      <c r="K48" s="2">
        <v>1</v>
      </c>
      <c r="L48" s="11">
        <f t="shared" si="35"/>
        <v>1726.56</v>
      </c>
      <c r="M48" t="str">
        <f t="shared" si="36"/>
        <v>300018 Emballage LM Triangles (528)</v>
      </c>
    </row>
    <row r="49" spans="1:13" x14ac:dyDescent="0.25">
      <c r="A49" s="44">
        <v>300018</v>
      </c>
      <c r="B49" s="10">
        <v>45626</v>
      </c>
      <c r="C49" t="s">
        <v>492</v>
      </c>
      <c r="D49" t="s">
        <v>494</v>
      </c>
      <c r="F49" s="2">
        <v>3.27</v>
      </c>
      <c r="G49" t="s">
        <v>16</v>
      </c>
      <c r="H49" t="s">
        <v>17</v>
      </c>
      <c r="I49" s="33">
        <v>-128</v>
      </c>
      <c r="J49" s="1">
        <f>Table2[[#This Row],[Prix unitaire]]*Table2[[#This Row],[Qté]]</f>
        <v>-418.56</v>
      </c>
      <c r="K49" s="2">
        <v>1</v>
      </c>
      <c r="L49" s="11">
        <f t="shared" ref="L49" si="40">J49*K49</f>
        <v>-418.56</v>
      </c>
      <c r="M49" t="str">
        <f t="shared" si="36"/>
        <v>300018 Emballage LM Triangles (528)</v>
      </c>
    </row>
    <row r="50" spans="1:13" x14ac:dyDescent="0.25">
      <c r="A50" s="44">
        <v>300018</v>
      </c>
      <c r="B50" s="10">
        <v>45657</v>
      </c>
      <c r="C50" t="s">
        <v>492</v>
      </c>
      <c r="D50" t="s">
        <v>494</v>
      </c>
      <c r="F50" s="2">
        <v>3.27</v>
      </c>
      <c r="G50" t="s">
        <v>16</v>
      </c>
      <c r="H50" t="s">
        <v>17</v>
      </c>
      <c r="I50" s="33">
        <v>-32</v>
      </c>
      <c r="J50" s="1">
        <f>Table2[[#This Row],[Prix unitaire]]*Table2[[#This Row],[Qté]]</f>
        <v>-104.64</v>
      </c>
      <c r="K50" s="2">
        <v>1</v>
      </c>
      <c r="L50" s="11">
        <f t="shared" ref="L50" si="41">J50*K50</f>
        <v>-104.64</v>
      </c>
      <c r="M50" t="str">
        <f t="shared" ref="M50" si="42">CONCATENATE(A50," ",C50," ",D50)</f>
        <v>300018 Emballage LM Triangles (528)</v>
      </c>
    </row>
    <row r="51" spans="1:13" x14ac:dyDescent="0.25">
      <c r="A51" s="44">
        <v>400001</v>
      </c>
      <c r="B51" s="10">
        <v>45626</v>
      </c>
      <c r="C51" t="s">
        <v>609</v>
      </c>
      <c r="E51" t="s">
        <v>557</v>
      </c>
      <c r="F51" s="2"/>
      <c r="I51" s="33"/>
      <c r="J51" s="1"/>
      <c r="K51" s="2"/>
      <c r="L51" s="11">
        <f>2157.41+1328.64+9861.48</f>
        <v>13347.529999999999</v>
      </c>
      <c r="M51" t="str">
        <f t="shared" ref="M51:M57" si="43">CONCATENATE(A51," ",C51," ",D51)</f>
        <v xml:space="preserve">400001 Produits finis papier </v>
      </c>
    </row>
    <row r="52" spans="1:13" x14ac:dyDescent="0.25">
      <c r="A52" s="44">
        <v>400001</v>
      </c>
      <c r="B52" s="10">
        <v>45657</v>
      </c>
      <c r="C52" t="s">
        <v>609</v>
      </c>
      <c r="E52" t="s">
        <v>557</v>
      </c>
      <c r="F52" s="2"/>
      <c r="I52" s="33"/>
      <c r="J52" s="1"/>
      <c r="K52" s="2"/>
      <c r="L52" s="11">
        <f>-(2157.41+1328.64+9861.48)</f>
        <v>-13347.529999999999</v>
      </c>
      <c r="M52" t="str">
        <f t="shared" si="43"/>
        <v xml:space="preserve">400001 Produits finis papier </v>
      </c>
    </row>
    <row r="53" spans="1:13" x14ac:dyDescent="0.25">
      <c r="A53" s="44">
        <v>400001</v>
      </c>
      <c r="B53" s="10">
        <v>45657</v>
      </c>
      <c r="C53" t="s">
        <v>609</v>
      </c>
      <c r="E53" t="s">
        <v>600</v>
      </c>
      <c r="F53" s="2"/>
      <c r="J53" s="1"/>
      <c r="K53" s="2"/>
      <c r="L53" s="11">
        <v>4431.34</v>
      </c>
      <c r="M53" t="str">
        <f t="shared" si="43"/>
        <v xml:space="preserve">400001 Produits finis papier </v>
      </c>
    </row>
    <row r="54" spans="1:13" x14ac:dyDescent="0.25">
      <c r="A54" s="44">
        <v>400002</v>
      </c>
      <c r="B54" s="10">
        <v>45657</v>
      </c>
      <c r="C54" t="s">
        <v>610</v>
      </c>
      <c r="D54" t="s">
        <v>601</v>
      </c>
      <c r="F54" s="102">
        <v>8</v>
      </c>
      <c r="G54" t="s">
        <v>604</v>
      </c>
      <c r="H54" t="s">
        <v>17</v>
      </c>
      <c r="I54" s="33">
        <f>30*5*2</f>
        <v>300</v>
      </c>
      <c r="J54" s="1">
        <f>Table2[[#This Row],[Prix unitaire]]*Table2[[#This Row],[Qté]]</f>
        <v>2400</v>
      </c>
      <c r="K54" s="2">
        <v>1</v>
      </c>
      <c r="L54" s="103">
        <f>J54*K54</f>
        <v>2400</v>
      </c>
      <c r="M54" t="str">
        <f t="shared" si="43"/>
        <v>400002 Étiquettes 4x6 D21-1 Core 3" 1000/rl</v>
      </c>
    </row>
    <row r="55" spans="1:13" x14ac:dyDescent="0.25">
      <c r="A55" s="44">
        <v>400003</v>
      </c>
      <c r="B55" s="10">
        <v>45657</v>
      </c>
      <c r="C55" t="s">
        <v>605</v>
      </c>
      <c r="D55" t="s">
        <v>601</v>
      </c>
      <c r="F55" s="102">
        <v>8</v>
      </c>
      <c r="G55" t="s">
        <v>604</v>
      </c>
      <c r="H55" t="s">
        <v>17</v>
      </c>
      <c r="I55" s="33">
        <f>30*5+21</f>
        <v>171</v>
      </c>
      <c r="J55" s="1">
        <f>Table2[[#This Row],[Prix unitaire]]*Table2[[#This Row],[Qté]]</f>
        <v>1368</v>
      </c>
      <c r="K55" s="2">
        <v>1</v>
      </c>
      <c r="L55" s="103">
        <f t="shared" ref="L55:L57" si="44">J55*K55</f>
        <v>1368</v>
      </c>
      <c r="M55" t="str">
        <f t="shared" si="43"/>
        <v>400003 Étiquettes 4x6 D11-1 Core 3" 1000/rl</v>
      </c>
    </row>
    <row r="56" spans="1:13" x14ac:dyDescent="0.25">
      <c r="A56" s="44">
        <v>400004</v>
      </c>
      <c r="B56" s="10">
        <v>45657</v>
      </c>
      <c r="C56" t="s">
        <v>602</v>
      </c>
      <c r="D56" t="s">
        <v>601</v>
      </c>
      <c r="E56">
        <v>2024206</v>
      </c>
      <c r="F56" s="102">
        <v>8</v>
      </c>
      <c r="G56" t="s">
        <v>604</v>
      </c>
      <c r="H56" t="s">
        <v>17</v>
      </c>
      <c r="I56" s="33">
        <v>26</v>
      </c>
      <c r="J56" s="1">
        <f>Table2[[#This Row],[Prix unitaire]]*Table2[[#This Row],[Qté]]</f>
        <v>208</v>
      </c>
      <c r="K56" s="2">
        <v>1</v>
      </c>
      <c r="L56" s="103">
        <f>J56*K56</f>
        <v>208</v>
      </c>
      <c r="M56" t="str">
        <f t="shared" si="43"/>
        <v>400004 Étiquettes 4x6 D11-3 Core 3" 1000/rl</v>
      </c>
    </row>
    <row r="57" spans="1:13" x14ac:dyDescent="0.25">
      <c r="A57" s="44">
        <v>400005</v>
      </c>
      <c r="B57" s="10">
        <v>45657</v>
      </c>
      <c r="C57" t="s">
        <v>610</v>
      </c>
      <c r="D57" t="s">
        <v>603</v>
      </c>
      <c r="E57">
        <v>2024205</v>
      </c>
      <c r="F57" s="102">
        <v>2</v>
      </c>
      <c r="G57" t="s">
        <v>604</v>
      </c>
      <c r="H57" t="s">
        <v>17</v>
      </c>
      <c r="I57" s="33">
        <f>11*13*6+26</f>
        <v>884</v>
      </c>
      <c r="J57" s="1">
        <f>Table2[[#This Row],[Prix unitaire]]*Table2[[#This Row],[Qté]]</f>
        <v>1768</v>
      </c>
      <c r="K57" s="2">
        <v>1</v>
      </c>
      <c r="L57" s="103">
        <f t="shared" si="44"/>
        <v>1768</v>
      </c>
      <c r="M57" t="str">
        <f t="shared" si="43"/>
        <v>400005 Étiquettes 4x6 D21-1 Core 1" 250/rl</v>
      </c>
    </row>
  </sheetData>
  <pageMargins left="0.7" right="0.7" top="0.75" bottom="0.75" header="0.3" footer="0.3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874C-8F5B-496D-AA74-602B86778A35}">
  <sheetPr codeName="Sheet4"/>
  <dimension ref="A3:L50"/>
  <sheetViews>
    <sheetView workbookViewId="0">
      <selection activeCell="D21" sqref="D21"/>
    </sheetView>
  </sheetViews>
  <sheetFormatPr defaultRowHeight="15" x14ac:dyDescent="0.25"/>
  <cols>
    <col min="1" max="1" width="13.140625" bestFit="1" customWidth="1"/>
    <col min="2" max="2" width="6.5703125" bestFit="1" customWidth="1"/>
    <col min="3" max="3" width="10.28515625" style="33" bestFit="1" customWidth="1"/>
    <col min="4" max="4" width="9.85546875" style="35" bestFit="1" customWidth="1"/>
    <col min="5" max="5" width="9.28515625" style="35" bestFit="1" customWidth="1"/>
    <col min="6" max="6" width="13.28515625" bestFit="1" customWidth="1"/>
    <col min="7" max="7" width="11" bestFit="1" customWidth="1"/>
    <col min="8" max="8" width="26" customWidth="1"/>
    <col min="10" max="10" width="10.5703125" bestFit="1" customWidth="1"/>
    <col min="11" max="11" width="10.7109375" customWidth="1"/>
  </cols>
  <sheetData>
    <row r="3" spans="1:12" s="37" customFormat="1" ht="45" x14ac:dyDescent="0.25">
      <c r="A3" s="39" t="s">
        <v>111</v>
      </c>
      <c r="B3" s="37" t="s">
        <v>113</v>
      </c>
      <c r="C3" s="38" t="s">
        <v>126</v>
      </c>
      <c r="D3" s="38" t="s">
        <v>127</v>
      </c>
      <c r="E3"/>
      <c r="F3"/>
      <c r="G3"/>
    </row>
    <row r="4" spans="1:12" x14ac:dyDescent="0.25">
      <c r="A4" s="27" t="s">
        <v>34</v>
      </c>
      <c r="B4">
        <v>6</v>
      </c>
      <c r="C4" s="38">
        <v>15056.570875753996</v>
      </c>
      <c r="D4" s="38">
        <v>15056.570875753996</v>
      </c>
      <c r="E4"/>
      <c r="H4" s="37"/>
      <c r="I4" s="37"/>
      <c r="J4" s="37"/>
      <c r="K4" s="37"/>
      <c r="L4" s="37"/>
    </row>
    <row r="5" spans="1:12" x14ac:dyDescent="0.25">
      <c r="A5" s="27" t="s">
        <v>35</v>
      </c>
      <c r="B5">
        <v>14</v>
      </c>
      <c r="C5" s="38">
        <v>42458.623851503165</v>
      </c>
      <c r="D5" s="38">
        <v>42458.623851503165</v>
      </c>
      <c r="E5"/>
      <c r="H5" s="37"/>
      <c r="I5" s="37"/>
      <c r="J5" s="37"/>
      <c r="K5" s="37"/>
      <c r="L5" s="37"/>
    </row>
    <row r="6" spans="1:12" x14ac:dyDescent="0.25">
      <c r="A6" s="27" t="s">
        <v>276</v>
      </c>
      <c r="B6">
        <v>14</v>
      </c>
      <c r="C6" s="38">
        <v>8263.822473686263</v>
      </c>
      <c r="D6" s="38">
        <v>30096.763871695515</v>
      </c>
      <c r="E6"/>
      <c r="H6" s="37"/>
      <c r="I6" s="37"/>
      <c r="J6" s="37"/>
      <c r="K6" s="37"/>
      <c r="L6" s="37"/>
    </row>
    <row r="7" spans="1:12" x14ac:dyDescent="0.25">
      <c r="A7" s="27" t="s">
        <v>131</v>
      </c>
      <c r="B7">
        <v>18</v>
      </c>
      <c r="C7" s="38">
        <v>0</v>
      </c>
      <c r="D7" s="38">
        <v>1503.470904193671</v>
      </c>
      <c r="E7"/>
      <c r="H7" s="37"/>
      <c r="I7" s="37"/>
      <c r="J7" s="37"/>
      <c r="K7" s="37"/>
      <c r="L7" s="37"/>
    </row>
    <row r="8" spans="1:12" x14ac:dyDescent="0.25">
      <c r="A8" s="27" t="s">
        <v>286</v>
      </c>
      <c r="B8">
        <v>9</v>
      </c>
      <c r="C8" s="38">
        <v>21956.416939306262</v>
      </c>
      <c r="D8" s="38">
        <v>21956.416939306262</v>
      </c>
      <c r="E8"/>
    </row>
    <row r="9" spans="1:12" x14ac:dyDescent="0.25">
      <c r="A9" s="27" t="s">
        <v>397</v>
      </c>
      <c r="B9">
        <v>14</v>
      </c>
      <c r="C9" s="38">
        <v>13919.750359482241</v>
      </c>
      <c r="D9" s="38">
        <v>13919.750359482241</v>
      </c>
      <c r="E9"/>
    </row>
    <row r="10" spans="1:12" x14ac:dyDescent="0.25">
      <c r="A10" s="27" t="s">
        <v>132</v>
      </c>
      <c r="B10">
        <v>0</v>
      </c>
      <c r="C10" s="38">
        <v>-0.35907550894171436</v>
      </c>
      <c r="D10" s="38">
        <v>-0.35907550894171436</v>
      </c>
      <c r="E10"/>
    </row>
    <row r="11" spans="1:12" x14ac:dyDescent="0.25">
      <c r="A11" s="27" t="s">
        <v>31</v>
      </c>
      <c r="B11">
        <v>19</v>
      </c>
      <c r="C11" s="38">
        <v>0</v>
      </c>
      <c r="D11" s="38">
        <v>27982.420919792545</v>
      </c>
      <c r="E11"/>
    </row>
    <row r="12" spans="1:12" x14ac:dyDescent="0.25">
      <c r="A12" s="27" t="s">
        <v>583</v>
      </c>
      <c r="B12">
        <v>1</v>
      </c>
      <c r="C12" s="38">
        <v>6200.4417599999988</v>
      </c>
      <c r="D12" s="38">
        <v>6200.4417599999988</v>
      </c>
      <c r="E12"/>
    </row>
    <row r="13" spans="1:12" x14ac:dyDescent="0.25">
      <c r="A13" s="27" t="s">
        <v>424</v>
      </c>
      <c r="B13">
        <v>3</v>
      </c>
      <c r="C13" s="38">
        <v>2811.9568419936991</v>
      </c>
      <c r="D13" s="38">
        <v>2811.9568419936991</v>
      </c>
      <c r="E13"/>
    </row>
    <row r="14" spans="1:12" x14ac:dyDescent="0.25">
      <c r="A14" s="27" t="s">
        <v>425</v>
      </c>
      <c r="B14">
        <v>3</v>
      </c>
      <c r="C14" s="38">
        <v>2962.944719179894</v>
      </c>
      <c r="D14" s="38">
        <v>2962.944719179894</v>
      </c>
      <c r="E14"/>
    </row>
    <row r="15" spans="1:12" x14ac:dyDescent="0.25">
      <c r="A15" s="27" t="s">
        <v>32</v>
      </c>
      <c r="B15">
        <v>7</v>
      </c>
      <c r="C15" s="38">
        <v>21439.258853812324</v>
      </c>
      <c r="D15" s="38">
        <v>21439.258853812324</v>
      </c>
      <c r="E15"/>
    </row>
    <row r="16" spans="1:12" x14ac:dyDescent="0.25">
      <c r="A16" s="27" t="s">
        <v>33</v>
      </c>
      <c r="B16">
        <v>9</v>
      </c>
      <c r="C16" s="38">
        <v>17128.877328764069</v>
      </c>
      <c r="D16" s="38">
        <v>17128.877328764069</v>
      </c>
      <c r="E16"/>
    </row>
    <row r="17" spans="1:5" x14ac:dyDescent="0.25">
      <c r="A17" s="27" t="s">
        <v>29</v>
      </c>
      <c r="B17">
        <v>53</v>
      </c>
      <c r="C17" s="38">
        <v>62048.577305539206</v>
      </c>
      <c r="D17" s="38">
        <v>104628.86923915379</v>
      </c>
      <c r="E17"/>
    </row>
    <row r="18" spans="1:5" x14ac:dyDescent="0.25">
      <c r="A18" s="27" t="s">
        <v>167</v>
      </c>
      <c r="B18">
        <v>3</v>
      </c>
      <c r="C18" s="38">
        <v>2665.7432729837319</v>
      </c>
      <c r="D18" s="38">
        <v>2665.7432729837319</v>
      </c>
      <c r="E18"/>
    </row>
    <row r="19" spans="1:5" x14ac:dyDescent="0.25">
      <c r="A19" s="27" t="s">
        <v>385</v>
      </c>
      <c r="B19">
        <v>4</v>
      </c>
      <c r="C19" s="38">
        <v>11587.97977021959</v>
      </c>
      <c r="D19" s="38">
        <v>11587.97977021959</v>
      </c>
      <c r="E19"/>
    </row>
    <row r="20" spans="1:5" x14ac:dyDescent="0.25">
      <c r="A20" s="27" t="s">
        <v>30</v>
      </c>
      <c r="B20">
        <v>8</v>
      </c>
      <c r="C20" s="38">
        <v>2201.2765839530412</v>
      </c>
      <c r="D20" s="38">
        <v>2201.2765839530412</v>
      </c>
      <c r="E20"/>
    </row>
    <row r="21" spans="1:5" x14ac:dyDescent="0.25">
      <c r="A21" s="27" t="s">
        <v>112</v>
      </c>
      <c r="B21">
        <v>185</v>
      </c>
      <c r="C21" s="38">
        <v>230701.88186066854</v>
      </c>
      <c r="D21" s="38">
        <v>324601.00701627863</v>
      </c>
      <c r="E21"/>
    </row>
    <row r="22" spans="1:5" x14ac:dyDescent="0.25">
      <c r="C22"/>
      <c r="D22"/>
      <c r="E22"/>
    </row>
    <row r="23" spans="1:5" x14ac:dyDescent="0.25">
      <c r="C23"/>
      <c r="D23"/>
      <c r="E23"/>
    </row>
    <row r="24" spans="1:5" x14ac:dyDescent="0.25">
      <c r="C24"/>
      <c r="D24"/>
      <c r="E24"/>
    </row>
    <row r="25" spans="1:5" x14ac:dyDescent="0.25">
      <c r="C25"/>
      <c r="D25"/>
      <c r="E25"/>
    </row>
    <row r="26" spans="1:5" x14ac:dyDescent="0.25">
      <c r="C26"/>
      <c r="D26"/>
      <c r="E26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3:3" x14ac:dyDescent="0.25">
      <c r="C33" s="2"/>
    </row>
    <row r="34" spans="3:3" x14ac:dyDescent="0.25">
      <c r="C34" s="2"/>
    </row>
    <row r="35" spans="3:3" x14ac:dyDescent="0.25">
      <c r="C35" s="2"/>
    </row>
    <row r="36" spans="3:3" x14ac:dyDescent="0.25">
      <c r="C36" s="2"/>
    </row>
    <row r="37" spans="3:3" x14ac:dyDescent="0.25">
      <c r="C37" s="2"/>
    </row>
    <row r="38" spans="3:3" x14ac:dyDescent="0.25">
      <c r="C38" s="2"/>
    </row>
    <row r="39" spans="3:3" x14ac:dyDescent="0.25">
      <c r="C39" s="2"/>
    </row>
    <row r="40" spans="3:3" x14ac:dyDescent="0.25">
      <c r="C40" s="2"/>
    </row>
    <row r="41" spans="3:3" x14ac:dyDescent="0.25">
      <c r="C41" s="2"/>
    </row>
    <row r="42" spans="3:3" x14ac:dyDescent="0.25">
      <c r="C42" s="2"/>
    </row>
    <row r="43" spans="3:3" x14ac:dyDescent="0.25">
      <c r="C43" s="2"/>
    </row>
    <row r="44" spans="3:3" x14ac:dyDescent="0.25">
      <c r="C44" s="2"/>
    </row>
    <row r="45" spans="3:3" x14ac:dyDescent="0.25">
      <c r="C45" s="2"/>
    </row>
    <row r="46" spans="3:3" x14ac:dyDescent="0.25">
      <c r="C46" s="2"/>
    </row>
    <row r="47" spans="3:3" x14ac:dyDescent="0.25">
      <c r="C47" s="2"/>
    </row>
    <row r="48" spans="3:3" x14ac:dyDescent="0.25">
      <c r="C48" s="2"/>
    </row>
    <row r="49" spans="3:3" x14ac:dyDescent="0.25">
      <c r="C49" s="2"/>
    </row>
    <row r="50" spans="3:3" x14ac:dyDescent="0.25">
      <c r="C5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70D3-E483-4039-B159-1885838F4E5F}">
  <sheetPr codeName="Sheet3"/>
  <dimension ref="A1:J18"/>
  <sheetViews>
    <sheetView workbookViewId="0">
      <selection activeCell="C13" sqref="C13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10.7109375" bestFit="1" customWidth="1"/>
    <col min="4" max="4" width="12.85546875" bestFit="1" customWidth="1"/>
    <col min="5" max="5" width="6" customWidth="1"/>
    <col min="6" max="6" width="8.85546875" style="23" customWidth="1"/>
    <col min="7" max="7" width="13.28515625" bestFit="1" customWidth="1"/>
    <col min="8" max="8" width="13.5703125" customWidth="1"/>
    <col min="9" max="9" width="3.140625" customWidth="1"/>
    <col min="10" max="10" width="12.140625" bestFit="1" customWidth="1"/>
    <col min="11" max="11" width="11.85546875" customWidth="1"/>
  </cols>
  <sheetData>
    <row r="1" spans="1:10" x14ac:dyDescent="0.25">
      <c r="G1" s="19" t="s">
        <v>28</v>
      </c>
      <c r="H1" s="24">
        <v>1520</v>
      </c>
      <c r="I1" s="21"/>
      <c r="J1" t="s">
        <v>128</v>
      </c>
    </row>
    <row r="2" spans="1:10" x14ac:dyDescent="0.25">
      <c r="A2" s="13" t="s">
        <v>13</v>
      </c>
      <c r="B2" s="13" t="s">
        <v>51</v>
      </c>
      <c r="C2" s="13" t="s">
        <v>23</v>
      </c>
      <c r="D2" s="13" t="s">
        <v>24</v>
      </c>
      <c r="E2" s="22"/>
      <c r="G2" s="22" t="s">
        <v>26</v>
      </c>
      <c r="H2" s="22" t="s">
        <v>27</v>
      </c>
    </row>
    <row r="3" spans="1:10" x14ac:dyDescent="0.25">
      <c r="A3" s="14">
        <v>45351</v>
      </c>
      <c r="B3" s="29">
        <v>3624.5946328799996</v>
      </c>
      <c r="C3" s="30">
        <v>1350</v>
      </c>
      <c r="D3" s="15">
        <f>B3+C3</f>
        <v>4974.5946328800001</v>
      </c>
      <c r="E3" s="20"/>
      <c r="F3" s="23">
        <v>1520</v>
      </c>
      <c r="G3" s="20">
        <f>B3</f>
        <v>3624.5946328799996</v>
      </c>
      <c r="H3" s="20"/>
      <c r="I3" s="20"/>
    </row>
    <row r="4" spans="1:10" x14ac:dyDescent="0.25">
      <c r="A4" s="14">
        <v>45382</v>
      </c>
      <c r="B4" s="29">
        <v>4556.3900000000003</v>
      </c>
      <c r="C4" s="30">
        <v>3800.2957999999999</v>
      </c>
      <c r="D4" s="15">
        <f t="shared" ref="D4:D18" si="0">B4+C4</f>
        <v>8356.6857999999993</v>
      </c>
      <c r="E4" s="20"/>
      <c r="F4" s="23">
        <v>1520</v>
      </c>
      <c r="G4" s="20">
        <f>IF((D4-D3)&gt;0,D4-D3,0)</f>
        <v>3382.0911671199992</v>
      </c>
      <c r="H4" s="20">
        <f>IF((D4-D3)&lt;0,D4-D3,0)</f>
        <v>0</v>
      </c>
      <c r="I4" s="20"/>
    </row>
    <row r="5" spans="1:10" x14ac:dyDescent="0.25">
      <c r="A5" s="14">
        <v>45412</v>
      </c>
      <c r="B5" s="29">
        <v>55043.6</v>
      </c>
      <c r="C5" s="30">
        <v>2186.3000000000002</v>
      </c>
      <c r="D5" s="15">
        <f t="shared" si="0"/>
        <v>57229.9</v>
      </c>
      <c r="E5" s="20"/>
      <c r="F5" s="23">
        <v>1520</v>
      </c>
      <c r="G5" s="20">
        <f>IF((D5-D4)&gt;0,D5-D4,0)</f>
        <v>48873.214200000002</v>
      </c>
      <c r="H5" s="20">
        <f t="shared" ref="H5:H18" si="1">IF((D5-D4)&lt;0,D5-D4,0)</f>
        <v>0</v>
      </c>
      <c r="I5" s="20"/>
    </row>
    <row r="6" spans="1:10" x14ac:dyDescent="0.25">
      <c r="A6" s="14">
        <v>45443</v>
      </c>
      <c r="B6" s="29">
        <v>115578.3</v>
      </c>
      <c r="C6" s="30">
        <v>1503.2</v>
      </c>
      <c r="D6" s="15">
        <f t="shared" si="0"/>
        <v>117081.5</v>
      </c>
      <c r="E6" s="20"/>
      <c r="F6" s="23">
        <v>1520</v>
      </c>
      <c r="G6" s="20">
        <f t="shared" ref="G6:G18" si="2">IF((D6-D5)&gt;0,D6-D5,0)</f>
        <v>59851.6</v>
      </c>
      <c r="H6" s="20">
        <f t="shared" si="1"/>
        <v>0</v>
      </c>
    </row>
    <row r="7" spans="1:10" x14ac:dyDescent="0.25">
      <c r="A7" s="14">
        <v>45473</v>
      </c>
      <c r="B7" s="29">
        <v>115013.37</v>
      </c>
      <c r="C7" s="30">
        <v>2423.4899999999998</v>
      </c>
      <c r="D7" s="15">
        <f t="shared" si="0"/>
        <v>117436.86</v>
      </c>
      <c r="E7" s="20"/>
      <c r="F7" s="23">
        <v>1520</v>
      </c>
      <c r="G7" s="20">
        <f t="shared" si="2"/>
        <v>355.36000000000058</v>
      </c>
      <c r="H7" s="20">
        <f>IF((D7-D6)&lt;0,D7-D6,0)</f>
        <v>0</v>
      </c>
    </row>
    <row r="8" spans="1:10" x14ac:dyDescent="0.25">
      <c r="A8" s="14">
        <v>45504</v>
      </c>
      <c r="B8" s="29">
        <v>113162.02</v>
      </c>
      <c r="C8" s="30">
        <v>3202.95</v>
      </c>
      <c r="D8" s="15">
        <f t="shared" si="0"/>
        <v>116364.97</v>
      </c>
      <c r="E8" s="20"/>
      <c r="F8" s="23">
        <v>1520</v>
      </c>
      <c r="G8" s="20">
        <f>IF((D8-D7)&gt;0,D8-D7,0)</f>
        <v>0</v>
      </c>
      <c r="H8" s="20">
        <f t="shared" si="1"/>
        <v>-1071.8899999999994</v>
      </c>
    </row>
    <row r="9" spans="1:10" x14ac:dyDescent="0.25">
      <c r="A9" s="14">
        <v>45535</v>
      </c>
      <c r="B9" s="29">
        <v>110912.51</v>
      </c>
      <c r="C9" s="30">
        <v>2508.9</v>
      </c>
      <c r="D9" s="15">
        <f t="shared" si="0"/>
        <v>113421.40999999999</v>
      </c>
      <c r="E9" s="20"/>
      <c r="F9" s="23">
        <v>1520</v>
      </c>
      <c r="G9" s="20">
        <f t="shared" si="2"/>
        <v>0</v>
      </c>
      <c r="H9" s="20">
        <f t="shared" si="1"/>
        <v>-2943.5600000000122</v>
      </c>
    </row>
    <row r="10" spans="1:10" x14ac:dyDescent="0.25">
      <c r="A10" s="14">
        <v>45565</v>
      </c>
      <c r="B10" s="97">
        <v>197028.05</v>
      </c>
      <c r="C10" s="30">
        <v>3518.5699999999993</v>
      </c>
      <c r="D10" s="15">
        <f t="shared" si="0"/>
        <v>200546.62</v>
      </c>
      <c r="E10" s="20"/>
      <c r="F10" s="23">
        <v>1520</v>
      </c>
      <c r="G10" s="20">
        <f>IF((D10-D9)&gt;0,D10-D9,0)</f>
        <v>87125.21</v>
      </c>
      <c r="H10" s="20">
        <f t="shared" si="1"/>
        <v>0</v>
      </c>
      <c r="J10" s="20"/>
    </row>
    <row r="11" spans="1:10" x14ac:dyDescent="0.25">
      <c r="A11" s="14">
        <v>45596</v>
      </c>
      <c r="B11" s="29">
        <v>203284.07</v>
      </c>
      <c r="C11" s="30">
        <v>7994.2176179487878</v>
      </c>
      <c r="D11" s="15">
        <f t="shared" si="0"/>
        <v>211278.28761794881</v>
      </c>
      <c r="E11" s="20"/>
      <c r="F11" s="23">
        <v>1520</v>
      </c>
      <c r="G11" s="20">
        <f t="shared" si="2"/>
        <v>10731.667617948813</v>
      </c>
      <c r="H11" s="20">
        <f t="shared" si="1"/>
        <v>0</v>
      </c>
      <c r="J11" s="20"/>
    </row>
    <row r="12" spans="1:10" x14ac:dyDescent="0.25">
      <c r="A12" s="14">
        <v>45626</v>
      </c>
      <c r="B12" s="29">
        <v>204354.11</v>
      </c>
      <c r="C12" s="30">
        <v>29678.57</v>
      </c>
      <c r="D12" s="15">
        <f t="shared" si="0"/>
        <v>234032.68</v>
      </c>
      <c r="E12" s="20"/>
      <c r="F12" s="23">
        <v>1520</v>
      </c>
      <c r="G12" s="20">
        <f t="shared" si="2"/>
        <v>22754.392382051185</v>
      </c>
      <c r="H12" s="20">
        <f t="shared" si="1"/>
        <v>0</v>
      </c>
    </row>
    <row r="13" spans="1:10" x14ac:dyDescent="0.25">
      <c r="A13" s="14">
        <v>45657</v>
      </c>
      <c r="B13" s="29">
        <v>230701.88</v>
      </c>
      <c r="C13" s="30">
        <v>25779.54</v>
      </c>
      <c r="D13" s="15">
        <f t="shared" si="0"/>
        <v>256481.42</v>
      </c>
      <c r="E13" s="20"/>
      <c r="F13" s="23">
        <v>1520</v>
      </c>
      <c r="G13" s="20">
        <f t="shared" si="2"/>
        <v>22448.74000000002</v>
      </c>
      <c r="H13" s="20">
        <f t="shared" si="1"/>
        <v>0</v>
      </c>
    </row>
    <row r="14" spans="1:10" x14ac:dyDescent="0.25">
      <c r="A14" s="14">
        <v>45688</v>
      </c>
      <c r="B14" s="31">
        <f>Papier!$P$2</f>
        <v>267207.56756996195</v>
      </c>
      <c r="C14" s="32">
        <f>Autres!$L$2</f>
        <v>27949.537590020296</v>
      </c>
      <c r="D14" s="15">
        <f t="shared" si="0"/>
        <v>295157.10515998222</v>
      </c>
      <c r="E14" s="20"/>
      <c r="F14" s="23">
        <v>1520</v>
      </c>
      <c r="G14" s="20">
        <f t="shared" si="2"/>
        <v>38675.685159982211</v>
      </c>
      <c r="H14" s="20">
        <f t="shared" si="1"/>
        <v>0</v>
      </c>
    </row>
    <row r="15" spans="1:10" x14ac:dyDescent="0.25">
      <c r="A15" s="14">
        <v>45716</v>
      </c>
      <c r="B15" s="31">
        <f>Papier!$P$2</f>
        <v>267207.56756996195</v>
      </c>
      <c r="C15" s="32">
        <f>Autres!$L$2</f>
        <v>27949.537590020296</v>
      </c>
      <c r="D15" s="15">
        <f t="shared" si="0"/>
        <v>295157.10515998222</v>
      </c>
      <c r="E15" s="20"/>
      <c r="F15" s="23">
        <v>1520</v>
      </c>
      <c r="G15" s="20">
        <f t="shared" si="2"/>
        <v>0</v>
      </c>
      <c r="H15" s="20">
        <f t="shared" si="1"/>
        <v>0</v>
      </c>
    </row>
    <row r="16" spans="1:10" x14ac:dyDescent="0.25">
      <c r="A16" s="14">
        <v>45747</v>
      </c>
      <c r="B16" s="31">
        <f>Papier!$P$2</f>
        <v>267207.56756996195</v>
      </c>
      <c r="C16" s="32">
        <f>Autres!$L$2</f>
        <v>27949.537590020296</v>
      </c>
      <c r="D16" s="15">
        <f t="shared" si="0"/>
        <v>295157.10515998222</v>
      </c>
      <c r="E16" s="20"/>
      <c r="F16" s="23">
        <v>1520</v>
      </c>
      <c r="G16" s="20">
        <f t="shared" si="2"/>
        <v>0</v>
      </c>
      <c r="H16" s="20">
        <f t="shared" si="1"/>
        <v>0</v>
      </c>
    </row>
    <row r="17" spans="1:8" x14ac:dyDescent="0.25">
      <c r="A17" s="14">
        <v>45777</v>
      </c>
      <c r="B17" s="31">
        <f>Papier!$P$2</f>
        <v>267207.56756996195</v>
      </c>
      <c r="C17" s="32">
        <f>Autres!$L$2</f>
        <v>27949.537590020296</v>
      </c>
      <c r="D17" s="15">
        <f t="shared" si="0"/>
        <v>295157.10515998222</v>
      </c>
      <c r="E17" s="20"/>
      <c r="F17" s="23">
        <v>1520</v>
      </c>
      <c r="G17" s="20">
        <f t="shared" si="2"/>
        <v>0</v>
      </c>
      <c r="H17" s="20">
        <f t="shared" si="1"/>
        <v>0</v>
      </c>
    </row>
    <row r="18" spans="1:8" x14ac:dyDescent="0.25">
      <c r="A18" s="14">
        <v>45808</v>
      </c>
      <c r="B18" s="31">
        <f>Papier!$P$2</f>
        <v>267207.56756996195</v>
      </c>
      <c r="C18" s="32">
        <f>Autres!$L$2</f>
        <v>27949.537590020296</v>
      </c>
      <c r="D18" s="15">
        <f t="shared" si="0"/>
        <v>295157.10515998222</v>
      </c>
      <c r="E18" s="20"/>
      <c r="F18" s="23">
        <v>1520</v>
      </c>
      <c r="G18" s="20">
        <f t="shared" si="2"/>
        <v>0</v>
      </c>
      <c r="H18" s="20">
        <f t="shared" si="1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1602-86AD-413D-9A15-9F32CCADE0AC}">
  <sheetPr codeName="Sheet5"/>
  <dimension ref="A1:G56"/>
  <sheetViews>
    <sheetView zoomScale="130" zoomScaleNormal="130" workbookViewId="0">
      <selection activeCell="D7" sqref="D7"/>
    </sheetView>
  </sheetViews>
  <sheetFormatPr defaultRowHeight="15" x14ac:dyDescent="0.25"/>
  <cols>
    <col min="1" max="1" width="42" bestFit="1" customWidth="1"/>
    <col min="2" max="2" width="17" style="3" bestFit="1" customWidth="1"/>
    <col min="3" max="3" width="3.7109375" customWidth="1"/>
    <col min="4" max="4" width="15.140625" customWidth="1"/>
    <col min="5" max="5" width="4" bestFit="1" customWidth="1"/>
    <col min="6" max="6" width="3" bestFit="1" customWidth="1"/>
    <col min="7" max="7" width="7.85546875" customWidth="1"/>
    <col min="8" max="8" width="3" bestFit="1" customWidth="1"/>
    <col min="9" max="9" width="6" bestFit="1" customWidth="1"/>
    <col min="10" max="10" width="12" bestFit="1" customWidth="1"/>
    <col min="11" max="12" width="5" bestFit="1" customWidth="1"/>
    <col min="13" max="13" width="3" bestFit="1" customWidth="1"/>
    <col min="14" max="15" width="12" bestFit="1" customWidth="1"/>
    <col min="16" max="16" width="6" bestFit="1" customWidth="1"/>
    <col min="17" max="17" width="7.28515625" bestFit="1" customWidth="1"/>
    <col min="18" max="18" width="11.28515625" bestFit="1" customWidth="1"/>
  </cols>
  <sheetData>
    <row r="1" spans="1:4" x14ac:dyDescent="0.25">
      <c r="B1"/>
    </row>
    <row r="2" spans="1:4" x14ac:dyDescent="0.25">
      <c r="B2"/>
      <c r="D2" s="72" t="s">
        <v>341</v>
      </c>
    </row>
    <row r="3" spans="1:4" x14ac:dyDescent="0.25">
      <c r="B3"/>
      <c r="D3" s="72">
        <f>GETPIVOTDATA("Length (ft)",$A$4)-Papier!T2</f>
        <v>92313</v>
      </c>
    </row>
    <row r="4" spans="1:4" x14ac:dyDescent="0.25">
      <c r="A4" s="61" t="s">
        <v>196</v>
      </c>
      <c r="B4" s="3" t="s">
        <v>194</v>
      </c>
    </row>
    <row r="5" spans="1:4" x14ac:dyDescent="0.25">
      <c r="A5" s="27" t="s">
        <v>197</v>
      </c>
      <c r="B5" s="3">
        <v>65736</v>
      </c>
    </row>
    <row r="6" spans="1:4" x14ac:dyDescent="0.25">
      <c r="A6" s="66">
        <v>8</v>
      </c>
      <c r="B6" s="3">
        <v>1450</v>
      </c>
    </row>
    <row r="7" spans="1:4" x14ac:dyDescent="0.25">
      <c r="A7" s="66">
        <v>60.24</v>
      </c>
      <c r="B7" s="3">
        <v>64286</v>
      </c>
    </row>
    <row r="8" spans="1:4" x14ac:dyDescent="0.25">
      <c r="A8" s="27" t="s">
        <v>198</v>
      </c>
      <c r="B8" s="3">
        <v>66830</v>
      </c>
    </row>
    <row r="9" spans="1:4" x14ac:dyDescent="0.25">
      <c r="A9" s="66">
        <v>9.5</v>
      </c>
      <c r="B9" s="3">
        <v>2500</v>
      </c>
    </row>
    <row r="10" spans="1:4" x14ac:dyDescent="0.25">
      <c r="A10" s="66">
        <v>47</v>
      </c>
      <c r="B10" s="3">
        <v>2000</v>
      </c>
    </row>
    <row r="11" spans="1:4" x14ac:dyDescent="0.25">
      <c r="A11" s="66">
        <v>60.24</v>
      </c>
      <c r="B11" s="3">
        <v>62330</v>
      </c>
    </row>
    <row r="12" spans="1:4" x14ac:dyDescent="0.25">
      <c r="A12" s="27" t="s">
        <v>206</v>
      </c>
      <c r="B12" s="3">
        <v>607613</v>
      </c>
    </row>
    <row r="13" spans="1:4" x14ac:dyDescent="0.25">
      <c r="A13" s="66">
        <v>4</v>
      </c>
      <c r="B13" s="3">
        <v>87450</v>
      </c>
    </row>
    <row r="14" spans="1:4" x14ac:dyDescent="0.25">
      <c r="A14" s="66">
        <v>8.8000000000000007</v>
      </c>
      <c r="B14" s="3">
        <v>16200</v>
      </c>
    </row>
    <row r="15" spans="1:4" x14ac:dyDescent="0.25">
      <c r="A15" s="66">
        <v>41.85</v>
      </c>
      <c r="B15" s="3">
        <v>10450</v>
      </c>
    </row>
    <row r="16" spans="1:4" x14ac:dyDescent="0.25">
      <c r="A16" s="66">
        <v>42.5</v>
      </c>
      <c r="B16" s="3">
        <v>5170</v>
      </c>
    </row>
    <row r="17" spans="1:7" x14ac:dyDescent="0.25">
      <c r="A17" s="66">
        <v>60.24</v>
      </c>
      <c r="B17" s="3">
        <v>488343</v>
      </c>
      <c r="G17">
        <f>15.75*3</f>
        <v>47.25</v>
      </c>
    </row>
    <row r="18" spans="1:7" x14ac:dyDescent="0.25">
      <c r="A18" s="27" t="s">
        <v>207</v>
      </c>
      <c r="B18" s="3">
        <v>68310</v>
      </c>
      <c r="G18">
        <v>60</v>
      </c>
    </row>
    <row r="19" spans="1:7" x14ac:dyDescent="0.25">
      <c r="A19" s="66">
        <v>9.5</v>
      </c>
      <c r="B19" s="3">
        <v>68310</v>
      </c>
      <c r="G19">
        <f>G18-G17</f>
        <v>12.75</v>
      </c>
    </row>
    <row r="20" spans="1:7" x14ac:dyDescent="0.25">
      <c r="A20" s="27" t="s">
        <v>205</v>
      </c>
      <c r="B20" s="3">
        <v>223357</v>
      </c>
    </row>
    <row r="21" spans="1:7" x14ac:dyDescent="0.25">
      <c r="A21" s="66">
        <v>5.5</v>
      </c>
      <c r="B21" s="3">
        <v>3100</v>
      </c>
      <c r="G21">
        <v>3.5</v>
      </c>
    </row>
    <row r="22" spans="1:7" x14ac:dyDescent="0.25">
      <c r="A22" s="66">
        <v>7.5</v>
      </c>
      <c r="B22" s="3">
        <v>14500</v>
      </c>
      <c r="G22">
        <f>G21*3</f>
        <v>10.5</v>
      </c>
    </row>
    <row r="23" spans="1:7" x14ac:dyDescent="0.25">
      <c r="A23" s="66">
        <v>10.82</v>
      </c>
      <c r="B23" s="3">
        <v>9200</v>
      </c>
      <c r="G23">
        <v>11.25</v>
      </c>
    </row>
    <row r="24" spans="1:7" x14ac:dyDescent="0.25">
      <c r="A24" s="66">
        <v>20.079999999999998</v>
      </c>
      <c r="B24" s="3">
        <v>78744</v>
      </c>
    </row>
    <row r="25" spans="1:7" x14ac:dyDescent="0.25">
      <c r="A25" s="66">
        <v>60.24</v>
      </c>
      <c r="B25" s="3">
        <v>117813</v>
      </c>
    </row>
    <row r="26" spans="1:7" x14ac:dyDescent="0.25">
      <c r="A26" s="27" t="s">
        <v>426</v>
      </c>
      <c r="B26" s="3">
        <v>26986</v>
      </c>
    </row>
    <row r="27" spans="1:7" x14ac:dyDescent="0.25">
      <c r="A27" s="66">
        <v>16.54</v>
      </c>
      <c r="B27" s="3">
        <v>26986</v>
      </c>
    </row>
    <row r="28" spans="1:7" x14ac:dyDescent="0.25">
      <c r="A28" s="27" t="s">
        <v>427</v>
      </c>
      <c r="B28" s="3">
        <v>21915</v>
      </c>
    </row>
    <row r="29" spans="1:7" x14ac:dyDescent="0.25">
      <c r="A29" s="66">
        <v>16.54</v>
      </c>
      <c r="B29" s="3">
        <v>21915</v>
      </c>
    </row>
    <row r="30" spans="1:7" x14ac:dyDescent="0.25">
      <c r="A30" s="27" t="s">
        <v>200</v>
      </c>
      <c r="B30" s="3">
        <v>116457</v>
      </c>
    </row>
    <row r="31" spans="1:7" x14ac:dyDescent="0.25">
      <c r="A31" s="66">
        <v>44.25</v>
      </c>
      <c r="B31" s="3">
        <v>9000</v>
      </c>
    </row>
    <row r="32" spans="1:7" x14ac:dyDescent="0.25">
      <c r="A32" s="66">
        <v>60.24</v>
      </c>
      <c r="B32" s="3">
        <v>107457</v>
      </c>
    </row>
    <row r="33" spans="1:2" x14ac:dyDescent="0.25">
      <c r="A33" s="27" t="s">
        <v>201</v>
      </c>
      <c r="B33" s="3">
        <v>76566</v>
      </c>
    </row>
    <row r="34" spans="1:2" x14ac:dyDescent="0.25">
      <c r="A34" s="66">
        <v>8.6</v>
      </c>
      <c r="B34" s="3">
        <v>2550</v>
      </c>
    </row>
    <row r="35" spans="1:2" x14ac:dyDescent="0.25">
      <c r="A35" s="66">
        <v>17.25</v>
      </c>
      <c r="B35" s="3">
        <v>2250</v>
      </c>
    </row>
    <row r="36" spans="1:2" x14ac:dyDescent="0.25">
      <c r="A36" s="66">
        <v>30.5</v>
      </c>
      <c r="B36" s="3">
        <v>7350</v>
      </c>
    </row>
    <row r="37" spans="1:2" x14ac:dyDescent="0.25">
      <c r="A37" s="66">
        <v>60.24</v>
      </c>
      <c r="B37" s="3">
        <v>64416</v>
      </c>
    </row>
    <row r="38" spans="1:2" x14ac:dyDescent="0.25">
      <c r="A38" s="27" t="s">
        <v>202</v>
      </c>
      <c r="B38" s="3">
        <v>550388</v>
      </c>
    </row>
    <row r="39" spans="1:2" x14ac:dyDescent="0.25">
      <c r="A39" s="66">
        <v>10</v>
      </c>
      <c r="B39" s="3">
        <v>4990</v>
      </c>
    </row>
    <row r="40" spans="1:2" x14ac:dyDescent="0.25">
      <c r="A40" s="66">
        <v>33.75</v>
      </c>
      <c r="B40" s="3">
        <v>4950</v>
      </c>
    </row>
    <row r="41" spans="1:2" x14ac:dyDescent="0.25">
      <c r="A41" s="66">
        <v>47</v>
      </c>
      <c r="B41" s="3">
        <v>4780</v>
      </c>
    </row>
    <row r="42" spans="1:2" x14ac:dyDescent="0.25">
      <c r="A42" s="66">
        <v>60.24</v>
      </c>
      <c r="B42" s="3">
        <v>535668</v>
      </c>
    </row>
    <row r="43" spans="1:2" x14ac:dyDescent="0.25">
      <c r="A43" s="27" t="s">
        <v>199</v>
      </c>
      <c r="B43" s="3">
        <v>19487</v>
      </c>
    </row>
    <row r="44" spans="1:2" x14ac:dyDescent="0.25">
      <c r="A44" s="66">
        <v>20.5</v>
      </c>
      <c r="B44" s="3">
        <v>2400</v>
      </c>
    </row>
    <row r="45" spans="1:2" x14ac:dyDescent="0.25">
      <c r="A45" s="66">
        <v>42.52</v>
      </c>
      <c r="B45" s="3">
        <v>17087</v>
      </c>
    </row>
    <row r="46" spans="1:2" x14ac:dyDescent="0.25">
      <c r="A46" s="27" t="s">
        <v>423</v>
      </c>
      <c r="B46" s="3">
        <v>58430</v>
      </c>
    </row>
    <row r="47" spans="1:2" x14ac:dyDescent="0.25">
      <c r="A47" s="66">
        <v>47</v>
      </c>
      <c r="B47" s="3">
        <v>2000</v>
      </c>
    </row>
    <row r="48" spans="1:2" x14ac:dyDescent="0.25">
      <c r="A48" s="66">
        <v>60.24</v>
      </c>
      <c r="B48" s="3">
        <v>56430</v>
      </c>
    </row>
    <row r="49" spans="1:2" x14ac:dyDescent="0.25">
      <c r="A49" s="27" t="s">
        <v>203</v>
      </c>
      <c r="B49" s="3">
        <v>48400</v>
      </c>
    </row>
    <row r="50" spans="1:2" x14ac:dyDescent="0.25">
      <c r="A50" s="66">
        <v>8.5</v>
      </c>
      <c r="B50" s="3">
        <v>38850</v>
      </c>
    </row>
    <row r="51" spans="1:2" x14ac:dyDescent="0.25">
      <c r="A51" s="66">
        <v>15.5</v>
      </c>
      <c r="B51" s="3">
        <v>2400</v>
      </c>
    </row>
    <row r="52" spans="1:2" x14ac:dyDescent="0.25">
      <c r="A52" s="66">
        <v>29.5</v>
      </c>
      <c r="B52" s="3">
        <v>4800</v>
      </c>
    </row>
    <row r="53" spans="1:2" x14ac:dyDescent="0.25">
      <c r="A53" s="66">
        <v>34</v>
      </c>
      <c r="B53" s="3">
        <v>2350</v>
      </c>
    </row>
    <row r="54" spans="1:2" x14ac:dyDescent="0.25">
      <c r="A54" s="27" t="s">
        <v>195</v>
      </c>
      <c r="B54" s="3">
        <v>1950475</v>
      </c>
    </row>
    <row r="55" spans="1:2" x14ac:dyDescent="0.25">
      <c r="B55"/>
    </row>
    <row r="56" spans="1:2" x14ac:dyDescent="0.25">
      <c r="B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0890-8BC7-46B3-93BB-F22A93EEC191}">
  <sheetPr codeName="Sheet6"/>
  <dimension ref="F3:T24"/>
  <sheetViews>
    <sheetView workbookViewId="0">
      <selection activeCell="E32" sqref="E32"/>
    </sheetView>
  </sheetViews>
  <sheetFormatPr defaultRowHeight="15" x14ac:dyDescent="0.25"/>
  <cols>
    <col min="7" max="7" width="8.7109375" style="25" customWidth="1"/>
    <col min="8" max="8" width="14.140625" customWidth="1"/>
    <col min="13" max="19" width="0" hidden="1" customWidth="1"/>
    <col min="20" max="20" width="8.7109375" hidden="1" customWidth="1"/>
    <col min="21" max="21" width="0" hidden="1" customWidth="1"/>
  </cols>
  <sheetData>
    <row r="3" spans="6:11" x14ac:dyDescent="0.25">
      <c r="H3" s="73" t="s">
        <v>352</v>
      </c>
    </row>
    <row r="4" spans="6:11" x14ac:dyDescent="0.25">
      <c r="F4" s="77" t="s">
        <v>351</v>
      </c>
      <c r="G4" s="13" t="s">
        <v>214</v>
      </c>
      <c r="H4" s="77" t="s">
        <v>342</v>
      </c>
    </row>
    <row r="5" spans="6:11" x14ac:dyDescent="0.25">
      <c r="F5" s="73" t="s">
        <v>343</v>
      </c>
      <c r="G5" s="75">
        <v>28800</v>
      </c>
      <c r="H5" s="73" t="s">
        <v>344</v>
      </c>
    </row>
    <row r="6" spans="6:11" x14ac:dyDescent="0.25">
      <c r="F6" s="73" t="s">
        <v>345</v>
      </c>
      <c r="G6" s="75">
        <v>86400</v>
      </c>
      <c r="H6" s="73" t="s">
        <v>344</v>
      </c>
      <c r="K6" s="3"/>
    </row>
    <row r="7" spans="6:11" x14ac:dyDescent="0.25">
      <c r="F7" s="73" t="s">
        <v>346</v>
      </c>
      <c r="G7" s="75">
        <v>43200</v>
      </c>
      <c r="H7" s="73" t="s">
        <v>344</v>
      </c>
      <c r="K7" s="3"/>
    </row>
    <row r="8" spans="6:11" x14ac:dyDescent="0.25">
      <c r="F8" s="73" t="s">
        <v>347</v>
      </c>
      <c r="G8" s="75">
        <v>43200</v>
      </c>
      <c r="H8" s="73" t="s">
        <v>344</v>
      </c>
      <c r="K8" s="3"/>
    </row>
    <row r="9" spans="6:11" x14ac:dyDescent="0.25">
      <c r="F9" s="73" t="s">
        <v>348</v>
      </c>
      <c r="G9" s="75">
        <f>8*7200</f>
        <v>57600</v>
      </c>
      <c r="H9" s="73" t="s">
        <v>344</v>
      </c>
      <c r="J9" s="3">
        <f>SUM(G5:G9)</f>
        <v>259200</v>
      </c>
      <c r="K9" s="3">
        <f>J9/1.55</f>
        <v>167225.80645161291</v>
      </c>
    </row>
    <row r="10" spans="6:11" x14ac:dyDescent="0.25">
      <c r="F10" s="73"/>
      <c r="G10" s="75"/>
      <c r="H10" s="73"/>
      <c r="K10" s="3"/>
    </row>
    <row r="11" spans="6:11" x14ac:dyDescent="0.25">
      <c r="F11" s="73" t="s">
        <v>349</v>
      </c>
      <c r="G11" s="75">
        <v>125000</v>
      </c>
      <c r="H11" s="73" t="s">
        <v>350</v>
      </c>
      <c r="K11" s="3"/>
    </row>
    <row r="12" spans="6:11" x14ac:dyDescent="0.25">
      <c r="F12" s="73" t="s">
        <v>348</v>
      </c>
      <c r="G12" s="75">
        <v>125000</v>
      </c>
      <c r="H12" s="73" t="s">
        <v>350</v>
      </c>
      <c r="K12" s="3"/>
    </row>
    <row r="13" spans="6:11" x14ac:dyDescent="0.25">
      <c r="F13" s="73"/>
      <c r="G13" s="74"/>
      <c r="H13" s="73"/>
      <c r="K13" s="3"/>
    </row>
    <row r="14" spans="6:11" x14ac:dyDescent="0.25">
      <c r="F14" s="73" t="s">
        <v>343</v>
      </c>
      <c r="G14" s="75">
        <f>1.53*6000*2*1.55</f>
        <v>28458</v>
      </c>
      <c r="H14" s="73" t="s">
        <v>350</v>
      </c>
      <c r="K14" s="3"/>
    </row>
    <row r="15" spans="6:11" x14ac:dyDescent="0.25">
      <c r="F15" s="73" t="s">
        <v>345</v>
      </c>
      <c r="G15" s="75">
        <f>1.53*6000*10*1.55</f>
        <v>142290</v>
      </c>
      <c r="H15" s="73" t="s">
        <v>350</v>
      </c>
      <c r="K15" s="3"/>
    </row>
    <row r="16" spans="6:11" x14ac:dyDescent="0.25">
      <c r="F16" s="73" t="s">
        <v>346</v>
      </c>
      <c r="G16" s="75">
        <f>1.53*6000*5*1.55</f>
        <v>71145</v>
      </c>
      <c r="H16" s="73" t="s">
        <v>350</v>
      </c>
      <c r="K16" s="3"/>
    </row>
    <row r="17" spans="6:11" x14ac:dyDescent="0.25">
      <c r="F17" s="73" t="s">
        <v>353</v>
      </c>
      <c r="G17" s="75">
        <f>1.53*6000*1*1.55</f>
        <v>14229</v>
      </c>
      <c r="H17" s="73" t="s">
        <v>350</v>
      </c>
      <c r="J17" s="3">
        <f>SUM(G14:G17)</f>
        <v>256122</v>
      </c>
      <c r="K17" s="3">
        <f>J17/1.55</f>
        <v>165240</v>
      </c>
    </row>
    <row r="18" spans="6:11" x14ac:dyDescent="0.25">
      <c r="F18" s="73"/>
      <c r="G18" s="75"/>
      <c r="H18" s="73"/>
      <c r="K18" s="3"/>
    </row>
    <row r="19" spans="6:11" x14ac:dyDescent="0.25">
      <c r="F19" s="73" t="s">
        <v>349</v>
      </c>
      <c r="G19" s="75">
        <f>26*1.53*3200*1.55</f>
        <v>197308.80000000002</v>
      </c>
      <c r="H19" s="73" t="s">
        <v>354</v>
      </c>
      <c r="K19" s="3"/>
    </row>
    <row r="20" spans="6:11" x14ac:dyDescent="0.25">
      <c r="F20" s="73"/>
      <c r="G20" s="75"/>
      <c r="H20" s="73"/>
      <c r="K20" s="3"/>
    </row>
    <row r="21" spans="6:11" x14ac:dyDescent="0.25">
      <c r="F21" s="73" t="s">
        <v>348</v>
      </c>
      <c r="G21" s="75">
        <f>34*1.53*3200*1.55</f>
        <v>258019.20000000001</v>
      </c>
      <c r="H21" s="73" t="s">
        <v>355</v>
      </c>
      <c r="K21" s="3"/>
    </row>
    <row r="22" spans="6:11" x14ac:dyDescent="0.25">
      <c r="F22" s="73"/>
      <c r="G22" s="75"/>
      <c r="H22" s="73"/>
    </row>
    <row r="23" spans="6:11" x14ac:dyDescent="0.25">
      <c r="F23" s="73" t="s">
        <v>349</v>
      </c>
      <c r="G23" s="75">
        <f>18*1.53*6000*1.55</f>
        <v>256122</v>
      </c>
      <c r="H23" s="73" t="s">
        <v>356</v>
      </c>
    </row>
    <row r="24" spans="6:11" x14ac:dyDescent="0.25">
      <c r="G24" s="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0468-BBEA-433C-9ED6-E509158E1894}">
  <sheetPr codeName="Sheet7"/>
  <dimension ref="A1:J22"/>
  <sheetViews>
    <sheetView workbookViewId="0">
      <selection activeCell="G20" sqref="G20"/>
    </sheetView>
  </sheetViews>
  <sheetFormatPr defaultRowHeight="15" x14ac:dyDescent="0.25"/>
  <cols>
    <col min="1" max="1" width="21.140625" customWidth="1"/>
    <col min="2" max="3" width="11.140625" bestFit="1" customWidth="1"/>
    <col min="4" max="4" width="9.5703125" bestFit="1" customWidth="1"/>
    <col min="5" max="5" width="11.140625" bestFit="1" customWidth="1"/>
    <col min="7" max="7" width="9.5703125" bestFit="1" customWidth="1"/>
  </cols>
  <sheetData>
    <row r="1" spans="1:10" ht="18.75" x14ac:dyDescent="0.3">
      <c r="A1" s="91" t="s">
        <v>543</v>
      </c>
    </row>
    <row r="2" spans="1:10" x14ac:dyDescent="0.25">
      <c r="A2" s="19"/>
    </row>
    <row r="3" spans="1:10" x14ac:dyDescent="0.25">
      <c r="A3" s="19" t="s">
        <v>542</v>
      </c>
    </row>
    <row r="4" spans="1:10" x14ac:dyDescent="0.25">
      <c r="A4" t="s">
        <v>534</v>
      </c>
      <c r="B4" s="62">
        <v>3185.58</v>
      </c>
      <c r="C4" s="62"/>
    </row>
    <row r="5" spans="1:10" x14ac:dyDescent="0.25">
      <c r="A5" t="s">
        <v>535</v>
      </c>
      <c r="B5" s="62">
        <v>4583.72</v>
      </c>
      <c r="C5" s="62"/>
    </row>
    <row r="6" spans="1:10" x14ac:dyDescent="0.25">
      <c r="A6" s="85" t="s">
        <v>536</v>
      </c>
      <c r="B6" s="89">
        <f>B5/B4</f>
        <v>1.4388965274769432</v>
      </c>
      <c r="C6" s="62"/>
    </row>
    <row r="7" spans="1:10" x14ac:dyDescent="0.25">
      <c r="B7" s="62"/>
      <c r="C7" s="62"/>
      <c r="I7" s="106" t="s">
        <v>547</v>
      </c>
      <c r="J7" s="106"/>
    </row>
    <row r="8" spans="1:10" x14ac:dyDescent="0.25">
      <c r="B8" s="87" t="s">
        <v>0</v>
      </c>
      <c r="C8" s="87" t="s">
        <v>17</v>
      </c>
      <c r="D8" s="22" t="s">
        <v>540</v>
      </c>
      <c r="E8" s="22" t="s">
        <v>539</v>
      </c>
      <c r="F8" s="22" t="s">
        <v>19</v>
      </c>
      <c r="G8" s="22" t="s">
        <v>541</v>
      </c>
      <c r="I8" s="22" t="s">
        <v>335</v>
      </c>
      <c r="J8" s="22" t="s">
        <v>18</v>
      </c>
    </row>
    <row r="9" spans="1:10" x14ac:dyDescent="0.25">
      <c r="A9" t="s">
        <v>537</v>
      </c>
      <c r="B9" s="62">
        <f>2120.58+10</f>
        <v>2130.58</v>
      </c>
      <c r="C9" s="62">
        <f>B9*$B$6</f>
        <v>3065.6841635118253</v>
      </c>
      <c r="D9" s="20">
        <f>D11*1/3</f>
        <v>238.33333333333334</v>
      </c>
      <c r="E9" s="20">
        <f>C9+D9</f>
        <v>3304.0174968451588</v>
      </c>
      <c r="F9">
        <v>16200</v>
      </c>
      <c r="G9" s="88">
        <f>E9/F9</f>
        <v>0.20395169733612092</v>
      </c>
      <c r="I9">
        <v>0.13089999999999999</v>
      </c>
      <c r="J9">
        <v>0.105</v>
      </c>
    </row>
    <row r="10" spans="1:10" x14ac:dyDescent="0.25">
      <c r="A10" t="s">
        <v>538</v>
      </c>
      <c r="B10" s="62">
        <f>1035+20</f>
        <v>1055</v>
      </c>
      <c r="C10" s="62">
        <f>B10*$B$6</f>
        <v>1518.0358364881752</v>
      </c>
      <c r="D10" s="20">
        <f>D11*2/3</f>
        <v>476.66666666666669</v>
      </c>
      <c r="E10" s="20">
        <f>C10+D10</f>
        <v>1994.7025031548419</v>
      </c>
      <c r="F10">
        <v>5520</v>
      </c>
      <c r="G10" s="88">
        <f>E10/F10</f>
        <v>0.36135914912225398</v>
      </c>
      <c r="I10">
        <v>0.1875</v>
      </c>
      <c r="J10">
        <v>0.27500000000000002</v>
      </c>
    </row>
    <row r="11" spans="1:10" x14ac:dyDescent="0.25">
      <c r="B11" s="90">
        <f>SUM(B9:B10)</f>
        <v>3185.58</v>
      </c>
      <c r="C11" s="90">
        <f>SUM(C9:C10)</f>
        <v>4583.72</v>
      </c>
      <c r="D11" s="86">
        <v>715</v>
      </c>
      <c r="E11" s="90">
        <f>SUM(E9:E10)</f>
        <v>5298.7200000000012</v>
      </c>
    </row>
    <row r="14" spans="1:10" x14ac:dyDescent="0.25">
      <c r="A14" s="19" t="s">
        <v>544</v>
      </c>
    </row>
    <row r="15" spans="1:10" x14ac:dyDescent="0.25">
      <c r="A15" t="s">
        <v>534</v>
      </c>
      <c r="B15" s="62">
        <v>2064.0100000000002</v>
      </c>
      <c r="C15" s="62"/>
    </row>
    <row r="16" spans="1:10" x14ac:dyDescent="0.25">
      <c r="A16" t="s">
        <v>535</v>
      </c>
      <c r="B16" s="62">
        <v>2861.15</v>
      </c>
      <c r="C16" s="62"/>
    </row>
    <row r="17" spans="1:10" x14ac:dyDescent="0.25">
      <c r="A17" s="85" t="s">
        <v>536</v>
      </c>
      <c r="B17" s="89">
        <f>B16/B15</f>
        <v>1.3862093691406532</v>
      </c>
      <c r="C17" s="62"/>
    </row>
    <row r="18" spans="1:10" x14ac:dyDescent="0.25">
      <c r="B18" s="62"/>
      <c r="C18" s="62"/>
      <c r="I18" s="106" t="s">
        <v>547</v>
      </c>
      <c r="J18" s="106"/>
    </row>
    <row r="19" spans="1:10" x14ac:dyDescent="0.25">
      <c r="B19" s="87" t="s">
        <v>0</v>
      </c>
      <c r="C19" s="87" t="s">
        <v>17</v>
      </c>
      <c r="D19" s="22" t="s">
        <v>540</v>
      </c>
      <c r="E19" s="22" t="s">
        <v>539</v>
      </c>
      <c r="F19" s="22" t="s">
        <v>19</v>
      </c>
      <c r="G19" s="22" t="s">
        <v>541</v>
      </c>
      <c r="I19" s="22" t="s">
        <v>335</v>
      </c>
      <c r="J19" s="22" t="s">
        <v>18</v>
      </c>
    </row>
    <row r="20" spans="1:10" x14ac:dyDescent="0.25">
      <c r="A20" t="s">
        <v>545</v>
      </c>
      <c r="B20" s="62">
        <f>1455.3+10</f>
        <v>1465.3</v>
      </c>
      <c r="C20" s="62">
        <f>B20*$B$17</f>
        <v>2031.2125886017991</v>
      </c>
      <c r="D20" s="20">
        <f>D22*1/2</f>
        <v>332.5</v>
      </c>
      <c r="E20" s="20">
        <f>C20+D20</f>
        <v>2363.7125886017993</v>
      </c>
      <c r="F20">
        <v>14850</v>
      </c>
      <c r="G20" s="88">
        <f>E20/F20</f>
        <v>0.15917256488901005</v>
      </c>
      <c r="I20">
        <v>9.8000000000000004E-2</v>
      </c>
      <c r="J20">
        <v>0.15</v>
      </c>
    </row>
    <row r="21" spans="1:10" x14ac:dyDescent="0.25">
      <c r="A21" t="s">
        <v>546</v>
      </c>
      <c r="B21" s="62">
        <f>588.71+10</f>
        <v>598.71</v>
      </c>
      <c r="C21" s="62">
        <f>B21*$B$17</f>
        <v>829.93741139820054</v>
      </c>
      <c r="D21" s="20">
        <f>D22*1/2</f>
        <v>332.5</v>
      </c>
      <c r="E21" s="20">
        <f>C21+D21</f>
        <v>1162.4374113982005</v>
      </c>
      <c r="F21">
        <v>2760</v>
      </c>
      <c r="G21" s="88">
        <f>E21/F21</f>
        <v>0.42117297514427554</v>
      </c>
      <c r="I21">
        <v>0.21329999999999999</v>
      </c>
      <c r="J21">
        <v>0.41</v>
      </c>
    </row>
    <row r="22" spans="1:10" x14ac:dyDescent="0.25">
      <c r="B22" s="90">
        <f>SUM(B20:B21)</f>
        <v>2064.0100000000002</v>
      </c>
      <c r="C22" s="90">
        <f>SUM(C20:C21)</f>
        <v>2861.1499999999996</v>
      </c>
      <c r="D22" s="86">
        <v>665</v>
      </c>
      <c r="E22" s="90">
        <f>SUM(E20:E21)</f>
        <v>3526.1499999999996</v>
      </c>
    </row>
  </sheetData>
  <mergeCells count="2">
    <mergeCell ref="I7:J7"/>
    <mergeCell ref="I18:J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8d5096-1bb7-414f-af5c-2411680bf71e">
      <Terms xmlns="http://schemas.microsoft.com/office/infopath/2007/PartnerControls"/>
    </lcf76f155ced4ddcb4097134ff3c332f>
    <TaxCatchAll xmlns="71131562-680c-40ca-8cdb-dfe716e567b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1B99BE6876C94EACF0B0B797FB34F6" ma:contentTypeVersion="14" ma:contentTypeDescription="Create a new document." ma:contentTypeScope="" ma:versionID="ccd65eaa477dd66448c0493f07b87258">
  <xsd:schema xmlns:xsd="http://www.w3.org/2001/XMLSchema" xmlns:xs="http://www.w3.org/2001/XMLSchema" xmlns:p="http://schemas.microsoft.com/office/2006/metadata/properties" xmlns:ns2="4b8d5096-1bb7-414f-af5c-2411680bf71e" xmlns:ns3="71131562-680c-40ca-8cdb-dfe716e567b7" targetNamespace="http://schemas.microsoft.com/office/2006/metadata/properties" ma:root="true" ma:fieldsID="c17a3f4a7f5e4e1ebd329012bb4b2fb4" ns2:_="" ns3:_="">
    <xsd:import namespace="4b8d5096-1bb7-414f-af5c-2411680bf71e"/>
    <xsd:import namespace="71131562-680c-40ca-8cdb-dfe716e567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d5096-1bb7-414f-af5c-2411680bf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453ae97-cd49-4d15-b055-69e640f033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31562-680c-40ca-8cdb-dfe716e567b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12f716d-fa0f-4318-9087-f12d2ad01aa7}" ma:internalName="TaxCatchAll" ma:showField="CatchAllData" ma:web="71131562-680c-40ca-8cdb-dfe716e567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2D86EE-AF79-46A4-8090-7316BAC845D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71131562-680c-40ca-8cdb-dfe716e567b7"/>
    <ds:schemaRef ds:uri="http://schemas.openxmlformats.org/package/2006/metadata/core-properties"/>
    <ds:schemaRef ds:uri="4b8d5096-1bb7-414f-af5c-2411680bf71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36650DE-EE95-48CF-B874-CB3A34ACCA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8d5096-1bb7-414f-af5c-2411680bf71e"/>
    <ds:schemaRef ds:uri="71131562-680c-40ca-8cdb-dfe716e567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927C6-728D-4351-9677-C8F348BDDD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Papier</vt:lpstr>
      <vt:lpstr>Autres</vt:lpstr>
      <vt:lpstr>Sommaire papier</vt:lpstr>
      <vt:lpstr>Total</vt:lpstr>
      <vt:lpstr>Inv. papier sommaire</vt:lpstr>
      <vt:lpstr>Orders placed not received</vt:lpstr>
      <vt:lpstr>Calcul</vt:lpstr>
      <vt:lpstr>Papier!Print_Area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Pitre</dc:creator>
  <cp:lastModifiedBy>Joanne  Pitre</cp:lastModifiedBy>
  <cp:lastPrinted>2025-01-06T12:52:29Z</cp:lastPrinted>
  <dcterms:created xsi:type="dcterms:W3CDTF">2023-11-08T22:00:38Z</dcterms:created>
  <dcterms:modified xsi:type="dcterms:W3CDTF">2025-02-13T13:33:17Z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0x010100301B99BE6876C94EACF0B0B797FB34F6</vt:lpwstr>
  </property>
  <property fmtid="{D5CDD505-2E9C-101B-9397-08002B2CF9AE}" pid="3" name="MediaServiceImageTags">
    <vt:lpwstr/>
  </property>
</Properties>
</file>