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rgit\geo_inf\GeodäsieGrundlagen1\uebung1\"/>
    </mc:Choice>
  </mc:AlternateContent>
  <xr:revisionPtr revIDLastSave="0" documentId="13_ncr:1_{628A15C9-BC75-44FA-A58A-156B7B5F52D8}" xr6:coauthVersionLast="45" xr6:coauthVersionMax="45" xr10:uidLastSave="{00000000-0000-0000-0000-000000000000}"/>
  <bookViews>
    <workbookView xWindow="-110" yWindow="-110" windowWidth="19420" windowHeight="10420" xr2:uid="{322649BC-9BD6-49F6-A3FA-A1E1C677AF4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6" i="1" l="1"/>
  <c r="Q78" i="1" s="1"/>
  <c r="X14" i="1" s="1"/>
  <c r="R73" i="1"/>
  <c r="Q73" i="1"/>
  <c r="R72" i="1"/>
  <c r="Q72" i="1"/>
  <c r="Q75" i="1"/>
  <c r="Y24" i="1"/>
  <c r="X24" i="1"/>
  <c r="Q74" i="1"/>
  <c r="Q67" i="1"/>
  <c r="Q69" i="1"/>
  <c r="X21" i="1" s="1"/>
  <c r="Q66" i="1"/>
  <c r="Y11" i="1"/>
  <c r="Q65" i="1"/>
  <c r="R64" i="1"/>
  <c r="Q64" i="1"/>
  <c r="R63" i="1"/>
  <c r="Q63" i="1"/>
  <c r="Y16" i="1"/>
  <c r="W16" i="1" s="1"/>
  <c r="Y17" i="1"/>
  <c r="X18" i="1"/>
  <c r="X17" i="1"/>
  <c r="W18" i="1"/>
  <c r="W17" i="1"/>
  <c r="Q57" i="1"/>
  <c r="R56" i="1"/>
  <c r="Q56" i="1"/>
  <c r="Q53" i="1"/>
  <c r="Q77" i="1" l="1"/>
  <c r="W14" i="1" s="1"/>
  <c r="W24" i="1"/>
  <c r="Q68" i="1"/>
  <c r="W21" i="1" s="1"/>
  <c r="Z23" i="1"/>
  <c r="Y23" i="1"/>
  <c r="Z17" i="1"/>
  <c r="Z18" i="1"/>
  <c r="Y18" i="1"/>
  <c r="Z24" i="1"/>
  <c r="R53" i="1"/>
  <c r="Q52" i="1"/>
  <c r="Q36" i="1"/>
  <c r="Q37" i="1" s="1"/>
  <c r="Q38" i="1" s="1"/>
  <c r="Z16" i="1"/>
  <c r="Z15" i="1"/>
  <c r="X23" i="1" l="1"/>
  <c r="W23" i="1"/>
  <c r="Y22" i="1"/>
  <c r="Z22" i="1"/>
  <c r="Y13" i="1"/>
  <c r="Y20" i="1"/>
  <c r="Z20" i="1"/>
  <c r="Y12" i="1"/>
  <c r="Z13" i="1"/>
  <c r="Z12" i="1"/>
  <c r="Y25" i="1"/>
  <c r="Z25" i="1"/>
  <c r="Z11" i="1"/>
  <c r="W5" i="1"/>
  <c r="Q12" i="1"/>
  <c r="T6" i="1"/>
  <c r="X5" i="1" s="1"/>
  <c r="X6" i="1" s="1"/>
  <c r="Q20" i="1"/>
  <c r="Q16" i="1"/>
  <c r="G35" i="1"/>
  <c r="F35" i="1"/>
  <c r="G32" i="1"/>
  <c r="F32" i="1"/>
  <c r="G26" i="1"/>
  <c r="F26" i="1"/>
  <c r="G23" i="1"/>
  <c r="F23" i="1"/>
  <c r="G19" i="1"/>
  <c r="F19" i="1"/>
  <c r="H16" i="1"/>
  <c r="G16" i="1"/>
  <c r="F16" i="1"/>
  <c r="I7" i="1"/>
  <c r="G7" i="1"/>
  <c r="G6" i="1"/>
  <c r="F7" i="1"/>
  <c r="F6" i="1"/>
  <c r="G11" i="1"/>
  <c r="F11" i="1"/>
  <c r="G10" i="1"/>
  <c r="F10" i="1"/>
  <c r="W20" i="1" l="1"/>
  <c r="X22" i="1"/>
  <c r="X11" i="1"/>
  <c r="W12" i="1"/>
  <c r="X13" i="1"/>
  <c r="X12" i="1"/>
  <c r="W25" i="1"/>
  <c r="X20" i="1"/>
  <c r="W11" i="1"/>
  <c r="Q46" i="1"/>
  <c r="Q47" i="1" s="1"/>
  <c r="R47" i="1" s="1"/>
  <c r="X25" i="1"/>
  <c r="P27" i="1"/>
  <c r="P29" i="1" s="1"/>
  <c r="Q49" i="1" l="1"/>
  <c r="X27" i="1" s="1"/>
  <c r="Q48" i="1"/>
  <c r="W27" i="1" s="1"/>
  <c r="Y15" i="1"/>
  <c r="P31" i="1"/>
  <c r="W15" i="1" l="1"/>
  <c r="X16" i="1"/>
  <c r="X15" i="1"/>
  <c r="Q10" i="1"/>
  <c r="Q14" i="1" s="1"/>
  <c r="Q18" i="1" s="1"/>
  <c r="S18" i="1" s="1"/>
  <c r="S10" i="1" l="1"/>
  <c r="T10" i="1"/>
  <c r="T14" i="1"/>
  <c r="S14" i="1"/>
  <c r="S22" i="1" l="1"/>
  <c r="R27" i="1" s="1"/>
  <c r="T18" i="1"/>
  <c r="T22" i="1" s="1"/>
  <c r="R29" i="1" s="1"/>
  <c r="Q22" i="1"/>
  <c r="T15" i="1" l="1"/>
  <c r="X7" i="1" s="1"/>
  <c r="Q55" i="1" s="1"/>
  <c r="X28" i="1" s="1"/>
  <c r="T19" i="1"/>
  <c r="S19" i="1"/>
  <c r="S15" i="1"/>
  <c r="S11" i="1"/>
  <c r="W6" i="1" s="1"/>
  <c r="W7" i="1" l="1"/>
  <c r="W22" i="1"/>
  <c r="W13" i="1"/>
  <c r="X9" i="1"/>
  <c r="W9" i="1" l="1"/>
  <c r="Q54" i="1"/>
  <c r="W28" i="1" s="1"/>
</calcChain>
</file>

<file path=xl/sharedStrings.xml><?xml version="1.0" encoding="utf-8"?>
<sst xmlns="http://schemas.openxmlformats.org/spreadsheetml/2006/main" count="150" uniqueCount="89">
  <si>
    <t>Standpunkt 3021A</t>
  </si>
  <si>
    <t>Obelisk</t>
  </si>
  <si>
    <t>P1</t>
  </si>
  <si>
    <t>P3</t>
  </si>
  <si>
    <t>A</t>
  </si>
  <si>
    <t>Lage 1</t>
  </si>
  <si>
    <t>Lage2</t>
  </si>
  <si>
    <t>Abl 2 red.</t>
  </si>
  <si>
    <t>Abl 1 red.</t>
  </si>
  <si>
    <t>Satzmittel</t>
  </si>
  <si>
    <t>Gesamtmittel</t>
  </si>
  <si>
    <t>Entfernung</t>
  </si>
  <si>
    <t>Standpunkt P3</t>
  </si>
  <si>
    <t>3021A</t>
  </si>
  <si>
    <t>P2</t>
  </si>
  <si>
    <t>Standpunkt P2</t>
  </si>
  <si>
    <t>C</t>
  </si>
  <si>
    <t>L</t>
  </si>
  <si>
    <t>Standpunkt P1</t>
  </si>
  <si>
    <t>J</t>
  </si>
  <si>
    <t>B</t>
  </si>
  <si>
    <t>Freie Stationierung Süd</t>
  </si>
  <si>
    <t>F</t>
  </si>
  <si>
    <t>E</t>
  </si>
  <si>
    <t>Freie Stationierung Nord</t>
  </si>
  <si>
    <t>PM</t>
  </si>
  <si>
    <t>PH</t>
  </si>
  <si>
    <t>PG</t>
  </si>
  <si>
    <t>PL</t>
  </si>
  <si>
    <t>P3021A</t>
  </si>
  <si>
    <t>s</t>
  </si>
  <si>
    <t>y</t>
  </si>
  <si>
    <t>x</t>
  </si>
  <si>
    <t>Winkelprobe:</t>
  </si>
  <si>
    <t>Abweichungsfehler:</t>
  </si>
  <si>
    <t>Abweichung pro Winkel:</t>
  </si>
  <si>
    <t xml:space="preserve">Winkel </t>
  </si>
  <si>
    <t>Wiederspruch y:</t>
  </si>
  <si>
    <t>Wiederspruch x:</t>
  </si>
  <si>
    <t>Berechnung Polygonzüge im örtlichen Koordinatensystem</t>
  </si>
  <si>
    <t>Koordinaten</t>
  </si>
  <si>
    <t>D</t>
  </si>
  <si>
    <t>G</t>
  </si>
  <si>
    <t>H</t>
  </si>
  <si>
    <t>K</t>
  </si>
  <si>
    <t>M</t>
  </si>
  <si>
    <t>winkel</t>
  </si>
  <si>
    <t>strecke</t>
  </si>
  <si>
    <t>Punkt</t>
  </si>
  <si>
    <t>Freie Stationierung</t>
  </si>
  <si>
    <t>Punkt 1</t>
  </si>
  <si>
    <t>Strecke P1-P2</t>
  </si>
  <si>
    <t>alpha</t>
  </si>
  <si>
    <t>Stationierpunkt1</t>
  </si>
  <si>
    <t>Stationierpunkt2</t>
  </si>
  <si>
    <t>FSP1</t>
  </si>
  <si>
    <t>Richtungswinkel</t>
  </si>
  <si>
    <t>t(0,1)</t>
  </si>
  <si>
    <t>t(1,2)</t>
  </si>
  <si>
    <t>t(2,3)</t>
  </si>
  <si>
    <t>t(3,0)</t>
  </si>
  <si>
    <t>Punkt 2</t>
  </si>
  <si>
    <t>Strecke P2-P3</t>
  </si>
  <si>
    <t>polares Anhängen über Punkt P3</t>
  </si>
  <si>
    <t>FSP2</t>
  </si>
  <si>
    <t>alpha(P3)</t>
  </si>
  <si>
    <t>beta (P2)</t>
  </si>
  <si>
    <t>t(P2,FSP2)</t>
  </si>
  <si>
    <t>(Wert aus Handriss -&gt; unterschiedlich zu Tabelle)</t>
  </si>
  <si>
    <t>Berechnung ausanderen Koordinatenpunkten</t>
  </si>
  <si>
    <t>von A</t>
  </si>
  <si>
    <t>von E</t>
  </si>
  <si>
    <t>Winkel alpha (A) im Dreieck AEK</t>
  </si>
  <si>
    <t>Seite zu K (aus Handriss)</t>
  </si>
  <si>
    <t>gon</t>
  </si>
  <si>
    <t>t(P0,A)</t>
  </si>
  <si>
    <t>t(A,K)</t>
  </si>
  <si>
    <t>yk</t>
  </si>
  <si>
    <t>xk</t>
  </si>
  <si>
    <t>von M</t>
  </si>
  <si>
    <t>von H</t>
  </si>
  <si>
    <t>Seite zu D (aus Handriss)</t>
  </si>
  <si>
    <t>Winkel alpha(H)</t>
  </si>
  <si>
    <t>H-M</t>
  </si>
  <si>
    <t>t(FSP2,M)</t>
  </si>
  <si>
    <t>t(M,D)</t>
  </si>
  <si>
    <t>?</t>
  </si>
  <si>
    <t>yd</t>
  </si>
  <si>
    <t>xd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</si>
</sst>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Tabelle1!$W$4:$W$29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 formatCode="0.000">
                  <c:v>75.317828093290672</c:v>
                </c:pt>
                <c:pt idx="3" formatCode="0.000">
                  <c:v>84.442221719475583</c:v>
                </c:pt>
                <c:pt idx="5" formatCode="0.000">
                  <c:v>0</c:v>
                </c:pt>
                <c:pt idx="7" formatCode="0.000">
                  <c:v>13.088619263575319</c:v>
                </c:pt>
                <c:pt idx="8" formatCode="0.000">
                  <c:v>8.664302048364835</c:v>
                </c:pt>
                <c:pt idx="9" formatCode="0.000">
                  <c:v>60.155254699332744</c:v>
                </c:pt>
                <c:pt idx="10" formatCode="0.000">
                  <c:v>71.2781684188881</c:v>
                </c:pt>
                <c:pt idx="11" formatCode="0.000">
                  <c:v>20.329895936724277</c:v>
                </c:pt>
                <c:pt idx="12" formatCode="0.000">
                  <c:v>1.80982654993349</c:v>
                </c:pt>
                <c:pt idx="13">
                  <c:v>52.167580729885643</c:v>
                </c:pt>
                <c:pt idx="14">
                  <c:v>54.592777905485022</c:v>
                </c:pt>
                <c:pt idx="16" formatCode="0.000">
                  <c:v>9.0231831486844971</c:v>
                </c:pt>
                <c:pt idx="17" formatCode="0.000">
                  <c:v>14.792257221406842</c:v>
                </c:pt>
                <c:pt idx="18" formatCode="0.000">
                  <c:v>60.524104664456075</c:v>
                </c:pt>
                <c:pt idx="19" formatCode="0.000">
                  <c:v>64.299146709762724</c:v>
                </c:pt>
                <c:pt idx="20" formatCode="0.000">
                  <c:v>68.53873951631914</c:v>
                </c:pt>
                <c:pt idx="21" formatCode="0.000">
                  <c:v>-199.80074199664847</c:v>
                </c:pt>
                <c:pt idx="23" formatCode="0.000">
                  <c:v>-28.40719330236314</c:v>
                </c:pt>
                <c:pt idx="24" formatCode="0.000">
                  <c:v>85.352682393013666</c:v>
                </c:pt>
              </c:numCache>
            </c:numRef>
          </c:xVal>
          <c:yVal>
            <c:numRef>
              <c:f>Tabelle1!$X$4:$X$29</c:f>
              <c:numCache>
                <c:formatCode>General</c:formatCode>
                <c:ptCount val="26"/>
                <c:pt idx="0">
                  <c:v>0</c:v>
                </c:pt>
                <c:pt idx="1">
                  <c:v>181.83600000000001</c:v>
                </c:pt>
                <c:pt idx="2">
                  <c:v>183.15600000000001</c:v>
                </c:pt>
                <c:pt idx="3" formatCode="0.000">
                  <c:v>8.1877278812021643</c:v>
                </c:pt>
                <c:pt idx="5" formatCode="0.000">
                  <c:v>4.0551907112629237E-4</c:v>
                </c:pt>
                <c:pt idx="7" formatCode="0.000">
                  <c:v>19.589835266616333</c:v>
                </c:pt>
                <c:pt idx="8" formatCode="0.000">
                  <c:v>169.20628400894537</c:v>
                </c:pt>
                <c:pt idx="9" formatCode="0.000">
                  <c:v>170.87693289077549</c:v>
                </c:pt>
                <c:pt idx="10" formatCode="0.000">
                  <c:v>20.858078899331623</c:v>
                </c:pt>
                <c:pt idx="11" formatCode="0.000">
                  <c:v>37.24980636744165</c:v>
                </c:pt>
                <c:pt idx="12" formatCode="0.000">
                  <c:v>156.54738052360557</c:v>
                </c:pt>
                <c:pt idx="13">
                  <c:v>156.23652558006938</c:v>
                </c:pt>
                <c:pt idx="14">
                  <c:v>35.629370882548109</c:v>
                </c:pt>
                <c:pt idx="16" formatCode="0.000">
                  <c:v>154.79155018371983</c:v>
                </c:pt>
                <c:pt idx="17" formatCode="0.000">
                  <c:v>33.737630773642707</c:v>
                </c:pt>
                <c:pt idx="18" formatCode="0.000">
                  <c:v>156.41769206716418</c:v>
                </c:pt>
                <c:pt idx="19" formatCode="0.000">
                  <c:v>156.66054330729543</c:v>
                </c:pt>
                <c:pt idx="20" formatCode="0.000">
                  <c:v>34.944172370829314</c:v>
                </c:pt>
                <c:pt idx="21" formatCode="0.000">
                  <c:v>-8.925441030487848</c:v>
                </c:pt>
                <c:pt idx="23" formatCode="0.000">
                  <c:v>111.91396578480352</c:v>
                </c:pt>
                <c:pt idx="24" formatCode="0.000">
                  <c:v>68.656874041553564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3-4CF6-ACBC-4ACA68910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831216"/>
        <c:axId val="404833184"/>
      </c:scatterChart>
      <c:valAx>
        <c:axId val="40483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833184"/>
        <c:crosses val="autoZero"/>
        <c:crossBetween val="midCat"/>
      </c:valAx>
      <c:valAx>
        <c:axId val="40483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83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134470</xdr:colOff>
      <xdr:row>1</xdr:row>
      <xdr:rowOff>133723</xdr:rowOff>
    </xdr:from>
    <xdr:to>
      <xdr:col>35</xdr:col>
      <xdr:colOff>134470</xdr:colOff>
      <xdr:row>16</xdr:row>
      <xdr:rowOff>75453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8A4C5A1-1719-4BAC-8029-E7F8B1AAD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3EB9C-B317-464D-B407-444709E96AF5}">
  <dimension ref="A1:AB78"/>
  <sheetViews>
    <sheetView tabSelected="1" topLeftCell="C53" zoomScale="85" zoomScaleNormal="85" workbookViewId="0">
      <selection activeCell="M64" sqref="M64"/>
    </sheetView>
  </sheetViews>
  <sheetFormatPr baseColWidth="10" defaultRowHeight="14.5" x14ac:dyDescent="0.35"/>
  <cols>
    <col min="1" max="1" width="21.54296875" customWidth="1"/>
    <col min="9" max="9" width="13.6328125" customWidth="1"/>
    <col min="16" max="16" width="22.54296875" customWidth="1"/>
    <col min="17" max="17" width="12.453125" bestFit="1" customWidth="1"/>
    <col min="19" max="19" width="11.90625" bestFit="1" customWidth="1"/>
    <col min="20" max="20" width="16.1796875" bestFit="1" customWidth="1"/>
    <col min="22" max="22" width="17" customWidth="1"/>
  </cols>
  <sheetData>
    <row r="1" spans="1:28" x14ac:dyDescent="0.35">
      <c r="N1" s="1" t="s">
        <v>39</v>
      </c>
    </row>
    <row r="2" spans="1:28" x14ac:dyDescent="0.35">
      <c r="F2" s="1" t="s">
        <v>8</v>
      </c>
      <c r="G2" s="1" t="s">
        <v>7</v>
      </c>
      <c r="H2" s="1" t="s">
        <v>9</v>
      </c>
      <c r="I2" s="1" t="s">
        <v>10</v>
      </c>
      <c r="J2" s="1"/>
      <c r="K2" s="1" t="s">
        <v>11</v>
      </c>
      <c r="N2" s="1"/>
      <c r="P2" s="1"/>
      <c r="Q2" s="1" t="s">
        <v>36</v>
      </c>
      <c r="R2" s="1" t="s">
        <v>30</v>
      </c>
      <c r="S2" s="1" t="s">
        <v>31</v>
      </c>
      <c r="T2" s="1" t="s">
        <v>32</v>
      </c>
      <c r="V2" s="1" t="s">
        <v>40</v>
      </c>
    </row>
    <row r="3" spans="1:28" x14ac:dyDescent="0.35">
      <c r="A3" s="1" t="s">
        <v>0</v>
      </c>
      <c r="C3" s="1" t="s">
        <v>5</v>
      </c>
      <c r="D3" s="1" t="s">
        <v>6</v>
      </c>
      <c r="W3" t="s">
        <v>31</v>
      </c>
      <c r="X3" t="s">
        <v>32</v>
      </c>
    </row>
    <row r="4" spans="1:28" x14ac:dyDescent="0.35">
      <c r="P4" t="s">
        <v>29</v>
      </c>
      <c r="Q4">
        <v>0</v>
      </c>
      <c r="S4">
        <v>0</v>
      </c>
      <c r="T4">
        <v>0</v>
      </c>
      <c r="V4" t="s">
        <v>29</v>
      </c>
      <c r="W4">
        <v>0</v>
      </c>
      <c r="X4">
        <v>0</v>
      </c>
    </row>
    <row r="5" spans="1:28" x14ac:dyDescent="0.35">
      <c r="A5">
        <v>1</v>
      </c>
      <c r="B5" t="s">
        <v>1</v>
      </c>
      <c r="C5">
        <v>0</v>
      </c>
      <c r="D5">
        <v>200</v>
      </c>
      <c r="F5">
        <v>0</v>
      </c>
      <c r="G5">
        <v>0</v>
      </c>
      <c r="H5">
        <v>0</v>
      </c>
      <c r="I5">
        <v>0</v>
      </c>
      <c r="V5" t="s">
        <v>2</v>
      </c>
      <c r="W5">
        <f>W4+S6</f>
        <v>0</v>
      </c>
      <c r="X5">
        <f>X4+T6</f>
        <v>181.83600000000001</v>
      </c>
    </row>
    <row r="6" spans="1:28" x14ac:dyDescent="0.35">
      <c r="B6" t="s">
        <v>2</v>
      </c>
      <c r="C6">
        <v>102.842</v>
      </c>
      <c r="D6">
        <v>302.83999999999997</v>
      </c>
      <c r="F6">
        <f>C6-C5</f>
        <v>102.842</v>
      </c>
      <c r="G6">
        <f>D6-D5</f>
        <v>102.83999999999997</v>
      </c>
      <c r="H6">
        <v>102.84099999999999</v>
      </c>
      <c r="I6">
        <v>102.842</v>
      </c>
      <c r="K6">
        <v>181.834</v>
      </c>
      <c r="R6">
        <v>181.83600000000001</v>
      </c>
      <c r="S6">
        <v>0</v>
      </c>
      <c r="T6">
        <f>R6</f>
        <v>181.83600000000001</v>
      </c>
      <c r="V6" t="s">
        <v>14</v>
      </c>
      <c r="W6" s="2">
        <f>W5+S11</f>
        <v>75.317828093290672</v>
      </c>
      <c r="X6">
        <f>X5+T11</f>
        <v>183.15600000000001</v>
      </c>
    </row>
    <row r="7" spans="1:28" x14ac:dyDescent="0.35">
      <c r="B7" t="s">
        <v>3</v>
      </c>
      <c r="C7">
        <v>196.685</v>
      </c>
      <c r="D7">
        <v>396.68299999999999</v>
      </c>
      <c r="F7">
        <f>C7-C5</f>
        <v>196.685</v>
      </c>
      <c r="G7">
        <f>D7-D5</f>
        <v>196.68299999999999</v>
      </c>
      <c r="H7">
        <v>196.684</v>
      </c>
      <c r="I7">
        <f>196.687</f>
        <v>196.68700000000001</v>
      </c>
      <c r="K7">
        <v>84.852000000000004</v>
      </c>
      <c r="V7" t="s">
        <v>3</v>
      </c>
      <c r="W7" s="2">
        <f>W6+S15</f>
        <v>84.442221719475583</v>
      </c>
      <c r="X7" s="2">
        <f>X6+T15</f>
        <v>8.1877278812021643</v>
      </c>
    </row>
    <row r="8" spans="1:28" x14ac:dyDescent="0.35">
      <c r="B8" t="s">
        <v>4</v>
      </c>
      <c r="C8">
        <v>140.34</v>
      </c>
      <c r="K8">
        <v>23.56</v>
      </c>
      <c r="P8" t="s">
        <v>2</v>
      </c>
      <c r="Q8">
        <v>298.88200000000001</v>
      </c>
    </row>
    <row r="9" spans="1:28" x14ac:dyDescent="0.35">
      <c r="A9">
        <v>2</v>
      </c>
      <c r="B9" t="s">
        <v>1</v>
      </c>
      <c r="C9">
        <v>259.65499999999997</v>
      </c>
      <c r="D9">
        <v>59.652999999999999</v>
      </c>
      <c r="F9">
        <v>0</v>
      </c>
      <c r="G9">
        <v>0</v>
      </c>
      <c r="H9">
        <v>0</v>
      </c>
      <c r="V9" t="s">
        <v>29</v>
      </c>
      <c r="W9" s="2">
        <f>W7+S19</f>
        <v>0</v>
      </c>
      <c r="X9" s="2">
        <f>X7+T19</f>
        <v>4.0551907112629237E-4</v>
      </c>
    </row>
    <row r="10" spans="1:28" x14ac:dyDescent="0.35">
      <c r="B10" t="s">
        <v>2</v>
      </c>
      <c r="C10">
        <v>362.49799999999999</v>
      </c>
      <c r="D10">
        <v>162.49700000000001</v>
      </c>
      <c r="F10">
        <f>C10-C9</f>
        <v>102.84300000000002</v>
      </c>
      <c r="G10">
        <f>D10-D9</f>
        <v>102.84400000000002</v>
      </c>
      <c r="H10">
        <v>102.84399999999999</v>
      </c>
      <c r="Q10">
        <f>200+Q8+P31-400+Q4</f>
        <v>98.884500000000003</v>
      </c>
      <c r="R10">
        <v>75.316999999999993</v>
      </c>
      <c r="S10" s="2">
        <f>SIN(Q10*PI()/200)*R10</f>
        <v>75.305438057401759</v>
      </c>
      <c r="T10" s="2">
        <f>COS(Q10*PI()/200)*R10</f>
        <v>1.3196544937318881</v>
      </c>
      <c r="Y10" t="s">
        <v>46</v>
      </c>
      <c r="Z10" t="s">
        <v>47</v>
      </c>
      <c r="AA10" t="s">
        <v>48</v>
      </c>
    </row>
    <row r="11" spans="1:28" x14ac:dyDescent="0.35">
      <c r="B11" t="s">
        <v>3</v>
      </c>
      <c r="C11">
        <v>56.341999999999999</v>
      </c>
      <c r="D11">
        <v>256.34500000000003</v>
      </c>
      <c r="F11">
        <f>C11-C9+400</f>
        <v>196.68700000000001</v>
      </c>
      <c r="G11">
        <f>D11-D9</f>
        <v>196.69200000000004</v>
      </c>
      <c r="H11">
        <v>196.69</v>
      </c>
      <c r="S11" s="2">
        <f>-R27*(ABS(S10)/(ABS(S18)+ABS(S14)+ABS(S10)))+S10</f>
        <v>75.317828093290672</v>
      </c>
      <c r="T11" s="4">
        <v>1.32</v>
      </c>
      <c r="V11" t="s">
        <v>4</v>
      </c>
      <c r="W11" s="2">
        <f>Z11*SIN(Y11*(PI()/200))</f>
        <v>13.088619263575319</v>
      </c>
      <c r="X11" s="2">
        <f>Z11*COS(Y11*(PI()/200))</f>
        <v>19.589835266616333</v>
      </c>
      <c r="Y11">
        <f>C8-I6</f>
        <v>37.498000000000005</v>
      </c>
      <c r="Z11">
        <f>K8</f>
        <v>23.56</v>
      </c>
      <c r="AA11" t="s">
        <v>29</v>
      </c>
    </row>
    <row r="12" spans="1:28" x14ac:dyDescent="0.35">
      <c r="P12" t="s">
        <v>14</v>
      </c>
      <c r="Q12">
        <f>400-102.211</f>
        <v>297.78899999999999</v>
      </c>
      <c r="V12" t="s">
        <v>20</v>
      </c>
      <c r="W12" s="2">
        <f>W5+SIN(Y12*(PI()/200))*Z12</f>
        <v>8.664302048364835</v>
      </c>
      <c r="X12" s="2">
        <f>X5+COS(Y12*(PI()/200))*Z12</f>
        <v>169.20628400894537</v>
      </c>
      <c r="Y12">
        <f>C37-200</f>
        <v>161.721</v>
      </c>
      <c r="Z12">
        <f>K37</f>
        <v>15.316000000000001</v>
      </c>
      <c r="AA12" t="s">
        <v>2</v>
      </c>
    </row>
    <row r="13" spans="1:28" x14ac:dyDescent="0.35">
      <c r="A13" s="1" t="s">
        <v>12</v>
      </c>
      <c r="V13" t="s">
        <v>16</v>
      </c>
      <c r="W13" s="2">
        <f>W6+SIN(Y13*(PI()/200))*Z13</f>
        <v>60.155254699332744</v>
      </c>
      <c r="X13" s="2">
        <f>X6+COS(Y13*(PI()/200))*Z13</f>
        <v>170.87693289077549</v>
      </c>
      <c r="Y13">
        <f>C27+I32-200+200-I23</f>
        <v>256.66499999999996</v>
      </c>
      <c r="Z13">
        <f>K27</f>
        <v>19.510999999999999</v>
      </c>
      <c r="AA13" t="s">
        <v>14</v>
      </c>
    </row>
    <row r="14" spans="1:28" x14ac:dyDescent="0.35">
      <c r="Q14">
        <f>200+Q12+P29-400+Q10</f>
        <v>196.68349999999998</v>
      </c>
      <c r="R14">
        <v>175.19800000000001</v>
      </c>
      <c r="S14" s="2">
        <f>SIN(Q14*PI()/200)*R14</f>
        <v>9.1228926327633619</v>
      </c>
      <c r="T14" s="2">
        <f>COS(Q14*PI()/200)*R14</f>
        <v>-174.96031559759794</v>
      </c>
      <c r="V14" t="s">
        <v>41</v>
      </c>
      <c r="W14" s="2">
        <f>Q77</f>
        <v>71.2781684188881</v>
      </c>
      <c r="X14" s="2">
        <f>Q78</f>
        <v>20.858078899331623</v>
      </c>
    </row>
    <row r="15" spans="1:28" x14ac:dyDescent="0.35">
      <c r="A15">
        <v>1</v>
      </c>
      <c r="B15" t="s">
        <v>13</v>
      </c>
      <c r="C15">
        <v>0</v>
      </c>
      <c r="D15">
        <v>200</v>
      </c>
      <c r="F15">
        <v>0</v>
      </c>
      <c r="G15">
        <v>0</v>
      </c>
      <c r="H15">
        <v>0</v>
      </c>
      <c r="I15">
        <v>0</v>
      </c>
      <c r="K15">
        <v>84.850999999999999</v>
      </c>
      <c r="S15" s="2">
        <f>-R27*(ABS(S14)/(ABS(S18)+ABS(S14)+ABS(S10)))+S14</f>
        <v>9.1243936261849061</v>
      </c>
      <c r="T15" s="2">
        <f>-R29*(ABS(T14)/(ABS(T18)+ABS(T14)+ABS(T10)))+T14</f>
        <v>-174.96827211879784</v>
      </c>
      <c r="V15" t="s">
        <v>23</v>
      </c>
      <c r="W15" s="2">
        <f>W27+Z15*SIN(Y15*(PI()/200))</f>
        <v>20.329895936724277</v>
      </c>
      <c r="X15" s="2">
        <f>X27+Z15*COS(Y15*(PI()/200))</f>
        <v>37.24980636744165</v>
      </c>
      <c r="Y15">
        <f>C43-200-R47</f>
        <v>163.18386069046116</v>
      </c>
      <c r="Z15">
        <f>K43</f>
        <v>89.162999999999997</v>
      </c>
      <c r="AA15" t="s">
        <v>55</v>
      </c>
    </row>
    <row r="16" spans="1:28" x14ac:dyDescent="0.35">
      <c r="B16" t="s">
        <v>14</v>
      </c>
      <c r="C16">
        <v>102.83799999999999</v>
      </c>
      <c r="D16">
        <v>302.83999999999997</v>
      </c>
      <c r="F16">
        <f>C16-C15</f>
        <v>102.83799999999999</v>
      </c>
      <c r="G16">
        <f>D16-D15</f>
        <v>102.83999999999997</v>
      </c>
      <c r="H16">
        <f>102.839</f>
        <v>102.839</v>
      </c>
      <c r="I16">
        <v>102.84099999999999</v>
      </c>
      <c r="K16">
        <v>175.196</v>
      </c>
      <c r="P16" t="s">
        <v>3</v>
      </c>
      <c r="Q16">
        <f>400-102.838</f>
        <v>297.16200000000003</v>
      </c>
      <c r="V16" t="s">
        <v>22</v>
      </c>
      <c r="W16" s="2">
        <f>W27+Z16*SIN(Y16*(PI()/200))</f>
        <v>1.80982654993349</v>
      </c>
      <c r="X16" s="2">
        <f>X27+Z16*COS(Y16*(PI()/200))</f>
        <v>156.54738052360557</v>
      </c>
      <c r="Y16" s="2">
        <f>C42-200-R47</f>
        <v>37.886860690461141</v>
      </c>
      <c r="Z16">
        <f>K42</f>
        <v>53.9</v>
      </c>
      <c r="AA16" t="s">
        <v>55</v>
      </c>
      <c r="AB16" t="s">
        <v>32</v>
      </c>
    </row>
    <row r="17" spans="1:28" x14ac:dyDescent="0.35">
      <c r="V17" t="s">
        <v>42</v>
      </c>
      <c r="W17">
        <f>W28+Z17*SIN((Y17-(200-Q57))*(PI()/200))</f>
        <v>52.167580729885643</v>
      </c>
      <c r="X17">
        <f>X28+Z17*COS((Y17-(200-Q57))*(PI()/200))</f>
        <v>156.23652558006938</v>
      </c>
      <c r="Y17">
        <f>C50</f>
        <v>380.26100000000002</v>
      </c>
      <c r="Z17">
        <f>K50</f>
        <v>93.656000000000006</v>
      </c>
      <c r="AA17" t="s">
        <v>64</v>
      </c>
    </row>
    <row r="18" spans="1:28" x14ac:dyDescent="0.35">
      <c r="A18">
        <v>2</v>
      </c>
      <c r="B18" t="s">
        <v>13</v>
      </c>
      <c r="C18">
        <v>146.303</v>
      </c>
      <c r="D18">
        <v>346.30700000000002</v>
      </c>
      <c r="F18">
        <v>0</v>
      </c>
      <c r="G18">
        <v>0</v>
      </c>
      <c r="H18">
        <v>0</v>
      </c>
      <c r="Q18">
        <f>200+Q16+P31-400+Q14</f>
        <v>293.84800000000001</v>
      </c>
      <c r="R18">
        <v>84.852000000000004</v>
      </c>
      <c r="S18" s="2">
        <f>SIN(Q18*PI()/200)*R18</f>
        <v>-84.456117320532201</v>
      </c>
      <c r="T18" s="2">
        <f>COS(Q18*PI()/200)*R18</f>
        <v>-8.1869500511791387</v>
      </c>
      <c r="V18" t="s">
        <v>43</v>
      </c>
      <c r="W18">
        <f>W28+Z18*SIN((Y18-(200-Q57))*(PI()/200))</f>
        <v>54.592777905485022</v>
      </c>
      <c r="X18">
        <f>X28+Z18*COS((Y18-(200-Q57))*(PI()/200))</f>
        <v>35.629370882548109</v>
      </c>
      <c r="Y18">
        <f>C49</f>
        <v>251.05699999999999</v>
      </c>
      <c r="Z18">
        <f>K49</f>
        <v>45.133000000000003</v>
      </c>
      <c r="AA18" t="s">
        <v>64</v>
      </c>
    </row>
    <row r="19" spans="1:28" x14ac:dyDescent="0.35">
      <c r="B19" t="s">
        <v>14</v>
      </c>
      <c r="C19">
        <v>249.14599999999999</v>
      </c>
      <c r="D19">
        <v>49.15</v>
      </c>
      <c r="F19">
        <f>C19-C18</f>
        <v>102.84299999999999</v>
      </c>
      <c r="G19">
        <f>D19-D18+400</f>
        <v>102.84299999999996</v>
      </c>
      <c r="H19">
        <v>102.843</v>
      </c>
      <c r="S19" s="2">
        <f>-R27*(ABS(S18)/(ABS(S18)+ABS(S14)+ABS(S10)))+S18</f>
        <v>-84.442221719475583</v>
      </c>
      <c r="T19" s="3">
        <f>-R29*(ABS(T18)/(ABS(T18)+ABS(T14)+ABS(T10)))+T18</f>
        <v>-8.187322362131038</v>
      </c>
    </row>
    <row r="20" spans="1:28" x14ac:dyDescent="0.35">
      <c r="P20" t="s">
        <v>29</v>
      </c>
      <c r="Q20">
        <f>400-93.843</f>
        <v>306.15699999999998</v>
      </c>
      <c r="S20">
        <v>0</v>
      </c>
      <c r="T20">
        <v>0</v>
      </c>
      <c r="V20" t="s">
        <v>19</v>
      </c>
      <c r="W20" s="2">
        <f>W5+SIN(Y20*(PI()/200))*Z20</f>
        <v>9.0231831486844971</v>
      </c>
      <c r="X20" s="2">
        <f>X5+COS(Y20*(PI()/200))*Z20</f>
        <v>154.79155018371983</v>
      </c>
      <c r="Y20">
        <f>C36-200</f>
        <v>179.49900000000002</v>
      </c>
      <c r="Z20">
        <f>K36</f>
        <v>28.51</v>
      </c>
      <c r="AA20" t="s">
        <v>2</v>
      </c>
    </row>
    <row r="21" spans="1:28" x14ac:dyDescent="0.35">
      <c r="A21" s="1" t="s">
        <v>15</v>
      </c>
      <c r="V21" t="s">
        <v>44</v>
      </c>
      <c r="W21" s="2">
        <f>Q68</f>
        <v>14.792257221406842</v>
      </c>
      <c r="X21" s="2">
        <f>Q69</f>
        <v>33.737630773642707</v>
      </c>
      <c r="AB21" t="s">
        <v>32</v>
      </c>
    </row>
    <row r="22" spans="1:28" x14ac:dyDescent="0.35">
      <c r="A22">
        <v>1</v>
      </c>
      <c r="B22" t="s">
        <v>3</v>
      </c>
      <c r="C22">
        <v>0</v>
      </c>
      <c r="D22">
        <v>200.00299999999999</v>
      </c>
      <c r="F22">
        <v>0</v>
      </c>
      <c r="G22">
        <v>0</v>
      </c>
      <c r="H22">
        <v>0</v>
      </c>
      <c r="I22">
        <v>0</v>
      </c>
      <c r="K22">
        <v>175.19900000000001</v>
      </c>
      <c r="Q22">
        <f>200+Q20+P31-400+Q18</f>
        <v>400.00749999999999</v>
      </c>
      <c r="S22" s="2">
        <f>S18+S14+S10+S6</f>
        <v>-2.7786630367074849E-2</v>
      </c>
      <c r="T22" s="2">
        <f>T18+T14+T10+T6</f>
        <v>8.3888449548226163E-3</v>
      </c>
      <c r="V22" t="s">
        <v>17</v>
      </c>
      <c r="W22" s="2">
        <f>W6+SIN(Y22*(PI()/200))*Z22</f>
        <v>60.524104664456075</v>
      </c>
      <c r="X22" s="2">
        <f>X6+COS(Y22*(PI()/200))*Z22</f>
        <v>156.41769206716418</v>
      </c>
      <c r="Y22">
        <f>C28+I32-200+200-I23</f>
        <v>232.17199999999997</v>
      </c>
      <c r="Z22">
        <f>K28</f>
        <v>30.558</v>
      </c>
      <c r="AA22" t="s">
        <v>14</v>
      </c>
    </row>
    <row r="23" spans="1:28" x14ac:dyDescent="0.35">
      <c r="B23" t="s">
        <v>2</v>
      </c>
      <c r="C23">
        <v>102.209</v>
      </c>
      <c r="D23">
        <v>302.21300000000002</v>
      </c>
      <c r="F23">
        <f>C23-C22</f>
        <v>102.209</v>
      </c>
      <c r="G23">
        <f>D23-D22</f>
        <v>102.21000000000004</v>
      </c>
      <c r="H23">
        <v>102.21</v>
      </c>
      <c r="I23">
        <v>102.211</v>
      </c>
      <c r="K23">
        <v>75.316999999999993</v>
      </c>
      <c r="W23" s="2">
        <f>W28+Z23*SIN((Y23-(200-Q57))*(PI()/200))</f>
        <v>64.299146709762724</v>
      </c>
      <c r="X23" s="2">
        <f>X28+Z23*COS((Y23-(200-Q57))*(PI()/200))</f>
        <v>156.66054330729543</v>
      </c>
      <c r="Y23">
        <f>C51</f>
        <v>388.37</v>
      </c>
      <c r="Z23">
        <f>K51</f>
        <v>90.486999999999995</v>
      </c>
      <c r="AA23" t="s">
        <v>64</v>
      </c>
      <c r="AB23" t="s">
        <v>32</v>
      </c>
    </row>
    <row r="24" spans="1:28" x14ac:dyDescent="0.35">
      <c r="P24" t="s">
        <v>2</v>
      </c>
      <c r="V24" t="s">
        <v>45</v>
      </c>
      <c r="W24" s="2">
        <f>W28+Z24*SIN((Y24-(200-Q57))*(PI()/200))</f>
        <v>68.53873951631914</v>
      </c>
      <c r="X24" s="2">
        <f>X28+Z24*COS((Y24-(200-Q57))*(PI()/200))</f>
        <v>34.944172370829314</v>
      </c>
      <c r="Y24" s="2">
        <f>C48-(200-Q57)</f>
        <v>232.77181292197565</v>
      </c>
      <c r="Z24">
        <f>K48</f>
        <v>37.673000000000002</v>
      </c>
      <c r="AA24" t="s">
        <v>64</v>
      </c>
    </row>
    <row r="25" spans="1:28" x14ac:dyDescent="0.35">
      <c r="A25">
        <v>2</v>
      </c>
      <c r="B25" t="s">
        <v>3</v>
      </c>
      <c r="C25">
        <v>0</v>
      </c>
      <c r="D25">
        <v>200.00399999999999</v>
      </c>
      <c r="F25">
        <v>0</v>
      </c>
      <c r="G25">
        <v>0</v>
      </c>
      <c r="H25">
        <v>0</v>
      </c>
      <c r="V25" t="s">
        <v>1</v>
      </c>
      <c r="W25" s="2">
        <f>Z25*SIN(Y25*(PI()/200))</f>
        <v>-199.80074199664847</v>
      </c>
      <c r="X25" s="2">
        <f>Z25*COS(Y25*(PI()/200))</f>
        <v>-8.925441030487848</v>
      </c>
      <c r="Y25">
        <f>400-I6</f>
        <v>297.15800000000002</v>
      </c>
      <c r="Z25">
        <f>D5</f>
        <v>200</v>
      </c>
      <c r="AA25" t="s">
        <v>29</v>
      </c>
    </row>
    <row r="26" spans="1:28" x14ac:dyDescent="0.35">
      <c r="B26" t="s">
        <v>2</v>
      </c>
      <c r="C26">
        <v>102.21299999999999</v>
      </c>
      <c r="D26">
        <v>302.21499999999997</v>
      </c>
      <c r="F26">
        <f>C26-C25</f>
        <v>102.21299999999999</v>
      </c>
      <c r="G26">
        <f>D26-D25</f>
        <v>102.21099999999998</v>
      </c>
      <c r="H26">
        <v>102.212</v>
      </c>
      <c r="P26" t="s">
        <v>33</v>
      </c>
      <c r="R26" t="s">
        <v>37</v>
      </c>
      <c r="W26" s="2"/>
      <c r="X26" s="2"/>
    </row>
    <row r="27" spans="1:28" x14ac:dyDescent="0.35">
      <c r="B27" t="s">
        <v>16</v>
      </c>
      <c r="C27">
        <v>59.994</v>
      </c>
      <c r="K27">
        <v>19.510999999999999</v>
      </c>
      <c r="P27">
        <f>Q16+Q12+Q8+Q20</f>
        <v>1199.99</v>
      </c>
      <c r="R27" s="2">
        <f>S22</f>
        <v>-2.7786630367074849E-2</v>
      </c>
      <c r="V27" t="s">
        <v>53</v>
      </c>
      <c r="W27" s="2">
        <f>Q48</f>
        <v>-28.40719330236314</v>
      </c>
      <c r="X27" s="2">
        <f>Q49</f>
        <v>111.91396578480352</v>
      </c>
    </row>
    <row r="28" spans="1:28" x14ac:dyDescent="0.35">
      <c r="B28" t="s">
        <v>17</v>
      </c>
      <c r="C28">
        <v>35.500999999999998</v>
      </c>
      <c r="K28">
        <v>30.558</v>
      </c>
      <c r="P28" t="s">
        <v>34</v>
      </c>
      <c r="R28" t="s">
        <v>38</v>
      </c>
      <c r="V28" t="s">
        <v>54</v>
      </c>
      <c r="W28" s="2">
        <f>Q54</f>
        <v>85.352682393013666</v>
      </c>
      <c r="X28" s="2">
        <f>Q55</f>
        <v>68.656874041553564</v>
      </c>
    </row>
    <row r="29" spans="1:28" x14ac:dyDescent="0.35">
      <c r="P29">
        <f>1200-P27</f>
        <v>9.9999999999909051E-3</v>
      </c>
      <c r="R29" s="2">
        <f>T22</f>
        <v>8.3888449548226163E-3</v>
      </c>
    </row>
    <row r="30" spans="1:28" x14ac:dyDescent="0.35">
      <c r="A30" s="1" t="s">
        <v>18</v>
      </c>
      <c r="P30" t="s">
        <v>35</v>
      </c>
    </row>
    <row r="31" spans="1:28" x14ac:dyDescent="0.35">
      <c r="A31">
        <v>1</v>
      </c>
      <c r="B31" t="s">
        <v>13</v>
      </c>
      <c r="C31">
        <v>0</v>
      </c>
      <c r="D31">
        <v>200.00299999999999</v>
      </c>
      <c r="F31">
        <v>0</v>
      </c>
      <c r="G31">
        <v>0</v>
      </c>
      <c r="H31">
        <v>0</v>
      </c>
      <c r="I31">
        <v>0</v>
      </c>
      <c r="K31">
        <v>181.839</v>
      </c>
      <c r="P31">
        <f>P29/4</f>
        <v>2.4999999999977263E-3</v>
      </c>
    </row>
    <row r="32" spans="1:28" x14ac:dyDescent="0.35">
      <c r="B32" t="s">
        <v>14</v>
      </c>
      <c r="C32">
        <v>298.88099999999997</v>
      </c>
      <c r="D32">
        <v>98.885000000000005</v>
      </c>
      <c r="F32">
        <f>C32-C31</f>
        <v>298.88099999999997</v>
      </c>
      <c r="G32">
        <f>D32-D31+400</f>
        <v>298.88200000000001</v>
      </c>
      <c r="H32">
        <v>298.88200000000001</v>
      </c>
      <c r="I32">
        <v>298.88200000000001</v>
      </c>
      <c r="K32">
        <v>75.316999999999993</v>
      </c>
    </row>
    <row r="34" spans="1:18" x14ac:dyDescent="0.35">
      <c r="A34">
        <v>2</v>
      </c>
      <c r="B34" t="s">
        <v>13</v>
      </c>
      <c r="C34">
        <v>0</v>
      </c>
      <c r="D34">
        <v>200.00399999999999</v>
      </c>
      <c r="F34">
        <v>0</v>
      </c>
      <c r="G34">
        <v>0</v>
      </c>
      <c r="H34">
        <v>0</v>
      </c>
      <c r="O34" t="s">
        <v>56</v>
      </c>
    </row>
    <row r="35" spans="1:18" x14ac:dyDescent="0.35">
      <c r="B35" t="s">
        <v>14</v>
      </c>
      <c r="C35">
        <v>298.88099999999997</v>
      </c>
      <c r="D35">
        <v>98.885000000000005</v>
      </c>
      <c r="F35">
        <f>C35-C34</f>
        <v>298.88099999999997</v>
      </c>
      <c r="G35">
        <f>D35-D34+400</f>
        <v>298.88100000000003</v>
      </c>
      <c r="H35">
        <v>298.88099999999997</v>
      </c>
      <c r="P35" t="s">
        <v>57</v>
      </c>
      <c r="Q35">
        <v>0</v>
      </c>
    </row>
    <row r="36" spans="1:18" x14ac:dyDescent="0.35">
      <c r="B36" t="s">
        <v>19</v>
      </c>
      <c r="C36">
        <v>379.49900000000002</v>
      </c>
      <c r="K36">
        <v>28.51</v>
      </c>
      <c r="P36" t="s">
        <v>58</v>
      </c>
      <c r="Q36">
        <f>Q35+200+I32-400</f>
        <v>98.882000000000005</v>
      </c>
    </row>
    <row r="37" spans="1:18" x14ac:dyDescent="0.35">
      <c r="B37" t="s">
        <v>20</v>
      </c>
      <c r="C37">
        <v>361.721</v>
      </c>
      <c r="K37">
        <v>15.316000000000001</v>
      </c>
      <c r="P37" t="s">
        <v>59</v>
      </c>
      <c r="Q37">
        <f>Q36+200+(400-I23)-400</f>
        <v>196.67100000000005</v>
      </c>
    </row>
    <row r="38" spans="1:18" x14ac:dyDescent="0.35">
      <c r="P38" t="s">
        <v>60</v>
      </c>
      <c r="Q38">
        <f>Q37+200+(400-I16)-400</f>
        <v>293.83000000000004</v>
      </c>
    </row>
    <row r="39" spans="1:18" x14ac:dyDescent="0.35">
      <c r="A39" s="1" t="s">
        <v>21</v>
      </c>
    </row>
    <row r="40" spans="1:18" x14ac:dyDescent="0.35">
      <c r="B40" t="s">
        <v>13</v>
      </c>
      <c r="C40">
        <v>0</v>
      </c>
      <c r="K40">
        <v>115.46299999999999</v>
      </c>
    </row>
    <row r="41" spans="1:18" x14ac:dyDescent="0.35">
      <c r="B41" t="s">
        <v>2</v>
      </c>
      <c r="C41">
        <v>221.26</v>
      </c>
      <c r="K41">
        <v>68.772999999999996</v>
      </c>
    </row>
    <row r="42" spans="1:18" x14ac:dyDescent="0.35">
      <c r="B42" t="s">
        <v>22</v>
      </c>
      <c r="C42">
        <v>253.71199999999999</v>
      </c>
      <c r="K42">
        <v>53.9</v>
      </c>
    </row>
    <row r="43" spans="1:18" x14ac:dyDescent="0.35">
      <c r="B43" t="s">
        <v>23</v>
      </c>
      <c r="C43">
        <v>379.00900000000001</v>
      </c>
      <c r="K43">
        <v>89.162999999999997</v>
      </c>
    </row>
    <row r="44" spans="1:18" x14ac:dyDescent="0.35">
      <c r="P44" s="1" t="s">
        <v>49</v>
      </c>
    </row>
    <row r="45" spans="1:18" x14ac:dyDescent="0.35">
      <c r="A45" s="1" t="s">
        <v>24</v>
      </c>
      <c r="P45" t="s">
        <v>50</v>
      </c>
    </row>
    <row r="46" spans="1:18" x14ac:dyDescent="0.35">
      <c r="B46" t="s">
        <v>14</v>
      </c>
      <c r="C46">
        <v>0</v>
      </c>
      <c r="K46">
        <v>114.73699999999999</v>
      </c>
      <c r="P46" t="s">
        <v>51</v>
      </c>
      <c r="Q46" s="2">
        <f>T6</f>
        <v>181.83600000000001</v>
      </c>
      <c r="R46" s="2"/>
    </row>
    <row r="47" spans="1:18" x14ac:dyDescent="0.35">
      <c r="B47" t="s">
        <v>3</v>
      </c>
      <c r="C47">
        <v>201.81</v>
      </c>
      <c r="K47">
        <v>60.475999999999999</v>
      </c>
      <c r="P47" t="s">
        <v>52</v>
      </c>
      <c r="Q47" s="2">
        <f>(SIN((400-C41)*(PI()/200))*K41)/Q46</f>
        <v>0.12397059244175258</v>
      </c>
      <c r="R47" s="2">
        <f>ASIN(Q47)*(400/PI())</f>
        <v>15.825139309538846</v>
      </c>
    </row>
    <row r="48" spans="1:18" x14ac:dyDescent="0.35">
      <c r="B48" t="s">
        <v>25</v>
      </c>
      <c r="C48">
        <v>236.09100000000001</v>
      </c>
      <c r="K48">
        <v>37.673000000000002</v>
      </c>
      <c r="P48" t="s">
        <v>31</v>
      </c>
      <c r="Q48" s="2">
        <f>S4+K40*SIN(-R47*(PI()/200))</f>
        <v>-28.40719330236314</v>
      </c>
      <c r="R48" s="2"/>
    </row>
    <row r="49" spans="2:19" x14ac:dyDescent="0.35">
      <c r="B49" t="s">
        <v>26</v>
      </c>
      <c r="C49">
        <v>251.05699999999999</v>
      </c>
      <c r="K49">
        <v>45.133000000000003</v>
      </c>
      <c r="P49" t="s">
        <v>32</v>
      </c>
      <c r="Q49" s="2">
        <f>S4+K40*COS(-R47*(PI()/200))</f>
        <v>111.91396578480352</v>
      </c>
      <c r="R49" s="2"/>
    </row>
    <row r="50" spans="2:19" x14ac:dyDescent="0.35">
      <c r="B50" t="s">
        <v>27</v>
      </c>
      <c r="C50">
        <v>380.26100000000002</v>
      </c>
      <c r="K50">
        <v>93.656000000000006</v>
      </c>
      <c r="Q50" s="2"/>
      <c r="R50" s="2"/>
    </row>
    <row r="51" spans="2:19" x14ac:dyDescent="0.35">
      <c r="B51" t="s">
        <v>28</v>
      </c>
      <c r="C51">
        <v>388.37</v>
      </c>
      <c r="D51" t="s">
        <v>68</v>
      </c>
      <c r="K51">
        <v>90.486999999999995</v>
      </c>
      <c r="P51" t="s">
        <v>61</v>
      </c>
      <c r="Q51" s="2"/>
      <c r="R51" s="2"/>
    </row>
    <row r="52" spans="2:19" x14ac:dyDescent="0.35">
      <c r="P52" t="s">
        <v>62</v>
      </c>
      <c r="Q52" s="2">
        <f>K22</f>
        <v>175.19900000000001</v>
      </c>
      <c r="R52" s="2"/>
    </row>
    <row r="53" spans="2:19" x14ac:dyDescent="0.35">
      <c r="P53" t="s">
        <v>65</v>
      </c>
      <c r="Q53" s="2">
        <f>(SIN((400-C47)*(PI()/200))*K46)/Q52</f>
        <v>1.8617090403772883E-2</v>
      </c>
      <c r="R53" s="2">
        <f>ASIN(Q53)*(400/PI())</f>
        <v>2.3705385209991583</v>
      </c>
    </row>
    <row r="54" spans="2:19" x14ac:dyDescent="0.35">
      <c r="P54" t="s">
        <v>31</v>
      </c>
      <c r="Q54" s="2">
        <f>W7+K47*SIN(((200-Q37)-R53)*(PI()/200))</f>
        <v>85.352682393013666</v>
      </c>
      <c r="R54" s="2"/>
      <c r="S54" t="s">
        <v>63</v>
      </c>
    </row>
    <row r="55" spans="2:19" x14ac:dyDescent="0.35">
      <c r="P55" t="s">
        <v>32</v>
      </c>
      <c r="Q55" s="2">
        <f>X7+K47*COS(((200-Q37)-R53)*(PI()/200))</f>
        <v>68.656874041553564</v>
      </c>
      <c r="R55" s="2"/>
    </row>
    <row r="56" spans="2:19" x14ac:dyDescent="0.35">
      <c r="P56" t="s">
        <v>66</v>
      </c>
      <c r="Q56" s="2">
        <f>(SIN((400-C47)*(PI()/200))*K47)/Q52</f>
        <v>9.8127644897336424E-3</v>
      </c>
      <c r="R56" s="2">
        <f>ASIN(Q56)</f>
        <v>9.8129219756405497E-3</v>
      </c>
    </row>
    <row r="57" spans="2:19" x14ac:dyDescent="0.35">
      <c r="P57" t="s">
        <v>67</v>
      </c>
      <c r="Q57" s="2">
        <f>Q36+200+(400-I23)+R56-400</f>
        <v>196.68081292197564</v>
      </c>
      <c r="R57" s="2"/>
    </row>
    <row r="60" spans="2:19" x14ac:dyDescent="0.35">
      <c r="P60" s="1" t="s">
        <v>69</v>
      </c>
    </row>
    <row r="62" spans="2:19" x14ac:dyDescent="0.35">
      <c r="P62" t="s">
        <v>44</v>
      </c>
      <c r="Q62" t="s">
        <v>31</v>
      </c>
      <c r="R62" t="s">
        <v>32</v>
      </c>
      <c r="S62" t="s">
        <v>73</v>
      </c>
    </row>
    <row r="63" spans="2:19" x14ac:dyDescent="0.35">
      <c r="P63" t="s">
        <v>70</v>
      </c>
      <c r="Q63">
        <f>W11</f>
        <v>13.088619263575319</v>
      </c>
      <c r="R63" s="2">
        <f>X11</f>
        <v>19.589835266616333</v>
      </c>
      <c r="S63">
        <v>14.25</v>
      </c>
    </row>
    <row r="64" spans="2:19" x14ac:dyDescent="0.35">
      <c r="P64" t="s">
        <v>71</v>
      </c>
      <c r="Q64" s="2">
        <f>W15</f>
        <v>20.329895936724277</v>
      </c>
      <c r="R64" s="2">
        <f>X15</f>
        <v>37.24980636744165</v>
      </c>
      <c r="S64">
        <v>12.22</v>
      </c>
    </row>
    <row r="65" spans="16:20" x14ac:dyDescent="0.35">
      <c r="P65" t="s">
        <v>72</v>
      </c>
      <c r="Q65">
        <f>ATAN(S64/S63)*(200/PI())</f>
        <v>45.12726318413641</v>
      </c>
      <c r="R65" t="s">
        <v>74</v>
      </c>
    </row>
    <row r="66" spans="16:20" x14ac:dyDescent="0.35">
      <c r="P66" t="s">
        <v>75</v>
      </c>
      <c r="Q66">
        <f>Y11</f>
        <v>37.498000000000005</v>
      </c>
      <c r="R66" t="s">
        <v>74</v>
      </c>
    </row>
    <row r="67" spans="16:20" x14ac:dyDescent="0.35">
      <c r="P67" t="s">
        <v>76</v>
      </c>
      <c r="Q67">
        <f>Q65-Q66</f>
        <v>7.6292631841364056</v>
      </c>
    </row>
    <row r="68" spans="16:20" x14ac:dyDescent="0.35">
      <c r="P68" t="s">
        <v>77</v>
      </c>
      <c r="Q68">
        <f>Q63+S63*SIN(Q67*(PI()/200))</f>
        <v>14.792257221406842</v>
      </c>
    </row>
    <row r="69" spans="16:20" x14ac:dyDescent="0.35">
      <c r="P69" t="s">
        <v>78</v>
      </c>
      <c r="Q69">
        <f>R63+S63*COS(Q67*(PI()/200))</f>
        <v>33.737630773642707</v>
      </c>
    </row>
    <row r="71" spans="16:20" x14ac:dyDescent="0.35">
      <c r="P71" t="s">
        <v>41</v>
      </c>
      <c r="Q71" t="s">
        <v>31</v>
      </c>
      <c r="R71" t="s">
        <v>32</v>
      </c>
      <c r="S71" t="s">
        <v>81</v>
      </c>
    </row>
    <row r="72" spans="16:20" x14ac:dyDescent="0.35">
      <c r="P72" t="s">
        <v>79</v>
      </c>
      <c r="Q72" s="2">
        <f>W24</f>
        <v>68.53873951631914</v>
      </c>
      <c r="R72" s="2">
        <f>X24</f>
        <v>34.944172370829314</v>
      </c>
      <c r="S72">
        <v>14.35</v>
      </c>
    </row>
    <row r="73" spans="16:20" x14ac:dyDescent="0.35">
      <c r="P73" t="s">
        <v>80</v>
      </c>
      <c r="Q73">
        <f>W18</f>
        <v>54.592777905485022</v>
      </c>
      <c r="R73">
        <f>X18</f>
        <v>35.629370882548109</v>
      </c>
      <c r="S73" t="s">
        <v>83</v>
      </c>
      <c r="T73">
        <v>12.17</v>
      </c>
    </row>
    <row r="74" spans="16:20" x14ac:dyDescent="0.35">
      <c r="P74" t="s">
        <v>82</v>
      </c>
      <c r="Q74">
        <f>ATAN(S72/T73)*(200/PI())</f>
        <v>55.221409395296327</v>
      </c>
    </row>
    <row r="75" spans="16:20" x14ac:dyDescent="0.35">
      <c r="P75" t="s">
        <v>84</v>
      </c>
      <c r="Q75">
        <f>Y24</f>
        <v>232.77181292197565</v>
      </c>
    </row>
    <row r="76" spans="16:20" x14ac:dyDescent="0.35">
      <c r="P76" t="s">
        <v>85</v>
      </c>
      <c r="Q76">
        <f>Q75-(90/2)</f>
        <v>187.77181292197565</v>
      </c>
      <c r="R76" t="s">
        <v>86</v>
      </c>
    </row>
    <row r="77" spans="16:20" x14ac:dyDescent="0.35">
      <c r="P77" t="s">
        <v>87</v>
      </c>
      <c r="Q77">
        <f>Q72+S72*SIN(Q76*(PI()/200))</f>
        <v>71.2781684188881</v>
      </c>
    </row>
    <row r="78" spans="16:20" x14ac:dyDescent="0.35">
      <c r="P78" t="s">
        <v>88</v>
      </c>
      <c r="Q78">
        <f>R72+S72*COS(Q76*(PI()/200))</f>
        <v>20.858078899331623</v>
      </c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Birgit</dc:creator>
  <cp:lastModifiedBy>Birgit</cp:lastModifiedBy>
  <dcterms:created xsi:type="dcterms:W3CDTF">2020-11-29T14:07:58Z</dcterms:created>
  <dcterms:modified xsi:type="dcterms:W3CDTF">2020-12-01T10:40:34Z</dcterms:modified>
</cp:coreProperties>
</file>