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geo_inf\GeodäsieGrundlagen1\uebung1\"/>
    </mc:Choice>
  </mc:AlternateContent>
  <xr:revisionPtr revIDLastSave="0" documentId="13_ncr:1_{609E6A7A-8E70-4BDB-A581-C4D78CC37679}" xr6:coauthVersionLast="45" xr6:coauthVersionMax="45" xr10:uidLastSave="{00000000-0000-0000-0000-000000000000}"/>
  <bookViews>
    <workbookView xWindow="-110" yWindow="-110" windowWidth="19420" windowHeight="10420" xr2:uid="{322649BC-9BD6-49F6-A3FA-A1E1C677AF4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3" i="1" l="1"/>
  <c r="Y23" i="1"/>
  <c r="Z17" i="1"/>
  <c r="Y17" i="1"/>
  <c r="Z18" i="1"/>
  <c r="Y18" i="1"/>
  <c r="Z24" i="1"/>
  <c r="Y24" i="1"/>
  <c r="W16" i="1"/>
  <c r="Q53" i="1"/>
  <c r="R53" i="1" s="1"/>
  <c r="Q52" i="1"/>
  <c r="Q36" i="1"/>
  <c r="Q37" i="1" s="1"/>
  <c r="Q38" i="1" s="1"/>
  <c r="Z16" i="1"/>
  <c r="Z15" i="1"/>
  <c r="Y22" i="1" l="1"/>
  <c r="Z22" i="1"/>
  <c r="Y13" i="1"/>
  <c r="Y20" i="1"/>
  <c r="Z20" i="1"/>
  <c r="Y12" i="1"/>
  <c r="Z13" i="1"/>
  <c r="Z12" i="1"/>
  <c r="Y25" i="1"/>
  <c r="Z25" i="1"/>
  <c r="Z11" i="1"/>
  <c r="Y11" i="1"/>
  <c r="W5" i="1"/>
  <c r="Q12" i="1"/>
  <c r="T6" i="1"/>
  <c r="X5" i="1" s="1"/>
  <c r="X6" i="1" s="1"/>
  <c r="Q20" i="1"/>
  <c r="Q16" i="1"/>
  <c r="G35" i="1"/>
  <c r="F35" i="1"/>
  <c r="G32" i="1"/>
  <c r="F32" i="1"/>
  <c r="G26" i="1"/>
  <c r="F26" i="1"/>
  <c r="G23" i="1"/>
  <c r="F23" i="1"/>
  <c r="G19" i="1"/>
  <c r="F19" i="1"/>
  <c r="H16" i="1"/>
  <c r="G16" i="1"/>
  <c r="F16" i="1"/>
  <c r="I7" i="1"/>
  <c r="G7" i="1"/>
  <c r="G6" i="1"/>
  <c r="F7" i="1"/>
  <c r="F6" i="1"/>
  <c r="G11" i="1"/>
  <c r="F11" i="1"/>
  <c r="G10" i="1"/>
  <c r="F10" i="1"/>
  <c r="W20" i="1" l="1"/>
  <c r="X22" i="1"/>
  <c r="X11" i="1"/>
  <c r="W12" i="1"/>
  <c r="X13" i="1"/>
  <c r="X12" i="1"/>
  <c r="W25" i="1"/>
  <c r="X20" i="1"/>
  <c r="W11" i="1"/>
  <c r="Q46" i="1"/>
  <c r="Q47" i="1" s="1"/>
  <c r="R47" i="1" s="1"/>
  <c r="X25" i="1"/>
  <c r="P27" i="1"/>
  <c r="P29" i="1" s="1"/>
  <c r="Q49" i="1" l="1"/>
  <c r="X27" i="1" s="1"/>
  <c r="Q48" i="1"/>
  <c r="W27" i="1" s="1"/>
  <c r="Y16" i="1"/>
  <c r="Y15" i="1"/>
  <c r="P31" i="1"/>
  <c r="W15" i="1" l="1"/>
  <c r="X16" i="1"/>
  <c r="X15" i="1"/>
  <c r="Q10" i="1"/>
  <c r="Q14" i="1" s="1"/>
  <c r="Q18" i="1" s="1"/>
  <c r="S18" i="1" s="1"/>
  <c r="S10" i="1" l="1"/>
  <c r="T10" i="1"/>
  <c r="T14" i="1"/>
  <c r="S14" i="1"/>
  <c r="S22" i="1" l="1"/>
  <c r="R27" i="1" s="1"/>
  <c r="T18" i="1"/>
  <c r="T22" i="1" s="1"/>
  <c r="R29" i="1" s="1"/>
  <c r="Q22" i="1"/>
  <c r="T15" i="1" l="1"/>
  <c r="X7" i="1" s="1"/>
  <c r="Q55" i="1" s="1"/>
  <c r="X28" i="1" s="1"/>
  <c r="T19" i="1"/>
  <c r="S19" i="1"/>
  <c r="S15" i="1"/>
  <c r="S11" i="1"/>
  <c r="W6" i="1" s="1"/>
  <c r="W7" i="1" l="1"/>
  <c r="W22" i="1"/>
  <c r="W13" i="1"/>
  <c r="X9" i="1"/>
  <c r="W9" i="1" l="1"/>
  <c r="Q54" i="1"/>
  <c r="W28" i="1" s="1"/>
</calcChain>
</file>

<file path=xl/sharedStrings.xml><?xml version="1.0" encoding="utf-8"?>
<sst xmlns="http://schemas.openxmlformats.org/spreadsheetml/2006/main" count="118" uniqueCount="67">
  <si>
    <t>Standpunkt 3021A</t>
  </si>
  <si>
    <t>Obelisk</t>
  </si>
  <si>
    <t>P1</t>
  </si>
  <si>
    <t>P3</t>
  </si>
  <si>
    <t>A</t>
  </si>
  <si>
    <t>Lage 1</t>
  </si>
  <si>
    <t>Lage2</t>
  </si>
  <si>
    <t>Abl 2 red.</t>
  </si>
  <si>
    <t>Abl 1 red.</t>
  </si>
  <si>
    <t>Satzmittel</t>
  </si>
  <si>
    <t>Gesamtmittel</t>
  </si>
  <si>
    <t>Entfernung</t>
  </si>
  <si>
    <t>Standpunkt P3</t>
  </si>
  <si>
    <t>3021A</t>
  </si>
  <si>
    <t>P2</t>
  </si>
  <si>
    <t>Standpunkt P2</t>
  </si>
  <si>
    <t>C</t>
  </si>
  <si>
    <t>L</t>
  </si>
  <si>
    <t>Standpunkt P1</t>
  </si>
  <si>
    <t>J</t>
  </si>
  <si>
    <t>B</t>
  </si>
  <si>
    <t>Freie Stationierung Süd</t>
  </si>
  <si>
    <t>F</t>
  </si>
  <si>
    <t>E</t>
  </si>
  <si>
    <t>Freie Stationierung Nord</t>
  </si>
  <si>
    <t>PM</t>
  </si>
  <si>
    <t>PH</t>
  </si>
  <si>
    <t>PG</t>
  </si>
  <si>
    <t>PL</t>
  </si>
  <si>
    <t>P3021A</t>
  </si>
  <si>
    <t>s</t>
  </si>
  <si>
    <t>y</t>
  </si>
  <si>
    <t>x</t>
  </si>
  <si>
    <t>Winkelprobe:</t>
  </si>
  <si>
    <t>Abweichungsfehler:</t>
  </si>
  <si>
    <t>Abweichung pro Winkel:</t>
  </si>
  <si>
    <t xml:space="preserve">Winkel </t>
  </si>
  <si>
    <t>Wiederspruch y:</t>
  </si>
  <si>
    <t>Wiederspruch x:</t>
  </si>
  <si>
    <t>Berechnung Polygonzüge im örtlichen Koordinatensystem</t>
  </si>
  <si>
    <t>Koordinaten</t>
  </si>
  <si>
    <t>D</t>
  </si>
  <si>
    <t>G</t>
  </si>
  <si>
    <t>H</t>
  </si>
  <si>
    <t>K</t>
  </si>
  <si>
    <t>M</t>
  </si>
  <si>
    <t>winkel</t>
  </si>
  <si>
    <t>strecke</t>
  </si>
  <si>
    <t>Punkt</t>
  </si>
  <si>
    <t>Freie Stationierung</t>
  </si>
  <si>
    <t>Punkt 1</t>
  </si>
  <si>
    <t>Strecke P1-P2</t>
  </si>
  <si>
    <t>alpha</t>
  </si>
  <si>
    <t>Stationierpunkt1</t>
  </si>
  <si>
    <t>Stationierpunkt2</t>
  </si>
  <si>
    <t>FSP1</t>
  </si>
  <si>
    <t>Richtungswinkel</t>
  </si>
  <si>
    <t>t(0,1)</t>
  </si>
  <si>
    <t>t(1,2)</t>
  </si>
  <si>
    <t>t(2,3)</t>
  </si>
  <si>
    <t>t(3,0)</t>
  </si>
  <si>
    <t>Punkt 2</t>
  </si>
  <si>
    <t>Strecke P2-P3</t>
  </si>
  <si>
    <t>beta</t>
  </si>
  <si>
    <t>polares Anhängen über Punkt P3</t>
  </si>
  <si>
    <t>FSP2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</si>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</sst>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EB9C-B317-464D-B407-444709E96AF5}">
  <dimension ref="A1:AA55"/>
  <sheetViews>
    <sheetView tabSelected="1" topLeftCell="B35" zoomScale="85" zoomScaleNormal="85" workbookViewId="0">
      <selection activeCell="N49" sqref="N49"/>
    </sheetView>
  </sheetViews>
  <sheetFormatPr baseColWidth="10" defaultRowHeight="14.5" x14ac:dyDescent="0.35"/>
  <cols>
    <col min="1" max="1" width="21.54296875" customWidth="1"/>
    <col min="9" max="9" width="13.6328125" customWidth="1"/>
    <col min="16" max="16" width="22.54296875" customWidth="1"/>
    <col min="19" max="19" width="11.90625" bestFit="1" customWidth="1"/>
    <col min="20" max="20" width="16.1796875" bestFit="1" customWidth="1"/>
    <col min="22" max="22" width="17" customWidth="1"/>
  </cols>
  <sheetData>
    <row r="1" spans="1:27" x14ac:dyDescent="0.35">
      <c r="N1" s="1" t="s">
        <v>39</v>
      </c>
    </row>
    <row r="2" spans="1:27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N2" s="1"/>
      <c r="P2" s="1"/>
      <c r="Q2" s="1" t="s">
        <v>36</v>
      </c>
      <c r="R2" s="1" t="s">
        <v>30</v>
      </c>
      <c r="S2" s="1" t="s">
        <v>31</v>
      </c>
      <c r="T2" s="1" t="s">
        <v>32</v>
      </c>
      <c r="V2" s="1" t="s">
        <v>40</v>
      </c>
    </row>
    <row r="3" spans="1:27" x14ac:dyDescent="0.35">
      <c r="A3" s="1" t="s">
        <v>0</v>
      </c>
      <c r="C3" s="1" t="s">
        <v>5</v>
      </c>
      <c r="D3" s="1" t="s">
        <v>6</v>
      </c>
      <c r="W3" t="s">
        <v>31</v>
      </c>
      <c r="X3" t="s">
        <v>32</v>
      </c>
    </row>
    <row r="4" spans="1:27" x14ac:dyDescent="0.35">
      <c r="P4" t="s">
        <v>29</v>
      </c>
      <c r="Q4">
        <v>0</v>
      </c>
      <c r="S4">
        <v>0</v>
      </c>
      <c r="T4">
        <v>0</v>
      </c>
      <c r="V4" t="s">
        <v>29</v>
      </c>
      <c r="W4">
        <v>0</v>
      </c>
      <c r="X4">
        <v>0</v>
      </c>
    </row>
    <row r="5" spans="1:27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V5" t="s">
        <v>2</v>
      </c>
      <c r="W5">
        <f>W4+S6</f>
        <v>0</v>
      </c>
      <c r="X5">
        <f>X4+T6</f>
        <v>181.83600000000001</v>
      </c>
    </row>
    <row r="6" spans="1:27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R6">
        <v>181.83600000000001</v>
      </c>
      <c r="S6">
        <v>0</v>
      </c>
      <c r="T6">
        <f>R6</f>
        <v>181.83600000000001</v>
      </c>
      <c r="V6" t="s">
        <v>14</v>
      </c>
      <c r="W6" s="2">
        <f>W5+S11</f>
        <v>75.317828093290672</v>
      </c>
      <c r="X6">
        <f>X5+T11</f>
        <v>183.15600000000001</v>
      </c>
    </row>
    <row r="7" spans="1:27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V7" t="s">
        <v>3</v>
      </c>
      <c r="W7" s="2">
        <f>W6+S15</f>
        <v>84.442221719475583</v>
      </c>
      <c r="X7" s="2">
        <f>X6+T15</f>
        <v>8.1877278812021643</v>
      </c>
    </row>
    <row r="8" spans="1:27" x14ac:dyDescent="0.35">
      <c r="B8" t="s">
        <v>4</v>
      </c>
      <c r="C8">
        <v>140.34</v>
      </c>
      <c r="K8">
        <v>23.56</v>
      </c>
      <c r="P8" t="s">
        <v>2</v>
      </c>
      <c r="Q8">
        <v>298.88200000000001</v>
      </c>
    </row>
    <row r="9" spans="1:27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V9" t="s">
        <v>29</v>
      </c>
      <c r="W9" s="2">
        <f>W7+S19</f>
        <v>0</v>
      </c>
      <c r="X9" s="2">
        <f>X7+T19</f>
        <v>4.0551907112629237E-4</v>
      </c>
    </row>
    <row r="10" spans="1:27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Q10">
        <f>200+Q8+P31-400+Q4</f>
        <v>98.884500000000003</v>
      </c>
      <c r="R10">
        <v>75.316999999999993</v>
      </c>
      <c r="S10" s="2">
        <f>SIN(Q10*PI()/200)*R10</f>
        <v>75.305438057401759</v>
      </c>
      <c r="T10" s="2">
        <f>COS(Q10*PI()/200)*R10</f>
        <v>1.3196544937318881</v>
      </c>
      <c r="Y10" t="s">
        <v>46</v>
      </c>
      <c r="Z10" t="s">
        <v>47</v>
      </c>
      <c r="AA10" t="s">
        <v>48</v>
      </c>
    </row>
    <row r="11" spans="1:27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S11" s="2">
        <f>-R27*(ABS(S10)/(ABS(S18)+ABS(S14)+ABS(S10)))+S10</f>
        <v>75.317828093290672</v>
      </c>
      <c r="T11" s="4">
        <v>1.32</v>
      </c>
      <c r="V11" t="s">
        <v>4</v>
      </c>
      <c r="W11">
        <f>Z11*SIN(Y11*(PI()/200))</f>
        <v>13.088619263575319</v>
      </c>
      <c r="X11">
        <f>Z11*COS(Y11*(PI()/200))</f>
        <v>19.589835266616333</v>
      </c>
      <c r="Y11">
        <f>C8-I6</f>
        <v>37.498000000000005</v>
      </c>
      <c r="Z11">
        <f>K8</f>
        <v>23.56</v>
      </c>
      <c r="AA11" t="s">
        <v>29</v>
      </c>
    </row>
    <row r="12" spans="1:27" x14ac:dyDescent="0.35">
      <c r="P12" t="s">
        <v>14</v>
      </c>
      <c r="Q12">
        <f>400-102.211</f>
        <v>297.78899999999999</v>
      </c>
      <c r="V12" t="s">
        <v>20</v>
      </c>
      <c r="W12">
        <f>W5+SIN(Y12*(PI()/200))*Z12</f>
        <v>8.664302048364835</v>
      </c>
      <c r="X12">
        <f>X5+COS(Y12*(PI()/200))*Z12</f>
        <v>169.20628400894537</v>
      </c>
      <c r="Y12">
        <f>C37-200</f>
        <v>161.721</v>
      </c>
      <c r="Z12">
        <f>K37</f>
        <v>15.316000000000001</v>
      </c>
      <c r="AA12" t="s">
        <v>2</v>
      </c>
    </row>
    <row r="13" spans="1:27" x14ac:dyDescent="0.35">
      <c r="A13" s="1" t="s">
        <v>12</v>
      </c>
      <c r="V13" t="s">
        <v>16</v>
      </c>
      <c r="W13">
        <f>W6+SIN(Y13*(PI()/200))*Z13</f>
        <v>60.155254699332744</v>
      </c>
      <c r="X13">
        <f>X6+COS(Y13*(PI()/200))*Z13</f>
        <v>170.87693289077549</v>
      </c>
      <c r="Y13">
        <f>C27+I32-200+200-I23</f>
        <v>256.66499999999996</v>
      </c>
      <c r="Z13">
        <f>K27</f>
        <v>19.510999999999999</v>
      </c>
      <c r="AA13" t="s">
        <v>14</v>
      </c>
    </row>
    <row r="14" spans="1:27" x14ac:dyDescent="0.35">
      <c r="Q14">
        <f>200+Q12+P29-400+Q10</f>
        <v>196.68349999999998</v>
      </c>
      <c r="R14">
        <v>175.19800000000001</v>
      </c>
      <c r="S14" s="2">
        <f>SIN(Q14*PI()/200)*R14</f>
        <v>9.1228926327633619</v>
      </c>
      <c r="T14" s="2">
        <f>COS(Q14*PI()/200)*R14</f>
        <v>-174.96031559759794</v>
      </c>
      <c r="V14" t="s">
        <v>41</v>
      </c>
      <c r="AA14" t="s">
        <v>65</v>
      </c>
    </row>
    <row r="15" spans="1:27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S15" s="2">
        <f>-R27*(ABS(S14)/(ABS(S18)+ABS(S14)+ABS(S10)))+S14</f>
        <v>9.1243936261849061</v>
      </c>
      <c r="T15" s="2">
        <f>-R29*(ABS(T14)/(ABS(T18)+ABS(T14)+ABS(T10)))+T14</f>
        <v>-174.96827211879784</v>
      </c>
      <c r="V15" t="s">
        <v>23</v>
      </c>
      <c r="W15">
        <f>W27+Z15*SIN(Y15*(PI()/200))</f>
        <v>20.329895936724277</v>
      </c>
      <c r="X15">
        <f>X27+Z15*COS(Y15*(PI()/200))</f>
        <v>37.24980636744165</v>
      </c>
      <c r="Y15">
        <f>C43-200-R47</f>
        <v>163.18386069046116</v>
      </c>
      <c r="Z15">
        <f>K43</f>
        <v>89.162999999999997</v>
      </c>
      <c r="AA15" t="s">
        <v>55</v>
      </c>
    </row>
    <row r="16" spans="1:27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P16" t="s">
        <v>3</v>
      </c>
      <c r="Q16">
        <f>400-102.838</f>
        <v>297.16200000000003</v>
      </c>
      <c r="V16" t="s">
        <v>22</v>
      </c>
      <c r="W16">
        <f>W27+Z16*SIN(Y16*(PI()/200))</f>
        <v>1.80982654993349</v>
      </c>
      <c r="X16">
        <f>X27+Z16*COS(Y16*(PI()/200))</f>
        <v>156.54738052360557</v>
      </c>
      <c r="Y16">
        <f>C42-200-R47</f>
        <v>37.886860690461141</v>
      </c>
      <c r="Z16">
        <f>K42</f>
        <v>53.9</v>
      </c>
      <c r="AA16" t="s">
        <v>55</v>
      </c>
    </row>
    <row r="17" spans="1:27" x14ac:dyDescent="0.35">
      <c r="V17" t="s">
        <v>42</v>
      </c>
      <c r="Y17">
        <f>C50</f>
        <v>380.26100000000002</v>
      </c>
      <c r="Z17">
        <f>K50</f>
        <v>93.656000000000006</v>
      </c>
      <c r="AA17" t="s">
        <v>65</v>
      </c>
    </row>
    <row r="18" spans="1:27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Q18">
        <f>200+Q16+P31-400+Q14</f>
        <v>293.84800000000001</v>
      </c>
      <c r="R18">
        <v>84.852000000000004</v>
      </c>
      <c r="S18" s="2">
        <f>SIN(Q18*PI()/200)*R18</f>
        <v>-84.456117320532201</v>
      </c>
      <c r="T18" s="2">
        <f>COS(Q18*PI()/200)*R18</f>
        <v>-8.1869500511791387</v>
      </c>
      <c r="V18" t="s">
        <v>43</v>
      </c>
      <c r="Y18">
        <f>C49</f>
        <v>251.05699999999999</v>
      </c>
      <c r="Z18">
        <f>K49</f>
        <v>45.133000000000003</v>
      </c>
    </row>
    <row r="19" spans="1:27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S19" s="2">
        <f>-R27*(ABS(S18)/(ABS(S18)+ABS(S14)+ABS(S10)))+S18</f>
        <v>-84.442221719475583</v>
      </c>
      <c r="T19" s="3">
        <f>-R29*(ABS(T18)/(ABS(T18)+ABS(T14)+ABS(T10)))+T18</f>
        <v>-8.187322362131038</v>
      </c>
      <c r="V19" t="s">
        <v>66</v>
      </c>
      <c r="AA19" t="s">
        <v>65</v>
      </c>
    </row>
    <row r="20" spans="1:27" x14ac:dyDescent="0.35">
      <c r="P20" t="s">
        <v>29</v>
      </c>
      <c r="Q20">
        <f>400-93.843</f>
        <v>306.15699999999998</v>
      </c>
      <c r="S20">
        <v>0</v>
      </c>
      <c r="T20">
        <v>0</v>
      </c>
      <c r="V20" t="s">
        <v>19</v>
      </c>
      <c r="W20">
        <f>W5+SIN(Y20*(PI()/200))*Z20</f>
        <v>9.0231831486844971</v>
      </c>
      <c r="X20">
        <f>X5+COS(Y20*(PI()/200))*Z20</f>
        <v>154.79155018371983</v>
      </c>
      <c r="Y20">
        <f>C36-200</f>
        <v>179.49900000000002</v>
      </c>
      <c r="Z20">
        <f>K36</f>
        <v>28.51</v>
      </c>
      <c r="AA20" t="s">
        <v>2</v>
      </c>
    </row>
    <row r="21" spans="1:27" x14ac:dyDescent="0.35">
      <c r="A21" s="1" t="s">
        <v>15</v>
      </c>
      <c r="V21" t="s">
        <v>44</v>
      </c>
    </row>
    <row r="22" spans="1:27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Q22">
        <f>200+Q20+P31-400+Q18</f>
        <v>400.00749999999999</v>
      </c>
      <c r="S22" s="2">
        <f>S18+S14+S10+S6</f>
        <v>-2.7786630367074849E-2</v>
      </c>
      <c r="T22" s="2">
        <f>T18+T14+T10+T6</f>
        <v>8.3888449548226163E-3</v>
      </c>
      <c r="V22" t="s">
        <v>17</v>
      </c>
      <c r="W22">
        <f>W6+SIN(Y22*(PI()/200))*Z22</f>
        <v>60.524104664456075</v>
      </c>
      <c r="X22">
        <f>X6+COS(Y22*(PI()/200))*Z22</f>
        <v>156.41769206716418</v>
      </c>
      <c r="Y22">
        <f>C28+I32-200+200-I23</f>
        <v>232.17199999999997</v>
      </c>
      <c r="Z22">
        <f>K28</f>
        <v>30.558</v>
      </c>
      <c r="AA22" t="s">
        <v>14</v>
      </c>
    </row>
    <row r="23" spans="1:27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Y23">
        <f>C51</f>
        <v>399.98399999999998</v>
      </c>
      <c r="Z23">
        <f>K51</f>
        <v>114.736</v>
      </c>
      <c r="AA23" t="s">
        <v>65</v>
      </c>
    </row>
    <row r="24" spans="1:27" x14ac:dyDescent="0.35">
      <c r="P24" t="s">
        <v>2</v>
      </c>
      <c r="V24" t="s">
        <v>45</v>
      </c>
      <c r="Y24">
        <f>C48</f>
        <v>236.09100000000001</v>
      </c>
      <c r="Z24">
        <f>K48</f>
        <v>37.673000000000002</v>
      </c>
    </row>
    <row r="25" spans="1:27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V25" t="s">
        <v>1</v>
      </c>
      <c r="W25">
        <f>Z25*SIN(Y25*(PI()/200))</f>
        <v>-199.80074199664847</v>
      </c>
      <c r="X25">
        <f>Z25*COS(Y25*(PI()/200))</f>
        <v>-8.925441030487848</v>
      </c>
      <c r="Y25">
        <f>400-I6</f>
        <v>297.15800000000002</v>
      </c>
      <c r="Z25">
        <f>D5</f>
        <v>200</v>
      </c>
      <c r="AA25" t="s">
        <v>29</v>
      </c>
    </row>
    <row r="26" spans="1:27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P26" t="s">
        <v>33</v>
      </c>
      <c r="R26" t="s">
        <v>37</v>
      </c>
    </row>
    <row r="27" spans="1:27" x14ac:dyDescent="0.35">
      <c r="B27" t="s">
        <v>16</v>
      </c>
      <c r="C27">
        <v>59.994</v>
      </c>
      <c r="K27">
        <v>19.510999999999999</v>
      </c>
      <c r="P27">
        <f>Q16+Q12+Q8+Q20</f>
        <v>1199.99</v>
      </c>
      <c r="R27" s="2">
        <f>S22</f>
        <v>-2.7786630367074849E-2</v>
      </c>
      <c r="V27" t="s">
        <v>53</v>
      </c>
      <c r="W27">
        <f>Q48</f>
        <v>-28.40719330236314</v>
      </c>
      <c r="X27">
        <f>Q49</f>
        <v>111.91396578480352</v>
      </c>
    </row>
    <row r="28" spans="1:27" x14ac:dyDescent="0.35">
      <c r="B28" t="s">
        <v>17</v>
      </c>
      <c r="C28">
        <v>35.500999999999998</v>
      </c>
      <c r="K28">
        <v>30.558</v>
      </c>
      <c r="P28" t="s">
        <v>34</v>
      </c>
      <c r="R28" t="s">
        <v>38</v>
      </c>
      <c r="V28" t="s">
        <v>54</v>
      </c>
      <c r="W28">
        <f>Q54</f>
        <v>85.352682393013666</v>
      </c>
      <c r="X28">
        <f>Q55</f>
        <v>68.656874041553564</v>
      </c>
    </row>
    <row r="29" spans="1:27" x14ac:dyDescent="0.35">
      <c r="P29">
        <f>1200-P27</f>
        <v>9.9999999999909051E-3</v>
      </c>
      <c r="R29" s="2">
        <f>T22</f>
        <v>8.3888449548226163E-3</v>
      </c>
    </row>
    <row r="30" spans="1:27" x14ac:dyDescent="0.35">
      <c r="A30" s="1" t="s">
        <v>18</v>
      </c>
      <c r="P30" t="s">
        <v>35</v>
      </c>
    </row>
    <row r="31" spans="1:27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P31">
        <f>P29/4</f>
        <v>2.4999999999977263E-3</v>
      </c>
    </row>
    <row r="32" spans="1:27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</row>
    <row r="34" spans="1:18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O34" t="s">
        <v>56</v>
      </c>
    </row>
    <row r="35" spans="1:18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P35" t="s">
        <v>57</v>
      </c>
      <c r="Q35">
        <v>0</v>
      </c>
    </row>
    <row r="36" spans="1:18" x14ac:dyDescent="0.35">
      <c r="B36" t="s">
        <v>19</v>
      </c>
      <c r="C36">
        <v>379.49900000000002</v>
      </c>
      <c r="K36">
        <v>28.51</v>
      </c>
      <c r="P36" t="s">
        <v>58</v>
      </c>
      <c r="Q36">
        <f>Q35+200+I32-400</f>
        <v>98.882000000000005</v>
      </c>
    </row>
    <row r="37" spans="1:18" x14ac:dyDescent="0.35">
      <c r="B37" t="s">
        <v>20</v>
      </c>
      <c r="C37">
        <v>361.721</v>
      </c>
      <c r="K37">
        <v>15.316000000000001</v>
      </c>
      <c r="P37" t="s">
        <v>59</v>
      </c>
      <c r="Q37">
        <f>Q36+200+(400-I23)-400</f>
        <v>196.67100000000005</v>
      </c>
    </row>
    <row r="38" spans="1:18" x14ac:dyDescent="0.35">
      <c r="P38" t="s">
        <v>60</v>
      </c>
      <c r="Q38">
        <f>Q37+200+(400-I16)-400</f>
        <v>293.83000000000004</v>
      </c>
    </row>
    <row r="39" spans="1:18" x14ac:dyDescent="0.35">
      <c r="A39" s="1" t="s">
        <v>21</v>
      </c>
    </row>
    <row r="40" spans="1:18" x14ac:dyDescent="0.35">
      <c r="B40" t="s">
        <v>13</v>
      </c>
      <c r="C40">
        <v>0</v>
      </c>
      <c r="K40">
        <v>115.46299999999999</v>
      </c>
    </row>
    <row r="41" spans="1:18" x14ac:dyDescent="0.35">
      <c r="B41" t="s">
        <v>2</v>
      </c>
      <c r="C41">
        <v>221.26</v>
      </c>
      <c r="K41">
        <v>68.772999999999996</v>
      </c>
    </row>
    <row r="42" spans="1:18" x14ac:dyDescent="0.35">
      <c r="B42" t="s">
        <v>22</v>
      </c>
      <c r="C42">
        <v>253.71199999999999</v>
      </c>
      <c r="K42">
        <v>53.9</v>
      </c>
    </row>
    <row r="43" spans="1:18" x14ac:dyDescent="0.35">
      <c r="B43" t="s">
        <v>23</v>
      </c>
      <c r="C43">
        <v>379.00900000000001</v>
      </c>
      <c r="K43">
        <v>89.162999999999997</v>
      </c>
    </row>
    <row r="44" spans="1:18" x14ac:dyDescent="0.35">
      <c r="P44" s="1" t="s">
        <v>49</v>
      </c>
    </row>
    <row r="45" spans="1:18" x14ac:dyDescent="0.35">
      <c r="A45" s="1" t="s">
        <v>24</v>
      </c>
      <c r="P45" t="s">
        <v>50</v>
      </c>
    </row>
    <row r="46" spans="1:18" x14ac:dyDescent="0.35">
      <c r="B46" t="s">
        <v>14</v>
      </c>
      <c r="C46">
        <v>0</v>
      </c>
      <c r="K46">
        <v>114.73699999999999</v>
      </c>
      <c r="P46" t="s">
        <v>51</v>
      </c>
      <c r="Q46">
        <f>T6</f>
        <v>181.83600000000001</v>
      </c>
    </row>
    <row r="47" spans="1:18" x14ac:dyDescent="0.35">
      <c r="B47" t="s">
        <v>3</v>
      </c>
      <c r="C47">
        <v>201.81</v>
      </c>
      <c r="K47">
        <v>60.475999999999999</v>
      </c>
      <c r="P47" t="s">
        <v>52</v>
      </c>
      <c r="Q47">
        <f>(SIN((400-C41)*(PI()/200))*K41)/Q46</f>
        <v>0.12397059244175258</v>
      </c>
      <c r="R47">
        <f>ASIN(Q47)*(400/PI())</f>
        <v>15.825139309538846</v>
      </c>
    </row>
    <row r="48" spans="1:18" x14ac:dyDescent="0.35">
      <c r="B48" t="s">
        <v>25</v>
      </c>
      <c r="C48">
        <v>236.09100000000001</v>
      </c>
      <c r="K48">
        <v>37.673000000000002</v>
      </c>
      <c r="P48" t="s">
        <v>31</v>
      </c>
      <c r="Q48">
        <f>S4+K40*SIN(-R47*(PI()/200))</f>
        <v>-28.40719330236314</v>
      </c>
    </row>
    <row r="49" spans="2:19" x14ac:dyDescent="0.35">
      <c r="B49" t="s">
        <v>26</v>
      </c>
      <c r="C49">
        <v>251.05699999999999</v>
      </c>
      <c r="K49">
        <v>45.133000000000003</v>
      </c>
      <c r="P49" t="s">
        <v>32</v>
      </c>
      <c r="Q49">
        <f>S4+K40*COS(-R47*(PI()/200))</f>
        <v>111.91396578480352</v>
      </c>
    </row>
    <row r="50" spans="2:19" x14ac:dyDescent="0.35">
      <c r="B50" t="s">
        <v>27</v>
      </c>
      <c r="C50">
        <v>380.26100000000002</v>
      </c>
      <c r="K50">
        <v>93.656000000000006</v>
      </c>
    </row>
    <row r="51" spans="2:19" x14ac:dyDescent="0.35">
      <c r="B51" t="s">
        <v>28</v>
      </c>
      <c r="C51">
        <v>399.98399999999998</v>
      </c>
      <c r="K51">
        <v>114.736</v>
      </c>
      <c r="P51" t="s">
        <v>61</v>
      </c>
    </row>
    <row r="52" spans="2:19" x14ac:dyDescent="0.35">
      <c r="P52" t="s">
        <v>62</v>
      </c>
      <c r="Q52">
        <f>K22</f>
        <v>175.19900000000001</v>
      </c>
    </row>
    <row r="53" spans="2:19" x14ac:dyDescent="0.35">
      <c r="P53" t="s">
        <v>63</v>
      </c>
      <c r="Q53">
        <f>(SIN((400-C47)*(PI()/200))*K46)/Q52</f>
        <v>1.8617090403772883E-2</v>
      </c>
      <c r="R53">
        <f>ASIN(Q53)*(400/PI())</f>
        <v>2.3705385209991583</v>
      </c>
    </row>
    <row r="54" spans="2:19" x14ac:dyDescent="0.35">
      <c r="P54" t="s">
        <v>31</v>
      </c>
      <c r="Q54">
        <f>W7+K47*SIN(((200-Q37)-R53)*(PI()/200))</f>
        <v>85.352682393013666</v>
      </c>
      <c r="S54" t="s">
        <v>64</v>
      </c>
    </row>
    <row r="55" spans="2:19" x14ac:dyDescent="0.35">
      <c r="P55" t="s">
        <v>32</v>
      </c>
      <c r="Q55">
        <f>X7+K47*COS(((200-Q37)-R53)*(PI()/200))</f>
        <v>68.656874041553564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2020-11-29T14:07:58Z</dcterms:created>
  <dcterms:modified xsi:type="dcterms:W3CDTF">2020-11-30T21:08:33Z</dcterms:modified>
</cp:coreProperties>
</file>