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1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Tobias\Dropbox\Xcedo modeling\"/>
    </mc:Choice>
  </mc:AlternateContent>
  <bookViews>
    <workbookView xWindow="0" yWindow="0" windowWidth="18660" windowHeight="2760" tabRatio="820" firstSheet="2" activeTab="2"/>
  </bookViews>
  <sheets>
    <sheet name="Template" sheetId="18" r:id="rId1"/>
    <sheet name="Summary" sheetId="17" r:id="rId2"/>
    <sheet name="Company data" sheetId="25" r:id="rId3"/>
    <sheet name="Models &amp; inputs" sheetId="23" r:id="rId4"/>
    <sheet name="Investments" sheetId="20" r:id="rId5"/>
    <sheet name="Industry averages" sheetId="27" r:id="rId6"/>
    <sheet name="Country &amp; region data" sheetId="8" r:id="rId7"/>
    <sheet name="Raw rankings" sheetId="19" r:id="rId8"/>
    <sheet name="Input data &amp; validation" sheetId="22" r:id="rId9"/>
  </sheets>
  <externalReferences>
    <externalReference r:id="rId10"/>
    <externalReference r:id="rId11"/>
    <externalReference r:id="rId12"/>
  </externalReferences>
  <definedNames>
    <definedName name="_xlnm._FilterDatabase" localSheetId="2" hidden="1">'Company data'!#REF!</definedName>
    <definedName name="_xlnm._FilterDatabase" localSheetId="6" hidden="1">'Country &amp; region data'!#REF!</definedName>
    <definedName name="_xlnm._FilterDatabase" localSheetId="5" hidden="1">'Industry averages'!#REF!</definedName>
    <definedName name="_xlnm._FilterDatabase" localSheetId="8" hidden="1">'Input data &amp; validation'!#REF!</definedName>
    <definedName name="_xlnm._FilterDatabase" localSheetId="4" hidden="1">Investments!#REF!</definedName>
    <definedName name="_xlnm._FilterDatabase" localSheetId="3" hidden="1">'Models &amp; inputs'!#REF!</definedName>
    <definedName name="_xlnm._FilterDatabase" localSheetId="7" hidden="1">'Raw rankings'!#REF!</definedName>
    <definedName name="_xlnm._FilterDatabase" localSheetId="1" hidden="1">Summary!#REF!</definedName>
    <definedName name="_xlnm._FilterDatabase" localSheetId="0" hidden="1">Template!#REF!</definedName>
    <definedName name="Beta_Levered">'Models &amp; inputs'!$F$79</definedName>
    <definedName name="Beta_Regression">'Models &amp; inputs'!$F$50</definedName>
    <definedName name="Beta_Standard_Error">'Models &amp; inputs'!$F$51</definedName>
    <definedName name="Beta_Unlevered">Betas_Per_Segment[[#Totals],[Unlevered beta]]</definedName>
    <definedName name="Company_Debt">'Company data'!$D$13</definedName>
    <definedName name="Company_EBIT">'Company data'!$D$17</definedName>
    <definedName name="Company_Equity">'Company data'!$D$14</definedName>
    <definedName name="Company_Interest_Expenses">'Company data'!$D$18</definedName>
    <definedName name="Company_Market_Cap">'Company data'!$D$15</definedName>
    <definedName name="Company_Tax_Rate">'Company data'!$D$88</definedName>
    <definedName name="Confidence_interval">Investments!$E$8</definedName>
    <definedName name="Data_Validation_Regions" localSheetId="2">Regions[Regions]</definedName>
    <definedName name="Estimated_Firm_Value">Betas_Per_Segment[[#Totals],[Estimated Value]]</definedName>
    <definedName name="Industry_Average">'Company data'!$C$51</definedName>
    <definedName name="Input_Confidence_Interval" localSheetId="5">Confidence_Intervals[Confidence intervals]</definedName>
    <definedName name="Input_Confidence_Interval">Confidence_Intervals[Confidence intervals]</definedName>
    <definedName name="Input_Industries" localSheetId="5">Industries[Industries]</definedName>
    <definedName name="Input_Industries">Industries[Industries]</definedName>
    <definedName name="Investments_Country">Investments!$B$8</definedName>
    <definedName name="Total_Revenues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8" i="25" l="1"/>
  <c r="C144" i="19"/>
  <c r="C145" i="19"/>
  <c r="C146" i="19"/>
  <c r="C147" i="19"/>
  <c r="C148" i="19"/>
  <c r="C149" i="19"/>
  <c r="C150" i="19"/>
  <c r="C151" i="19"/>
  <c r="C152" i="19"/>
  <c r="C153" i="19"/>
  <c r="C154" i="19"/>
  <c r="C155" i="19"/>
  <c r="C156" i="19"/>
  <c r="C157" i="19"/>
  <c r="I145" i="19"/>
  <c r="I146" i="19"/>
  <c r="I147" i="19"/>
  <c r="I148" i="19"/>
  <c r="I149" i="19"/>
  <c r="I150" i="19"/>
  <c r="I151" i="19"/>
  <c r="I152" i="19"/>
  <c r="I153" i="19"/>
  <c r="I154" i="19"/>
  <c r="I155" i="19"/>
  <c r="I156" i="19"/>
  <c r="I157" i="19"/>
  <c r="I144" i="19"/>
  <c r="J40" i="25"/>
  <c r="J41" i="25"/>
  <c r="J42" i="25"/>
  <c r="J43" i="25"/>
  <c r="J44" i="25"/>
  <c r="J45" i="25"/>
  <c r="J46" i="25"/>
  <c r="D47" i="25"/>
  <c r="J47" i="25"/>
  <c r="C66" i="25"/>
  <c r="G66" i="25" s="1"/>
  <c r="I66" i="25" s="1"/>
  <c r="C67" i="25"/>
  <c r="G67" i="25" s="1"/>
  <c r="I67" i="25" s="1"/>
  <c r="C68" i="25"/>
  <c r="G68" i="25" s="1"/>
  <c r="I68" i="25" s="1"/>
  <c r="C69" i="25"/>
  <c r="G69" i="25" s="1"/>
  <c r="I69" i="25" s="1"/>
  <c r="C70" i="25"/>
  <c r="G70" i="25" s="1"/>
  <c r="I70" i="25" s="1"/>
  <c r="C71" i="25"/>
  <c r="G71" i="25" s="1"/>
  <c r="I71" i="25" s="1"/>
  <c r="C65" i="25"/>
  <c r="G65" i="25" s="1"/>
  <c r="C54" i="25"/>
  <c r="C55" i="25"/>
  <c r="C56" i="25"/>
  <c r="C57" i="25"/>
  <c r="C58" i="25"/>
  <c r="C59" i="25"/>
  <c r="C60" i="25"/>
  <c r="B49" i="25"/>
  <c r="P693" i="27" a="1"/>
  <c r="P693" i="27" s="1"/>
  <c r="O693" i="27"/>
  <c r="P692" i="27"/>
  <c r="P692" i="27" a="1"/>
  <c r="O692" i="27"/>
  <c r="P691" i="27" a="1"/>
  <c r="P691" i="27" s="1"/>
  <c r="O691" i="27"/>
  <c r="P690" i="27" a="1"/>
  <c r="P690" i="27" s="1"/>
  <c r="O690" i="27"/>
  <c r="P689" i="27" a="1"/>
  <c r="P689" i="27" s="1"/>
  <c r="O689" i="27"/>
  <c r="P688" i="27"/>
  <c r="P688" i="27" a="1"/>
  <c r="O688" i="27"/>
  <c r="P687" i="27" a="1"/>
  <c r="P687" i="27" s="1"/>
  <c r="O687" i="27"/>
  <c r="P686" i="27" a="1"/>
  <c r="P686" i="27" s="1"/>
  <c r="O686" i="27"/>
  <c r="P685" i="27" a="1"/>
  <c r="P685" i="27" s="1"/>
  <c r="O685" i="27"/>
  <c r="P684" i="27"/>
  <c r="P684" i="27" a="1"/>
  <c r="O684" i="27"/>
  <c r="P683" i="27" a="1"/>
  <c r="P683" i="27" s="1"/>
  <c r="O683" i="27"/>
  <c r="P682" i="27" a="1"/>
  <c r="P682" i="27" s="1"/>
  <c r="O682" i="27"/>
  <c r="P681" i="27" a="1"/>
  <c r="P681" i="27" s="1"/>
  <c r="O681" i="27"/>
  <c r="P680" i="27"/>
  <c r="P680" i="27" a="1"/>
  <c r="O680" i="27"/>
  <c r="P679" i="27" a="1"/>
  <c r="P679" i="27" s="1"/>
  <c r="O679" i="27"/>
  <c r="P678" i="27" a="1"/>
  <c r="P678" i="27" s="1"/>
  <c r="O678" i="27"/>
  <c r="P677" i="27" a="1"/>
  <c r="P677" i="27" s="1"/>
  <c r="O677" i="27"/>
  <c r="P676" i="27"/>
  <c r="P676" i="27" a="1"/>
  <c r="O676" i="27"/>
  <c r="P675" i="27" a="1"/>
  <c r="P675" i="27" s="1"/>
  <c r="O675" i="27"/>
  <c r="P674" i="27" a="1"/>
  <c r="P674" i="27" s="1"/>
  <c r="O674" i="27"/>
  <c r="P673" i="27" a="1"/>
  <c r="P673" i="27" s="1"/>
  <c r="O673" i="27"/>
  <c r="P672" i="27"/>
  <c r="P672" i="27" a="1"/>
  <c r="O672" i="27"/>
  <c r="P671" i="27" a="1"/>
  <c r="P671" i="27" s="1"/>
  <c r="O671" i="27"/>
  <c r="P670" i="27" a="1"/>
  <c r="P670" i="27" s="1"/>
  <c r="O670" i="27"/>
  <c r="P669" i="27" a="1"/>
  <c r="P669" i="27" s="1"/>
  <c r="O669" i="27"/>
  <c r="P668" i="27"/>
  <c r="P668" i="27" a="1"/>
  <c r="O668" i="27"/>
  <c r="P667" i="27" a="1"/>
  <c r="P667" i="27" s="1"/>
  <c r="O667" i="27"/>
  <c r="P666" i="27" a="1"/>
  <c r="P666" i="27" s="1"/>
  <c r="O666" i="27"/>
  <c r="P665" i="27" a="1"/>
  <c r="P665" i="27" s="1"/>
  <c r="O665" i="27"/>
  <c r="P664" i="27"/>
  <c r="P664" i="27" a="1"/>
  <c r="O664" i="27"/>
  <c r="P663" i="27" a="1"/>
  <c r="P663" i="27" s="1"/>
  <c r="O663" i="27"/>
  <c r="P662" i="27" a="1"/>
  <c r="P662" i="27" s="1"/>
  <c r="O662" i="27"/>
  <c r="P661" i="27" a="1"/>
  <c r="P661" i="27" s="1"/>
  <c r="O661" i="27"/>
  <c r="P660" i="27" a="1"/>
  <c r="P660" i="27" s="1"/>
  <c r="O660" i="27"/>
  <c r="P659" i="27" a="1"/>
  <c r="P659" i="27" s="1"/>
  <c r="O659" i="27"/>
  <c r="P658" i="27" a="1"/>
  <c r="P658" i="27" s="1"/>
  <c r="O658" i="27"/>
  <c r="P657" i="27" a="1"/>
  <c r="P657" i="27" s="1"/>
  <c r="O657" i="27"/>
  <c r="P656" i="27" a="1"/>
  <c r="P656" i="27" s="1"/>
  <c r="O656" i="27"/>
  <c r="P655" i="27" a="1"/>
  <c r="P655" i="27" s="1"/>
  <c r="O655" i="27"/>
  <c r="P654" i="27" a="1"/>
  <c r="P654" i="27" s="1"/>
  <c r="O654" i="27"/>
  <c r="P653" i="27" a="1"/>
  <c r="P653" i="27" s="1"/>
  <c r="O653" i="27"/>
  <c r="P652" i="27" a="1"/>
  <c r="P652" i="27" s="1"/>
  <c r="O652" i="27"/>
  <c r="P651" i="27" a="1"/>
  <c r="P651" i="27" s="1"/>
  <c r="O651" i="27"/>
  <c r="P650" i="27" a="1"/>
  <c r="P650" i="27" s="1"/>
  <c r="O650" i="27"/>
  <c r="P649" i="27" a="1"/>
  <c r="P649" i="27" s="1"/>
  <c r="O649" i="27"/>
  <c r="P648" i="27" a="1"/>
  <c r="P648" i="27" s="1"/>
  <c r="O648" i="27"/>
  <c r="P647" i="27" a="1"/>
  <c r="P647" i="27" s="1"/>
  <c r="O647" i="27"/>
  <c r="P646" i="27" a="1"/>
  <c r="P646" i="27" s="1"/>
  <c r="O646" i="27"/>
  <c r="P645" i="27" a="1"/>
  <c r="P645" i="27" s="1"/>
  <c r="O645" i="27"/>
  <c r="P644" i="27" a="1"/>
  <c r="P644" i="27" s="1"/>
  <c r="O644" i="27"/>
  <c r="P643" i="27" a="1"/>
  <c r="P643" i="27" s="1"/>
  <c r="O643" i="27"/>
  <c r="P642" i="27" a="1"/>
  <c r="P642" i="27" s="1"/>
  <c r="O642" i="27"/>
  <c r="P641" i="27" a="1"/>
  <c r="P641" i="27" s="1"/>
  <c r="O641" i="27"/>
  <c r="P640" i="27" a="1"/>
  <c r="P640" i="27" s="1"/>
  <c r="O640" i="27"/>
  <c r="P639" i="27" a="1"/>
  <c r="P639" i="27" s="1"/>
  <c r="O639" i="27"/>
  <c r="P638" i="27" a="1"/>
  <c r="P638" i="27" s="1"/>
  <c r="O638" i="27"/>
  <c r="P637" i="27" a="1"/>
  <c r="P637" i="27" s="1"/>
  <c r="O637" i="27"/>
  <c r="P636" i="27" a="1"/>
  <c r="P636" i="27" s="1"/>
  <c r="O636" i="27"/>
  <c r="P635" i="27" a="1"/>
  <c r="P635" i="27" s="1"/>
  <c r="O635" i="27"/>
  <c r="P634" i="27" a="1"/>
  <c r="P634" i="27" s="1"/>
  <c r="O634" i="27"/>
  <c r="P633" i="27" a="1"/>
  <c r="P633" i="27" s="1"/>
  <c r="O633" i="27"/>
  <c r="P632" i="27" a="1"/>
  <c r="P632" i="27" s="1"/>
  <c r="O632" i="27"/>
  <c r="P631" i="27" a="1"/>
  <c r="P631" i="27" s="1"/>
  <c r="O631" i="27"/>
  <c r="P630" i="27" a="1"/>
  <c r="P630" i="27" s="1"/>
  <c r="O630" i="27"/>
  <c r="P629" i="27" a="1"/>
  <c r="P629" i="27" s="1"/>
  <c r="O629" i="27"/>
  <c r="P628" i="27"/>
  <c r="P628" i="27" a="1"/>
  <c r="O628" i="27"/>
  <c r="P627" i="27" a="1"/>
  <c r="P627" i="27" s="1"/>
  <c r="O627" i="27"/>
  <c r="P626" i="27" a="1"/>
  <c r="P626" i="27" s="1"/>
  <c r="O626" i="27"/>
  <c r="P625" i="27" a="1"/>
  <c r="P625" i="27" s="1"/>
  <c r="O625" i="27"/>
  <c r="P624" i="27" a="1"/>
  <c r="P624" i="27" s="1"/>
  <c r="O624" i="27"/>
  <c r="P623" i="27" a="1"/>
  <c r="P623" i="27" s="1"/>
  <c r="O623" i="27"/>
  <c r="P622" i="27" a="1"/>
  <c r="P622" i="27" s="1"/>
  <c r="O622" i="27"/>
  <c r="P621" i="27" a="1"/>
  <c r="P621" i="27" s="1"/>
  <c r="O621" i="27"/>
  <c r="P620" i="27" a="1"/>
  <c r="P620" i="27" s="1"/>
  <c r="O620" i="27"/>
  <c r="P619" i="27" a="1"/>
  <c r="P619" i="27" s="1"/>
  <c r="O619" i="27"/>
  <c r="P618" i="27"/>
  <c r="P618" i="27" a="1"/>
  <c r="O618" i="27"/>
  <c r="P617" i="27" a="1"/>
  <c r="P617" i="27" s="1"/>
  <c r="O617" i="27"/>
  <c r="P616" i="27" a="1"/>
  <c r="P616" i="27" s="1"/>
  <c r="O616" i="27"/>
  <c r="P615" i="27" a="1"/>
  <c r="P615" i="27" s="1"/>
  <c r="O615" i="27"/>
  <c r="P614" i="27"/>
  <c r="P614" i="27" a="1"/>
  <c r="O614" i="27"/>
  <c r="P613" i="27" a="1"/>
  <c r="P613" i="27" s="1"/>
  <c r="O613" i="27"/>
  <c r="P612" i="27" a="1"/>
  <c r="P612" i="27" s="1"/>
  <c r="O612" i="27"/>
  <c r="P611" i="27" a="1"/>
  <c r="P611" i="27" s="1"/>
  <c r="O611" i="27"/>
  <c r="P610" i="27"/>
  <c r="P610" i="27" a="1"/>
  <c r="O610" i="27"/>
  <c r="P609" i="27" a="1"/>
  <c r="P609" i="27" s="1"/>
  <c r="O609" i="27"/>
  <c r="P608" i="27" a="1"/>
  <c r="P608" i="27" s="1"/>
  <c r="O608" i="27"/>
  <c r="P607" i="27" a="1"/>
  <c r="P607" i="27" s="1"/>
  <c r="O607" i="27"/>
  <c r="P606" i="27"/>
  <c r="P606" i="27" a="1"/>
  <c r="O606" i="27"/>
  <c r="P605" i="27" a="1"/>
  <c r="P605" i="27" s="1"/>
  <c r="O605" i="27"/>
  <c r="P604" i="27" a="1"/>
  <c r="P604" i="27" s="1"/>
  <c r="O604" i="27"/>
  <c r="P603" i="27" a="1"/>
  <c r="P603" i="27" s="1"/>
  <c r="O603" i="27"/>
  <c r="P602" i="27" a="1"/>
  <c r="P602" i="27" s="1"/>
  <c r="O602" i="27"/>
  <c r="P601" i="27" a="1"/>
  <c r="P601" i="27" s="1"/>
  <c r="O601" i="27"/>
  <c r="P600" i="27" a="1"/>
  <c r="P600" i="27" s="1"/>
  <c r="O600" i="27"/>
  <c r="P599" i="27" a="1"/>
  <c r="P599" i="27" s="1"/>
  <c r="O599" i="27"/>
  <c r="P598" i="27" a="1"/>
  <c r="P598" i="27" s="1"/>
  <c r="O598" i="27"/>
  <c r="P597" i="27" a="1"/>
  <c r="P597" i="27" s="1"/>
  <c r="O597" i="27"/>
  <c r="L693" i="27" a="1"/>
  <c r="L693" i="27" s="1"/>
  <c r="K693" i="27"/>
  <c r="L692" i="27"/>
  <c r="L692" i="27" a="1"/>
  <c r="K692" i="27"/>
  <c r="L691" i="27" a="1"/>
  <c r="L691" i="27" s="1"/>
  <c r="K691" i="27"/>
  <c r="L690" i="27" a="1"/>
  <c r="L690" i="27" s="1"/>
  <c r="K690" i="27"/>
  <c r="L689" i="27" a="1"/>
  <c r="L689" i="27" s="1"/>
  <c r="K689" i="27"/>
  <c r="L688" i="27"/>
  <c r="L688" i="27" a="1"/>
  <c r="K688" i="27"/>
  <c r="L687" i="27" a="1"/>
  <c r="L687" i="27" s="1"/>
  <c r="K687" i="27"/>
  <c r="L686" i="27" a="1"/>
  <c r="L686" i="27" s="1"/>
  <c r="K686" i="27"/>
  <c r="L685" i="27" a="1"/>
  <c r="L685" i="27" s="1"/>
  <c r="K685" i="27"/>
  <c r="L684" i="27"/>
  <c r="L684" i="27" a="1"/>
  <c r="K684" i="27"/>
  <c r="L683" i="27" a="1"/>
  <c r="L683" i="27" s="1"/>
  <c r="K683" i="27"/>
  <c r="L682" i="27" a="1"/>
  <c r="L682" i="27" s="1"/>
  <c r="K682" i="27"/>
  <c r="L681" i="27" a="1"/>
  <c r="L681" i="27" s="1"/>
  <c r="K681" i="27"/>
  <c r="L680" i="27"/>
  <c r="L680" i="27" a="1"/>
  <c r="K680" i="27"/>
  <c r="L679" i="27" a="1"/>
  <c r="L679" i="27" s="1"/>
  <c r="K679" i="27"/>
  <c r="L678" i="27" a="1"/>
  <c r="L678" i="27" s="1"/>
  <c r="K678" i="27"/>
  <c r="L677" i="27" a="1"/>
  <c r="L677" i="27" s="1"/>
  <c r="K677" i="27"/>
  <c r="L676" i="27"/>
  <c r="L676" i="27" a="1"/>
  <c r="K676" i="27"/>
  <c r="L675" i="27" a="1"/>
  <c r="L675" i="27" s="1"/>
  <c r="K675" i="27"/>
  <c r="L674" i="27" a="1"/>
  <c r="L674" i="27" s="1"/>
  <c r="K674" i="27"/>
  <c r="L673" i="27" a="1"/>
  <c r="L673" i="27" s="1"/>
  <c r="K673" i="27"/>
  <c r="L672" i="27"/>
  <c r="L672" i="27" a="1"/>
  <c r="K672" i="27"/>
  <c r="L671" i="27" a="1"/>
  <c r="L671" i="27" s="1"/>
  <c r="K671" i="27"/>
  <c r="L670" i="27" a="1"/>
  <c r="L670" i="27" s="1"/>
  <c r="K670" i="27"/>
  <c r="L669" i="27" a="1"/>
  <c r="L669" i="27" s="1"/>
  <c r="K669" i="27"/>
  <c r="L668" i="27"/>
  <c r="L668" i="27" a="1"/>
  <c r="K668" i="27"/>
  <c r="L667" i="27" a="1"/>
  <c r="L667" i="27" s="1"/>
  <c r="K667" i="27"/>
  <c r="L666" i="27" a="1"/>
  <c r="L666" i="27" s="1"/>
  <c r="K666" i="27"/>
  <c r="L665" i="27" a="1"/>
  <c r="L665" i="27" s="1"/>
  <c r="K665" i="27"/>
  <c r="L664" i="27"/>
  <c r="L664" i="27" a="1"/>
  <c r="K664" i="27"/>
  <c r="L663" i="27" a="1"/>
  <c r="L663" i="27" s="1"/>
  <c r="K663" i="27"/>
  <c r="L662" i="27" a="1"/>
  <c r="L662" i="27" s="1"/>
  <c r="K662" i="27"/>
  <c r="L661" i="27" a="1"/>
  <c r="L661" i="27" s="1"/>
  <c r="K661" i="27"/>
  <c r="L660" i="27"/>
  <c r="L660" i="27" a="1"/>
  <c r="K660" i="27"/>
  <c r="L659" i="27" a="1"/>
  <c r="L659" i="27" s="1"/>
  <c r="K659" i="27"/>
  <c r="L658" i="27" a="1"/>
  <c r="L658" i="27" s="1"/>
  <c r="K658" i="27"/>
  <c r="L657" i="27" a="1"/>
  <c r="L657" i="27" s="1"/>
  <c r="K657" i="27"/>
  <c r="L656" i="27"/>
  <c r="L656" i="27" a="1"/>
  <c r="K656" i="27"/>
  <c r="L655" i="27" a="1"/>
  <c r="L655" i="27" s="1"/>
  <c r="K655" i="27"/>
  <c r="L654" i="27" a="1"/>
  <c r="L654" i="27" s="1"/>
  <c r="K654" i="27"/>
  <c r="L653" i="27" a="1"/>
  <c r="L653" i="27" s="1"/>
  <c r="K653" i="27"/>
  <c r="L652" i="27"/>
  <c r="L652" i="27" a="1"/>
  <c r="K652" i="27"/>
  <c r="L651" i="27" a="1"/>
  <c r="L651" i="27" s="1"/>
  <c r="K651" i="27"/>
  <c r="L650" i="27" a="1"/>
  <c r="L650" i="27" s="1"/>
  <c r="K650" i="27"/>
  <c r="L649" i="27" a="1"/>
  <c r="L649" i="27" s="1"/>
  <c r="K649" i="27"/>
  <c r="L648" i="27"/>
  <c r="L648" i="27" a="1"/>
  <c r="K648" i="27"/>
  <c r="L647" i="27" a="1"/>
  <c r="L647" i="27" s="1"/>
  <c r="K647" i="27"/>
  <c r="L646" i="27" a="1"/>
  <c r="L646" i="27" s="1"/>
  <c r="K646" i="27"/>
  <c r="L645" i="27" a="1"/>
  <c r="L645" i="27" s="1"/>
  <c r="K645" i="27"/>
  <c r="L644" i="27"/>
  <c r="L644" i="27" a="1"/>
  <c r="K644" i="27"/>
  <c r="L643" i="27" a="1"/>
  <c r="L643" i="27" s="1"/>
  <c r="K643" i="27"/>
  <c r="L642" i="27" a="1"/>
  <c r="L642" i="27" s="1"/>
  <c r="K642" i="27"/>
  <c r="L641" i="27" a="1"/>
  <c r="L641" i="27" s="1"/>
  <c r="K641" i="27"/>
  <c r="L640" i="27"/>
  <c r="L640" i="27" a="1"/>
  <c r="K640" i="27"/>
  <c r="L639" i="27" a="1"/>
  <c r="L639" i="27" s="1"/>
  <c r="K639" i="27"/>
  <c r="L638" i="27" a="1"/>
  <c r="L638" i="27" s="1"/>
  <c r="K638" i="27"/>
  <c r="L637" i="27" a="1"/>
  <c r="L637" i="27" s="1"/>
  <c r="K637" i="27"/>
  <c r="L636" i="27"/>
  <c r="L636" i="27" a="1"/>
  <c r="K636" i="27"/>
  <c r="L635" i="27" a="1"/>
  <c r="L635" i="27" s="1"/>
  <c r="K635" i="27"/>
  <c r="L634" i="27" a="1"/>
  <c r="L634" i="27" s="1"/>
  <c r="K634" i="27"/>
  <c r="L633" i="27" a="1"/>
  <c r="L633" i="27" s="1"/>
  <c r="K633" i="27"/>
  <c r="L632" i="27"/>
  <c r="L632" i="27" a="1"/>
  <c r="K632" i="27"/>
  <c r="L631" i="27" a="1"/>
  <c r="L631" i="27" s="1"/>
  <c r="K631" i="27"/>
  <c r="L630" i="27" a="1"/>
  <c r="L630" i="27" s="1"/>
  <c r="K630" i="27"/>
  <c r="L629" i="27" a="1"/>
  <c r="L629" i="27" s="1"/>
  <c r="K629" i="27"/>
  <c r="L628" i="27"/>
  <c r="L628" i="27" a="1"/>
  <c r="K628" i="27"/>
  <c r="L627" i="27" a="1"/>
  <c r="L627" i="27" s="1"/>
  <c r="K627" i="27"/>
  <c r="L626" i="27" a="1"/>
  <c r="L626" i="27" s="1"/>
  <c r="K626" i="27"/>
  <c r="L625" i="27" a="1"/>
  <c r="L625" i="27" s="1"/>
  <c r="K625" i="27"/>
  <c r="L624" i="27"/>
  <c r="L624" i="27" a="1"/>
  <c r="K624" i="27"/>
  <c r="L623" i="27" a="1"/>
  <c r="L623" i="27" s="1"/>
  <c r="K623" i="27"/>
  <c r="L622" i="27" a="1"/>
  <c r="L622" i="27" s="1"/>
  <c r="K622" i="27"/>
  <c r="L621" i="27" a="1"/>
  <c r="L621" i="27" s="1"/>
  <c r="K621" i="27"/>
  <c r="L620" i="27"/>
  <c r="L620" i="27" a="1"/>
  <c r="K620" i="27"/>
  <c r="L619" i="27" a="1"/>
  <c r="L619" i="27" s="1"/>
  <c r="K619" i="27"/>
  <c r="L618" i="27" a="1"/>
  <c r="L618" i="27" s="1"/>
  <c r="K618" i="27"/>
  <c r="L617" i="27" a="1"/>
  <c r="L617" i="27" s="1"/>
  <c r="K617" i="27"/>
  <c r="L616" i="27"/>
  <c r="L616" i="27" a="1"/>
  <c r="K616" i="27"/>
  <c r="L615" i="27" a="1"/>
  <c r="L615" i="27" s="1"/>
  <c r="K615" i="27"/>
  <c r="L614" i="27" a="1"/>
  <c r="L614" i="27" s="1"/>
  <c r="K614" i="27"/>
  <c r="L613" i="27" a="1"/>
  <c r="L613" i="27" s="1"/>
  <c r="K613" i="27"/>
  <c r="L612" i="27"/>
  <c r="L612" i="27" a="1"/>
  <c r="K612" i="27"/>
  <c r="L611" i="27" a="1"/>
  <c r="L611" i="27" s="1"/>
  <c r="K611" i="27"/>
  <c r="L610" i="27" a="1"/>
  <c r="L610" i="27" s="1"/>
  <c r="K610" i="27"/>
  <c r="L609" i="27" a="1"/>
  <c r="L609" i="27" s="1"/>
  <c r="K609" i="27"/>
  <c r="L608" i="27"/>
  <c r="L608" i="27" a="1"/>
  <c r="K608" i="27"/>
  <c r="L607" i="27" a="1"/>
  <c r="L607" i="27" s="1"/>
  <c r="K607" i="27"/>
  <c r="L606" i="27" a="1"/>
  <c r="L606" i="27" s="1"/>
  <c r="K606" i="27"/>
  <c r="L605" i="27" a="1"/>
  <c r="L605" i="27" s="1"/>
  <c r="K605" i="27"/>
  <c r="L604" i="27"/>
  <c r="L604" i="27" a="1"/>
  <c r="K604" i="27"/>
  <c r="L603" i="27" a="1"/>
  <c r="L603" i="27" s="1"/>
  <c r="K603" i="27"/>
  <c r="L602" i="27" a="1"/>
  <c r="L602" i="27" s="1"/>
  <c r="K602" i="27"/>
  <c r="L601" i="27" a="1"/>
  <c r="L601" i="27" s="1"/>
  <c r="K601" i="27"/>
  <c r="L600" i="27"/>
  <c r="L600" i="27" a="1"/>
  <c r="K600" i="27"/>
  <c r="L599" i="27" a="1"/>
  <c r="L599" i="27" s="1"/>
  <c r="K599" i="27"/>
  <c r="L598" i="27" a="1"/>
  <c r="L598" i="27" s="1"/>
  <c r="K598" i="27"/>
  <c r="L597" i="27" a="1"/>
  <c r="L597" i="27" s="1"/>
  <c r="K597" i="27"/>
  <c r="H693" i="27" a="1"/>
  <c r="H693" i="27" s="1"/>
  <c r="G693" i="27" a="1"/>
  <c r="G693" i="27" s="1"/>
  <c r="H692" i="27" a="1"/>
  <c r="H692" i="27" s="1"/>
  <c r="G692" i="27" a="1"/>
  <c r="G692" i="27" s="1"/>
  <c r="H691" i="27" a="1"/>
  <c r="H691" i="27" s="1"/>
  <c r="G691" i="27" a="1"/>
  <c r="G691" i="27" s="1"/>
  <c r="H690" i="27" a="1"/>
  <c r="H690" i="27" s="1"/>
  <c r="G690" i="27" a="1"/>
  <c r="G690" i="27" s="1"/>
  <c r="H689" i="27" a="1"/>
  <c r="H689" i="27" s="1"/>
  <c r="G689" i="27" a="1"/>
  <c r="G689" i="27" s="1"/>
  <c r="H688" i="27" a="1"/>
  <c r="H688" i="27" s="1"/>
  <c r="G688" i="27" a="1"/>
  <c r="G688" i="27" s="1"/>
  <c r="H687" i="27" a="1"/>
  <c r="H687" i="27" s="1"/>
  <c r="G687" i="27" a="1"/>
  <c r="G687" i="27" s="1"/>
  <c r="H686" i="27" a="1"/>
  <c r="H686" i="27" s="1"/>
  <c r="G686" i="27" a="1"/>
  <c r="G686" i="27" s="1"/>
  <c r="H685" i="27" a="1"/>
  <c r="H685" i="27" s="1"/>
  <c r="G685" i="27" a="1"/>
  <c r="G685" i="27" s="1"/>
  <c r="H684" i="27" a="1"/>
  <c r="H684" i="27" s="1"/>
  <c r="G684" i="27" a="1"/>
  <c r="G684" i="27" s="1"/>
  <c r="H683" i="27" a="1"/>
  <c r="H683" i="27" s="1"/>
  <c r="G683" i="27" a="1"/>
  <c r="G683" i="27" s="1"/>
  <c r="H682" i="27" a="1"/>
  <c r="H682" i="27" s="1"/>
  <c r="G682" i="27" a="1"/>
  <c r="G682" i="27" s="1"/>
  <c r="H681" i="27" a="1"/>
  <c r="H681" i="27" s="1"/>
  <c r="G681" i="27" a="1"/>
  <c r="G681" i="27" s="1"/>
  <c r="H680" i="27" a="1"/>
  <c r="H680" i="27" s="1"/>
  <c r="G680" i="27" a="1"/>
  <c r="G680" i="27" s="1"/>
  <c r="H679" i="27" a="1"/>
  <c r="H679" i="27" s="1"/>
  <c r="G679" i="27" a="1"/>
  <c r="G679" i="27" s="1"/>
  <c r="H678" i="27" a="1"/>
  <c r="H678" i="27" s="1"/>
  <c r="G678" i="27" a="1"/>
  <c r="G678" i="27" s="1"/>
  <c r="H677" i="27" a="1"/>
  <c r="H677" i="27" s="1"/>
  <c r="G677" i="27" a="1"/>
  <c r="G677" i="27" s="1"/>
  <c r="H676" i="27" a="1"/>
  <c r="H676" i="27" s="1"/>
  <c r="G676" i="27" a="1"/>
  <c r="G676" i="27" s="1"/>
  <c r="H675" i="27" a="1"/>
  <c r="H675" i="27" s="1"/>
  <c r="G675" i="27" a="1"/>
  <c r="G675" i="27" s="1"/>
  <c r="H674" i="27" a="1"/>
  <c r="H674" i="27" s="1"/>
  <c r="G674" i="27" a="1"/>
  <c r="G674" i="27" s="1"/>
  <c r="H673" i="27" a="1"/>
  <c r="H673" i="27" s="1"/>
  <c r="G673" i="27" a="1"/>
  <c r="G673" i="27" s="1"/>
  <c r="H672" i="27" a="1"/>
  <c r="H672" i="27" s="1"/>
  <c r="G672" i="27" a="1"/>
  <c r="G672" i="27" s="1"/>
  <c r="H671" i="27" a="1"/>
  <c r="H671" i="27" s="1"/>
  <c r="G671" i="27" a="1"/>
  <c r="G671" i="27" s="1"/>
  <c r="H670" i="27" a="1"/>
  <c r="H670" i="27" s="1"/>
  <c r="G670" i="27" a="1"/>
  <c r="G670" i="27" s="1"/>
  <c r="H669" i="27" a="1"/>
  <c r="H669" i="27" s="1"/>
  <c r="G669" i="27" a="1"/>
  <c r="G669" i="27" s="1"/>
  <c r="H668" i="27" a="1"/>
  <c r="H668" i="27" s="1"/>
  <c r="G668" i="27" a="1"/>
  <c r="G668" i="27" s="1"/>
  <c r="H667" i="27" a="1"/>
  <c r="H667" i="27" s="1"/>
  <c r="G667" i="27" a="1"/>
  <c r="G667" i="27" s="1"/>
  <c r="H666" i="27" a="1"/>
  <c r="H666" i="27" s="1"/>
  <c r="G666" i="27" a="1"/>
  <c r="G666" i="27" s="1"/>
  <c r="H665" i="27" a="1"/>
  <c r="H665" i="27" s="1"/>
  <c r="G665" i="27" a="1"/>
  <c r="G665" i="27" s="1"/>
  <c r="H664" i="27" a="1"/>
  <c r="H664" i="27" s="1"/>
  <c r="G664" i="27" a="1"/>
  <c r="G664" i="27" s="1"/>
  <c r="H663" i="27" a="1"/>
  <c r="H663" i="27" s="1"/>
  <c r="G663" i="27" a="1"/>
  <c r="G663" i="27" s="1"/>
  <c r="H662" i="27" a="1"/>
  <c r="H662" i="27" s="1"/>
  <c r="G662" i="27" a="1"/>
  <c r="G662" i="27" s="1"/>
  <c r="H661" i="27" a="1"/>
  <c r="H661" i="27" s="1"/>
  <c r="G661" i="27" a="1"/>
  <c r="G661" i="27" s="1"/>
  <c r="H660" i="27" a="1"/>
  <c r="H660" i="27" s="1"/>
  <c r="G660" i="27" a="1"/>
  <c r="G660" i="27" s="1"/>
  <c r="H659" i="27" a="1"/>
  <c r="H659" i="27" s="1"/>
  <c r="G659" i="27" a="1"/>
  <c r="G659" i="27" s="1"/>
  <c r="H658" i="27" a="1"/>
  <c r="H658" i="27" s="1"/>
  <c r="G658" i="27" a="1"/>
  <c r="G658" i="27" s="1"/>
  <c r="H657" i="27" a="1"/>
  <c r="H657" i="27" s="1"/>
  <c r="G657" i="27" a="1"/>
  <c r="G657" i="27" s="1"/>
  <c r="H656" i="27" a="1"/>
  <c r="H656" i="27" s="1"/>
  <c r="G656" i="27" a="1"/>
  <c r="G656" i="27" s="1"/>
  <c r="H655" i="27" a="1"/>
  <c r="H655" i="27" s="1"/>
  <c r="G655" i="27" a="1"/>
  <c r="G655" i="27" s="1"/>
  <c r="H654" i="27" a="1"/>
  <c r="H654" i="27" s="1"/>
  <c r="G654" i="27" a="1"/>
  <c r="G654" i="27" s="1"/>
  <c r="H653" i="27" a="1"/>
  <c r="H653" i="27" s="1"/>
  <c r="G653" i="27" a="1"/>
  <c r="G653" i="27" s="1"/>
  <c r="H652" i="27" a="1"/>
  <c r="H652" i="27" s="1"/>
  <c r="G652" i="27" a="1"/>
  <c r="G652" i="27" s="1"/>
  <c r="H651" i="27" a="1"/>
  <c r="H651" i="27" s="1"/>
  <c r="G651" i="27" a="1"/>
  <c r="G651" i="27" s="1"/>
  <c r="H650" i="27" a="1"/>
  <c r="H650" i="27" s="1"/>
  <c r="G650" i="27" a="1"/>
  <c r="G650" i="27" s="1"/>
  <c r="H649" i="27" a="1"/>
  <c r="H649" i="27" s="1"/>
  <c r="G649" i="27" a="1"/>
  <c r="G649" i="27" s="1"/>
  <c r="H648" i="27" a="1"/>
  <c r="H648" i="27" s="1"/>
  <c r="G648" i="27" a="1"/>
  <c r="G648" i="27" s="1"/>
  <c r="H647" i="27" a="1"/>
  <c r="H647" i="27" s="1"/>
  <c r="G647" i="27" a="1"/>
  <c r="G647" i="27" s="1"/>
  <c r="H646" i="27" a="1"/>
  <c r="H646" i="27" s="1"/>
  <c r="G646" i="27" a="1"/>
  <c r="G646" i="27" s="1"/>
  <c r="H645" i="27" a="1"/>
  <c r="H645" i="27" s="1"/>
  <c r="G645" i="27" a="1"/>
  <c r="G645" i="27" s="1"/>
  <c r="H644" i="27" a="1"/>
  <c r="H644" i="27" s="1"/>
  <c r="G644" i="27" a="1"/>
  <c r="G644" i="27" s="1"/>
  <c r="H643" i="27" a="1"/>
  <c r="H643" i="27" s="1"/>
  <c r="G643" i="27" a="1"/>
  <c r="G643" i="27" s="1"/>
  <c r="H642" i="27" a="1"/>
  <c r="H642" i="27" s="1"/>
  <c r="G642" i="27" a="1"/>
  <c r="G642" i="27" s="1"/>
  <c r="H641" i="27" a="1"/>
  <c r="H641" i="27" s="1"/>
  <c r="G641" i="27" a="1"/>
  <c r="G641" i="27" s="1"/>
  <c r="H640" i="27" a="1"/>
  <c r="H640" i="27" s="1"/>
  <c r="G640" i="27" a="1"/>
  <c r="G640" i="27" s="1"/>
  <c r="H639" i="27" a="1"/>
  <c r="H639" i="27" s="1"/>
  <c r="G639" i="27" a="1"/>
  <c r="G639" i="27" s="1"/>
  <c r="H638" i="27" a="1"/>
  <c r="H638" i="27" s="1"/>
  <c r="G638" i="27" a="1"/>
  <c r="G638" i="27" s="1"/>
  <c r="H637" i="27" a="1"/>
  <c r="H637" i="27" s="1"/>
  <c r="G637" i="27" a="1"/>
  <c r="G637" i="27" s="1"/>
  <c r="H636" i="27" a="1"/>
  <c r="H636" i="27" s="1"/>
  <c r="G636" i="27" a="1"/>
  <c r="G636" i="27" s="1"/>
  <c r="H635" i="27" a="1"/>
  <c r="H635" i="27" s="1"/>
  <c r="G635" i="27" a="1"/>
  <c r="G635" i="27" s="1"/>
  <c r="H634" i="27" a="1"/>
  <c r="H634" i="27" s="1"/>
  <c r="G634" i="27" a="1"/>
  <c r="G634" i="27" s="1"/>
  <c r="H633" i="27" a="1"/>
  <c r="H633" i="27" s="1"/>
  <c r="G633" i="27" a="1"/>
  <c r="G633" i="27" s="1"/>
  <c r="H632" i="27" a="1"/>
  <c r="H632" i="27" s="1"/>
  <c r="G632" i="27" a="1"/>
  <c r="G632" i="27" s="1"/>
  <c r="H631" i="27" a="1"/>
  <c r="H631" i="27" s="1"/>
  <c r="G631" i="27" a="1"/>
  <c r="G631" i="27" s="1"/>
  <c r="H630" i="27" a="1"/>
  <c r="H630" i="27" s="1"/>
  <c r="G630" i="27" a="1"/>
  <c r="G630" i="27" s="1"/>
  <c r="H629" i="27" a="1"/>
  <c r="H629" i="27" s="1"/>
  <c r="G629" i="27" a="1"/>
  <c r="G629" i="27" s="1"/>
  <c r="H628" i="27" a="1"/>
  <c r="H628" i="27" s="1"/>
  <c r="G628" i="27" a="1"/>
  <c r="G628" i="27" s="1"/>
  <c r="H627" i="27" a="1"/>
  <c r="H627" i="27" s="1"/>
  <c r="G627" i="27" a="1"/>
  <c r="G627" i="27" s="1"/>
  <c r="H626" i="27" a="1"/>
  <c r="H626" i="27" s="1"/>
  <c r="G626" i="27" a="1"/>
  <c r="G626" i="27" s="1"/>
  <c r="H625" i="27" a="1"/>
  <c r="H625" i="27" s="1"/>
  <c r="G625" i="27" a="1"/>
  <c r="G625" i="27" s="1"/>
  <c r="H624" i="27" a="1"/>
  <c r="H624" i="27" s="1"/>
  <c r="G624" i="27" a="1"/>
  <c r="G624" i="27" s="1"/>
  <c r="H623" i="27" a="1"/>
  <c r="H623" i="27" s="1"/>
  <c r="G623" i="27" a="1"/>
  <c r="G623" i="27" s="1"/>
  <c r="H622" i="27" a="1"/>
  <c r="H622" i="27" s="1"/>
  <c r="G622" i="27" a="1"/>
  <c r="G622" i="27" s="1"/>
  <c r="H621" i="27" a="1"/>
  <c r="H621" i="27" s="1"/>
  <c r="G621" i="27" a="1"/>
  <c r="G621" i="27" s="1"/>
  <c r="H620" i="27" a="1"/>
  <c r="H620" i="27" s="1"/>
  <c r="G620" i="27" a="1"/>
  <c r="G620" i="27" s="1"/>
  <c r="H619" i="27" a="1"/>
  <c r="H619" i="27" s="1"/>
  <c r="G619" i="27" a="1"/>
  <c r="G619" i="27" s="1"/>
  <c r="H618" i="27" a="1"/>
  <c r="H618" i="27" s="1"/>
  <c r="G618" i="27" a="1"/>
  <c r="G618" i="27" s="1"/>
  <c r="H617" i="27" a="1"/>
  <c r="H617" i="27" s="1"/>
  <c r="G617" i="27" a="1"/>
  <c r="G617" i="27" s="1"/>
  <c r="H616" i="27" a="1"/>
  <c r="H616" i="27" s="1"/>
  <c r="G616" i="27" a="1"/>
  <c r="G616" i="27" s="1"/>
  <c r="H615" i="27" a="1"/>
  <c r="H615" i="27" s="1"/>
  <c r="G615" i="27" a="1"/>
  <c r="G615" i="27" s="1"/>
  <c r="H614" i="27" a="1"/>
  <c r="H614" i="27" s="1"/>
  <c r="G614" i="27" a="1"/>
  <c r="G614" i="27" s="1"/>
  <c r="H613" i="27" a="1"/>
  <c r="H613" i="27" s="1"/>
  <c r="G613" i="27" a="1"/>
  <c r="G613" i="27" s="1"/>
  <c r="H612" i="27" a="1"/>
  <c r="H612" i="27" s="1"/>
  <c r="G612" i="27" a="1"/>
  <c r="G612" i="27" s="1"/>
  <c r="H611" i="27" a="1"/>
  <c r="H611" i="27" s="1"/>
  <c r="G611" i="27" a="1"/>
  <c r="G611" i="27" s="1"/>
  <c r="H610" i="27" a="1"/>
  <c r="H610" i="27" s="1"/>
  <c r="G610" i="27" a="1"/>
  <c r="G610" i="27" s="1"/>
  <c r="H609" i="27" a="1"/>
  <c r="H609" i="27" s="1"/>
  <c r="G609" i="27" a="1"/>
  <c r="G609" i="27" s="1"/>
  <c r="H608" i="27"/>
  <c r="H608" i="27" a="1"/>
  <c r="G608" i="27"/>
  <c r="G608" i="27" a="1"/>
  <c r="H607" i="27"/>
  <c r="H607" i="27" a="1"/>
  <c r="G607" i="27"/>
  <c r="G607" i="27" a="1"/>
  <c r="H606" i="27"/>
  <c r="H606" i="27" a="1"/>
  <c r="G606" i="27"/>
  <c r="G606" i="27" a="1"/>
  <c r="H605" i="27"/>
  <c r="H605" i="27" a="1"/>
  <c r="G605" i="27"/>
  <c r="G605" i="27" a="1"/>
  <c r="H604" i="27"/>
  <c r="H604" i="27" a="1"/>
  <c r="G604" i="27"/>
  <c r="G604" i="27" a="1"/>
  <c r="H603" i="27"/>
  <c r="H603" i="27" a="1"/>
  <c r="G603" i="27"/>
  <c r="G603" i="27" a="1"/>
  <c r="H602" i="27"/>
  <c r="H602" i="27" a="1"/>
  <c r="G602" i="27"/>
  <c r="G602" i="27" a="1"/>
  <c r="H601" i="27"/>
  <c r="H601" i="27" a="1"/>
  <c r="G601" i="27"/>
  <c r="G601" i="27" a="1"/>
  <c r="H600" i="27"/>
  <c r="H600" i="27" a="1"/>
  <c r="G600" i="27"/>
  <c r="G600" i="27" a="1"/>
  <c r="H599" i="27"/>
  <c r="H599" i="27" a="1"/>
  <c r="G599" i="27"/>
  <c r="G599" i="27" a="1"/>
  <c r="H598" i="27"/>
  <c r="H598" i="27" a="1"/>
  <c r="G598" i="27"/>
  <c r="G598" i="27" a="1"/>
  <c r="H597" i="27"/>
  <c r="H597" i="27" a="1"/>
  <c r="G597" i="27"/>
  <c r="G597" i="27" a="1"/>
  <c r="D35" i="25"/>
  <c r="F14" i="25"/>
  <c r="F55" i="23"/>
  <c r="G55" i="23" s="1"/>
  <c r="F56" i="23"/>
  <c r="G56" i="23" s="1"/>
  <c r="F57" i="23"/>
  <c r="G57" i="23" s="1"/>
  <c r="F58" i="23"/>
  <c r="G58" i="23" s="1"/>
  <c r="F59" i="23"/>
  <c r="G59" i="23" s="1"/>
  <c r="F60" i="23"/>
  <c r="G60" i="23" s="1"/>
  <c r="F61" i="23"/>
  <c r="G61" i="23" s="1"/>
  <c r="F62" i="23"/>
  <c r="G62" i="23" s="1"/>
  <c r="F63" i="23"/>
  <c r="G63" i="23" s="1"/>
  <c r="F64" i="23"/>
  <c r="G64" i="23" s="1"/>
  <c r="O56" i="25"/>
  <c r="O60" i="25"/>
  <c r="O57" i="25"/>
  <c r="G54" i="25"/>
  <c r="G55" i="25"/>
  <c r="G58" i="25"/>
  <c r="G60" i="25"/>
  <c r="D56" i="25"/>
  <c r="D60" i="25"/>
  <c r="D57" i="25"/>
  <c r="O54" i="25"/>
  <c r="O58" i="25"/>
  <c r="O55" i="25"/>
  <c r="O59" i="25"/>
  <c r="D54" i="25"/>
  <c r="G57" i="25"/>
  <c r="G59" i="25"/>
  <c r="G56" i="25"/>
  <c r="D58" i="25"/>
  <c r="D55" i="25"/>
  <c r="D59" i="25"/>
  <c r="F20" i="25" l="1"/>
  <c r="G20" i="25"/>
  <c r="O61" i="25"/>
  <c r="D71" i="25"/>
  <c r="E71" i="25" s="1"/>
  <c r="D69" i="25"/>
  <c r="E69" i="25" s="1"/>
  <c r="D67" i="25"/>
  <c r="E67" i="25" s="1"/>
  <c r="D70" i="25"/>
  <c r="E70" i="25" s="1"/>
  <c r="D68" i="25"/>
  <c r="E68" i="25" s="1"/>
  <c r="D66" i="25"/>
  <c r="E66" i="25" s="1"/>
  <c r="D65" i="25"/>
  <c r="E65" i="25" s="1"/>
  <c r="I65" i="25"/>
  <c r="E59" i="25"/>
  <c r="E57" i="25"/>
  <c r="E55" i="25"/>
  <c r="E60" i="25"/>
  <c r="E58" i="25"/>
  <c r="E56" i="25"/>
  <c r="E54" i="25"/>
  <c r="I55" i="25"/>
  <c r="I56" i="25"/>
  <c r="I54" i="25"/>
  <c r="I60" i="25"/>
  <c r="I59" i="25"/>
  <c r="I58" i="25"/>
  <c r="I57" i="25"/>
  <c r="G65" i="23"/>
  <c r="F65" i="23"/>
  <c r="K56" i="25" l="1"/>
  <c r="K60" i="25"/>
  <c r="K57" i="25"/>
  <c r="K54" i="25"/>
  <c r="K58" i="25"/>
  <c r="K55" i="25"/>
  <c r="K59" i="25"/>
  <c r="E72" i="25"/>
  <c r="F69" i="25" s="1"/>
  <c r="E61" i="25"/>
  <c r="J55" i="25" l="1"/>
  <c r="J59" i="25"/>
  <c r="J57" i="25"/>
  <c r="J60" i="25"/>
  <c r="J58" i="25"/>
  <c r="J56" i="25"/>
  <c r="J54" i="25"/>
  <c r="H69" i="25"/>
  <c r="L69" i="25"/>
  <c r="F68" i="25"/>
  <c r="F67" i="25"/>
  <c r="F66" i="25"/>
  <c r="F65" i="25"/>
  <c r="F71" i="25"/>
  <c r="F70" i="25"/>
  <c r="F54" i="25"/>
  <c r="F57" i="25"/>
  <c r="F60" i="25"/>
  <c r="F56" i="25"/>
  <c r="F59" i="25"/>
  <c r="F55" i="25"/>
  <c r="F58" i="25"/>
  <c r="C149" i="8"/>
  <c r="D149" i="8"/>
  <c r="Q59" i="25" l="1"/>
  <c r="Q60" i="25"/>
  <c r="Q58" i="25"/>
  <c r="L56" i="25"/>
  <c r="L60" i="25"/>
  <c r="L55" i="25"/>
  <c r="L54" i="25"/>
  <c r="L58" i="25"/>
  <c r="L57" i="25"/>
  <c r="L59" i="25"/>
  <c r="Q55" i="25"/>
  <c r="Q56" i="25"/>
  <c r="Q57" i="25"/>
  <c r="Q54" i="25"/>
  <c r="H70" i="25"/>
  <c r="L70" i="25"/>
  <c r="H65" i="25"/>
  <c r="L65" i="25"/>
  <c r="H67" i="25"/>
  <c r="L67" i="25"/>
  <c r="H71" i="25"/>
  <c r="L71" i="25"/>
  <c r="H66" i="25"/>
  <c r="L66" i="25"/>
  <c r="H68" i="25"/>
  <c r="L68" i="25"/>
  <c r="H54" i="25"/>
  <c r="H55" i="25"/>
  <c r="H56" i="25"/>
  <c r="H57" i="25"/>
  <c r="H58" i="25"/>
  <c r="H59" i="25"/>
  <c r="H60" i="25"/>
  <c r="E16" i="20"/>
  <c r="E14" i="20"/>
  <c r="M57" i="25" l="1"/>
  <c r="N57" i="25" s="1"/>
  <c r="M54" i="25"/>
  <c r="M60" i="25"/>
  <c r="M59" i="25"/>
  <c r="N59" i="25" s="1"/>
  <c r="M58" i="25"/>
  <c r="N58" i="25" s="1"/>
  <c r="M55" i="25"/>
  <c r="M56" i="25"/>
  <c r="N56" i="25" s="1"/>
  <c r="G72" i="25"/>
  <c r="I72" i="25"/>
  <c r="G61" i="25"/>
  <c r="F79" i="23" s="1"/>
  <c r="I61" i="25"/>
  <c r="F8" i="8"/>
  <c r="N55" i="25" l="1"/>
  <c r="P55" i="25" s="1"/>
  <c r="N54" i="25"/>
  <c r="P54" i="25" s="1"/>
  <c r="P56" i="25"/>
  <c r="P57" i="25"/>
  <c r="M61" i="25"/>
  <c r="F78" i="23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3" i="8"/>
  <c r="E134" i="8"/>
  <c r="E135" i="8"/>
  <c r="E136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5" i="8"/>
  <c r="F116" i="8"/>
  <c r="F117" i="8"/>
  <c r="F118" i="8"/>
  <c r="F119" i="8"/>
  <c r="F120" i="8"/>
  <c r="F121" i="8"/>
  <c r="F122" i="8"/>
  <c r="F123" i="8"/>
  <c r="F124" i="8"/>
  <c r="F125" i="8"/>
  <c r="F126" i="8"/>
  <c r="F127" i="8"/>
  <c r="F128" i="8"/>
  <c r="F129" i="8"/>
  <c r="F130" i="8"/>
  <c r="F131" i="8"/>
  <c r="F133" i="8"/>
  <c r="F134" i="8"/>
  <c r="F135" i="8"/>
  <c r="F136" i="8"/>
  <c r="AE8" i="8"/>
  <c r="F114" i="8" s="1"/>
  <c r="AE9" i="8"/>
  <c r="AE10" i="8"/>
  <c r="AE11" i="8"/>
  <c r="AE12" i="8"/>
  <c r="AE13" i="8"/>
  <c r="AE14" i="8"/>
  <c r="AE15" i="8"/>
  <c r="AE16" i="8"/>
  <c r="AE17" i="8"/>
  <c r="AE18" i="8"/>
  <c r="AE19" i="8"/>
  <c r="F67" i="8" s="1"/>
  <c r="AE20" i="8"/>
  <c r="AE21" i="8"/>
  <c r="AE22" i="8"/>
  <c r="AE23" i="8"/>
  <c r="AE24" i="8"/>
  <c r="AE25" i="8"/>
  <c r="AE26" i="8"/>
  <c r="V29" i="8"/>
  <c r="E29" i="8" s="1"/>
  <c r="V8" i="8"/>
  <c r="V9" i="8"/>
  <c r="V10" i="8"/>
  <c r="V11" i="8"/>
  <c r="V12" i="8"/>
  <c r="V13" i="8"/>
  <c r="V14" i="8"/>
  <c r="V15" i="8"/>
  <c r="V16" i="8"/>
  <c r="V17" i="8"/>
  <c r="V18" i="8"/>
  <c r="V19" i="8"/>
  <c r="V20" i="8"/>
  <c r="V21" i="8"/>
  <c r="V22" i="8"/>
  <c r="V23" i="8"/>
  <c r="V24" i="8"/>
  <c r="V25" i="8"/>
  <c r="V26" i="8"/>
  <c r="V27" i="8"/>
  <c r="V28" i="8"/>
  <c r="V30" i="8"/>
  <c r="V31" i="8"/>
  <c r="V32" i="8"/>
  <c r="V33" i="8"/>
  <c r="V34" i="8"/>
  <c r="V35" i="8"/>
  <c r="V36" i="8"/>
  <c r="V37" i="8"/>
  <c r="V38" i="8"/>
  <c r="V39" i="8"/>
  <c r="V40" i="8"/>
  <c r="V41" i="8"/>
  <c r="V42" i="8"/>
  <c r="V43" i="8"/>
  <c r="V44" i="8"/>
  <c r="V45" i="8"/>
  <c r="V46" i="8"/>
  <c r="V47" i="8"/>
  <c r="V48" i="8"/>
  <c r="V49" i="8"/>
  <c r="V50" i="8"/>
  <c r="V51" i="8"/>
  <c r="V52" i="8"/>
  <c r="V53" i="8"/>
  <c r="V54" i="8"/>
  <c r="V55" i="8"/>
  <c r="V56" i="8"/>
  <c r="V57" i="8"/>
  <c r="V58" i="8"/>
  <c r="V59" i="8"/>
  <c r="V60" i="8"/>
  <c r="V61" i="8"/>
  <c r="V62" i="8"/>
  <c r="V63" i="8"/>
  <c r="V64" i="8"/>
  <c r="V65" i="8"/>
  <c r="V66" i="8"/>
  <c r="V67" i="8"/>
  <c r="V68" i="8"/>
  <c r="V69" i="8"/>
  <c r="V70" i="8"/>
  <c r="V71" i="8"/>
  <c r="V72" i="8"/>
  <c r="V73" i="8"/>
  <c r="V74" i="8"/>
  <c r="V75" i="8"/>
  <c r="V76" i="8"/>
  <c r="V77" i="8"/>
  <c r="V78" i="8"/>
  <c r="V79" i="8"/>
  <c r="V80" i="8"/>
  <c r="V81" i="8"/>
  <c r="V82" i="8"/>
  <c r="V83" i="8"/>
  <c r="V84" i="8"/>
  <c r="V85" i="8"/>
  <c r="V86" i="8"/>
  <c r="V87" i="8"/>
  <c r="V88" i="8"/>
  <c r="V89" i="8"/>
  <c r="V90" i="8"/>
  <c r="V91" i="8"/>
  <c r="V92" i="8"/>
  <c r="V93" i="8"/>
  <c r="V94" i="8"/>
  <c r="V95" i="8"/>
  <c r="V96" i="8"/>
  <c r="V97" i="8"/>
  <c r="V98" i="8"/>
  <c r="V99" i="8"/>
  <c r="V100" i="8"/>
  <c r="V101" i="8"/>
  <c r="V102" i="8"/>
  <c r="V103" i="8"/>
  <c r="V104" i="8"/>
  <c r="V105" i="8"/>
  <c r="V106" i="8"/>
  <c r="V107" i="8"/>
  <c r="V108" i="8"/>
  <c r="V109" i="8"/>
  <c r="V110" i="8"/>
  <c r="V111" i="8"/>
  <c r="V112" i="8"/>
  <c r="V113" i="8"/>
  <c r="V114" i="8"/>
  <c r="V115" i="8"/>
  <c r="V116" i="8"/>
  <c r="V117" i="8"/>
  <c r="V118" i="8"/>
  <c r="V119" i="8"/>
  <c r="V120" i="8"/>
  <c r="V121" i="8"/>
  <c r="V122" i="8"/>
  <c r="V123" i="8"/>
  <c r="V124" i="8"/>
  <c r="V125" i="8"/>
  <c r="V126" i="8"/>
  <c r="V127" i="8"/>
  <c r="V128" i="8"/>
  <c r="V129" i="8"/>
  <c r="V130" i="8"/>
  <c r="V131" i="8"/>
  <c r="V132" i="8"/>
  <c r="E132" i="8" s="1"/>
  <c r="V133" i="8"/>
  <c r="V134" i="8"/>
  <c r="V135" i="8"/>
  <c r="V136" i="8"/>
  <c r="J8" i="8"/>
  <c r="D8" i="8" s="1"/>
  <c r="J9" i="8"/>
  <c r="D9" i="8" s="1"/>
  <c r="J10" i="8"/>
  <c r="D10" i="8" s="1"/>
  <c r="J11" i="8"/>
  <c r="J12" i="8"/>
  <c r="D12" i="8" s="1"/>
  <c r="J13" i="8"/>
  <c r="D13" i="8" s="1"/>
  <c r="J14" i="8"/>
  <c r="D14" i="8" s="1"/>
  <c r="J15" i="8"/>
  <c r="J16" i="8"/>
  <c r="J17" i="8"/>
  <c r="D17" i="8" s="1"/>
  <c r="J18" i="8"/>
  <c r="D18" i="8" s="1"/>
  <c r="J19" i="8"/>
  <c r="J20" i="8"/>
  <c r="J21" i="8"/>
  <c r="D21" i="8" s="1"/>
  <c r="J22" i="8"/>
  <c r="J23" i="8"/>
  <c r="D23" i="8" s="1"/>
  <c r="J24" i="8"/>
  <c r="D24" i="8" s="1"/>
  <c r="J25" i="8"/>
  <c r="J26" i="8"/>
  <c r="D26" i="8" s="1"/>
  <c r="J27" i="8"/>
  <c r="D27" i="8" s="1"/>
  <c r="J28" i="8"/>
  <c r="J29" i="8"/>
  <c r="J30" i="8"/>
  <c r="D30" i="8" s="1"/>
  <c r="J31" i="8"/>
  <c r="D31" i="8" s="1"/>
  <c r="J32" i="8"/>
  <c r="D32" i="8" s="1"/>
  <c r="J33" i="8"/>
  <c r="D33" i="8" s="1"/>
  <c r="J34" i="8"/>
  <c r="D34" i="8" s="1"/>
  <c r="J35" i="8"/>
  <c r="D35" i="8" s="1"/>
  <c r="J36" i="8"/>
  <c r="J37" i="8"/>
  <c r="D37" i="8" s="1"/>
  <c r="J38" i="8"/>
  <c r="D38" i="8" s="1"/>
  <c r="J39" i="8"/>
  <c r="D39" i="8" s="1"/>
  <c r="J40" i="8"/>
  <c r="J41" i="8"/>
  <c r="D41" i="8" s="1"/>
  <c r="J42" i="8"/>
  <c r="D42" i="8" s="1"/>
  <c r="J43" i="8"/>
  <c r="J44" i="8"/>
  <c r="D44" i="8" s="1"/>
  <c r="J45" i="8"/>
  <c r="J46" i="8"/>
  <c r="J47" i="8"/>
  <c r="J48" i="8"/>
  <c r="D48" i="8" s="1"/>
  <c r="J49" i="8"/>
  <c r="D49" i="8" s="1"/>
  <c r="J50" i="8"/>
  <c r="D50" i="8" s="1"/>
  <c r="J51" i="8"/>
  <c r="J52" i="8"/>
  <c r="J53" i="8"/>
  <c r="J54" i="8"/>
  <c r="J55" i="8"/>
  <c r="D55" i="8" s="1"/>
  <c r="J56" i="8"/>
  <c r="D56" i="8" s="1"/>
  <c r="J57" i="8"/>
  <c r="J58" i="8"/>
  <c r="D58" i="8" s="1"/>
  <c r="J59" i="8"/>
  <c r="J60" i="8"/>
  <c r="D60" i="8" s="1"/>
  <c r="J61" i="8"/>
  <c r="J62" i="8"/>
  <c r="D62" i="8" s="1"/>
  <c r="J63" i="8"/>
  <c r="J64" i="8"/>
  <c r="J65" i="8"/>
  <c r="J66" i="8"/>
  <c r="J67" i="8"/>
  <c r="D67" i="8" s="1"/>
  <c r="J68" i="8"/>
  <c r="J69" i="8"/>
  <c r="D69" i="8" s="1"/>
  <c r="J70" i="8"/>
  <c r="D70" i="8" s="1"/>
  <c r="J71" i="8"/>
  <c r="J72" i="8"/>
  <c r="D72" i="8" s="1"/>
  <c r="J73" i="8"/>
  <c r="D73" i="8" s="1"/>
  <c r="J74" i="8"/>
  <c r="J75" i="8"/>
  <c r="D75" i="8" s="1"/>
  <c r="J76" i="8"/>
  <c r="D76" i="8" s="1"/>
  <c r="J77" i="8"/>
  <c r="D77" i="8" s="1"/>
  <c r="J78" i="8"/>
  <c r="D78" i="8" s="1"/>
  <c r="J79" i="8"/>
  <c r="D79" i="8" s="1"/>
  <c r="J80" i="8"/>
  <c r="J81" i="8"/>
  <c r="D81" i="8" s="1"/>
  <c r="J82" i="8"/>
  <c r="D82" i="8" s="1"/>
  <c r="J83" i="8"/>
  <c r="J84" i="8"/>
  <c r="D84" i="8" s="1"/>
  <c r="J85" i="8"/>
  <c r="J86" i="8"/>
  <c r="D86" i="8" s="1"/>
  <c r="J87" i="8"/>
  <c r="J88" i="8"/>
  <c r="J89" i="8"/>
  <c r="J90" i="8"/>
  <c r="D90" i="8" s="1"/>
  <c r="J91" i="8"/>
  <c r="J92" i="8"/>
  <c r="D92" i="8" s="1"/>
  <c r="J93" i="8"/>
  <c r="J94" i="8"/>
  <c r="D94" i="8" s="1"/>
  <c r="J95" i="8"/>
  <c r="D95" i="8" s="1"/>
  <c r="J96" i="8"/>
  <c r="D96" i="8" s="1"/>
  <c r="J97" i="8"/>
  <c r="J98" i="8"/>
  <c r="D98" i="8" s="1"/>
  <c r="J99" i="8"/>
  <c r="J100" i="8"/>
  <c r="J101" i="8"/>
  <c r="D101" i="8" s="1"/>
  <c r="J102" i="8"/>
  <c r="D102" i="8" s="1"/>
  <c r="J103" i="8"/>
  <c r="D103" i="8" s="1"/>
  <c r="J104" i="8"/>
  <c r="J105" i="8"/>
  <c r="D105" i="8" s="1"/>
  <c r="J106" i="8"/>
  <c r="D106" i="8" s="1"/>
  <c r="J107" i="8"/>
  <c r="D107" i="8" s="1"/>
  <c r="J108" i="8"/>
  <c r="J109" i="8"/>
  <c r="D109" i="8" s="1"/>
  <c r="J110" i="8"/>
  <c r="D110" i="8" s="1"/>
  <c r="J111" i="8"/>
  <c r="D111" i="8" s="1"/>
  <c r="J112" i="8"/>
  <c r="J113" i="8"/>
  <c r="D113" i="8" s="1"/>
  <c r="J114" i="8"/>
  <c r="D114" i="8" s="1"/>
  <c r="J115" i="8"/>
  <c r="J116" i="8"/>
  <c r="D116" i="8" s="1"/>
  <c r="J117" i="8"/>
  <c r="D117" i="8" s="1"/>
  <c r="J118" i="8"/>
  <c r="J119" i="8"/>
  <c r="J120" i="8"/>
  <c r="J121" i="8"/>
  <c r="D121" i="8" s="1"/>
  <c r="J122" i="8"/>
  <c r="D122" i="8" s="1"/>
  <c r="J123" i="8"/>
  <c r="J124" i="8"/>
  <c r="J125" i="8"/>
  <c r="D125" i="8" s="1"/>
  <c r="J126" i="8"/>
  <c r="D126" i="8" s="1"/>
  <c r="J127" i="8"/>
  <c r="D127" i="8" s="1"/>
  <c r="J128" i="8"/>
  <c r="J129" i="8"/>
  <c r="D129" i="8" s="1"/>
  <c r="J130" i="8"/>
  <c r="D130" i="8" s="1"/>
  <c r="J131" i="8"/>
  <c r="D131" i="8" s="1"/>
  <c r="J132" i="8"/>
  <c r="D132" i="8" s="1"/>
  <c r="J133" i="8"/>
  <c r="J134" i="8"/>
  <c r="D134" i="8" s="1"/>
  <c r="J135" i="8"/>
  <c r="D135" i="8" s="1"/>
  <c r="J136" i="8"/>
  <c r="D136" i="8" s="1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99" i="8"/>
  <c r="I100" i="8"/>
  <c r="I101" i="8"/>
  <c r="I102" i="8"/>
  <c r="I103" i="8"/>
  <c r="I104" i="8"/>
  <c r="I105" i="8"/>
  <c r="I106" i="8"/>
  <c r="I107" i="8"/>
  <c r="I108" i="8"/>
  <c r="I109" i="8"/>
  <c r="I110" i="8"/>
  <c r="I111" i="8"/>
  <c r="I112" i="8"/>
  <c r="I113" i="8"/>
  <c r="I114" i="8"/>
  <c r="I115" i="8"/>
  <c r="I116" i="8"/>
  <c r="I117" i="8"/>
  <c r="I118" i="8"/>
  <c r="I119" i="8"/>
  <c r="I120" i="8"/>
  <c r="I121" i="8"/>
  <c r="I122" i="8"/>
  <c r="I123" i="8"/>
  <c r="I124" i="8"/>
  <c r="I125" i="8"/>
  <c r="I126" i="8"/>
  <c r="I127" i="8"/>
  <c r="I128" i="8"/>
  <c r="I129" i="8"/>
  <c r="I130" i="8"/>
  <c r="I131" i="8"/>
  <c r="I132" i="8"/>
  <c r="I133" i="8"/>
  <c r="I134" i="8"/>
  <c r="I135" i="8"/>
  <c r="I136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35" i="8"/>
  <c r="H136" i="8"/>
  <c r="P58" i="25" l="1"/>
  <c r="P60" i="25" s="1"/>
  <c r="P59" i="25"/>
  <c r="C147" i="8"/>
  <c r="C142" i="8"/>
  <c r="D143" i="8"/>
  <c r="D140" i="8"/>
  <c r="D145" i="8"/>
  <c r="D146" i="8"/>
  <c r="D141" i="8"/>
  <c r="D142" i="8"/>
  <c r="D148" i="8"/>
  <c r="D133" i="8"/>
  <c r="D123" i="8"/>
  <c r="D119" i="8"/>
  <c r="D115" i="8"/>
  <c r="D99" i="8"/>
  <c r="D97" i="8"/>
  <c r="D93" i="8"/>
  <c r="D91" i="8"/>
  <c r="D89" i="8"/>
  <c r="D87" i="8"/>
  <c r="D85" i="8"/>
  <c r="D83" i="8"/>
  <c r="D71" i="8"/>
  <c r="D65" i="8"/>
  <c r="D63" i="8"/>
  <c r="D61" i="8"/>
  <c r="D59" i="8"/>
  <c r="D57" i="8"/>
  <c r="D53" i="8"/>
  <c r="D51" i="8"/>
  <c r="D47" i="8"/>
  <c r="D45" i="8"/>
  <c r="D43" i="8"/>
  <c r="D29" i="8"/>
  <c r="D16" i="20" s="1"/>
  <c r="F16" i="20" s="1"/>
  <c r="D25" i="8"/>
  <c r="D19" i="8"/>
  <c r="D15" i="8"/>
  <c r="D11" i="8"/>
  <c r="F29" i="8"/>
  <c r="D144" i="8" s="1"/>
  <c r="D128" i="8"/>
  <c r="D124" i="8"/>
  <c r="D120" i="8"/>
  <c r="D118" i="8"/>
  <c r="D112" i="8"/>
  <c r="D108" i="8"/>
  <c r="D104" i="8"/>
  <c r="D100" i="8"/>
  <c r="D88" i="8"/>
  <c r="D80" i="8"/>
  <c r="D74" i="8"/>
  <c r="D68" i="8"/>
  <c r="D66" i="8"/>
  <c r="D64" i="8"/>
  <c r="D54" i="8"/>
  <c r="D52" i="8"/>
  <c r="D46" i="8"/>
  <c r="D40" i="8"/>
  <c r="D36" i="8"/>
  <c r="D28" i="8"/>
  <c r="D22" i="8"/>
  <c r="D20" i="8"/>
  <c r="D16" i="8"/>
  <c r="D14" i="20"/>
  <c r="F14" i="20" s="1"/>
  <c r="D13" i="20"/>
  <c r="F132" i="8"/>
  <c r="D147" i="8" s="1"/>
  <c r="N61" i="25" l="1"/>
  <c r="C143" i="8"/>
  <c r="C148" i="8"/>
  <c r="C145" i="8"/>
  <c r="C146" i="8"/>
  <c r="C140" i="8"/>
  <c r="C141" i="8"/>
  <c r="D15" i="20"/>
  <c r="C144" i="8"/>
  <c r="E15" i="20"/>
  <c r="F15" i="20" s="1"/>
  <c r="E13" i="20"/>
  <c r="F13" i="20" s="1"/>
  <c r="H16" i="20"/>
  <c r="G16" i="20"/>
  <c r="H14" i="20"/>
  <c r="G14" i="20"/>
  <c r="G13" i="20" l="1"/>
  <c r="H13" i="20"/>
  <c r="G15" i="20"/>
  <c r="H15" i="20"/>
</calcChain>
</file>

<file path=xl/sharedStrings.xml><?xml version="1.0" encoding="utf-8"?>
<sst xmlns="http://schemas.openxmlformats.org/spreadsheetml/2006/main" count="2752" uniqueCount="505">
  <si>
    <t>S&amp;P</t>
  </si>
  <si>
    <t>Moody's</t>
  </si>
  <si>
    <t>Fitch</t>
  </si>
  <si>
    <t>Entity</t>
  </si>
  <si>
    <t>A</t>
  </si>
  <si>
    <t>AA</t>
  </si>
  <si>
    <t>AA+</t>
  </si>
  <si>
    <t>B</t>
  </si>
  <si>
    <t>BB-</t>
  </si>
  <si>
    <t>A-</t>
  </si>
  <si>
    <t>AAA</t>
  </si>
  <si>
    <t>CCC+</t>
  </si>
  <si>
    <t>SD</t>
  </si>
  <si>
    <t>BBB+</t>
  </si>
  <si>
    <t>BBB-</t>
  </si>
  <si>
    <t>BBB</t>
  </si>
  <si>
    <t>B-</t>
  </si>
  <si>
    <t>AA-</t>
  </si>
  <si>
    <t>BB</t>
  </si>
  <si>
    <t>A+</t>
  </si>
  <si>
    <t>B+</t>
  </si>
  <si>
    <t>BB+</t>
  </si>
  <si>
    <t>CCC</t>
  </si>
  <si>
    <t>Date</t>
  </si>
  <si>
    <t>Aaa</t>
  </si>
  <si>
    <t>Aa1</t>
  </si>
  <si>
    <t>Aa2</t>
  </si>
  <si>
    <t>Aa3</t>
  </si>
  <si>
    <t>A1</t>
  </si>
  <si>
    <t>A2</t>
  </si>
  <si>
    <t>A3</t>
  </si>
  <si>
    <t>Baa1</t>
  </si>
  <si>
    <t>Baa2</t>
  </si>
  <si>
    <t>Baa3</t>
  </si>
  <si>
    <t>Ba1</t>
  </si>
  <si>
    <t>Ba2</t>
  </si>
  <si>
    <t>Ba3</t>
  </si>
  <si>
    <t>B1</t>
  </si>
  <si>
    <t>B2</t>
  </si>
  <si>
    <t>B3</t>
  </si>
  <si>
    <t>Caa1</t>
  </si>
  <si>
    <t>Caa2</t>
  </si>
  <si>
    <t>Caa3</t>
  </si>
  <si>
    <t>Rating</t>
  </si>
  <si>
    <t>Default spread in basis points</t>
  </si>
  <si>
    <t xml:space="preserve"> Abu Dhabi, UAE</t>
  </si>
  <si>
    <t xml:space="preserve"> Albania</t>
  </si>
  <si>
    <t xml:space="preserve"> Andorra</t>
  </si>
  <si>
    <t xml:space="preserve"> Angola</t>
  </si>
  <si>
    <t xml:space="preserve"> Argentina</t>
  </si>
  <si>
    <t xml:space="preserve"> Aruba</t>
  </si>
  <si>
    <t xml:space="preserve"> Australia</t>
  </si>
  <si>
    <t xml:space="preserve"> Austria</t>
  </si>
  <si>
    <t xml:space="preserve"> Azerbaijan</t>
  </si>
  <si>
    <t xml:space="preserve"> Bahamas</t>
  </si>
  <si>
    <t xml:space="preserve"> Bahrain</t>
  </si>
  <si>
    <t xml:space="preserve"> Bangladesh</t>
  </si>
  <si>
    <t xml:space="preserve"> Barbados</t>
  </si>
  <si>
    <t xml:space="preserve"> Belarus</t>
  </si>
  <si>
    <t xml:space="preserve"> Belgium</t>
  </si>
  <si>
    <t xml:space="preserve"> Belize</t>
  </si>
  <si>
    <t xml:space="preserve"> Benin</t>
  </si>
  <si>
    <t xml:space="preserve"> Bermuda</t>
  </si>
  <si>
    <t xml:space="preserve"> Bolivia</t>
  </si>
  <si>
    <t xml:space="preserve"> Bosnia and Herzegovina</t>
  </si>
  <si>
    <t xml:space="preserve"> Botswana</t>
  </si>
  <si>
    <t xml:space="preserve"> Brazil</t>
  </si>
  <si>
    <t xml:space="preserve"> Bulgaria</t>
  </si>
  <si>
    <t xml:space="preserve"> Burkina Faso</t>
  </si>
  <si>
    <t xml:space="preserve"> Cambodia</t>
  </si>
  <si>
    <t xml:space="preserve"> Cameroon</t>
  </si>
  <si>
    <t xml:space="preserve"> Canada</t>
  </si>
  <si>
    <t xml:space="preserve"> Cape Verde</t>
  </si>
  <si>
    <t xml:space="preserve"> Chile</t>
  </si>
  <si>
    <t xml:space="preserve"> China</t>
  </si>
  <si>
    <t xml:space="preserve"> Colombia</t>
  </si>
  <si>
    <t xml:space="preserve"> Cook Islands</t>
  </si>
  <si>
    <t xml:space="preserve"> Costa Rica</t>
  </si>
  <si>
    <t xml:space="preserve"> Croatia</t>
  </si>
  <si>
    <t xml:space="preserve"> Curacao</t>
  </si>
  <si>
    <t xml:space="preserve"> Cyprus</t>
  </si>
  <si>
    <t xml:space="preserve"> Czech Republic</t>
  </si>
  <si>
    <t xml:space="preserve"> Denmark</t>
  </si>
  <si>
    <t xml:space="preserve"> Dominican Republic</t>
  </si>
  <si>
    <t xml:space="preserve"> Ecuador</t>
  </si>
  <si>
    <t xml:space="preserve"> Egypt</t>
  </si>
  <si>
    <t xml:space="preserve"> El Salvador</t>
  </si>
  <si>
    <t xml:space="preserve"> European Union</t>
  </si>
  <si>
    <t xml:space="preserve"> Estonia</t>
  </si>
  <si>
    <t xml:space="preserve"> Fiji</t>
  </si>
  <si>
    <t xml:space="preserve"> Finland</t>
  </si>
  <si>
    <t xml:space="preserve"> France</t>
  </si>
  <si>
    <t xml:space="preserve"> Gabon</t>
  </si>
  <si>
    <t xml:space="preserve"> Georgia</t>
  </si>
  <si>
    <t xml:space="preserve"> Germany</t>
  </si>
  <si>
    <t xml:space="preserve"> Ghana</t>
  </si>
  <si>
    <t xml:space="preserve"> Greece</t>
  </si>
  <si>
    <t xml:space="preserve"> Grenada</t>
  </si>
  <si>
    <t xml:space="preserve"> Guatemala</t>
  </si>
  <si>
    <t xml:space="preserve"> Guernsey</t>
  </si>
  <si>
    <t xml:space="preserve"> Honduras</t>
  </si>
  <si>
    <t xml:space="preserve"> Hong Kong</t>
  </si>
  <si>
    <t xml:space="preserve"> Hungary</t>
  </si>
  <si>
    <t xml:space="preserve"> Iceland</t>
  </si>
  <si>
    <t xml:space="preserve"> India</t>
  </si>
  <si>
    <t xml:space="preserve"> Indonesia</t>
  </si>
  <si>
    <t xml:space="preserve"> Ireland</t>
  </si>
  <si>
    <t xml:space="preserve"> Isle of Man</t>
  </si>
  <si>
    <t xml:space="preserve"> Israel</t>
  </si>
  <si>
    <t xml:space="preserve"> Italy</t>
  </si>
  <si>
    <t xml:space="preserve"> Jamaica</t>
  </si>
  <si>
    <t xml:space="preserve"> Japan</t>
  </si>
  <si>
    <t xml:space="preserve"> Jordan</t>
  </si>
  <si>
    <t xml:space="preserve"> Kazakhstan</t>
  </si>
  <si>
    <t xml:space="preserve"> Kenya</t>
  </si>
  <si>
    <t xml:space="preserve"> Kuwait</t>
  </si>
  <si>
    <t xml:space="preserve"> Latvia</t>
  </si>
  <si>
    <t xml:space="preserve"> Lebanon</t>
  </si>
  <si>
    <t xml:space="preserve"> Liechtenstein</t>
  </si>
  <si>
    <t xml:space="preserve"> Lithuania</t>
  </si>
  <si>
    <t xml:space="preserve"> Luxembourg</t>
  </si>
  <si>
    <t xml:space="preserve"> Macedonia</t>
  </si>
  <si>
    <t xml:space="preserve"> Malaysia</t>
  </si>
  <si>
    <t xml:space="preserve"> Malta</t>
  </si>
  <si>
    <t xml:space="preserve"> Mexico</t>
  </si>
  <si>
    <t xml:space="preserve"> Mongolia</t>
  </si>
  <si>
    <t xml:space="preserve"> Montenegro</t>
  </si>
  <si>
    <t xml:space="preserve"> Montserrat</t>
  </si>
  <si>
    <t xml:space="preserve"> Morocco</t>
  </si>
  <si>
    <t xml:space="preserve"> Mozambique</t>
  </si>
  <si>
    <t xml:space="preserve"> Netherlands</t>
  </si>
  <si>
    <t xml:space="preserve"> New Zealand</t>
  </si>
  <si>
    <t xml:space="preserve"> Nigeria</t>
  </si>
  <si>
    <t xml:space="preserve"> Norway</t>
  </si>
  <si>
    <t xml:space="preserve"> Oman</t>
  </si>
  <si>
    <t xml:space="preserve"> Pakistan</t>
  </si>
  <si>
    <t xml:space="preserve"> Panama</t>
  </si>
  <si>
    <t xml:space="preserve"> Papua New Guinea</t>
  </si>
  <si>
    <t xml:space="preserve"> Paraguay</t>
  </si>
  <si>
    <t xml:space="preserve"> Peru</t>
  </si>
  <si>
    <t xml:space="preserve"> Philippines</t>
  </si>
  <si>
    <t xml:space="preserve"> Poland</t>
  </si>
  <si>
    <t xml:space="preserve"> Portugal</t>
  </si>
  <si>
    <t xml:space="preserve"> Qatar</t>
  </si>
  <si>
    <t xml:space="preserve"> Ras Al Khaimah, UAE</t>
  </si>
  <si>
    <t xml:space="preserve"> Romania</t>
  </si>
  <si>
    <t xml:space="preserve"> Russia</t>
  </si>
  <si>
    <t xml:space="preserve"> Rwanda</t>
  </si>
  <si>
    <t xml:space="preserve"> Saudi Arabia</t>
  </si>
  <si>
    <t xml:space="preserve"> Senegal</t>
  </si>
  <si>
    <t xml:space="preserve"> Serbia</t>
  </si>
  <si>
    <t xml:space="preserve"> Singapore</t>
  </si>
  <si>
    <t xml:space="preserve"> Slovakia</t>
  </si>
  <si>
    <t xml:space="preserve"> Slovenia</t>
  </si>
  <si>
    <t xml:space="preserve"> South Africa</t>
  </si>
  <si>
    <t xml:space="preserve"> South Korea</t>
  </si>
  <si>
    <t xml:space="preserve"> Spain</t>
  </si>
  <si>
    <t xml:space="preserve"> Sri Lanka</t>
  </si>
  <si>
    <t xml:space="preserve"> Suriname</t>
  </si>
  <si>
    <t xml:space="preserve"> Sweden</t>
  </si>
  <si>
    <t xml:space="preserve"> Taiwan</t>
  </si>
  <si>
    <t xml:space="preserve"> Thailand</t>
  </si>
  <si>
    <t xml:space="preserve"> Trinidad and Tobago</t>
  </si>
  <si>
    <t xml:space="preserve"> Tunisia</t>
  </si>
  <si>
    <t xml:space="preserve"> Turkey</t>
  </si>
  <si>
    <t xml:space="preserve"> Uganda</t>
  </si>
  <si>
    <t xml:space="preserve"> Ukraine</t>
  </si>
  <si>
    <t xml:space="preserve"> United Kingdom</t>
  </si>
  <si>
    <t xml:space="preserve"> United States</t>
  </si>
  <si>
    <t xml:space="preserve"> Uruguay</t>
  </si>
  <si>
    <t xml:space="preserve"> Venezuela</t>
  </si>
  <si>
    <t xml:space="preserve"> Vietnam</t>
  </si>
  <si>
    <t xml:space="preserve"> Zambia</t>
  </si>
  <si>
    <t xml:space="preserve"> Abu Dhabi</t>
  </si>
  <si>
    <t xml:space="preserve"> Armenia</t>
  </si>
  <si>
    <t xml:space="preserve"> Lesotho</t>
  </si>
  <si>
    <t xml:space="preserve"> Namibia</t>
  </si>
  <si>
    <t xml:space="preserve"> San Marino</t>
  </si>
  <si>
    <t xml:space="preserve"> Seychelles</t>
  </si>
  <si>
    <t xml:space="preserve"> Cayman Islands</t>
  </si>
  <si>
    <t xml:space="preserve"> Cuba</t>
  </si>
  <si>
    <t xml:space="preserve"> Macao</t>
  </si>
  <si>
    <t xml:space="preserve"> Mauritius</t>
  </si>
  <si>
    <t xml:space="preserve"> Moldova</t>
  </si>
  <si>
    <t xml:space="preserve"> Nicaragua</t>
  </si>
  <si>
    <t>2014-28-06</t>
  </si>
  <si>
    <t xml:space="preserve"> St. Vincent &amp; the Grenadines</t>
  </si>
  <si>
    <t xml:space="preserve"> United Arab Emirates</t>
  </si>
  <si>
    <t>Data from</t>
  </si>
  <si>
    <t>Hurdle rate</t>
  </si>
  <si>
    <t>Risk premium</t>
  </si>
  <si>
    <t>Risk free rate</t>
  </si>
  <si>
    <t>RD</t>
  </si>
  <si>
    <t>Baaa1</t>
  </si>
  <si>
    <t>StD of equity market</t>
  </si>
  <si>
    <t>Default spread on $ bonds</t>
  </si>
  <si>
    <t>Sovereign bond ratings</t>
  </si>
  <si>
    <t>Bond statistics</t>
  </si>
  <si>
    <t>Risk premiums</t>
  </si>
  <si>
    <t>Currency ratings</t>
  </si>
  <si>
    <t xml:space="preserve"> S&amp;P Local</t>
  </si>
  <si>
    <t>S&amp;P Foreign</t>
  </si>
  <si>
    <t>Region</t>
  </si>
  <si>
    <t>Moody's local</t>
  </si>
  <si>
    <t>Alternate
 currency</t>
  </si>
  <si>
    <t>Country and region</t>
  </si>
  <si>
    <t>Summary</t>
  </si>
  <si>
    <t>Investments</t>
  </si>
  <si>
    <t>Country &amp; region</t>
  </si>
  <si>
    <t>Raw rankings</t>
  </si>
  <si>
    <t>Template</t>
  </si>
  <si>
    <t>5 year yield</t>
  </si>
  <si>
    <t>1 year yield</t>
  </si>
  <si>
    <t>10 year yield</t>
  </si>
  <si>
    <t>Country risk free rates</t>
  </si>
  <si>
    <t>2 year yield</t>
  </si>
  <si>
    <t>15 year yield</t>
  </si>
  <si>
    <t>20 year yield</t>
  </si>
  <si>
    <t>30 year yield</t>
  </si>
  <si>
    <t>NA</t>
  </si>
  <si>
    <t>Adjusted
currency [10 year]</t>
  </si>
  <si>
    <t xml:space="preserve"> Switzerland</t>
  </si>
  <si>
    <t>StD for bond</t>
  </si>
  <si>
    <t>10 year $ yield</t>
  </si>
  <si>
    <t>United States</t>
  </si>
  <si>
    <t>Country risk premium [dollar bonds]</t>
  </si>
  <si>
    <t>Country risk premium [rating spread]</t>
  </si>
  <si>
    <t>%</t>
  </si>
  <si>
    <t>Yields of available bonds</t>
  </si>
  <si>
    <t>Choose country</t>
  </si>
  <si>
    <t>Rating spread</t>
  </si>
  <si>
    <t>Regions</t>
  </si>
  <si>
    <t>Africa</t>
  </si>
  <si>
    <t>Asia</t>
  </si>
  <si>
    <t>Input data &amp; validation</t>
  </si>
  <si>
    <t>Australia</t>
  </si>
  <si>
    <t>Caribbean</t>
  </si>
  <si>
    <t>America; South &amp; Central</t>
  </si>
  <si>
    <t>America; North</t>
  </si>
  <si>
    <t>Middle East</t>
  </si>
  <si>
    <t>Europe; Western</t>
  </si>
  <si>
    <t>Global</t>
  </si>
  <si>
    <t>Europe; Eastern</t>
  </si>
  <si>
    <t>Models &amp;  inputs</t>
  </si>
  <si>
    <t>Models &amp; inputs</t>
  </si>
  <si>
    <t>Hurdle rate estimation</t>
  </si>
  <si>
    <t>Back to top</t>
  </si>
  <si>
    <t>Inputs</t>
  </si>
  <si>
    <t>Process description</t>
  </si>
  <si>
    <t>Outputs</t>
  </si>
  <si>
    <t>Settings</t>
  </si>
  <si>
    <t>A descriptio of what need to be done, i.e. what inputs needs to be filled in and what data is necessary.</t>
  </si>
  <si>
    <t>Process specific settings</t>
  </si>
  <si>
    <t>A list of the inputs that are needed</t>
  </si>
  <si>
    <t>The specific output or outputs</t>
  </si>
  <si>
    <t>Estimates the hurdle rate for a company given the location of their operations and . 
The model is dependent on market data (betas, etc)</t>
  </si>
  <si>
    <t>Operations per region</t>
  </si>
  <si>
    <t>Input 1</t>
  </si>
  <si>
    <t>Control</t>
  </si>
  <si>
    <t>User Answers</t>
  </si>
  <si>
    <t>Yes</t>
  </si>
  <si>
    <t>No</t>
  </si>
  <si>
    <t>What do you want to do?</t>
  </si>
  <si>
    <t>Estimated hurdle rates</t>
  </si>
  <si>
    <t>Beta of stock</t>
  </si>
  <si>
    <t>Standard error of beta</t>
  </si>
  <si>
    <t>Sensitivity analysis</t>
  </si>
  <si>
    <t>Methods used</t>
  </si>
  <si>
    <t>Lower bound</t>
  </si>
  <si>
    <t>Upper bound</t>
  </si>
  <si>
    <t>Company data</t>
  </si>
  <si>
    <t>Name</t>
  </si>
  <si>
    <t>Choose company</t>
  </si>
  <si>
    <t>Values</t>
  </si>
  <si>
    <t>Adjusted currency</t>
  </si>
  <si>
    <t>Alternate currency</t>
  </si>
  <si>
    <t>Through dollar bond</t>
  </si>
  <si>
    <t>Sensitivity analysis [Beta]</t>
  </si>
  <si>
    <t>Risk premium value</t>
  </si>
  <si>
    <t>Risk free rate value</t>
  </si>
  <si>
    <t>Confidence intervals</t>
  </si>
  <si>
    <t>Confidence interval</t>
  </si>
  <si>
    <t>China</t>
  </si>
  <si>
    <t>India</t>
  </si>
  <si>
    <t>Weighted Average: Default Spreads</t>
  </si>
  <si>
    <t>Weighted Average: TRP</t>
  </si>
  <si>
    <t>Weighted Average: CRP</t>
  </si>
  <si>
    <t>Data from Aswath Damodaran, 2014</t>
  </si>
  <si>
    <t>Aggregated data</t>
  </si>
  <si>
    <t>1 year</t>
  </si>
  <si>
    <t>5 year</t>
  </si>
  <si>
    <t>10 year</t>
  </si>
  <si>
    <t>30 year</t>
  </si>
  <si>
    <t>Rating [Moody]</t>
  </si>
  <si>
    <t>Rating []</t>
  </si>
  <si>
    <t>Caa</t>
  </si>
  <si>
    <t>From slides</t>
  </si>
  <si>
    <t>Industries</t>
  </si>
  <si>
    <t>EV/Sales</t>
  </si>
  <si>
    <t>Estimated Value</t>
  </si>
  <si>
    <t>Firm Value Proportion</t>
  </si>
  <si>
    <t>Unlevered beta</t>
  </si>
  <si>
    <t>Company</t>
  </si>
  <si>
    <t>Industry averages</t>
  </si>
  <si>
    <t>Industry Name</t>
  </si>
  <si>
    <t>Number of firms</t>
  </si>
  <si>
    <t>Advertising</t>
  </si>
  <si>
    <t>Aerospace/Defense</t>
  </si>
  <si>
    <t>Air Transport</t>
  </si>
  <si>
    <t>Apparel</t>
  </si>
  <si>
    <t>Auto &amp; Truck</t>
  </si>
  <si>
    <t>Auto Parts</t>
  </si>
  <si>
    <t>Bank</t>
  </si>
  <si>
    <t>Banks (Regional)</t>
  </si>
  <si>
    <t xml:space="preserve">Beverage </t>
  </si>
  <si>
    <t>Beverage (Alcoholic)</t>
  </si>
  <si>
    <t>Biotechnology</t>
  </si>
  <si>
    <t>Broadcasting</t>
  </si>
  <si>
    <t>Brokerage &amp; Investment Banking</t>
  </si>
  <si>
    <t>Building Materials</t>
  </si>
  <si>
    <t>Business &amp; Consumer Services</t>
  </si>
  <si>
    <t>Cable TV</t>
  </si>
  <si>
    <t>Chemical (Basic)</t>
  </si>
  <si>
    <t>Chemical (Diversified)</t>
  </si>
  <si>
    <t>Chemical (Specialty)</t>
  </si>
  <si>
    <t>Coal &amp; Related Energy</t>
  </si>
  <si>
    <t>Computer Services</t>
  </si>
  <si>
    <t>Computer Software</t>
  </si>
  <si>
    <t>Computers/Peripherals</t>
  </si>
  <si>
    <t>Construction</t>
  </si>
  <si>
    <t>Diversified</t>
  </si>
  <si>
    <t>Educational Services</t>
  </si>
  <si>
    <t>Electrical Equipment</t>
  </si>
  <si>
    <t>Electronics</t>
  </si>
  <si>
    <t>Electronics (Consumer &amp; Office)</t>
  </si>
  <si>
    <t>Engineering</t>
  </si>
  <si>
    <t>Entertainment</t>
  </si>
  <si>
    <t>Environmental &amp; Waste Services</t>
  </si>
  <si>
    <t>Farming/Agriculture</t>
  </si>
  <si>
    <t>Financial Svcs.</t>
  </si>
  <si>
    <t>Financial Svcs. (Non-bank &amp; Insurance)</t>
  </si>
  <si>
    <t>Food Processing</t>
  </si>
  <si>
    <t>Food Wholesalers</t>
  </si>
  <si>
    <t>Furn/Home Furnishings</t>
  </si>
  <si>
    <t>Healthcare Equipment</t>
  </si>
  <si>
    <t>Healthcare Facilities</t>
  </si>
  <si>
    <t>Healthcare Products</t>
  </si>
  <si>
    <t>Healthcare Services</t>
  </si>
  <si>
    <t>Heathcare Information and Technology</t>
  </si>
  <si>
    <t>Heavy Construction</t>
  </si>
  <si>
    <t>Homebuilding</t>
  </si>
  <si>
    <t>Hotel/Gaming</t>
  </si>
  <si>
    <t>Household Products</t>
  </si>
  <si>
    <t>Information Services</t>
  </si>
  <si>
    <t>Insurance (General)</t>
  </si>
  <si>
    <t>Insurance (Life)</t>
  </si>
  <si>
    <t>Insurance (Prop/Cas.)</t>
  </si>
  <si>
    <t>Internet software and services</t>
  </si>
  <si>
    <t>Investment Co.</t>
  </si>
  <si>
    <t>Machinery</t>
  </si>
  <si>
    <t>Metals &amp; Mining</t>
  </si>
  <si>
    <t>Office Equipment &amp; Services</t>
  </si>
  <si>
    <t>Oil/Gas (Integrated)</t>
  </si>
  <si>
    <t>Oil/Gas (Production and Exploration)</t>
  </si>
  <si>
    <t>Oil/Gas Distribution</t>
  </si>
  <si>
    <t>Oilfield Svcs/Equip.</t>
  </si>
  <si>
    <t>Packaging &amp; Container</t>
  </si>
  <si>
    <t>Paper/Forest Products</t>
  </si>
  <si>
    <t>Pharma &amp; Drugs</t>
  </si>
  <si>
    <t>Power</t>
  </si>
  <si>
    <t>Precious Metals</t>
  </si>
  <si>
    <t>Publshing &amp; Newspapers</t>
  </si>
  <si>
    <t>R.E.I.T.</t>
  </si>
  <si>
    <t>Railroad</t>
  </si>
  <si>
    <t>Real Estate (Development)</t>
  </si>
  <si>
    <t>Real Estate (General/Diversified)</t>
  </si>
  <si>
    <t>Real Estate (Operations &amp; Services)</t>
  </si>
  <si>
    <t>Recreation</t>
  </si>
  <si>
    <t>Reinsurance</t>
  </si>
  <si>
    <t>Restaurant</t>
  </si>
  <si>
    <t>Retail (Automotive)</t>
  </si>
  <si>
    <t>Retail (Building Supply)</t>
  </si>
  <si>
    <t>Retail (Distributors)</t>
  </si>
  <si>
    <t>Retail (General)</t>
  </si>
  <si>
    <t>Retail (Grocery and Food)</t>
  </si>
  <si>
    <t>Retail (Internet)</t>
  </si>
  <si>
    <t>Retail (Special Lines)</t>
  </si>
  <si>
    <t>Rubber&amp; Tires</t>
  </si>
  <si>
    <t>Semiconductor</t>
  </si>
  <si>
    <t>Semiconductor Equip</t>
  </si>
  <si>
    <t>Shipbuilding &amp; Marine</t>
  </si>
  <si>
    <t>Shoe</t>
  </si>
  <si>
    <t>Steel</t>
  </si>
  <si>
    <t>Telecom (Wireless)</t>
  </si>
  <si>
    <t>Telecom. Equipment</t>
  </si>
  <si>
    <t>Telecom. Services</t>
  </si>
  <si>
    <t>Thrift</t>
  </si>
  <si>
    <t>Tobacco</t>
  </si>
  <si>
    <t>Transportation</t>
  </si>
  <si>
    <t>Trucking</t>
  </si>
  <si>
    <t>Utility (General)</t>
  </si>
  <si>
    <t>Utility (Water)</t>
  </si>
  <si>
    <t>Total Market</t>
  </si>
  <si>
    <t>Real Estate</t>
  </si>
  <si>
    <t>Tranportation</t>
  </si>
  <si>
    <t>Global averages</t>
  </si>
  <si>
    <t>US averages</t>
  </si>
  <si>
    <t>Europe averages</t>
  </si>
  <si>
    <t>Emerging markets</t>
  </si>
  <si>
    <t>China averages</t>
  </si>
  <si>
    <t>Go to input</t>
  </si>
  <si>
    <t>Auto fill</t>
  </si>
  <si>
    <t>Choose currency</t>
  </si>
  <si>
    <t>Percentage</t>
  </si>
  <si>
    <t>Table name</t>
  </si>
  <si>
    <t>Europe</t>
  </si>
  <si>
    <t>Industry_Average_Europe</t>
  </si>
  <si>
    <t>Industry_Average_Global</t>
  </si>
  <si>
    <t>Industry_Averages_US</t>
  </si>
  <si>
    <t>Industry location</t>
  </si>
  <si>
    <t>US</t>
  </si>
  <si>
    <t>Industry_Average_India</t>
  </si>
  <si>
    <t>Industry_Average_China</t>
  </si>
  <si>
    <t>Industry_Average_EmergingMarkets</t>
  </si>
  <si>
    <t>Industry_Average_US</t>
  </si>
  <si>
    <t xml:space="preserve">Beta </t>
  </si>
  <si>
    <t>D/E Ratio</t>
  </si>
  <si>
    <t>Tax rate</t>
  </si>
  <si>
    <t>Cash/Firm value</t>
  </si>
  <si>
    <t>Unlevered beta corrected for cash</t>
  </si>
  <si>
    <t>Hide this</t>
  </si>
  <si>
    <t>EV/Sales for all markets</t>
  </si>
  <si>
    <t>Industry</t>
  </si>
  <si>
    <t>Average EV/Sales</t>
  </si>
  <si>
    <t>Median EV/Sales</t>
  </si>
  <si>
    <t>US data</t>
  </si>
  <si>
    <t>EV_Sales table</t>
  </si>
  <si>
    <t>EV_Sales_US</t>
  </si>
  <si>
    <t>EV_Sales_Global</t>
  </si>
  <si>
    <t>EV_Sales_Europe</t>
  </si>
  <si>
    <t>EV_Sales_China</t>
  </si>
  <si>
    <t>EV_Sales_India</t>
  </si>
  <si>
    <t>EV_Sales_EmergingMarkets</t>
  </si>
  <si>
    <t>Firm value proportion * Unlevered Beta</t>
  </si>
  <si>
    <t>EV/Sales per market and sector</t>
  </si>
  <si>
    <t>Unlevered Beta</t>
  </si>
  <si>
    <t>Betas</t>
  </si>
  <si>
    <t>Weighted CR premiums * exposure to market</t>
  </si>
  <si>
    <t>Levered Beta</t>
  </si>
  <si>
    <t>Misc info</t>
  </si>
  <si>
    <t>Total debt</t>
  </si>
  <si>
    <t>Total equity</t>
  </si>
  <si>
    <t>Company info</t>
  </si>
  <si>
    <t>Debt to equity</t>
  </si>
  <si>
    <t>Cost of equity</t>
  </si>
  <si>
    <t>Regression beta</t>
  </si>
  <si>
    <t>The unlevered betas to the left are just the industry averages adjusted for cash</t>
  </si>
  <si>
    <t>Estimated levered beta</t>
  </si>
  <si>
    <t>Firm value proportion * Levered Beta</t>
  </si>
  <si>
    <t>Could anything more be done to the unlevered betas to better reflect the business?</t>
  </si>
  <si>
    <t>Same question about the levered betas. How to factor debt allocation in if we don't know. Is it ok to do assumptions, e.g. mining is carrying a higher part of debt.</t>
  </si>
  <si>
    <t>A summary of how the different values has been estimated</t>
  </si>
  <si>
    <t>Unlevered betas for business segments</t>
  </si>
  <si>
    <t>Menu</t>
  </si>
  <si>
    <t>Risk free rates</t>
  </si>
  <si>
    <t>Levered betas for business segments</t>
  </si>
  <si>
    <t>Levered betas for the whole company</t>
  </si>
  <si>
    <t>Go to description</t>
  </si>
  <si>
    <t>Unlevered betas for the whole company</t>
  </si>
  <si>
    <t>Segment</t>
  </si>
  <si>
    <t>Operations per segment and region</t>
  </si>
  <si>
    <t>Revenue</t>
  </si>
  <si>
    <t>Percentage of segment revenue per region</t>
  </si>
  <si>
    <t>Betas for each business segment taking region exposure into account</t>
  </si>
  <si>
    <t>This is now a weighted average. Should we rather use one market (the one where the company is listed?)</t>
  </si>
  <si>
    <t>Choose region for industry average</t>
  </si>
  <si>
    <t>Hide this [just calculation]</t>
  </si>
  <si>
    <t>Estimated levered beta using debt allocation</t>
  </si>
  <si>
    <t>Industry D/E</t>
  </si>
  <si>
    <t>Estimated debt</t>
  </si>
  <si>
    <t>Strange debt allocator</t>
  </si>
  <si>
    <t>Allocated debt</t>
  </si>
  <si>
    <t>Estimated equity</t>
  </si>
  <si>
    <t>This is not compatible with equity input</t>
  </si>
  <si>
    <t xml:space="preserve">Scaled estimated equity </t>
  </si>
  <si>
    <t>Firm value proportion * Levered Beta2</t>
  </si>
  <si>
    <t>Firm value proportion * Levered Beta debt</t>
  </si>
  <si>
    <t>Internet coverage ratio is</t>
  </si>
  <si>
    <t>&gt;</t>
  </si>
  <si>
    <t>&lt;= to</t>
  </si>
  <si>
    <t>Spread is</t>
  </si>
  <si>
    <t>Rating [S&amp;P] is</t>
  </si>
  <si>
    <t>Rating [Moody's] is</t>
  </si>
  <si>
    <t>CC</t>
  </si>
  <si>
    <t>C</t>
  </si>
  <si>
    <t>D</t>
  </si>
  <si>
    <t>Ca2</t>
  </si>
  <si>
    <t>C2</t>
  </si>
  <si>
    <t>D2</t>
  </si>
  <si>
    <t>Greater than</t>
  </si>
  <si>
    <t>EBIT</t>
  </si>
  <si>
    <t>Interest expenses</t>
  </si>
  <si>
    <t>Interest coverage ratio</t>
  </si>
  <si>
    <t>Synthetic rating</t>
  </si>
  <si>
    <t>Market cap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</si>
</sst>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%"/>
    <numFmt numFmtId="165" formatCode="&quot;$&quot;#,##0.00_);[Red]\(&quot;$&quot;#,##0.00\)"/>
    <numFmt numFmtId="166" formatCode="0.0%"/>
    <numFmt numFmtId="167" formatCode="0.0000%"/>
    <numFmt numFmtId="168" formatCode="0.000"/>
  </numFmts>
  <fonts count="3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48"/>
      <color theme="0"/>
      <name val="Calibri Light"/>
      <family val="2"/>
      <scheme val="major"/>
    </font>
    <font>
      <u/>
      <sz val="11"/>
      <color theme="10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24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8"/>
      <color theme="0"/>
      <name val="Arial Rounded MT Bold"/>
      <family val="2"/>
    </font>
    <font>
      <b/>
      <sz val="14"/>
      <color theme="0"/>
      <name val="Calibri Light"/>
      <family val="2"/>
      <scheme val="major"/>
    </font>
    <font>
      <b/>
      <sz val="21"/>
      <color theme="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20"/>
      <color theme="0"/>
      <name val="Calibri"/>
      <family val="2"/>
      <scheme val="minor"/>
    </font>
    <font>
      <u val="double"/>
      <sz val="14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10"/>
      <name val="Geneva"/>
    </font>
    <font>
      <u/>
      <sz val="10"/>
      <color indexed="12"/>
      <name val="Geneva"/>
    </font>
    <font>
      <i/>
      <sz val="10"/>
      <color theme="0"/>
      <name val="Geneva"/>
    </font>
    <font>
      <b/>
      <sz val="11"/>
      <color rgb="FFFA7D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0"/>
      <name val="Verdana"/>
      <family val="2"/>
    </font>
    <font>
      <u/>
      <sz val="12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rgb="FFFA7D00"/>
      <name val="Calibri"/>
      <family val="2"/>
      <scheme val="minor"/>
    </font>
    <font>
      <u/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8"/>
        <bgColor theme="8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/>
        <bgColor theme="0" tint="-0.14999847407452621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2F2F2"/>
        <bgColor indexed="64"/>
      </patternFill>
    </fill>
  </fills>
  <borders count="26">
    <border>
      <left/>
      <right/>
      <top/>
      <bottom/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/>
      <right/>
      <top/>
      <bottom style="double">
        <color rgb="FFFF8001"/>
      </bottom>
      <diagonal/>
    </border>
    <border>
      <left/>
      <right/>
      <top style="medium">
        <color theme="1"/>
      </top>
      <bottom/>
      <diagonal/>
    </border>
    <border>
      <left style="thin">
        <color rgb="FF7F7F7F"/>
      </left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</borders>
  <cellStyleXfs count="15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11" fillId="13" borderId="8" applyNumberFormat="0" applyAlignment="0" applyProtection="0"/>
    <xf numFmtId="0" fontId="15" fillId="0" borderId="0"/>
    <xf numFmtId="4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9" fontId="15" fillId="0" borderId="0" applyFont="0" applyFill="0" applyBorder="0" applyAlignment="0" applyProtection="0"/>
    <xf numFmtId="0" fontId="18" fillId="18" borderId="8" applyNumberFormat="0" applyAlignment="0" applyProtection="0"/>
    <xf numFmtId="0" fontId="19" fillId="18" borderId="17" applyNumberFormat="0" applyAlignment="0" applyProtection="0"/>
    <xf numFmtId="0" fontId="21" fillId="0" borderId="0"/>
    <xf numFmtId="0" fontId="23" fillId="0" borderId="0" applyNumberFormat="0" applyFill="0" applyBorder="0" applyAlignment="0" applyProtection="0"/>
    <xf numFmtId="9" fontId="21" fillId="0" borderId="0" applyFont="0" applyFill="0" applyBorder="0" applyAlignment="0" applyProtection="0"/>
    <xf numFmtId="0" fontId="27" fillId="0" borderId="21" applyNumberFormat="0" applyFill="0" applyAlignment="0" applyProtection="0"/>
  </cellStyleXfs>
  <cellXfs count="188">
    <xf numFmtId="0" fontId="0" fillId="0" borderId="0" xfId="0"/>
    <xf numFmtId="0" fontId="0" fillId="3" borderId="0" xfId="0" applyFill="1"/>
    <xf numFmtId="0" fontId="0" fillId="4" borderId="0" xfId="0" applyFill="1"/>
    <xf numFmtId="0" fontId="0" fillId="0" borderId="0" xfId="0" applyAlignment="1">
      <alignment horizontal="center"/>
    </xf>
    <xf numFmtId="0" fontId="0" fillId="6" borderId="0" xfId="0" applyFont="1" applyFill="1"/>
    <xf numFmtId="0" fontId="0" fillId="0" borderId="0" xfId="0" applyFont="1"/>
    <xf numFmtId="0" fontId="0" fillId="6" borderId="2" xfId="0" applyFont="1" applyFill="1" applyBorder="1"/>
    <xf numFmtId="14" fontId="0" fillId="0" borderId="0" xfId="0" applyNumberFormat="1"/>
    <xf numFmtId="0" fontId="0" fillId="6" borderId="0" xfId="0" applyFont="1" applyFill="1" applyBorder="1"/>
    <xf numFmtId="0" fontId="0" fillId="7" borderId="0" xfId="0" applyFont="1" applyFill="1" applyBorder="1"/>
    <xf numFmtId="0" fontId="0" fillId="8" borderId="0" xfId="0" applyFill="1" applyAlignment="1"/>
    <xf numFmtId="0" fontId="2" fillId="5" borderId="1" xfId="0" applyFont="1" applyFill="1" applyBorder="1" applyAlignment="1">
      <alignment wrapText="1"/>
    </xf>
    <xf numFmtId="0" fontId="2" fillId="5" borderId="0" xfId="0" applyFont="1" applyFill="1" applyBorder="1" applyAlignment="1">
      <alignment wrapText="1"/>
    </xf>
    <xf numFmtId="0" fontId="2" fillId="5" borderId="0" xfId="0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9" borderId="0" xfId="0" applyFill="1" applyAlignment="1"/>
    <xf numFmtId="0" fontId="0" fillId="0" borderId="0" xfId="0" applyNumberFormat="1" applyAlignment="1">
      <alignment horizontal="center"/>
    </xf>
    <xf numFmtId="0" fontId="0" fillId="2" borderId="0" xfId="0" applyFill="1" applyAlignment="1"/>
    <xf numFmtId="0" fontId="0" fillId="12" borderId="0" xfId="0" applyFill="1" applyAlignment="1"/>
    <xf numFmtId="0" fontId="0" fillId="10" borderId="0" xfId="0" applyFill="1" applyAlignment="1"/>
    <xf numFmtId="9" fontId="0" fillId="0" borderId="0" xfId="1" applyFont="1"/>
    <xf numFmtId="10" fontId="0" fillId="0" borderId="0" xfId="1" applyNumberFormat="1" applyFont="1"/>
    <xf numFmtId="0" fontId="3" fillId="4" borderId="0" xfId="0" applyFont="1" applyFill="1" applyAlignment="1"/>
    <xf numFmtId="0" fontId="8" fillId="4" borderId="0" xfId="0" applyFont="1" applyFill="1" applyAlignment="1">
      <alignment vertical="center"/>
    </xf>
    <xf numFmtId="0" fontId="9" fillId="4" borderId="0" xfId="0" applyFont="1" applyFill="1" applyAlignment="1">
      <alignment wrapText="1"/>
    </xf>
    <xf numFmtId="0" fontId="7" fillId="4" borderId="4" xfId="2" applyFont="1" applyFill="1" applyBorder="1" applyAlignment="1">
      <alignment horizontal="center" vertical="center" wrapText="1"/>
    </xf>
    <xf numFmtId="0" fontId="7" fillId="4" borderId="4" xfId="2" applyFont="1" applyFill="1" applyBorder="1" applyAlignment="1">
      <alignment horizontal="center" wrapText="1"/>
    </xf>
    <xf numFmtId="0" fontId="0" fillId="11" borderId="0" xfId="0" applyFill="1" applyAlignment="1">
      <alignment horizontal="center" vertical="center"/>
    </xf>
    <xf numFmtId="10" fontId="0" fillId="0" borderId="0" xfId="1" applyNumberFormat="1" applyFont="1" applyAlignment="1">
      <alignment horizontal="center"/>
    </xf>
    <xf numFmtId="10" fontId="0" fillId="6" borderId="0" xfId="1" applyNumberFormat="1" applyFont="1" applyFill="1"/>
    <xf numFmtId="10" fontId="0" fillId="6" borderId="0" xfId="1" applyNumberFormat="1" applyFont="1" applyFill="1" applyBorder="1"/>
    <xf numFmtId="10" fontId="0" fillId="6" borderId="0" xfId="0" applyNumberFormat="1" applyFont="1" applyFill="1"/>
    <xf numFmtId="10" fontId="0" fillId="0" borderId="0" xfId="0" applyNumberFormat="1" applyFont="1"/>
    <xf numFmtId="10" fontId="0" fillId="6" borderId="0" xfId="0" applyNumberFormat="1" applyFont="1" applyFill="1" applyBorder="1"/>
    <xf numFmtId="0" fontId="0" fillId="0" borderId="0" xfId="0" applyBorder="1" applyAlignment="1"/>
    <xf numFmtId="0" fontId="0" fillId="0" borderId="0" xfId="0" applyAlignment="1">
      <alignment horizontal="left"/>
    </xf>
    <xf numFmtId="0" fontId="0" fillId="0" borderId="2" xfId="0" applyFont="1" applyBorder="1"/>
    <xf numFmtId="0" fontId="0" fillId="0" borderId="0" xfId="0" applyAlignment="1">
      <alignment horizontal="left" indent="3"/>
    </xf>
    <xf numFmtId="0" fontId="0" fillId="0" borderId="0" xfId="0" applyAlignment="1">
      <alignment horizontal="left" indent="3"/>
    </xf>
    <xf numFmtId="0" fontId="0" fillId="0" borderId="0" xfId="0" applyAlignment="1"/>
    <xf numFmtId="0" fontId="0" fillId="0" borderId="0" xfId="0" applyAlignment="1">
      <alignment wrapText="1"/>
    </xf>
    <xf numFmtId="0" fontId="13" fillId="0" borderId="0" xfId="0" applyFont="1"/>
    <xf numFmtId="0" fontId="0" fillId="0" borderId="0" xfId="0" applyBorder="1"/>
    <xf numFmtId="0" fontId="13" fillId="0" borderId="0" xfId="0" applyFont="1" applyBorder="1" applyAlignment="1"/>
    <xf numFmtId="9" fontId="2" fillId="14" borderId="9" xfId="1" applyFont="1" applyFill="1" applyBorder="1"/>
    <xf numFmtId="0" fontId="4" fillId="0" borderId="0" xfId="2" applyAlignment="1"/>
    <xf numFmtId="0" fontId="0" fillId="0" borderId="0" xfId="0" applyAlignment="1">
      <alignment horizontal="center"/>
    </xf>
    <xf numFmtId="0" fontId="0" fillId="7" borderId="0" xfId="0" applyFont="1" applyFill="1"/>
    <xf numFmtId="0" fontId="11" fillId="13" borderId="8" xfId="3"/>
    <xf numFmtId="0" fontId="11" fillId="13" borderId="8" xfId="1" applyNumberFormat="1" applyFont="1" applyFill="1" applyBorder="1"/>
    <xf numFmtId="164" fontId="0" fillId="0" borderId="0" xfId="1" applyNumberFormat="1" applyFont="1" applyAlignment="1">
      <alignment horizontal="left" indent="2"/>
    </xf>
    <xf numFmtId="164" fontId="0" fillId="0" borderId="0" xfId="1" applyNumberFormat="1" applyFont="1" applyAlignment="1">
      <alignment horizontal="center"/>
    </xf>
    <xf numFmtId="0" fontId="0" fillId="0" borderId="0" xfId="0" applyAlignment="1">
      <alignment horizontal="left" indent="1"/>
    </xf>
    <xf numFmtId="0" fontId="0" fillId="0" borderId="0" xfId="0" applyAlignment="1">
      <alignment horizontal="left" wrapText="1" indent="1"/>
    </xf>
    <xf numFmtId="9" fontId="14" fillId="0" borderId="10" xfId="1" applyFont="1" applyBorder="1" applyAlignment="1">
      <alignment horizontal="center"/>
    </xf>
    <xf numFmtId="10" fontId="15" fillId="0" borderId="5" xfId="4" applyNumberFormat="1" applyBorder="1"/>
    <xf numFmtId="0" fontId="15" fillId="0" borderId="7" xfId="4" applyBorder="1"/>
    <xf numFmtId="10" fontId="15" fillId="0" borderId="10" xfId="4" applyNumberFormat="1" applyBorder="1"/>
    <xf numFmtId="0" fontId="15" fillId="0" borderId="15" xfId="4" applyBorder="1"/>
    <xf numFmtId="10" fontId="15" fillId="0" borderId="11" xfId="4" applyNumberFormat="1" applyBorder="1" applyAlignment="1"/>
    <xf numFmtId="10" fontId="15" fillId="0" borderId="11" xfId="4" applyNumberFormat="1" applyBorder="1"/>
    <xf numFmtId="10" fontId="15" fillId="0" borderId="16" xfId="4" applyNumberFormat="1" applyBorder="1"/>
    <xf numFmtId="0" fontId="17" fillId="0" borderId="13" xfId="4" applyFont="1" applyBorder="1" applyAlignment="1">
      <alignment wrapText="1"/>
    </xf>
    <xf numFmtId="0" fontId="17" fillId="0" borderId="13" xfId="4" applyFont="1" applyBorder="1" applyAlignment="1">
      <alignment horizontal="center" wrapText="1"/>
    </xf>
    <xf numFmtId="0" fontId="17" fillId="0" borderId="12" xfId="4" applyFont="1" applyBorder="1" applyAlignment="1">
      <alignment horizontal="center" wrapText="1"/>
    </xf>
    <xf numFmtId="0" fontId="17" fillId="0" borderId="14" xfId="4" applyFont="1" applyBorder="1" applyAlignment="1">
      <alignment horizontal="center" wrapText="1"/>
    </xf>
    <xf numFmtId="10" fontId="15" fillId="0" borderId="7" xfId="1" applyNumberFormat="1" applyFont="1" applyBorder="1"/>
    <xf numFmtId="10" fontId="15" fillId="0" borderId="15" xfId="1" applyNumberFormat="1" applyFont="1" applyBorder="1"/>
    <xf numFmtId="0" fontId="12" fillId="3" borderId="0" xfId="0" applyFont="1" applyFill="1" applyAlignment="1">
      <alignment horizontal="center" vertical="center" wrapText="1"/>
    </xf>
    <xf numFmtId="0" fontId="0" fillId="6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10" fontId="0" fillId="19" borderId="0" xfId="1" applyNumberFormat="1" applyFont="1" applyFill="1"/>
    <xf numFmtId="0" fontId="18" fillId="18" borderId="8" xfId="9"/>
    <xf numFmtId="0" fontId="0" fillId="0" borderId="0" xfId="0" applyFill="1"/>
    <xf numFmtId="0" fontId="18" fillId="18" borderId="20" xfId="9" applyBorder="1"/>
    <xf numFmtId="0" fontId="21" fillId="0" borderId="7" xfId="11" applyBorder="1"/>
    <xf numFmtId="0" fontId="24" fillId="0" borderId="15" xfId="11" applyFont="1" applyBorder="1"/>
    <xf numFmtId="0" fontId="24" fillId="0" borderId="11" xfId="11" applyFont="1" applyBorder="1" applyAlignment="1">
      <alignment horizontal="center"/>
    </xf>
    <xf numFmtId="10" fontId="24" fillId="0" borderId="11" xfId="11" applyNumberFormat="1" applyFont="1" applyBorder="1" applyAlignment="1">
      <alignment horizontal="center"/>
    </xf>
    <xf numFmtId="0" fontId="0" fillId="0" borderId="0" xfId="0" applyAlignment="1">
      <alignment horizontal="left" vertical="top" wrapText="1"/>
    </xf>
    <xf numFmtId="0" fontId="21" fillId="0" borderId="15" xfId="11" applyBorder="1"/>
    <xf numFmtId="0" fontId="21" fillId="0" borderId="11" xfId="11" applyBorder="1" applyAlignment="1">
      <alignment horizontal="center"/>
    </xf>
    <xf numFmtId="10" fontId="21" fillId="0" borderId="11" xfId="11" applyNumberFormat="1" applyBorder="1" applyAlignment="1">
      <alignment horizontal="center"/>
    </xf>
    <xf numFmtId="0" fontId="25" fillId="4" borderId="0" xfId="0" applyFont="1" applyFill="1" applyAlignment="1">
      <alignment horizontal="center" vertical="center"/>
    </xf>
    <xf numFmtId="0" fontId="20" fillId="0" borderId="0" xfId="0" applyFont="1"/>
    <xf numFmtId="0" fontId="4" fillId="0" borderId="0" xfId="2" applyAlignment="1">
      <alignment horizontal="left" indent="3"/>
    </xf>
    <xf numFmtId="0" fontId="21" fillId="0" borderId="10" xfId="11" applyBorder="1" applyAlignment="1">
      <alignment horizontal="center"/>
    </xf>
    <xf numFmtId="10" fontId="21" fillId="0" borderId="10" xfId="11" applyNumberFormat="1" applyBorder="1" applyAlignment="1">
      <alignment horizontal="center"/>
    </xf>
    <xf numFmtId="2" fontId="21" fillId="0" borderId="10" xfId="11" applyNumberFormat="1" applyBorder="1" applyAlignment="1">
      <alignment horizontal="center"/>
    </xf>
    <xf numFmtId="2" fontId="21" fillId="0" borderId="5" xfId="11" applyNumberFormat="1" applyBorder="1" applyAlignment="1">
      <alignment horizontal="center"/>
    </xf>
    <xf numFmtId="0" fontId="22" fillId="0" borderId="13" xfId="11" applyFont="1" applyBorder="1"/>
    <xf numFmtId="0" fontId="22" fillId="0" borderId="12" xfId="11" applyFont="1" applyBorder="1" applyAlignment="1">
      <alignment horizontal="center"/>
    </xf>
    <xf numFmtId="2" fontId="22" fillId="0" borderId="12" xfId="11" applyNumberFormat="1" applyFont="1" applyBorder="1" applyAlignment="1">
      <alignment horizontal="center"/>
    </xf>
    <xf numFmtId="0" fontId="22" fillId="0" borderId="14" xfId="11" applyFont="1" applyBorder="1" applyAlignment="1">
      <alignment horizontal="center"/>
    </xf>
    <xf numFmtId="2" fontId="24" fillId="0" borderId="11" xfId="11" applyNumberFormat="1" applyFont="1" applyBorder="1" applyAlignment="1">
      <alignment horizontal="center"/>
    </xf>
    <xf numFmtId="2" fontId="24" fillId="0" borderId="16" xfId="11" applyNumberFormat="1" applyFont="1" applyBorder="1" applyAlignment="1">
      <alignment horizontal="center"/>
    </xf>
    <xf numFmtId="0" fontId="21" fillId="0" borderId="10" xfId="11" applyBorder="1" applyAlignment="1">
      <alignment horizontal="center"/>
    </xf>
    <xf numFmtId="2" fontId="21" fillId="0" borderId="10" xfId="11" applyNumberFormat="1" applyBorder="1" applyAlignment="1">
      <alignment horizontal="center"/>
    </xf>
    <xf numFmtId="10" fontId="21" fillId="0" borderId="10" xfId="11" applyNumberFormat="1" applyBorder="1" applyAlignment="1">
      <alignment horizontal="center"/>
    </xf>
    <xf numFmtId="0" fontId="21" fillId="0" borderId="10" xfId="11" applyBorder="1" applyAlignment="1">
      <alignment horizontal="center"/>
    </xf>
    <xf numFmtId="2" fontId="21" fillId="0" borderId="10" xfId="11" applyNumberFormat="1" applyBorder="1" applyAlignment="1">
      <alignment horizontal="center"/>
    </xf>
    <xf numFmtId="10" fontId="21" fillId="0" borderId="10" xfId="11" applyNumberFormat="1" applyBorder="1" applyAlignment="1">
      <alignment horizontal="center"/>
    </xf>
    <xf numFmtId="2" fontId="21" fillId="0" borderId="11" xfId="11" applyNumberFormat="1" applyBorder="1" applyAlignment="1">
      <alignment horizontal="center"/>
    </xf>
    <xf numFmtId="2" fontId="21" fillId="0" borderId="16" xfId="11" applyNumberFormat="1" applyBorder="1" applyAlignment="1">
      <alignment horizontal="center"/>
    </xf>
    <xf numFmtId="0" fontId="21" fillId="0" borderId="10" xfId="11" applyBorder="1" applyAlignment="1">
      <alignment horizontal="center"/>
    </xf>
    <xf numFmtId="2" fontId="21" fillId="0" borderId="10" xfId="11" applyNumberFormat="1" applyBorder="1" applyAlignment="1">
      <alignment horizontal="center"/>
    </xf>
    <xf numFmtId="10" fontId="21" fillId="0" borderId="10" xfId="11" applyNumberFormat="1" applyBorder="1" applyAlignment="1">
      <alignment horizontal="center"/>
    </xf>
    <xf numFmtId="0" fontId="21" fillId="0" borderId="10" xfId="11" applyBorder="1" applyAlignment="1">
      <alignment horizontal="center"/>
    </xf>
    <xf numFmtId="10" fontId="21" fillId="0" borderId="10" xfId="11" applyNumberFormat="1" applyBorder="1" applyAlignment="1">
      <alignment horizontal="center"/>
    </xf>
    <xf numFmtId="2" fontId="21" fillId="0" borderId="10" xfId="11" applyNumberFormat="1" applyBorder="1" applyAlignment="1">
      <alignment horizontal="center"/>
    </xf>
    <xf numFmtId="0" fontId="21" fillId="0" borderId="10" xfId="11" applyBorder="1" applyAlignment="1">
      <alignment horizontal="center"/>
    </xf>
    <xf numFmtId="2" fontId="21" fillId="0" borderId="10" xfId="11" applyNumberFormat="1" applyBorder="1" applyAlignment="1">
      <alignment horizontal="center"/>
    </xf>
    <xf numFmtId="10" fontId="21" fillId="0" borderId="10" xfId="11" applyNumberFormat="1" applyBorder="1" applyAlignment="1">
      <alignment horizontal="center"/>
    </xf>
    <xf numFmtId="0" fontId="0" fillId="0" borderId="0" xfId="0" applyAlignment="1">
      <alignment horizontal="center"/>
    </xf>
    <xf numFmtId="0" fontId="11" fillId="13" borderId="8" xfId="3" applyFont="1" applyFill="1" applyBorder="1"/>
    <xf numFmtId="0" fontId="11" fillId="13" borderId="18" xfId="3" applyFont="1" applyFill="1" applyBorder="1"/>
    <xf numFmtId="0" fontId="11" fillId="13" borderId="20" xfId="3" applyFont="1" applyFill="1" applyBorder="1"/>
    <xf numFmtId="0" fontId="11" fillId="13" borderId="19" xfId="3" applyFont="1" applyFill="1" applyBorder="1"/>
    <xf numFmtId="0" fontId="24" fillId="0" borderId="7" xfId="11" applyFont="1" applyBorder="1"/>
    <xf numFmtId="0" fontId="24" fillId="0" borderId="10" xfId="11" applyFont="1" applyBorder="1" applyAlignment="1">
      <alignment horizontal="center"/>
    </xf>
    <xf numFmtId="2" fontId="24" fillId="0" borderId="10" xfId="11" applyNumberFormat="1" applyFont="1" applyBorder="1" applyAlignment="1">
      <alignment horizontal="center"/>
    </xf>
    <xf numFmtId="10" fontId="24" fillId="0" borderId="10" xfId="11" applyNumberFormat="1" applyFont="1" applyBorder="1" applyAlignment="1">
      <alignment horizontal="center"/>
    </xf>
    <xf numFmtId="2" fontId="24" fillId="0" borderId="5" xfId="11" applyNumberFormat="1" applyFont="1" applyBorder="1" applyAlignment="1">
      <alignment horizontal="center"/>
    </xf>
    <xf numFmtId="0" fontId="24" fillId="6" borderId="7" xfId="11" applyNumberFormat="1" applyFont="1" applyFill="1" applyBorder="1" applyAlignment="1"/>
    <xf numFmtId="0" fontId="28" fillId="4" borderId="0" xfId="2" applyFont="1" applyFill="1" applyAlignment="1">
      <alignment horizontal="center" vertical="center"/>
    </xf>
    <xf numFmtId="0" fontId="19" fillId="18" borderId="17" xfId="10"/>
    <xf numFmtId="0" fontId="19" fillId="18" borderId="17" xfId="1" applyNumberFormat="1" applyFont="1" applyFill="1" applyBorder="1" applyAlignment="1">
      <alignment horizontal="center" vertical="center"/>
    </xf>
    <xf numFmtId="0" fontId="0" fillId="0" borderId="0" xfId="0" applyAlignment="1">
      <alignment horizontal="right" vertical="center" indent="1"/>
    </xf>
    <xf numFmtId="167" fontId="0" fillId="0" borderId="0" xfId="1" applyNumberFormat="1" applyFont="1" applyAlignment="1">
      <alignment horizontal="left" indent="3"/>
    </xf>
    <xf numFmtId="166" fontId="19" fillId="18" borderId="17" xfId="10" applyNumberFormat="1"/>
    <xf numFmtId="166" fontId="2" fillId="14" borderId="9" xfId="1" applyNumberFormat="1" applyFont="1" applyFill="1" applyBorder="1"/>
    <xf numFmtId="167" fontId="0" fillId="0" borderId="0" xfId="0" applyNumberFormat="1"/>
    <xf numFmtId="0" fontId="0" fillId="0" borderId="0" xfId="0" applyAlignment="1">
      <alignment horizontal="left" indent="4"/>
    </xf>
    <xf numFmtId="9" fontId="11" fillId="13" borderId="8" xfId="1" applyFont="1" applyFill="1" applyBorder="1"/>
    <xf numFmtId="166" fontId="11" fillId="13" borderId="8" xfId="1" applyNumberFormat="1" applyFont="1" applyFill="1" applyBorder="1"/>
    <xf numFmtId="166" fontId="11" fillId="13" borderId="8" xfId="3" applyNumberFormat="1"/>
    <xf numFmtId="0" fontId="0" fillId="0" borderId="0" xfId="0" applyAlignment="1">
      <alignment horizontal="right" indent="1"/>
    </xf>
    <xf numFmtId="168" fontId="18" fillId="18" borderId="8" xfId="9" applyNumberFormat="1"/>
    <xf numFmtId="10" fontId="18" fillId="18" borderId="8" xfId="1" applyNumberFormat="1" applyFont="1" applyFill="1" applyBorder="1"/>
    <xf numFmtId="10" fontId="18" fillId="18" borderId="20" xfId="1" applyNumberFormat="1" applyFont="1" applyFill="1" applyBorder="1"/>
    <xf numFmtId="0" fontId="29" fillId="6" borderId="7" xfId="11" applyNumberFormat="1" applyFont="1" applyFill="1" applyBorder="1" applyAlignment="1"/>
    <xf numFmtId="0" fontId="29" fillId="5" borderId="1" xfId="0" applyFont="1" applyFill="1" applyBorder="1"/>
    <xf numFmtId="0" fontId="0" fillId="6" borderId="7" xfId="11" applyNumberFormat="1" applyFont="1" applyFill="1" applyBorder="1" applyAlignment="1"/>
    <xf numFmtId="0" fontId="0" fillId="0" borderId="7" xfId="11" applyNumberFormat="1" applyFont="1" applyBorder="1" applyAlignment="1"/>
    <xf numFmtId="10" fontId="18" fillId="18" borderId="8" xfId="9" applyNumberFormat="1"/>
    <xf numFmtId="0" fontId="2" fillId="5" borderId="22" xfId="0" applyFont="1" applyFill="1" applyBorder="1"/>
    <xf numFmtId="0" fontId="19" fillId="18" borderId="23" xfId="10" applyFont="1" applyFill="1" applyBorder="1"/>
    <xf numFmtId="0" fontId="19" fillId="18" borderId="24" xfId="10" applyFont="1" applyFill="1" applyBorder="1"/>
    <xf numFmtId="0" fontId="27" fillId="0" borderId="21" xfId="14"/>
    <xf numFmtId="9" fontId="2" fillId="14" borderId="9" xfId="1" applyFont="1" applyFill="1" applyBorder="1" applyAlignment="1">
      <alignment horizontal="center"/>
    </xf>
    <xf numFmtId="0" fontId="27" fillId="6" borderId="21" xfId="14" applyFill="1"/>
    <xf numFmtId="0" fontId="0" fillId="0" borderId="0" xfId="0" applyAlignment="1">
      <alignment vertical="center"/>
    </xf>
    <xf numFmtId="0" fontId="19" fillId="18" borderId="17" xfId="10" applyAlignment="1">
      <alignment horizontal="right"/>
    </xf>
    <xf numFmtId="0" fontId="19" fillId="18" borderId="17" xfId="10" applyAlignment="1">
      <alignment horizontal="right" vertical="top" wrapText="1"/>
    </xf>
    <xf numFmtId="2" fontId="18" fillId="18" borderId="8" xfId="9" applyNumberFormat="1"/>
    <xf numFmtId="0" fontId="18" fillId="18" borderId="8" xfId="1" applyNumberFormat="1" applyFont="1" applyFill="1" applyBorder="1"/>
    <xf numFmtId="0" fontId="18" fillId="18" borderId="8" xfId="9" applyNumberFormat="1"/>
    <xf numFmtId="0" fontId="0" fillId="0" borderId="0" xfId="0" applyFill="1" applyAlignment="1">
      <alignment wrapText="1"/>
    </xf>
    <xf numFmtId="0" fontId="19" fillId="21" borderId="17" xfId="0" applyFont="1" applyFill="1" applyBorder="1"/>
    <xf numFmtId="0" fontId="0" fillId="0" borderId="0" xfId="0" applyFill="1" applyAlignment="1">
      <alignment horizontal="left" vertical="top" wrapText="1"/>
    </xf>
    <xf numFmtId="0" fontId="2" fillId="5" borderId="22" xfId="0" applyFont="1" applyFill="1" applyBorder="1" applyAlignment="1">
      <alignment wrapText="1"/>
    </xf>
    <xf numFmtId="0" fontId="19" fillId="21" borderId="17" xfId="0" applyFont="1" applyFill="1" applyBorder="1" applyAlignment="1">
      <alignment vertical="center"/>
    </xf>
    <xf numFmtId="0" fontId="11" fillId="13" borderId="8" xfId="3" applyAlignment="1">
      <alignment horizontal="right" indent="1"/>
    </xf>
    <xf numFmtId="0" fontId="0" fillId="20" borderId="0" xfId="0" applyFill="1" applyAlignment="1">
      <alignment horizontal="left" indent="4"/>
    </xf>
    <xf numFmtId="0" fontId="6" fillId="3" borderId="0" xfId="0" applyFont="1" applyFill="1" applyAlignment="1">
      <alignment horizontal="center" vertical="center" wrapTex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vertical="top" wrapText="1"/>
    </xf>
    <xf numFmtId="0" fontId="0" fillId="15" borderId="2" xfId="0" applyFill="1" applyBorder="1" applyAlignment="1">
      <alignment horizontal="center"/>
    </xf>
    <xf numFmtId="0" fontId="11" fillId="13" borderId="25" xfId="3" applyBorder="1" applyAlignment="1">
      <alignment horizontal="center"/>
    </xf>
    <xf numFmtId="0" fontId="11" fillId="13" borderId="18" xfId="3" applyBorder="1" applyAlignment="1">
      <alignment horizontal="center"/>
    </xf>
    <xf numFmtId="0" fontId="11" fillId="13" borderId="8" xfId="3" applyAlignment="1">
      <alignment horizontal="center"/>
    </xf>
    <xf numFmtId="0" fontId="0" fillId="0" borderId="0" xfId="0" applyAlignment="1">
      <alignment horizontal="center" vertical="top" wrapText="1"/>
    </xf>
    <xf numFmtId="0" fontId="0" fillId="0" borderId="0" xfId="0" applyAlignment="1">
      <alignment horizontal="center"/>
    </xf>
    <xf numFmtId="0" fontId="13" fillId="0" borderId="0" xfId="0" applyFont="1" applyAlignment="1">
      <alignment horizontal="left"/>
    </xf>
    <xf numFmtId="0" fontId="0" fillId="0" borderId="3" xfId="0" applyBorder="1" applyAlignment="1">
      <alignment horizont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0" fillId="16" borderId="0" xfId="0" applyFill="1" applyAlignment="1">
      <alignment horizontal="center"/>
    </xf>
    <xf numFmtId="0" fontId="0" fillId="17" borderId="0" xfId="0" applyFill="1" applyAlignment="1">
      <alignment horizontal="center"/>
    </xf>
    <xf numFmtId="0" fontId="10" fillId="3" borderId="0" xfId="0" applyFont="1" applyFill="1" applyAlignment="1">
      <alignment horizontal="center" vertical="center" wrapText="1"/>
    </xf>
    <xf numFmtId="0" fontId="0" fillId="15" borderId="0" xfId="0" applyFill="1" applyAlignment="1">
      <alignment horizontal="center"/>
    </xf>
    <xf numFmtId="0" fontId="26" fillId="0" borderId="0" xfId="0" applyFont="1" applyAlignment="1">
      <alignment horizontal="left"/>
    </xf>
    <xf numFmtId="0" fontId="26" fillId="0" borderId="0" xfId="0" applyFont="1" applyAlignment="1"/>
    <xf numFmtId="0" fontId="0" fillId="8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12" fillId="3" borderId="0" xfId="0" applyFont="1" applyFill="1" applyAlignment="1">
      <alignment horizontal="center" vertical="center" wrapText="1"/>
    </xf>
    <xf numFmtId="0" fontId="18" fillId="18" borderId="8" xfId="9" applyAlignment="1">
      <alignment horizontal="center"/>
    </xf>
  </cellXfs>
  <cellStyles count="15">
    <cellStyle name="Beräkning" xfId="9" builtinId="22"/>
    <cellStyle name="Hyperlänk" xfId="2" builtinId="8"/>
    <cellStyle name="Hyperlänk 2" xfId="7"/>
    <cellStyle name="Hyperlänk 3" xfId="12"/>
    <cellStyle name="Indata" xfId="3" builtinId="20"/>
    <cellStyle name="Länkad cell" xfId="14" builtinId="24"/>
    <cellStyle name="Normal" xfId="0" builtinId="0"/>
    <cellStyle name="Normal 2" xfId="4"/>
    <cellStyle name="Normal 3" xfId="11"/>
    <cellStyle name="Procent" xfId="1" builtinId="5"/>
    <cellStyle name="Procent 2" xfId="8"/>
    <cellStyle name="Procent 3" xfId="13"/>
    <cellStyle name="Tusental 2" xfId="5"/>
    <cellStyle name="Utdata" xfId="10" builtinId="21"/>
    <cellStyle name="Valuta 2" xfId="6"/>
  </cellStyles>
  <dxfs count="184"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4" formatCode="0.00%"/>
    </dxf>
    <dxf>
      <numFmt numFmtId="14" formatCode="0.00%"/>
    </dxf>
    <dxf>
      <numFmt numFmtId="19" formatCode="yyyy/mm/dd"/>
    </dxf>
    <dxf>
      <numFmt numFmtId="19" formatCode="yyyy/mm/dd"/>
    </dxf>
    <dxf>
      <numFmt numFmtId="19" formatCode="yyyy/mm/dd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bottom" textRotation="0" wrapText="0" indent="0" justifyLastLine="0" shrinkToFit="0" readingOrder="0"/>
    </dxf>
    <dxf>
      <numFmt numFmtId="14" formatCode="0.00%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4" formatCode="0.0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4" formatCode="0.00%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4" formatCode="0.00%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4" formatCode="0.00%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theme="0"/>
        <name val="Geneva"/>
        <scheme val="none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4" formatCode="0.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alignment horizontal="center" vertical="bottom" textRotation="0" wrapText="0" indent="0" justifyLastLine="0" shrinkToFit="0" readingOrder="0"/>
    </dxf>
    <dxf>
      <numFmt numFmtId="14" formatCode="0.00%"/>
      <alignment horizontal="center" vertical="bottom" textRotation="0" wrapText="0" indent="0" justifyLastLine="0" shrinkToFit="0" readingOrder="0"/>
    </dxf>
    <dxf>
      <numFmt numFmtId="14" formatCode="0.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alignment horizontal="center" vertical="bottom" textRotation="0" wrapText="0" indent="0" justifyLastLine="0" shrinkToFit="0" readingOrder="0"/>
    </dxf>
    <dxf>
      <numFmt numFmtId="14" formatCode="0.00%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alignment horizontal="general" vertical="bottom" textRotation="0" wrapText="1" indent="0" justifyLastLine="0" shrinkToFit="0" readingOrder="0"/>
    </dxf>
    <dxf>
      <numFmt numFmtId="14" formatCode="0.00%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left style="thin">
          <color indexed="64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theme="8"/>
          <bgColor theme="8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left style="thin">
          <color indexed="64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theme="8"/>
          <bgColor theme="8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left style="thin">
          <color indexed="64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theme="8"/>
          <bgColor theme="8"/>
        </patternFill>
      </fill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4" formatCode="0.000%"/>
      <alignment horizontal="center" vertical="bottom" textRotation="0" wrapText="0" indent="0" justifyLastLine="0" shrinkToFit="0" readingOrder="0"/>
    </dxf>
    <dxf>
      <numFmt numFmtId="164" formatCode="0.0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%"/>
      <alignment horizontal="center" vertical="bottom" textRotation="0" wrapText="0" indent="0" justifyLastLine="0" shrinkToFit="0" readingOrder="0"/>
    </dxf>
    <dxf>
      <alignment horizontal="left" vertical="bottom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F3F76"/>
        <name val="Calibri"/>
        <scheme val="minor"/>
      </font>
      <fill>
        <patternFill patternType="solid">
          <fgColor indexed="64"/>
          <bgColor rgb="FFFFCC99"/>
        </patternFill>
      </fill>
      <border diagonalUp="0" diagonalDown="0">
        <left/>
        <right style="thin">
          <color rgb="FF7F7F7F"/>
        </right>
        <top style="thin">
          <color rgb="FF7F7F7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F3F76"/>
        <name val="Calibri"/>
        <scheme val="minor"/>
      </font>
      <fill>
        <patternFill patternType="solid">
          <fgColor indexed="64"/>
          <bgColor rgb="FFFFCC99"/>
        </patternFill>
      </fill>
      <border diagonalUp="0" diagonalDown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  <vertical/>
        <horizontal/>
      </border>
    </dxf>
    <dxf>
      <border outline="0">
        <bottom style="thin">
          <color rgb="FF3F3F3F"/>
        </bottom>
      </border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3F3F3F"/>
        <name val="Calibri"/>
        <scheme val="minor"/>
      </font>
      <fill>
        <patternFill patternType="solid">
          <fgColor indexed="64"/>
          <bgColor rgb="FFF2F2F2"/>
        </patternFill>
      </fill>
      <border diagonalUp="0" diagonalDown="0" outline="0">
        <left style="thin">
          <color rgb="FF3F3F3F"/>
        </left>
        <right style="thin">
          <color rgb="FF3F3F3F"/>
        </right>
        <top style="thin">
          <color rgb="FF3F3F3F"/>
        </top>
        <bottom style="thin">
          <color rgb="FF3F3F3F"/>
        </bottom>
      </border>
    </dxf>
    <dxf>
      <numFmt numFmtId="0" formatCode="General"/>
      <border outline="0">
        <left style="thin">
          <color rgb="FF7F7F7F"/>
        </left>
      </border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3F3F3F"/>
        <name val="Calibri"/>
        <scheme val="minor"/>
      </font>
      <fill>
        <patternFill patternType="solid">
          <fgColor indexed="64"/>
          <bgColor rgb="FFF2F2F2"/>
        </patternFill>
      </fill>
      <border diagonalUp="0" diagonalDown="0" outline="0">
        <left style="thin">
          <color rgb="FF3F3F3F"/>
        </left>
        <right style="thin">
          <color rgb="FF3F3F3F"/>
        </right>
        <top style="thin">
          <color rgb="FF3F3F3F"/>
        </top>
        <bottom style="thin">
          <color rgb="FF3F3F3F"/>
        </bottom>
      </border>
    </dxf>
    <dxf>
      <border outline="0">
        <right style="thin">
          <color rgb="FF7F7F7F"/>
        </right>
      </border>
    </dxf>
    <dxf>
      <border outline="0">
        <left style="thin">
          <color rgb="FF7F7F7F"/>
        </left>
      </border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outline="0">
        <right style="thin">
          <color rgb="FF7F7F7F"/>
        </right>
      </border>
    </dxf>
    <dxf>
      <border outline="0">
        <left style="thin">
          <color rgb="FF7F7F7F"/>
        </left>
      </border>
    </dxf>
    <dxf>
      <numFmt numFmtId="166" formatCode="0.0%"/>
    </dxf>
    <dxf>
      <alignment horizontal="general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3F3F3F"/>
        <name val="Calibri"/>
        <scheme val="minor"/>
      </font>
      <fill>
        <patternFill patternType="solid">
          <fgColor indexed="64"/>
          <bgColor rgb="FFF2F2F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rgb="FF3F3F3F"/>
        </left>
        <right style="thin">
          <color rgb="FF3F3F3F"/>
        </right>
        <top style="thin">
          <color rgb="FF3F3F3F"/>
        </top>
        <bottom style="thin">
          <color rgb="FF3F3F3F"/>
        </bottom>
      </border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3F3F3F"/>
        <name val="Calibri"/>
        <scheme val="minor"/>
      </font>
      <fill>
        <patternFill patternType="solid">
          <fgColor indexed="64"/>
          <bgColor rgb="FFF2F2F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rgb="FF3F3F3F"/>
        </left>
        <right style="thin">
          <color rgb="FF3F3F3F"/>
        </right>
        <top style="thin">
          <color rgb="FF3F3F3F"/>
        </top>
        <bottom style="thin">
          <color rgb="FF3F3F3F"/>
        </bottom>
      </border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3F3F3F"/>
        <name val="Calibri"/>
        <scheme val="minor"/>
      </font>
      <fill>
        <patternFill patternType="solid">
          <fgColor indexed="64"/>
          <bgColor rgb="FFF2F2F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rgb="FF3F3F3F"/>
        </left>
        <right style="thin">
          <color rgb="FF3F3F3F"/>
        </right>
        <top style="thin">
          <color rgb="FF3F3F3F"/>
        </top>
        <bottom style="thin">
          <color rgb="FF3F3F3F"/>
        </bottom>
      </border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3F3F3F"/>
        <name val="Calibri"/>
        <scheme val="minor"/>
      </font>
      <fill>
        <patternFill patternType="solid">
          <fgColor indexed="64"/>
          <bgColor rgb="FFF2F2F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rgb="FF3F3F3F"/>
        </left>
        <right style="thin">
          <color rgb="FF3F3F3F"/>
        </right>
        <top style="thin">
          <color rgb="FF3F3F3F"/>
        </top>
        <bottom style="thin">
          <color rgb="FF3F3F3F"/>
        </bottom>
      </border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3F3F3F"/>
        <name val="Calibri"/>
        <scheme val="minor"/>
      </font>
      <fill>
        <patternFill patternType="solid">
          <fgColor indexed="64"/>
          <bgColor rgb="FFF2F2F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rgb="FF3F3F3F"/>
        </left>
        <right style="thin">
          <color rgb="FF3F3F3F"/>
        </right>
        <top style="thin">
          <color rgb="FF3F3F3F"/>
        </top>
        <bottom style="thin">
          <color rgb="FF3F3F3F"/>
        </bottom>
      </border>
    </dxf>
    <dxf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3F3F3F"/>
        <name val="Calibri"/>
        <scheme val="minor"/>
      </font>
      <fill>
        <patternFill patternType="solid">
          <fgColor indexed="64"/>
          <bgColor rgb="FFF2F2F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rgb="FF3F3F3F"/>
        </left>
        <right style="thin">
          <color rgb="FF3F3F3F"/>
        </right>
        <top style="thin">
          <color rgb="FF3F3F3F"/>
        </top>
        <bottom style="thin">
          <color rgb="FF3F3F3F"/>
        </bottom>
      </border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border outline="0">
        <left style="thin">
          <color rgb="FF7F7F7F"/>
        </left>
      </border>
    </dxf>
    <dxf>
      <alignment horizontal="general" vertical="center" textRotation="0" wrapText="0" indent="0" justifyLastLine="0" shrinkToFit="0" readingOrder="0"/>
    </dxf>
    <dxf>
      <numFmt numFmtId="2" formatCode="0.00"/>
    </dxf>
    <dxf>
      <alignment horizontal="general" vertical="center" textRotation="0" wrapText="0" indent="0" justifyLastLine="0" shrinkToFit="0" readingOrder="0"/>
    </dxf>
    <dxf>
      <border outline="0">
        <right style="thin">
          <color rgb="FF7F7F7F"/>
        </right>
      </border>
    </dxf>
    <dxf>
      <alignment horizontal="general" vertical="center" textRotation="0" wrapText="0" indent="0" justifyLastLine="0" shrinkToFit="0" readingOrder="0"/>
    </dxf>
    <dxf>
      <border outline="0">
        <left style="thin">
          <color rgb="FF7F7F7F"/>
        </lef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1343025</xdr:colOff>
      <xdr:row>24</xdr:row>
      <xdr:rowOff>133350</xdr:rowOff>
    </xdr:from>
    <xdr:to>
      <xdr:col>1</xdr:col>
      <xdr:colOff>1514475</xdr:colOff>
      <xdr:row>25</xdr:row>
      <xdr:rowOff>0</xdr:rowOff>
    </xdr:to>
    <xdr:sp macro="" textlink="">
      <xdr:nvSpPr>
        <xdr:cNvPr id="4" name="Rektangel 3"/>
        <xdr:cNvSpPr/>
      </xdr:nvSpPr>
      <xdr:spPr>
        <a:xfrm>
          <a:off x="1495425" y="5172075"/>
          <a:ext cx="171450" cy="1809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1343025</xdr:colOff>
      <xdr:row>26</xdr:row>
      <xdr:rowOff>133350</xdr:rowOff>
    </xdr:from>
    <xdr:to>
      <xdr:col>1</xdr:col>
      <xdr:colOff>1514475</xdr:colOff>
      <xdr:row>27</xdr:row>
      <xdr:rowOff>0</xdr:rowOff>
    </xdr:to>
    <xdr:sp macro="" textlink="">
      <xdr:nvSpPr>
        <xdr:cNvPr id="5" name="Rektangel 4"/>
        <xdr:cNvSpPr/>
      </xdr:nvSpPr>
      <xdr:spPr>
        <a:xfrm>
          <a:off x="1495425" y="5676900"/>
          <a:ext cx="171450" cy="180975"/>
        </a:xfrm>
        <a:prstGeom prst="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1343025</xdr:colOff>
      <xdr:row>28</xdr:row>
      <xdr:rowOff>133350</xdr:rowOff>
    </xdr:from>
    <xdr:to>
      <xdr:col>1</xdr:col>
      <xdr:colOff>1514475</xdr:colOff>
      <xdr:row>29</xdr:row>
      <xdr:rowOff>0</xdr:rowOff>
    </xdr:to>
    <xdr:sp macro="" textlink="">
      <xdr:nvSpPr>
        <xdr:cNvPr id="6" name="Rektangel 5"/>
        <xdr:cNvSpPr/>
      </xdr:nvSpPr>
      <xdr:spPr>
        <a:xfrm>
          <a:off x="1495425" y="6181725"/>
          <a:ext cx="171450" cy="180975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1343025</xdr:colOff>
      <xdr:row>30</xdr:row>
      <xdr:rowOff>133350</xdr:rowOff>
    </xdr:from>
    <xdr:to>
      <xdr:col>1</xdr:col>
      <xdr:colOff>1514475</xdr:colOff>
      <xdr:row>31</xdr:row>
      <xdr:rowOff>0</xdr:rowOff>
    </xdr:to>
    <xdr:sp macro="" textlink="">
      <xdr:nvSpPr>
        <xdr:cNvPr id="7" name="Rektangel 6"/>
        <xdr:cNvSpPr/>
      </xdr:nvSpPr>
      <xdr:spPr>
        <a:xfrm>
          <a:off x="1495425" y="6686550"/>
          <a:ext cx="171450" cy="180975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1343025</xdr:colOff>
      <xdr:row>40</xdr:row>
      <xdr:rowOff>142875</xdr:rowOff>
    </xdr:from>
    <xdr:to>
      <xdr:col>1</xdr:col>
      <xdr:colOff>1514475</xdr:colOff>
      <xdr:row>41</xdr:row>
      <xdr:rowOff>9525</xdr:rowOff>
    </xdr:to>
    <xdr:sp macro="" textlink="">
      <xdr:nvSpPr>
        <xdr:cNvPr id="8" name="Rektangel 7"/>
        <xdr:cNvSpPr/>
      </xdr:nvSpPr>
      <xdr:spPr>
        <a:xfrm>
          <a:off x="1495425" y="8896350"/>
          <a:ext cx="171450" cy="1809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1343025</xdr:colOff>
      <xdr:row>42</xdr:row>
      <xdr:rowOff>142875</xdr:rowOff>
    </xdr:from>
    <xdr:to>
      <xdr:col>1</xdr:col>
      <xdr:colOff>1514475</xdr:colOff>
      <xdr:row>43</xdr:row>
      <xdr:rowOff>9525</xdr:rowOff>
    </xdr:to>
    <xdr:sp macro="" textlink="">
      <xdr:nvSpPr>
        <xdr:cNvPr id="9" name="Rektangel 8"/>
        <xdr:cNvSpPr/>
      </xdr:nvSpPr>
      <xdr:spPr>
        <a:xfrm>
          <a:off x="1495425" y="9401175"/>
          <a:ext cx="171450" cy="180975"/>
        </a:xfrm>
        <a:prstGeom prst="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1343025</xdr:colOff>
      <xdr:row>47</xdr:row>
      <xdr:rowOff>142875</xdr:rowOff>
    </xdr:from>
    <xdr:to>
      <xdr:col>1</xdr:col>
      <xdr:colOff>1514475</xdr:colOff>
      <xdr:row>48</xdr:row>
      <xdr:rowOff>9525</xdr:rowOff>
    </xdr:to>
    <xdr:sp macro="" textlink="">
      <xdr:nvSpPr>
        <xdr:cNvPr id="10" name="Rektangel 9"/>
        <xdr:cNvSpPr/>
      </xdr:nvSpPr>
      <xdr:spPr>
        <a:xfrm>
          <a:off x="1495425" y="9906000"/>
          <a:ext cx="171450" cy="180975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1343025</xdr:colOff>
      <xdr:row>75</xdr:row>
      <xdr:rowOff>123825</xdr:rowOff>
    </xdr:from>
    <xdr:to>
      <xdr:col>1</xdr:col>
      <xdr:colOff>1514475</xdr:colOff>
      <xdr:row>75</xdr:row>
      <xdr:rowOff>304800</xdr:rowOff>
    </xdr:to>
    <xdr:sp macro="" textlink="">
      <xdr:nvSpPr>
        <xdr:cNvPr id="11" name="Rektangel 10"/>
        <xdr:cNvSpPr/>
      </xdr:nvSpPr>
      <xdr:spPr>
        <a:xfrm>
          <a:off x="1495425" y="13030200"/>
          <a:ext cx="171450" cy="180975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1343025</xdr:colOff>
      <xdr:row>83</xdr:row>
      <xdr:rowOff>123825</xdr:rowOff>
    </xdr:from>
    <xdr:to>
      <xdr:col>1</xdr:col>
      <xdr:colOff>1514475</xdr:colOff>
      <xdr:row>83</xdr:row>
      <xdr:rowOff>304800</xdr:rowOff>
    </xdr:to>
    <xdr:sp macro="" textlink="">
      <xdr:nvSpPr>
        <xdr:cNvPr id="12" name="Rektangel 11"/>
        <xdr:cNvSpPr/>
      </xdr:nvSpPr>
      <xdr:spPr>
        <a:xfrm>
          <a:off x="1495425" y="14363700"/>
          <a:ext cx="171450" cy="180975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obias/Dropbox/Kurser/Corporate%20Finance%20and%20Strategy/Project/Company_Data_Chin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obias/Dropbox/Kurser/Corporate%20Finance%20and%20Strategy/Project/Company_Data_Europe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obias/Dropbox/Kurser/Corporate%20Finance%20and%20Strategy/Project/Indiacompfir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mpany_Data_China"/>
    </sheetNames>
    <sheetDataSet>
      <sheetData sheetId="0"/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mpany_Data_Europe"/>
    </sheetNames>
    <sheetDataSet>
      <sheetData sheetId="0"/>
      <sheetData sheetId="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Indiacompfirm"/>
    </sheetNames>
    <sheetDataSet>
      <sheetData sheetId="0"/>
      <sheetData sheetId="1" refreshError="1"/>
    </sheetDataSet>
  </externalBook>
</externalLink>
</file>

<file path=xl/tables/table1.xml><?xml version="1.0" encoding="utf-8"?>
<table xmlns="http://schemas.openxmlformats.org/spreadsheetml/2006/main" id="11" name="Betas_Per_Segment" displayName="Betas_Per_Segment" ref="C53:Q61" totalsRowCount="1" totalsRowDxfId="182" tableBorderDxfId="183" headerRowCellStyle="Normal" totalsRowCellStyle="Normal">
  <autoFilter ref="C53:Q60"/>
  <tableColumns count="15">
    <tableColumn id="7" name="Segment" totalsRowLabel="Company" dataDxfId="181" totalsRowDxfId="180" dataCellStyle="Länkad cell">
      <calculatedColumnFormula>IF(C40="","",C40)</calculatedColumnFormula>
    </tableColumn>
    <tableColumn id="10" name="EV/Sales" dataDxfId="179" totalsRowDxfId="178" dataCellStyle="Beräkning">
      <calculatedColumnFormula>IFERROR(VLOOKUP(Betas_Per_Segment[[#This Row],[Segment]],INDIRECT(VLOOKUP(Industry_Average,Industry_TableConverter[],3,FALSE)),3,FALSE),"")</calculatedColumnFormula>
    </tableColumn>
    <tableColumn id="11" name="Estimated Value" totalsRowFunction="sum" dataDxfId="177" totalsRowDxfId="176" dataCellStyle="Beräkning">
      <calculatedColumnFormula>IFERROR(Betas_Per_Segment[[#This Row],[EV/Sales]]*VLOOKUP(Betas_Per_Segment[[#This Row],[Segment]],Operations_Per_Segment_Region[],2,FALSE),"")</calculatedColumnFormula>
    </tableColumn>
    <tableColumn id="12" name="Firm Value Proportion" totalsRowDxfId="175" dataCellStyle="Procent">
      <calculatedColumnFormula>IFERROR(Betas_Per_Segment[[#This Row],[Estimated Value]]/Estimated_Firm_Value,"")</calculatedColumnFormula>
    </tableColumn>
    <tableColumn id="1" name="Unlevered beta" totalsRowFunction="custom" totalsRowDxfId="174" dataCellStyle="Utdata">
      <calculatedColumnFormula>IFERROR(VLOOKUP(Betas_Per_Segment[[#This Row],[Segment]],INDIRECT(VLOOKUP(Industry_Average,Industry_TableConverter[],2,FALSE)),8,FALSE),"")</calculatedColumnFormula>
      <totalsRowFormula>SUM(Betas_Per_Segment[Firm value proportion * Unlevered Beta])</totalsRowFormula>
    </tableColumn>
    <tableColumn id="13" name="Firm value proportion * Unlevered Beta" totalsRowDxfId="173" dataCellStyle="Beräkning">
      <calculatedColumnFormula>IFERROR(Betas_Per_Segment[[#This Row],[Unlevered beta]]*Betas_Per_Segment[[#This Row],[Firm Value Proportion]],"")</calculatedColumnFormula>
    </tableColumn>
    <tableColumn id="2" name="Estimated levered beta" totalsRowFunction="custom" totalsRowDxfId="172" dataCellStyle="Utdata">
      <calculatedColumnFormula>IFERROR(Betas_Per_Segment[[#This Row],[Unlevered beta]]*(1+(1-Company_Tax_Rate)*(Company_Debt/Company_Equity)),"")</calculatedColumnFormula>
      <totalsRowFormula>SUM(Betas_Per_Segment[Firm value proportion * Levered Beta2])</totalsRowFormula>
    </tableColumn>
    <tableColumn id="8" name="Allocated debt" dataDxfId="171" totalsRowDxfId="170" dataCellStyle="Utdata">
      <calculatedColumnFormula>IFERROR(Betas_Per_Segment[[#This Row],[Estimated debt]]/SUM(Betas_Per_Segment[Estimated debt])*Company_Debt,"")</calculatedColumnFormula>
    </tableColumn>
    <tableColumn id="6" name="Estimated debt" dataDxfId="169" totalsRowDxfId="168" dataCellStyle="Utdata">
      <calculatedColumnFormula>IFERROR(Betas_Per_Segment[[#This Row],[Estimated Value]]*Betas_Per_Segment[Industry D/E]/$F$51,"")</calculatedColumnFormula>
    </tableColumn>
    <tableColumn id="14" name="Estimated equity" dataDxfId="167" totalsRowDxfId="166" dataCellStyle="Utdata">
      <calculatedColumnFormula>IFERROR(Betas_Per_Segment[[#This Row],[Estimated Value]]-Betas_Per_Segment[[#This Row],[Allocated debt]],"")</calculatedColumnFormula>
    </tableColumn>
    <tableColumn id="15" name="Scaled estimated equity " totalsRowFunction="sum" dataDxfId="165" totalsRowDxfId="164" dataCellStyle="Utdata">
      <calculatedColumnFormula>IFERROR(Betas_Per_Segment[[#This Row],[Estimated equity]]/SUM(Betas_Per_Segment[Estimated equity])*Company_Equity,"")</calculatedColumnFormula>
    </tableColumn>
    <tableColumn id="4" name="Estimated levered beta using debt allocation" totalsRowFunction="custom" dataDxfId="163" dataCellStyle="Utdata">
      <calculatedColumnFormula>IFERROR(Betas_Per_Segment[[#This Row],[Unlevered beta]]*(1+(1-Company_Tax_Rate)*Betas_Per_Segment[[#This Row],[Allocated debt]]/Betas_Per_Segment[[#This Row],[Scaled estimated equity ]]),"")</calculatedColumnFormula>
      <totalsRowFormula>SUM(Betas_Per_Segment[Firm value proportion * Levered Beta debt])</totalsRowFormula>
    </tableColumn>
    <tableColumn id="5" name="Industry D/E" totalsRowFunction="custom" dataDxfId="162" dataCellStyle="Utdata">
      <calculatedColumnFormula>IFERROR(VLOOKUP(Betas_Per_Segment[[#This Row],[Segment]],INDIRECT(VLOOKUP(Industry_Average,Industry_TableConverter[],2,FALSE)),4,FALSE),"")</calculatedColumnFormula>
      <totalsRowFormula>SUM(Betas_Per_Segment[Industry D/E])</totalsRowFormula>
    </tableColumn>
    <tableColumn id="16" name="Firm value proportion * Levered Beta debt" dataDxfId="161" dataCellStyle="Utdata">
      <calculatedColumnFormula>IFERROR(Betas_Per_Segment[[#This Row],[Firm Value Proportion]]*Betas_Per_Segment[[#This Row],[Estimated levered beta using debt allocation]],"")</calculatedColumnFormula>
    </tableColumn>
    <tableColumn id="3" name="Firm value proportion * Levered Beta2" totalsRowDxfId="160" dataCellStyle="Beräkning">
      <calculatedColumnFormula>IFERROR(Betas_Per_Segment[[#This Row],[Estimated levered beta]]*Betas_Per_Segment[[#This Row],[Firm Value Proportion]],"")</calculatedColumnFormula>
    </tableColumn>
  </tableColumns>
  <tableStyleInfo name="TableStyleMedium20" showFirstColumn="0" showLastColumn="0" showRowStripes="1" showColumnStripes="0"/>
</table>
</file>

<file path=xl/tables/table10.xml><?xml version="1.0" encoding="utf-8"?>
<table xmlns="http://schemas.openxmlformats.org/spreadsheetml/2006/main" id="30" name="Industry_Average_China" displayName="Industry_Average_China" ref="B407:I501" totalsRowShown="0" headerRowDxfId="83" dataDxfId="81" headerRowBorderDxfId="82" tableBorderDxfId="80" totalsRowBorderDxfId="79" headerRowCellStyle="Normal 3" dataCellStyle="Normal 3">
  <autoFilter ref="B407:I501"/>
  <tableColumns count="8">
    <tableColumn id="1" name="Industry Name" dataDxfId="78" dataCellStyle="Normal 3"/>
    <tableColumn id="2" name="Number of firms" dataDxfId="77" dataCellStyle="Normal 3"/>
    <tableColumn id="3" name="Beta " dataDxfId="76" dataCellStyle="Normal 3"/>
    <tableColumn id="4" name="D/E Ratio" dataDxfId="75" dataCellStyle="Normal 3"/>
    <tableColumn id="5" name="Tax rate" dataDxfId="74" dataCellStyle="Normal 3"/>
    <tableColumn id="6" name="Unlevered beta" dataDxfId="73" dataCellStyle="Normal 3"/>
    <tableColumn id="7" name="Cash/Firm value" dataDxfId="72" dataCellStyle="Normal 3"/>
    <tableColumn id="8" name="Unlevered beta corrected for cash" dataDxfId="71" dataCellStyle="Normal 3"/>
  </tableColumns>
  <tableStyleInfo name="TableStyleMedium20" showFirstColumn="0" showLastColumn="0" showRowStripes="1" showColumnStripes="0"/>
</table>
</file>

<file path=xl/tables/table11.xml><?xml version="1.0" encoding="utf-8"?>
<table xmlns="http://schemas.openxmlformats.org/spreadsheetml/2006/main" id="31" name="Industry_Average_India" displayName="Industry_Average_India" ref="B504:I592" totalsRowShown="0" headerRowDxfId="70" dataDxfId="68" headerRowBorderDxfId="69" tableBorderDxfId="67" totalsRowBorderDxfId="66" headerRowCellStyle="Normal 3" dataCellStyle="Normal 3">
  <autoFilter ref="B504:I592"/>
  <tableColumns count="8">
    <tableColumn id="1" name="Industry Name" dataDxfId="65" dataCellStyle="Normal 3"/>
    <tableColumn id="2" name="Number of firms" dataDxfId="64" dataCellStyle="Normal 3"/>
    <tableColumn id="3" name="Beta " dataDxfId="63" dataCellStyle="Normal 3"/>
    <tableColumn id="4" name="D/E Ratio" dataDxfId="62" dataCellStyle="Normal 3"/>
    <tableColumn id="5" name="Tax rate" dataDxfId="61" dataCellStyle="Normal 3"/>
    <tableColumn id="6" name="Unlevered beta" dataDxfId="60" dataCellStyle="Normal 3"/>
    <tableColumn id="7" name="Cash/Firm value" dataDxfId="59" dataCellStyle="Normal 3"/>
    <tableColumn id="8" name="Unlevered beta corrected for cash" dataDxfId="58" dataCellStyle="Normal 3"/>
  </tableColumns>
  <tableStyleInfo name="TableStyleMedium20" showFirstColumn="0" showLastColumn="0" showRowStripes="1" showColumnStripes="0"/>
</table>
</file>

<file path=xl/tables/table12.xml><?xml version="1.0" encoding="utf-8"?>
<table xmlns="http://schemas.openxmlformats.org/spreadsheetml/2006/main" id="12" name="EV_Sales_US" displayName="EV_Sales_US" ref="B596:D693" totalsRowShown="0">
  <autoFilter ref="B596:D693"/>
  <tableColumns count="3">
    <tableColumn id="1" name="Industry"/>
    <tableColumn id="2" name="Average EV/Sales"/>
    <tableColumn id="3" name="Median EV/Sales"/>
  </tableColumns>
  <tableStyleInfo name="TableStyleMedium20" showFirstColumn="0" showLastColumn="0" showRowStripes="1" showColumnStripes="0"/>
</table>
</file>

<file path=xl/tables/table13.xml><?xml version="1.0" encoding="utf-8"?>
<table xmlns="http://schemas.openxmlformats.org/spreadsheetml/2006/main" id="16" name="EV_Sales_China" displayName="EV_Sales_China" ref="F596:H693" totalsRowShown="0" headerRowDxfId="57" tableBorderDxfId="56">
  <autoFilter ref="F596:H693"/>
  <tableColumns count="3">
    <tableColumn id="1" name="Industry"/>
    <tableColumn id="2" name="Average EV/Sales" dataDxfId="55">
      <calculatedColumnFormula array="1">AVERAGEIF([1]!Company_Data_China[Industry Group],F597,[1]!Company_Data_China[EV/Sales])</calculatedColumnFormula>
    </tableColumn>
    <tableColumn id="3" name="Median EV/Sales">
      <calculatedColumnFormula array="1">MEDIAN(IF([1]!Company_Data_China[Industry Group]=F597,[1]!Company_Data_China[EV/Sales],""))</calculatedColumnFormula>
    </tableColumn>
  </tableColumns>
  <tableStyleInfo name="TableStyleMedium19" showFirstColumn="0" showLastColumn="0" showRowStripes="1" showColumnStripes="0"/>
</table>
</file>

<file path=xl/tables/table14.xml><?xml version="1.0" encoding="utf-8"?>
<table xmlns="http://schemas.openxmlformats.org/spreadsheetml/2006/main" id="20" name="EV_Sales_Europe" displayName="EV_Sales_Europe" ref="J596:L693" totalsRowShown="0" headerRowDxfId="54" tableBorderDxfId="53">
  <autoFilter ref="J596:L693"/>
  <tableColumns count="3">
    <tableColumn id="1" name="Industry"/>
    <tableColumn id="2" name="Average EV/Sales" dataDxfId="52">
      <calculatedColumnFormula>AVERAGEIF([2]!Company_Data_Europe[Industry Group],J597,[2]!Company_Data_Europe[EV/Sales])</calculatedColumnFormula>
    </tableColumn>
    <tableColumn id="3" name="Median EV/Sales">
      <calculatedColumnFormula array="1">MEDIAN(IF([2]!Company_Data_Europe[Industry Group]=J597,[2]!Company_Data_Europe[EV/Sales],""))</calculatedColumnFormula>
    </tableColumn>
  </tableColumns>
  <tableStyleInfo name="TableStyleMedium20" showFirstColumn="0" showLastColumn="0" showRowStripes="1" showColumnStripes="0"/>
</table>
</file>

<file path=xl/tables/table15.xml><?xml version="1.0" encoding="utf-8"?>
<table xmlns="http://schemas.openxmlformats.org/spreadsheetml/2006/main" id="21" name="EV_Sales_India" displayName="EV_Sales_India" ref="N596:P693" totalsRowShown="0" headerRowDxfId="51" tableBorderDxfId="50">
  <autoFilter ref="N596:P693"/>
  <tableColumns count="3">
    <tableColumn id="1" name="Industry"/>
    <tableColumn id="2" name="Average EV/Sales" dataDxfId="49">
      <calculatedColumnFormula>AVERAGEIF([3]!Company_Data_India[Industry Group],N597,[3]!Company_Data_India[EV/Sales])</calculatedColumnFormula>
    </tableColumn>
    <tableColumn id="3" name="Median EV/Sales">
      <calculatedColumnFormula array="1">MEDIAN(IF([3]!Company_Data_India[Industry Group]=N597,[3]!Company_Data_India[EV/Sales],""))</calculatedColumnFormula>
    </tableColumn>
  </tableColumns>
  <tableStyleInfo name="TableStyleMedium19" showFirstColumn="0" showLastColumn="0" showRowStripes="1" showColumnStripes="0"/>
</table>
</file>

<file path=xl/tables/table16.xml><?xml version="1.0" encoding="utf-8"?>
<table xmlns="http://schemas.openxmlformats.org/spreadsheetml/2006/main" id="3" name="Rating_to_spread_Moody" displayName="Rating_to_spread_Moody" ref="AC7:AE26" totalsRowShown="0" headerRowDxfId="48" dataDxfId="47">
  <autoFilter ref="AC7:AE26"/>
  <tableColumns count="3">
    <tableColumn id="1" name="Rating" dataDxfId="46"/>
    <tableColumn id="2" name="Default spread in basis points" dataDxfId="45"/>
    <tableColumn id="3" name="%" dataDxfId="44" dataCellStyle="Procent">
      <calculatedColumnFormula>Rating_to_spread_Moody[[#This Row],[Default spread in basis points]]/10000</calculatedColumnFormula>
    </tableColumn>
  </tableColumns>
  <tableStyleInfo name="TableStyleMedium20" showFirstColumn="0" showLastColumn="0" showRowStripes="1" showColumnStripes="0"/>
</table>
</file>

<file path=xl/tables/table17.xml><?xml version="1.0" encoding="utf-8"?>
<table xmlns="http://schemas.openxmlformats.org/spreadsheetml/2006/main" id="17" name="Country_Data" displayName="Country_Data" ref="B7:X136" totalsRowShown="0" headerRowDxfId="43">
  <autoFilter ref="B7:X136"/>
  <tableColumns count="23">
    <tableColumn id="1" name="Entity" dataDxfId="42"/>
    <tableColumn id="15" name="Region" dataDxfId="41"/>
    <tableColumn id="25" name="Country risk premium [rating spread]" dataDxfId="40" dataCellStyle="Procent">
      <calculatedColumnFormula>IFERROR(Country_Data[[#This Row],[StD of equity market]]/Country_Data[[#This Row],[StD for bond]]*VLOOKUP(Country_Data[[#This Row],[Moody''s]],Rating_to_spread_Moody[],3,FALSE),"")</calculatedColumnFormula>
    </tableColumn>
    <tableColumn id="8" name="Country risk premium [dollar bonds]" dataDxfId="39">
      <calculatedColumnFormula>IF(Country_Data[[#This Row],[10 year $ yield]]="","",IFERROR(Country_Data[[#This Row],[Default spread on $ bonds]]*Country_Data[[#This Row],[StD of equity market]]/Country_Data[[#This Row],[StD for bond]],"Error"))</calculatedColumnFormula>
    </tableColumn>
    <tableColumn id="12" name="Adjusted_x000a_currency [10 year]" dataDxfId="38">
      <calculatedColumnFormula>IFERROR(Country_Data[[#This Row],[10 year yield]]-VLOOKUP(Country_Data[[#This Row],[Moody''s local]],Rating_to_spread_Moody[],3,FALSE),"")</calculatedColumnFormula>
    </tableColumn>
    <tableColumn id="7" name="Alternate_x000a_ currency" dataDxfId="37"/>
    <tableColumn id="2" name="S&amp;P" dataDxfId="36">
      <calculatedColumnFormula>IFERROR(VLOOKUP(Country_Data[[#This Row],[Entity]],Ratings_Raw_SP[],2,FALSE),"")</calculatedColumnFormula>
    </tableColumn>
    <tableColumn id="3" name="Fitch" dataDxfId="35">
      <calculatedColumnFormula>IFERROR(VLOOKUP(Country_Data[[#This Row],[Entity]],Ratings_Raw_Fitch[],2,FALSE),"-")</calculatedColumnFormula>
    </tableColumn>
    <tableColumn id="4" name="Moody's" dataDxfId="34">
      <calculatedColumnFormula>IFERROR(VLOOKUP(Country_Data[[#This Row],[Entity]],Ratings_Raw_Moodys[],2,FALSE),"-")</calculatedColumnFormula>
    </tableColumn>
    <tableColumn id="16" name="Moody's local"/>
    <tableColumn id="13" name=" S&amp;P Local" dataDxfId="33"/>
    <tableColumn id="14" name="S&amp;P Foreign" dataDxfId="32"/>
    <tableColumn id="17" name="1 year yield" dataDxfId="31" dataCellStyle="Procent"/>
    <tableColumn id="20" name="2 year yield" dataDxfId="30" dataCellStyle="Procent"/>
    <tableColumn id="18" name="5 year yield" dataDxfId="29" dataCellStyle="Procent"/>
    <tableColumn id="19" name="10 year yield" dataDxfId="28" dataCellStyle="Procent"/>
    <tableColumn id="21" name="15 year yield" dataDxfId="27" dataCellStyle="Procent"/>
    <tableColumn id="22" name="20 year yield" dataDxfId="26" dataCellStyle="Procent"/>
    <tableColumn id="23" name="30 year yield" dataDxfId="25" dataCellStyle="Procent"/>
    <tableColumn id="24" name="10 year $ yield" dataDxfId="24" dataCellStyle="Procent"/>
    <tableColumn id="11" name="Default spread on $ bonds" dataDxfId="23" dataCellStyle="Procent">
      <calculatedColumnFormula>IF(Country_Data[[#This Row],[10 year $ yield]]="","",Country_Data[[#This Row],[10 year $ yield]]-VLOOKUP("United States",Country_Data[],15,FALSE))</calculatedColumnFormula>
    </tableColumn>
    <tableColumn id="5" name="StD for bond" dataDxfId="22"/>
    <tableColumn id="6" name="StD of equity market" dataDxfId="21"/>
  </tableColumns>
  <tableStyleInfo name="TableStyleMedium20" showFirstColumn="0" showLastColumn="0" showRowStripes="1" showColumnStripes="0"/>
</table>
</file>

<file path=xl/tables/table18.xml><?xml version="1.0" encoding="utf-8"?>
<table xmlns="http://schemas.openxmlformats.org/spreadsheetml/2006/main" id="7" name="Region_Data" displayName="Region_Data" ref="B139:G149" totalsRowShown="0" headerRowDxfId="20" headerRowBorderDxfId="19" tableBorderDxfId="18" totalsRowBorderDxfId="17" headerRowCellStyle="Normal 2">
  <autoFilter ref="B139:G149"/>
  <tableColumns count="6">
    <tableColumn id="1" name="Region" dataDxfId="16" dataCellStyle="Normal 2"/>
    <tableColumn id="5" name="Country risk premium [rating spread]" dataDxfId="15" dataCellStyle="Procent">
      <calculatedColumnFormula>SUMIF(Country_Data[Region],Region_Data[[#This Row],[Region]],Country_Data[Country risk premium '[rating spread']])/COUNTIF(Country_Data[Region],Region_Data[[#This Row],[Region]])</calculatedColumnFormula>
    </tableColumn>
    <tableColumn id="6" name="Adjusted_x000a_currency [10 year]" dataDxfId="14" dataCellStyle="Procent">
      <calculatedColumnFormula>SUMIF(Country_Data[Region],Region_Data[[#This Row],[Region]],Country_Data[Adjusted
currency '[10 year']])/COUNTIF(Country_Data[Region],Region_Data[[#This Row],[Region]])</calculatedColumnFormula>
    </tableColumn>
    <tableColumn id="2" name="Weighted Average: Default Spreads" dataDxfId="13" dataCellStyle="Normal 2"/>
    <tableColumn id="3" name="Weighted Average: TRP" dataDxfId="12" dataCellStyle="Normal 2"/>
    <tableColumn id="4" name="Weighted Average: CRP" dataDxfId="11" dataCellStyle="Normal 2"/>
  </tableColumns>
  <tableStyleInfo name="TableStyleMedium20" showFirstColumn="0" showLastColumn="0" showRowStripes="1" showColumnStripes="0"/>
</table>
</file>

<file path=xl/tables/table19.xml><?xml version="1.0" encoding="utf-8"?>
<table xmlns="http://schemas.openxmlformats.org/spreadsheetml/2006/main" id="8" name="Tabell8" displayName="Tabell8" ref="AG7:AL24" totalsRowShown="0">
  <autoFilter ref="AG7:AL24"/>
  <tableColumns count="6">
    <tableColumn id="1" name="Rating [Moody]" dataDxfId="10"/>
    <tableColumn id="2" name="Rating []"/>
    <tableColumn id="3" name="1 year" dataDxfId="9" dataCellStyle="Procent"/>
    <tableColumn id="4" name="5 year" dataDxfId="8" dataCellStyle="Procent"/>
    <tableColumn id="5" name="10 year" dataDxfId="7" dataCellStyle="Procent"/>
    <tableColumn id="6" name="30 year" dataDxfId="6" dataCellStyle="Procent"/>
  </tableColumns>
  <tableStyleInfo name="TableStyleMedium20" showFirstColumn="0" showLastColumn="0" showRowStripes="1" showColumnStripes="0"/>
</table>
</file>

<file path=xl/tables/table2.xml><?xml version="1.0" encoding="utf-8"?>
<table xmlns="http://schemas.openxmlformats.org/spreadsheetml/2006/main" id="23" name="Company_Operations_Region" displayName="Company_Operations_Region" ref="C24:D34" totalsRowShown="0" headerRowCellStyle="Normal" dataCellStyle="Normal">
  <autoFilter ref="C24:D34"/>
  <tableColumns count="2">
    <tableColumn id="1" name="Region" dataCellStyle="Normal"/>
    <tableColumn id="2" name="Percentage" dataDxfId="159" dataCellStyle="Indata"/>
  </tableColumns>
  <tableStyleInfo name="TableStyleMedium20" showFirstColumn="0" showLastColumn="0" showRowStripes="1" showColumnStripes="0"/>
</table>
</file>

<file path=xl/tables/table20.xml><?xml version="1.0" encoding="utf-8"?>
<table xmlns="http://schemas.openxmlformats.org/spreadsheetml/2006/main" id="13" name="Ratings_Raw_SP" displayName="Ratings_Raw_SP" ref="B8:D137" totalsRowShown="0">
  <autoFilter ref="B8:D137"/>
  <sortState ref="B9:D137">
    <sortCondition ref="B8:B137"/>
  </sortState>
  <tableColumns count="3">
    <tableColumn id="1" name="Entity"/>
    <tableColumn id="2" name="Rating"/>
    <tableColumn id="3" name="Data from" dataDxfId="5"/>
  </tableColumns>
  <tableStyleInfo name="TableStyleMedium20" showFirstColumn="0" showLastColumn="0" showRowStripes="1" showColumnStripes="0"/>
</table>
</file>

<file path=xl/tables/table21.xml><?xml version="1.0" encoding="utf-8"?>
<table xmlns="http://schemas.openxmlformats.org/spreadsheetml/2006/main" id="14" name="Ratings_Raw_Fitch" displayName="Ratings_Raw_Fitch" ref="F8:H112" totalsRowShown="0">
  <autoFilter ref="F8:H112"/>
  <sortState ref="G9:I112">
    <sortCondition ref="G8:G112"/>
  </sortState>
  <tableColumns count="3">
    <tableColumn id="1" name="Entity"/>
    <tableColumn id="2" name="Rating"/>
    <tableColumn id="3" name="Data from" dataDxfId="4"/>
  </tableColumns>
  <tableStyleInfo name="TableStyleMedium20" showFirstColumn="0" showLastColumn="0" showRowStripes="1" showColumnStripes="0"/>
</table>
</file>

<file path=xl/tables/table22.xml><?xml version="1.0" encoding="utf-8"?>
<table xmlns="http://schemas.openxmlformats.org/spreadsheetml/2006/main" id="15" name="Ratings_Raw_Moodys" displayName="Ratings_Raw_Moodys" ref="J8:L122" totalsRowShown="0">
  <autoFilter ref="J8:L122"/>
  <sortState ref="K9:M122">
    <sortCondition ref="K8:K122"/>
  </sortState>
  <tableColumns count="3">
    <tableColumn id="1" name="Entity"/>
    <tableColumn id="2" name="Rating"/>
    <tableColumn id="3" name="Date" dataDxfId="3"/>
  </tableColumns>
  <tableStyleInfo name="TableStyleMedium20" showFirstColumn="0" showLastColumn="0" showRowStripes="1" showColumnStripes="0"/>
</table>
</file>

<file path=xl/tables/table23.xml><?xml version="1.0" encoding="utf-8"?>
<table xmlns="http://schemas.openxmlformats.org/spreadsheetml/2006/main" id="37" name="Rating_Large_Firms" displayName="Rating_Large_Firms" ref="B142:F157" totalsRowShown="0">
  <autoFilter ref="B142:F157"/>
  <tableColumns count="5">
    <tableColumn id="1" name="&gt;"/>
    <tableColumn id="2" name="&lt;= to"/>
    <tableColumn id="3" name="Rating [S&amp;P] is"/>
    <tableColumn id="5" name="Rating [Moody's] is"/>
    <tableColumn id="4" name="Spread is" dataDxfId="2" dataCellStyle="Procent"/>
  </tableColumns>
  <tableStyleInfo name="TableStyleMedium20" showFirstColumn="0" showLastColumn="0" showRowStripes="1" showColumnStripes="0"/>
</table>
</file>

<file path=xl/tables/table24.xml><?xml version="1.0" encoding="utf-8"?>
<table xmlns="http://schemas.openxmlformats.org/spreadsheetml/2006/main" id="38" name="Rating_Small_Firms" displayName="Rating_Small_Firms" ref="H142:L157" totalsRowShown="0">
  <autoFilter ref="H142:L157"/>
  <tableColumns count="5">
    <tableColumn id="1" name="Greater than"/>
    <tableColumn id="2" name="&lt;= to"/>
    <tableColumn id="3" name="Rating [S&amp;P] is"/>
    <tableColumn id="5" name="Rating [Moody's] is"/>
    <tableColumn id="4" name="Spread is" dataDxfId="1" dataCellStyle="Procent"/>
  </tableColumns>
  <tableStyleInfo name="TableStyleMedium20" showFirstColumn="0" showLastColumn="0" showRowStripes="1" showColumnStripes="0"/>
</table>
</file>

<file path=xl/tables/table25.xml><?xml version="1.0" encoding="utf-8"?>
<table xmlns="http://schemas.openxmlformats.org/spreadsheetml/2006/main" id="1" name="Regions" displayName="Regions" ref="B7:C17" totalsRowShown="0">
  <autoFilter ref="B7:C17"/>
  <sortState ref="B8:B17">
    <sortCondition ref="B7:B17"/>
  </sortState>
  <tableColumns count="2">
    <tableColumn id="1" name="Regions"/>
    <tableColumn id="2" name="Table name"/>
  </tableColumns>
  <tableStyleInfo name="TableStyleMedium20" showFirstColumn="0" showLastColumn="0" showRowStripes="1" showColumnStripes="0"/>
</table>
</file>

<file path=xl/tables/table26.xml><?xml version="1.0" encoding="utf-8"?>
<table xmlns="http://schemas.openxmlformats.org/spreadsheetml/2006/main" id="4" name="User_answers" displayName="User_answers" ref="E7:E9" totalsRowShown="0">
  <autoFilter ref="E7:E9"/>
  <tableColumns count="1">
    <tableColumn id="1" name="User Answers"/>
  </tableColumns>
  <tableStyleInfo name="TableStyleMedium20" showFirstColumn="0" showLastColumn="0" showRowStripes="1" showColumnStripes="0"/>
</table>
</file>

<file path=xl/tables/table27.xml><?xml version="1.0" encoding="utf-8"?>
<table xmlns="http://schemas.openxmlformats.org/spreadsheetml/2006/main" id="6" name="Confidence_Intervals" displayName="Confidence_Intervals" ref="E11:E13" totalsRowShown="0" dataCellStyle="Procent">
  <autoFilter ref="E11:E13"/>
  <tableColumns count="1">
    <tableColumn id="1" name="Confidence intervals" dataCellStyle="Procent"/>
  </tableColumns>
  <tableStyleInfo name="TableStyleMedium20" showFirstColumn="0" showLastColumn="0" showRowStripes="1" showColumnStripes="0"/>
</table>
</file>

<file path=xl/tables/table28.xml><?xml version="1.0" encoding="utf-8"?>
<table xmlns="http://schemas.openxmlformats.org/spreadsheetml/2006/main" id="9" name="Industries" displayName="Industries" ref="G7:G89" totalsRowShown="0" dataCellStyle="Normal 3">
  <autoFilter ref="G7:G89"/>
  <tableColumns count="1">
    <tableColumn id="1" name="Industries" dataDxfId="0" dataCellStyle="Normal 3"/>
  </tableColumns>
  <tableStyleInfo name="TableStyleMedium20" showFirstColumn="0" showLastColumn="0" showRowStripes="1" showColumnStripes="0"/>
</table>
</file>

<file path=xl/tables/table29.xml><?xml version="1.0" encoding="utf-8"?>
<table xmlns="http://schemas.openxmlformats.org/spreadsheetml/2006/main" id="24" name="Industry_TableConverter" displayName="Industry_TableConverter" ref="B19:D25" totalsRowShown="0" dataCellStyle="Normal">
  <autoFilter ref="B19:D25"/>
  <tableColumns count="3">
    <tableColumn id="1" name="Industry location" dataCellStyle="Normal"/>
    <tableColumn id="2" name="Table name" dataCellStyle="Normal"/>
    <tableColumn id="3" name="EV_Sales table" dataCellStyle="Normal"/>
  </tableColumns>
  <tableStyleInfo name="TableStyleMedium20" showFirstColumn="0" showLastColumn="0" showRowStripes="1" showColumnStripes="0"/>
</table>
</file>

<file path=xl/tables/table3.xml><?xml version="1.0" encoding="utf-8"?>
<table xmlns="http://schemas.openxmlformats.org/spreadsheetml/2006/main" id="28" name="Tabell28" displayName="Tabell28" ref="C64:L72" totalsRowCount="1" tableBorderDxfId="158">
  <autoFilter ref="C64:L71"/>
  <tableColumns count="10">
    <tableColumn id="1" name="Segment" totalsRowLabel="Company" dataDxfId="157" totalsRowDxfId="156"/>
    <tableColumn id="18" name="EV/Sales" dataDxfId="155" dataCellStyle="Beräkning">
      <calculatedColumnFormula>IFERROR(VLOOKUP(Tabell28[[#This Row],[Segment]],EV_Sales_US[],3,FALSE)*VLOOKUP(Tabell28[[#This Row],[Segment]],Operations_Per_Segment_Region[],3,FALSE)+VLOOKUP(Tabell28[[#This Row],[Segment]],EV_Sales_China[],3,FALSE)*VLOOKUP(Tabell28[[#This Row],[Segment]],Operations_Per_Segment_Region[],4,FALSE)+VLOOKUP(Tabell28[[#This Row],[Segment]],EV_Sales_Europe[],3,FALSE)*VLOOKUP(Tabell28[[#This Row],[Segment]],Operations_Per_Segment_Region[],5,FALSE)+VLOOKUP(Tabell28[[#This Row],[Segment]],EV_Sales_India[],3,FALSE)*VLOOKUP(Tabell28[[#This Row],[Segment]],Operations_Per_Segment_Region[],6,FALSE),"")</calculatedColumnFormula>
    </tableColumn>
    <tableColumn id="19" name="Estimated Value" totalsRowFunction="custom" dataDxfId="154" dataCellStyle="Beräkning">
      <calculatedColumnFormula>IFERROR(Tabell28[[#This Row],[EV/Sales]]*VLOOKUP(Tabell28[[#This Row],[Segment]],Operations_Per_Segment_Region[],2,FALSE),"")</calculatedColumnFormula>
      <totalsRowFormula>SUM(Tabell28[Estimated Value])</totalsRowFormula>
    </tableColumn>
    <tableColumn id="20" name="Firm Value Proportion" dataCellStyle="Beräkning">
      <calculatedColumnFormula>IFERROR(Tabell28[[#This Row],[Estimated Value]]/Tabell28[[#Totals],[Estimated Value]],"")</calculatedColumnFormula>
    </tableColumn>
    <tableColumn id="15" name="Unlevered beta" totalsRowFunction="custom" dataDxfId="153" totalsRowDxfId="152" dataCellStyle="Utdata">
      <totalsRowFormula>SUM(Tabell28[Firm value proportion * Unlevered Beta])</totalsRowFormula>
    </tableColumn>
    <tableColumn id="16" name="Firm value proportion * Unlevered Beta" dataDxfId="151" dataCellStyle="Beräkning">
      <calculatedColumnFormula>IFERROR(Tabell28[[#This Row],[Firm Value Proportion]]*Tabell28[[#This Row],[Unlevered beta]],"")</calculatedColumnFormula>
    </tableColumn>
    <tableColumn id="17" name="Estimated levered beta" totalsRowFunction="custom" dataDxfId="150" totalsRowDxfId="149" dataCellStyle="Utdata">
      <calculatedColumnFormula>IFERROR(Tabell28[[#This Row],[Unlevered beta]]*(1+(1-Company_Tax_Rate)*(Company_Debt/Company_Equity)),"")</calculatedColumnFormula>
      <totalsRowFormula>SUM(Tabell28[Firm value proportion * Levered Beta])</totalsRowFormula>
    </tableColumn>
    <tableColumn id="22" name="Estimated levered beta using debt allocation" dataCellStyle="Utdata"/>
    <tableColumn id="23" name="Industry D/E" dataCellStyle="Utdata"/>
    <tableColumn id="21" name="Firm value proportion * Levered Beta" dataDxfId="148" dataCellStyle="Beräkning">
      <calculatedColumnFormula>IFERROR(Tabell28[[#This Row],[Firm Value Proportion]]*Tabell28[[#This Row],[Estimated levered beta]],"")</calculatedColumnFormula>
    </tableColumn>
  </tableColumns>
  <tableStyleInfo name="TableStyleMedium20" showFirstColumn="0" showLastColumn="0" showRowStripes="1" showColumnStripes="0"/>
</table>
</file>

<file path=xl/tables/table4.xml><?xml version="1.0" encoding="utf-8"?>
<table xmlns="http://schemas.openxmlformats.org/spreadsheetml/2006/main" id="33" name="Operations_Per_Segment_Region" displayName="Operations_Per_Segment_Region" ref="C39:J47" totalsRowShown="0" tableBorderDxfId="147">
  <autoFilter ref="C39:J47"/>
  <tableColumns count="8">
    <tableColumn id="1" name="Segment" dataDxfId="146" dataCellStyle="Indata"/>
    <tableColumn id="2" name="Revenue" dataDxfId="145" dataCellStyle="Indata"/>
    <tableColumn id="3" name="US"/>
    <tableColumn id="4" name="China"/>
    <tableColumn id="5" name="Europe"/>
    <tableColumn id="6" name="India"/>
    <tableColumn id="7" name="Emerging markets"/>
    <tableColumn id="8" name="Control" dataDxfId="144">
      <calculatedColumnFormula>SUM(Operations_Per_Segment_Region[[#This Row],[US]:[Emerging markets]])</calculatedColumnFormula>
    </tableColumn>
  </tableColumns>
  <tableStyleInfo name="TableStyleMedium20" showFirstColumn="0" showLastColumn="0" showRowStripes="1" showColumnStripes="0"/>
</table>
</file>

<file path=xl/tables/table5.xml><?xml version="1.0" encoding="utf-8"?>
<table xmlns="http://schemas.openxmlformats.org/spreadsheetml/2006/main" id="5" name="Tabell5" displayName="Tabell5" ref="B12:H16" totalsRowShown="0" headerRowDxfId="143" dataDxfId="142" dataCellStyle="Procent">
  <autoFilter ref="B12:H16"/>
  <tableColumns count="7">
    <tableColumn id="1" name="Risk premium"/>
    <tableColumn id="2" name="Risk free rate" dataDxfId="141"/>
    <tableColumn id="3" name="Risk premium value" dataDxfId="140" dataCellStyle="Procent"/>
    <tableColumn id="4" name="Risk free rate value" dataDxfId="139" dataCellStyle="Procent"/>
    <tableColumn id="5" name="Hurdle rate" dataDxfId="138" dataCellStyle="Procent">
      <calculatedColumnFormula>IFERROR(Tabell5[[#This Row],[Risk free rate value]]+Tabell5[[#This Row],[Risk premium value]]*Beta_Value,"")</calculatedColumnFormula>
    </tableColumn>
    <tableColumn id="6" name="Lower bound" dataDxfId="137" dataCellStyle="Procent">
      <calculatedColumnFormula>IF(Tabell5[[#This Row],[Hurdle rate]]="","",Tabell5[[#This Row],[Hurdle rate]]-IF(Confidence_interval=0.67,Beta_Standard_Error*Tabell5[[#This Row],[Risk premium value]],2*Beta_Standard_Error*Tabell5[[#This Row],[Risk premium value]]))</calculatedColumnFormula>
    </tableColumn>
    <tableColumn id="7" name="Upper bound" dataDxfId="136" dataCellStyle="Procent">
      <calculatedColumnFormula>IF(Tabell5[[#This Row],[Hurdle rate]]="","",Tabell5[[#This Row],[Hurdle rate]]+IF(Confidence_interval=0.67,Beta_Standard_Error*Tabell5[[#This Row],[Risk premium value]],2*Beta_Standard_Error*Tabell5[[#This Row],[Risk premium value]]))</calculatedColumnFormula>
    </tableColumn>
  </tableColumns>
  <tableStyleInfo name="TableStyleMedium20" showFirstColumn="0" showLastColumn="0" showRowStripes="1" showColumnStripes="0"/>
</table>
</file>

<file path=xl/tables/table6.xml><?xml version="1.0" encoding="utf-8"?>
<table xmlns="http://schemas.openxmlformats.org/spreadsheetml/2006/main" id="25" name="Industry_Average_Global" displayName="Industry_Average_Global" ref="B9:I106" totalsRowShown="0" headerRowDxfId="135" dataDxfId="133" headerRowBorderDxfId="134" tableBorderDxfId="132" totalsRowBorderDxfId="131" headerRowCellStyle="Normal 3" dataCellStyle="Normal 3">
  <autoFilter ref="B9:I106"/>
  <sortState ref="B10:I106">
    <sortCondition ref="B9:B106"/>
  </sortState>
  <tableColumns count="8">
    <tableColumn id="1" name="Industry Name" dataDxfId="130" dataCellStyle="Normal 3"/>
    <tableColumn id="2" name="Number of firms" dataDxfId="129" dataCellStyle="Normal 3"/>
    <tableColumn id="3" name="Beta " dataDxfId="128" dataCellStyle="Normal 3"/>
    <tableColumn id="4" name="D/E Ratio" dataDxfId="127" dataCellStyle="Normal 3"/>
    <tableColumn id="5" name="Tax rate" dataDxfId="126" dataCellStyle="Normal 3"/>
    <tableColumn id="6" name="Unlevered beta" dataDxfId="125" dataCellStyle="Normal 3"/>
    <tableColumn id="7" name="Cash/Firm value" dataDxfId="124" dataCellStyle="Normal 3"/>
    <tableColumn id="8" name="Unlevered beta corrected for cash" dataDxfId="123" dataCellStyle="Normal 3"/>
  </tableColumns>
  <tableStyleInfo name="TableStyleMedium20" showFirstColumn="0" showLastColumn="0" showRowStripes="1" showColumnStripes="0"/>
</table>
</file>

<file path=xl/tables/table7.xml><?xml version="1.0" encoding="utf-8"?>
<table xmlns="http://schemas.openxmlformats.org/spreadsheetml/2006/main" id="26" name="Industry_Average_US" displayName="Industry_Average_US" ref="B109:I206" totalsRowShown="0" headerRowDxfId="122" dataDxfId="120" headerRowBorderDxfId="121" tableBorderDxfId="119" totalsRowBorderDxfId="118" headerRowCellStyle="Normal 3" dataCellStyle="Normal 3">
  <autoFilter ref="B109:I206"/>
  <sortState ref="B110:I206">
    <sortCondition ref="B109:B206"/>
  </sortState>
  <tableColumns count="8">
    <tableColumn id="1" name="Industry Name" dataDxfId="117" dataCellStyle="Normal 3"/>
    <tableColumn id="2" name="Number of firms" dataDxfId="116" dataCellStyle="Normal 3"/>
    <tableColumn id="3" name="Beta " dataDxfId="115" dataCellStyle="Normal 3"/>
    <tableColumn id="4" name="D/E Ratio" dataDxfId="114" dataCellStyle="Normal 3"/>
    <tableColumn id="5" name="Tax rate" dataDxfId="113" dataCellStyle="Normal 3"/>
    <tableColumn id="6" name="Unlevered beta" dataDxfId="112" dataCellStyle="Normal 3"/>
    <tableColumn id="7" name="Cash/Firm value" dataDxfId="111" dataCellStyle="Normal 3"/>
    <tableColumn id="8" name="Unlevered beta corrected for cash" dataDxfId="110" dataCellStyle="Normal 3"/>
  </tableColumns>
  <tableStyleInfo name="TableStyleMedium20" showFirstColumn="0" showLastColumn="0" showRowStripes="1" showColumnStripes="0"/>
</table>
</file>

<file path=xl/tables/table8.xml><?xml version="1.0" encoding="utf-8"?>
<table xmlns="http://schemas.openxmlformats.org/spreadsheetml/2006/main" id="27" name="Industry_Average_Europe" displayName="Industry_Average_Europe" ref="B209:I305" totalsRowShown="0" headerRowDxfId="109" dataDxfId="107" headerRowBorderDxfId="108" tableBorderDxfId="106" totalsRowBorderDxfId="105" headerRowCellStyle="Normal 3" dataCellStyle="Normal 3">
  <autoFilter ref="B209:I305"/>
  <tableColumns count="8">
    <tableColumn id="1" name="Industry Name" dataDxfId="104" dataCellStyle="Normal 3"/>
    <tableColumn id="2" name="Number of firms" dataDxfId="103" dataCellStyle="Normal 3"/>
    <tableColumn id="3" name="Beta " dataDxfId="102" dataCellStyle="Normal 3"/>
    <tableColumn id="4" name="D/E Ratio" dataDxfId="101" dataCellStyle="Normal 3"/>
    <tableColumn id="5" name="Tax rate" dataDxfId="100" dataCellStyle="Normal 3"/>
    <tableColumn id="6" name="Unlevered beta" dataDxfId="99" dataCellStyle="Normal 3"/>
    <tableColumn id="7" name="Cash/Firm value" dataDxfId="98" dataCellStyle="Normal 3"/>
    <tableColumn id="8" name="Unlevered beta corrected for cash" dataDxfId="97" dataCellStyle="Normal 3"/>
  </tableColumns>
  <tableStyleInfo name="TableStyleMedium20" showFirstColumn="0" showLastColumn="0" showRowStripes="1" showColumnStripes="0"/>
</table>
</file>

<file path=xl/tables/table9.xml><?xml version="1.0" encoding="utf-8"?>
<table xmlns="http://schemas.openxmlformats.org/spreadsheetml/2006/main" id="29" name="Industry_Average_EmergingMarkets" displayName="Industry_Average_EmergingMarkets" ref="B308:I404" totalsRowShown="0" headerRowDxfId="96" dataDxfId="94" headerRowBorderDxfId="95" tableBorderDxfId="93" totalsRowBorderDxfId="92" headerRowCellStyle="Normal 3" dataCellStyle="Normal 3">
  <autoFilter ref="B308:I404"/>
  <tableColumns count="8">
    <tableColumn id="1" name="Industry Name" dataDxfId="91" dataCellStyle="Normal 3"/>
    <tableColumn id="2" name="Number of firms" dataDxfId="90" dataCellStyle="Normal 3"/>
    <tableColumn id="3" name="Beta " dataDxfId="89" dataCellStyle="Normal 3"/>
    <tableColumn id="4" name="D/E Ratio" dataDxfId="88" dataCellStyle="Normal 3"/>
    <tableColumn id="5" name="Tax rate" dataDxfId="87" dataCellStyle="Normal 3"/>
    <tableColumn id="6" name="Unlevered beta" dataDxfId="86" dataCellStyle="Normal 3"/>
    <tableColumn id="7" name="Cash/Firm value" dataDxfId="85" dataCellStyle="Normal 3"/>
    <tableColumn id="8" name="Unlevered beta corrected for cash" dataDxfId="84" dataCellStyle="Normal 3"/>
  </tableColumns>
  <tableStyleInfo name="TableStyleMedium20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4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3.xml"/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table" Target="../tables/table6.xml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10" Type="http://schemas.openxmlformats.org/officeDocument/2006/relationships/table" Target="../tables/table15.xml"/><Relationship Id="rId4" Type="http://schemas.openxmlformats.org/officeDocument/2006/relationships/table" Target="../tables/table9.xml"/><Relationship Id="rId9" Type="http://schemas.openxmlformats.org/officeDocument/2006/relationships/table" Target="../tables/table1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8.xml"/><Relationship Id="rId2" Type="http://schemas.openxmlformats.org/officeDocument/2006/relationships/table" Target="../tables/table17.xml"/><Relationship Id="rId1" Type="http://schemas.openxmlformats.org/officeDocument/2006/relationships/table" Target="../tables/table16.xml"/><Relationship Id="rId4" Type="http://schemas.openxmlformats.org/officeDocument/2006/relationships/table" Target="../tables/table19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2.xml"/><Relationship Id="rId2" Type="http://schemas.openxmlformats.org/officeDocument/2006/relationships/table" Target="../tables/table21.xml"/><Relationship Id="rId1" Type="http://schemas.openxmlformats.org/officeDocument/2006/relationships/table" Target="../tables/table20.xml"/><Relationship Id="rId5" Type="http://schemas.openxmlformats.org/officeDocument/2006/relationships/table" Target="../tables/table24.xml"/><Relationship Id="rId4" Type="http://schemas.openxmlformats.org/officeDocument/2006/relationships/table" Target="../tables/table2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7.xml"/><Relationship Id="rId2" Type="http://schemas.openxmlformats.org/officeDocument/2006/relationships/table" Target="../tables/table26.xml"/><Relationship Id="rId1" Type="http://schemas.openxmlformats.org/officeDocument/2006/relationships/table" Target="../tables/table25.xml"/><Relationship Id="rId5" Type="http://schemas.openxmlformats.org/officeDocument/2006/relationships/table" Target="../tables/table29.xml"/><Relationship Id="rId4" Type="http://schemas.openxmlformats.org/officeDocument/2006/relationships/table" Target="../tables/table2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6"/>
  <dimension ref="B1:N76"/>
  <sheetViews>
    <sheetView showGridLines="0" workbookViewId="0">
      <selection activeCell="G3" sqref="E3:G3"/>
    </sheetView>
  </sheetViews>
  <sheetFormatPr defaultRowHeight="15"/>
  <cols>
    <col min="1" max="1" width="2.28515625" customWidth="1"/>
    <col min="2" max="2" width="22.85546875" bestFit="1" customWidth="1"/>
    <col min="3" max="3" width="9.42578125" bestFit="1" customWidth="1"/>
    <col min="4" max="9" width="23.5703125" customWidth="1"/>
    <col min="10" max="10" width="9.42578125" customWidth="1"/>
    <col min="11" max="11" width="13.28515625" bestFit="1" customWidth="1"/>
    <col min="12" max="13" width="16.42578125" customWidth="1"/>
    <col min="14" max="15" width="13.85546875" customWidth="1"/>
    <col min="17" max="22" width="11" customWidth="1"/>
  </cols>
  <sheetData>
    <row r="1" spans="2:14" ht="4.5" customHeight="1">
      <c r="B1" s="1"/>
    </row>
    <row r="2" spans="2:14" s="2" customFormat="1" ht="9.75" customHeight="1">
      <c r="B2" s="164" t="s">
        <v>210</v>
      </c>
    </row>
    <row r="3" spans="2:14" s="2" customFormat="1" ht="57" customHeight="1" thickBot="1">
      <c r="B3" s="164"/>
      <c r="C3" s="23"/>
      <c r="D3" s="25" t="s">
        <v>206</v>
      </c>
      <c r="E3" s="25" t="s">
        <v>243</v>
      </c>
      <c r="F3" s="26" t="s">
        <v>207</v>
      </c>
      <c r="G3" s="26" t="s">
        <v>208</v>
      </c>
      <c r="H3" s="24"/>
      <c r="I3" s="22"/>
      <c r="J3" s="22"/>
      <c r="K3" s="22"/>
      <c r="L3" s="22"/>
      <c r="M3" s="22"/>
      <c r="N3" s="22"/>
    </row>
    <row r="4" spans="2:14" s="2" customFormat="1" ht="9.75" customHeight="1" thickTop="1">
      <c r="B4" s="164"/>
    </row>
    <row r="5" spans="2:14" ht="7.5" customHeight="1">
      <c r="B5" s="1"/>
    </row>
    <row r="76" ht="30.75" customHeight="1"/>
  </sheetData>
  <mergeCells count="1">
    <mergeCell ref="B2:B4"/>
  </mergeCells>
  <hyperlinks>
    <hyperlink ref="D3" location="Summary!B3" display="Summary"/>
    <hyperlink ref="F3" location="Investments!B3" display="Investments"/>
    <hyperlink ref="G3" location="'Country &amp; region data'!B3" display="Country &amp; region"/>
    <hyperlink ref="E3" location="'Models &amp; inputs'!B3" display="Models &amp;  inputs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5"/>
  <dimension ref="B1:N76"/>
  <sheetViews>
    <sheetView showGridLines="0" topLeftCell="A4" zoomScaleNormal="100" workbookViewId="0">
      <selection activeCell="E16" sqref="E10:E16"/>
    </sheetView>
  </sheetViews>
  <sheetFormatPr defaultRowHeight="15"/>
  <cols>
    <col min="1" max="1" width="2.28515625" customWidth="1"/>
    <col min="2" max="2" width="22.85546875" bestFit="1" customWidth="1"/>
    <col min="3" max="3" width="9.42578125" bestFit="1" customWidth="1"/>
    <col min="4" max="9" width="23.5703125" customWidth="1"/>
    <col min="10" max="10" width="9.42578125" customWidth="1"/>
    <col min="11" max="11" width="13.28515625" bestFit="1" customWidth="1"/>
    <col min="12" max="13" width="16.42578125" customWidth="1"/>
    <col min="14" max="15" width="13.85546875" customWidth="1"/>
    <col min="17" max="22" width="11" customWidth="1"/>
  </cols>
  <sheetData>
    <row r="1" spans="2:14" ht="4.5" customHeight="1">
      <c r="B1" s="1"/>
    </row>
    <row r="2" spans="2:14" s="2" customFormat="1" ht="9.75" customHeight="1">
      <c r="B2" s="164" t="s">
        <v>206</v>
      </c>
    </row>
    <row r="3" spans="2:14" s="2" customFormat="1" ht="57" customHeight="1" thickBot="1">
      <c r="B3" s="164"/>
      <c r="C3" s="23"/>
      <c r="D3" s="25" t="s">
        <v>206</v>
      </c>
      <c r="E3" s="25" t="s">
        <v>243</v>
      </c>
      <c r="F3" s="26" t="s">
        <v>207</v>
      </c>
      <c r="G3" s="26" t="s">
        <v>208</v>
      </c>
      <c r="H3" s="24"/>
      <c r="I3" s="22"/>
      <c r="J3" s="22"/>
      <c r="K3" s="22"/>
      <c r="L3" s="22"/>
      <c r="M3" s="22"/>
      <c r="N3" s="22"/>
    </row>
    <row r="4" spans="2:14" s="2" customFormat="1" ht="9.75" customHeight="1" thickTop="1">
      <c r="B4" s="164"/>
    </row>
    <row r="5" spans="2:14" ht="7.5" customHeight="1">
      <c r="B5" s="1"/>
    </row>
    <row r="7" spans="2:14">
      <c r="B7" t="s">
        <v>461</v>
      </c>
    </row>
    <row r="9" spans="2:14">
      <c r="B9" t="s">
        <v>463</v>
      </c>
      <c r="E9" t="s">
        <v>467</v>
      </c>
    </row>
    <row r="10" spans="2:14">
      <c r="B10" s="165" t="s">
        <v>464</v>
      </c>
      <c r="C10" s="165"/>
      <c r="D10" s="165"/>
    </row>
    <row r="11" spans="2:14">
      <c r="B11" s="165" t="s">
        <v>198</v>
      </c>
      <c r="C11" s="165"/>
      <c r="D11" s="165"/>
    </row>
    <row r="12" spans="2:14">
      <c r="B12" s="165" t="s">
        <v>465</v>
      </c>
      <c r="C12" s="165"/>
      <c r="D12" s="165"/>
    </row>
    <row r="13" spans="2:14">
      <c r="B13" s="165" t="s">
        <v>466</v>
      </c>
      <c r="C13" s="165"/>
      <c r="D13" s="165"/>
    </row>
    <row r="14" spans="2:14">
      <c r="B14" s="165" t="s">
        <v>462</v>
      </c>
      <c r="C14" s="165"/>
      <c r="D14" s="165"/>
    </row>
    <row r="15" spans="2:14">
      <c r="B15" s="165" t="s">
        <v>468</v>
      </c>
      <c r="C15" s="165"/>
      <c r="D15" s="165"/>
    </row>
    <row r="76" ht="30.75" customHeight="1"/>
  </sheetData>
  <mergeCells count="7">
    <mergeCell ref="B14:D14"/>
    <mergeCell ref="B15:D15"/>
    <mergeCell ref="B2:B4"/>
    <mergeCell ref="B10:D10"/>
    <mergeCell ref="B11:D11"/>
    <mergeCell ref="B12:D12"/>
    <mergeCell ref="B13:D13"/>
  </mergeCells>
  <hyperlinks>
    <hyperlink ref="D3" location="Summary!B3" display="Summary"/>
    <hyperlink ref="F3" location="Investments!B3" display="Investments"/>
    <hyperlink ref="G3" location="'Country &amp; region data'!B3" display="Country &amp; region"/>
    <hyperlink ref="E3" location="'Models &amp; inputs'!B3" display="Models &amp;  inputs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126"/>
  <sheetViews>
    <sheetView showGridLines="0" tabSelected="1" topLeftCell="A4" zoomScaleNormal="100" workbookViewId="0">
      <selection activeCell="D19" sqref="D19"/>
    </sheetView>
  </sheetViews>
  <sheetFormatPr defaultRowHeight="15"/>
  <cols>
    <col min="1" max="1" width="1.85546875" customWidth="1"/>
    <col min="2" max="2" width="2.28515625" customWidth="1"/>
    <col min="3" max="3" width="22.85546875" bestFit="1" customWidth="1"/>
    <col min="4" max="4" width="14.5703125" customWidth="1"/>
    <col min="5" max="6" width="23.5703125" customWidth="1"/>
    <col min="7" max="7" width="25.42578125" customWidth="1"/>
    <col min="8" max="9" width="23.5703125" customWidth="1"/>
    <col min="10" max="10" width="23.7109375" customWidth="1"/>
    <col min="11" max="12" width="22.7109375" customWidth="1"/>
    <col min="13" max="13" width="17" customWidth="1"/>
    <col min="14" max="14" width="18" customWidth="1"/>
    <col min="15" max="16" width="13.85546875" customWidth="1"/>
    <col min="17" max="17" width="16.85546875" customWidth="1"/>
    <col min="18" max="18" width="38" customWidth="1"/>
    <col min="19" max="19" width="23.7109375" customWidth="1"/>
    <col min="20" max="23" width="11" customWidth="1"/>
  </cols>
  <sheetData>
    <row r="1" spans="2:15" ht="4.5" customHeight="1">
      <c r="C1" s="1"/>
    </row>
    <row r="2" spans="2:15" s="2" customFormat="1" ht="9.75" customHeight="1">
      <c r="C2" s="164" t="s">
        <v>270</v>
      </c>
    </row>
    <row r="3" spans="2:15" s="2" customFormat="1" ht="57" customHeight="1" thickBot="1">
      <c r="C3" s="164"/>
      <c r="D3" s="23"/>
      <c r="E3" s="25" t="s">
        <v>206</v>
      </c>
      <c r="F3" s="25" t="s">
        <v>243</v>
      </c>
      <c r="G3" s="26" t="s">
        <v>207</v>
      </c>
      <c r="I3" s="26" t="s">
        <v>208</v>
      </c>
      <c r="J3" s="22"/>
      <c r="K3" s="22"/>
      <c r="L3" s="22"/>
      <c r="M3" s="22"/>
      <c r="N3" s="22"/>
      <c r="O3" s="22"/>
    </row>
    <row r="4" spans="2:15" s="2" customFormat="1" ht="9.75" customHeight="1" thickTop="1">
      <c r="C4" s="164"/>
    </row>
    <row r="5" spans="2:15" ht="7.5" customHeight="1">
      <c r="C5" s="1"/>
    </row>
    <row r="7" spans="2:15">
      <c r="B7" t="s">
        <v>271</v>
      </c>
    </row>
    <row r="8" spans="2:15">
      <c r="C8" s="170"/>
      <c r="D8" s="170"/>
    </row>
    <row r="12" spans="2:15">
      <c r="B12" t="s">
        <v>452</v>
      </c>
    </row>
    <row r="13" spans="2:15">
      <c r="C13" s="132" t="s">
        <v>450</v>
      </c>
      <c r="D13" s="48">
        <v>7500</v>
      </c>
    </row>
    <row r="14" spans="2:15">
      <c r="C14" s="163" t="s">
        <v>451</v>
      </c>
      <c r="D14" s="48">
        <v>10000</v>
      </c>
      <c r="E14" s="136" t="s">
        <v>453</v>
      </c>
      <c r="F14" s="137">
        <f>Company_Debt/Company_Equity</f>
        <v>0.75</v>
      </c>
    </row>
    <row r="15" spans="2:15">
      <c r="C15" s="163" t="s">
        <v>504</v>
      </c>
      <c r="D15" s="48">
        <v>0</v>
      </c>
      <c r="E15" s="136"/>
    </row>
    <row r="16" spans="2:15">
      <c r="B16" s="136"/>
      <c r="C16" s="136"/>
      <c r="D16" s="136"/>
      <c r="E16" s="136"/>
      <c r="F16" s="136"/>
    </row>
    <row r="17" spans="2:7">
      <c r="B17" s="136"/>
      <c r="C17" s="132" t="s">
        <v>500</v>
      </c>
      <c r="D17" s="162">
        <v>1000</v>
      </c>
      <c r="E17" s="136"/>
      <c r="F17" s="136"/>
    </row>
    <row r="18" spans="2:7">
      <c r="B18" s="136"/>
      <c r="C18" s="136" t="s">
        <v>501</v>
      </c>
      <c r="D18" s="162">
        <v>210</v>
      </c>
      <c r="E18" s="136" t="s">
        <v>502</v>
      </c>
      <c r="F18" s="154">
        <f>IFERROR(Company_EBIT/Company_Interest_Expenses,"")</f>
        <v>4.7619047619047619</v>
      </c>
    </row>
    <row r="19" spans="2:7">
      <c r="C19" s="132"/>
    </row>
    <row r="20" spans="2:7">
      <c r="C20" s="132" t="s">
        <v>43</v>
      </c>
      <c r="D20" s="48"/>
      <c r="E20" s="136" t="s">
        <v>503</v>
      </c>
      <c r="F20" s="187" t="str">
        <f>IF(Company_Market_Cap&gt;5000000000,INDEX(Rating_Large_Firms[],MATCH(F18,Rating_Large_Firms[&lt;= to],-1),3),INDEX(Rating_Small_Firms[],MATCH(F18,Rating_Small_Firms[&lt;= to],-1),3))</f>
        <v>A-</v>
      </c>
      <c r="G20" s="187" t="str">
        <f>IF(Company_Market_Cap&gt;5000000000,INDEX(Rating_Large_Firms[],MATCH(F18,Rating_Large_Firms[&lt;= to],-1),4),INDEX(Rating_Small_Firms[],MATCH(F18,Rating_Small_Firms[&lt;= to],-1),4))</f>
        <v>A3</v>
      </c>
    </row>
    <row r="21" spans="2:7">
      <c r="C21" s="132"/>
    </row>
    <row r="22" spans="2:7">
      <c r="C22" s="132"/>
    </row>
    <row r="23" spans="2:7">
      <c r="B23" t="s">
        <v>256</v>
      </c>
      <c r="E23" s="136"/>
    </row>
    <row r="24" spans="2:7">
      <c r="C24" t="s">
        <v>202</v>
      </c>
      <c r="D24" t="s">
        <v>413</v>
      </c>
      <c r="E24" s="136"/>
    </row>
    <row r="25" spans="2:7">
      <c r="C25" t="s">
        <v>232</v>
      </c>
      <c r="D25" s="135">
        <v>0.12</v>
      </c>
      <c r="E25" s="136"/>
    </row>
    <row r="26" spans="2:7">
      <c r="C26" t="s">
        <v>238</v>
      </c>
      <c r="D26" s="135">
        <v>0.25</v>
      </c>
      <c r="E26" s="136"/>
    </row>
    <row r="27" spans="2:7">
      <c r="C27" t="s">
        <v>237</v>
      </c>
      <c r="D27" s="135">
        <v>0.13</v>
      </c>
      <c r="E27" s="136"/>
    </row>
    <row r="28" spans="2:7">
      <c r="C28" t="s">
        <v>233</v>
      </c>
      <c r="D28" s="135">
        <v>0.05</v>
      </c>
      <c r="E28" s="136"/>
    </row>
    <row r="29" spans="2:7">
      <c r="C29" t="s">
        <v>235</v>
      </c>
      <c r="D29" s="135">
        <v>0.04</v>
      </c>
      <c r="E29" s="136"/>
    </row>
    <row r="30" spans="2:7">
      <c r="C30" t="s">
        <v>236</v>
      </c>
      <c r="D30" s="135">
        <v>0</v>
      </c>
      <c r="E30" s="136"/>
    </row>
    <row r="31" spans="2:7">
      <c r="C31" t="s">
        <v>242</v>
      </c>
      <c r="D31" s="135">
        <v>0.08</v>
      </c>
      <c r="E31" s="136"/>
    </row>
    <row r="32" spans="2:7">
      <c r="C32" t="s">
        <v>240</v>
      </c>
      <c r="D32" s="135">
        <v>0.33</v>
      </c>
      <c r="E32" s="136"/>
    </row>
    <row r="33" spans="2:10">
      <c r="C33" t="s">
        <v>241</v>
      </c>
      <c r="D33" s="135">
        <v>0</v>
      </c>
      <c r="E33" s="136"/>
    </row>
    <row r="34" spans="2:10" ht="15.75" thickBot="1">
      <c r="C34" t="s">
        <v>239</v>
      </c>
      <c r="D34" s="135">
        <v>0</v>
      </c>
    </row>
    <row r="35" spans="2:10" ht="16.5" thickTop="1" thickBot="1">
      <c r="C35" s="47" t="s">
        <v>258</v>
      </c>
      <c r="D35" s="44">
        <f>SUM(D25:D34)</f>
        <v>1</v>
      </c>
    </row>
    <row r="36" spans="2:10" ht="15.75" thickTop="1">
      <c r="C36" s="47"/>
    </row>
    <row r="37" spans="2:10">
      <c r="B37" t="s">
        <v>470</v>
      </c>
      <c r="C37" s="47"/>
    </row>
    <row r="38" spans="2:10" ht="15.75" thickBot="1">
      <c r="C38" s="47"/>
      <c r="E38" s="167" t="s">
        <v>472</v>
      </c>
      <c r="F38" s="167"/>
      <c r="G38" s="167"/>
      <c r="H38" s="167"/>
      <c r="I38" s="167"/>
    </row>
    <row r="39" spans="2:10" ht="15.75" thickBot="1">
      <c r="C39" t="s">
        <v>469</v>
      </c>
      <c r="D39" t="s">
        <v>471</v>
      </c>
      <c r="E39" s="145" t="s">
        <v>420</v>
      </c>
      <c r="F39" s="145" t="s">
        <v>282</v>
      </c>
      <c r="G39" s="145" t="s">
        <v>415</v>
      </c>
      <c r="H39" s="145" t="s">
        <v>283</v>
      </c>
      <c r="I39" s="145" t="s">
        <v>408</v>
      </c>
      <c r="J39" t="s">
        <v>258</v>
      </c>
    </row>
    <row r="40" spans="2:10" ht="16.5" thickTop="1" thickBot="1">
      <c r="C40" s="114" t="s">
        <v>360</v>
      </c>
      <c r="D40" s="115">
        <v>40000</v>
      </c>
      <c r="E40" s="133">
        <v>0.5</v>
      </c>
      <c r="F40" s="133"/>
      <c r="G40" s="133">
        <v>0.5</v>
      </c>
      <c r="H40" s="133"/>
      <c r="I40" s="133"/>
      <c r="J40" s="149">
        <f>SUM(Operations_Per_Segment_Region[[#This Row],[US]:[Emerging markets]])</f>
        <v>1</v>
      </c>
    </row>
    <row r="41" spans="2:10" ht="16.5" thickTop="1" thickBot="1">
      <c r="C41" s="114" t="s">
        <v>323</v>
      </c>
      <c r="D41" s="115">
        <v>10000</v>
      </c>
      <c r="E41" s="133"/>
      <c r="F41" s="133"/>
      <c r="G41" s="133"/>
      <c r="H41" s="133"/>
      <c r="I41" s="133"/>
      <c r="J41" s="149">
        <f>SUM(Operations_Per_Segment_Region[[#This Row],[US]:[Emerging markets]])</f>
        <v>0</v>
      </c>
    </row>
    <row r="42" spans="2:10" ht="16.5" thickTop="1" thickBot="1">
      <c r="C42" s="114" t="s">
        <v>325</v>
      </c>
      <c r="D42" s="115">
        <v>8000</v>
      </c>
      <c r="E42" s="133"/>
      <c r="F42" s="133"/>
      <c r="G42" s="133"/>
      <c r="H42" s="133"/>
      <c r="I42" s="133"/>
      <c r="J42" s="149">
        <f>SUM(Operations_Per_Segment_Region[[#This Row],[US]:[Emerging markets]])</f>
        <v>0</v>
      </c>
    </row>
    <row r="43" spans="2:10" ht="16.5" thickTop="1" thickBot="1">
      <c r="C43" s="114"/>
      <c r="D43" s="115"/>
      <c r="E43" s="133"/>
      <c r="F43" s="133"/>
      <c r="G43" s="133"/>
      <c r="H43" s="133"/>
      <c r="I43" s="133"/>
      <c r="J43" s="149">
        <f>SUM(Operations_Per_Segment_Region[[#This Row],[US]:[Emerging markets]])</f>
        <v>0</v>
      </c>
    </row>
    <row r="44" spans="2:10" ht="16.5" thickTop="1" thickBot="1">
      <c r="C44" s="114"/>
      <c r="D44" s="115"/>
      <c r="E44" s="133"/>
      <c r="F44" s="133"/>
      <c r="G44" s="133"/>
      <c r="H44" s="133"/>
      <c r="I44" s="133"/>
      <c r="J44" s="149">
        <f>SUM(Operations_Per_Segment_Region[[#This Row],[US]:[Emerging markets]])</f>
        <v>0</v>
      </c>
    </row>
    <row r="45" spans="2:10" ht="16.5" thickTop="1" thickBot="1">
      <c r="C45" s="116"/>
      <c r="D45" s="117"/>
      <c r="E45" s="133"/>
      <c r="F45" s="133"/>
      <c r="G45" s="133"/>
      <c r="H45" s="133"/>
      <c r="I45" s="133"/>
      <c r="J45" s="149">
        <f>SUM(Operations_Per_Segment_Region[[#This Row],[US]:[Emerging markets]])</f>
        <v>0</v>
      </c>
    </row>
    <row r="46" spans="2:10" ht="16.5" thickTop="1" thickBot="1">
      <c r="C46" s="114"/>
      <c r="D46" s="114"/>
      <c r="E46" s="133"/>
      <c r="F46" s="133"/>
      <c r="G46" s="133"/>
      <c r="H46" s="133"/>
      <c r="I46" s="133"/>
      <c r="J46" s="149">
        <f>SUM(Operations_Per_Segment_Region[[#This Row],[US]:[Emerging markets]])</f>
        <v>0</v>
      </c>
    </row>
    <row r="47" spans="2:10" ht="15.75" thickTop="1">
      <c r="C47" s="146" t="s">
        <v>302</v>
      </c>
      <c r="D47" s="147">
        <f>SUM(D40:D46)</f>
        <v>58000</v>
      </c>
      <c r="J47">
        <f>SUM(Operations_Per_Segment_Region[[#This Row],[US]:[Emerging markets]])</f>
        <v>0</v>
      </c>
    </row>
    <row r="49" spans="2:24">
      <c r="B49" t="str">
        <f>CONCATENATE("Betas for each business segment (using ",Industry_Average," for industry averages)")</f>
        <v>Betas for each business segment (using US for industry averages)</v>
      </c>
    </row>
    <row r="50" spans="2:24">
      <c r="C50" t="s">
        <v>475</v>
      </c>
      <c r="F50" t="s">
        <v>480</v>
      </c>
    </row>
    <row r="51" spans="2:24">
      <c r="C51" s="168" t="s">
        <v>420</v>
      </c>
      <c r="D51" s="169"/>
      <c r="F51" s="48">
        <v>1.3871</v>
      </c>
      <c r="L51" t="s">
        <v>483</v>
      </c>
    </row>
    <row r="52" spans="2:24">
      <c r="H52" t="s">
        <v>476</v>
      </c>
      <c r="I52" s="113"/>
      <c r="N52" t="s">
        <v>430</v>
      </c>
      <c r="O52" t="s">
        <v>430</v>
      </c>
    </row>
    <row r="53" spans="2:24" ht="29.25" customHeight="1">
      <c r="C53" s="157" t="s">
        <v>469</v>
      </c>
      <c r="D53" s="40" t="s">
        <v>298</v>
      </c>
      <c r="E53" s="40" t="s">
        <v>299</v>
      </c>
      <c r="F53" s="40" t="s">
        <v>300</v>
      </c>
      <c r="G53" s="157" t="s">
        <v>301</v>
      </c>
      <c r="H53" s="157" t="s">
        <v>443</v>
      </c>
      <c r="I53" s="157" t="s">
        <v>457</v>
      </c>
      <c r="J53" s="157" t="s">
        <v>481</v>
      </c>
      <c r="K53" s="157" t="s">
        <v>479</v>
      </c>
      <c r="L53" s="157" t="s">
        <v>482</v>
      </c>
      <c r="M53" s="157" t="s">
        <v>484</v>
      </c>
      <c r="N53" s="157" t="s">
        <v>477</v>
      </c>
      <c r="O53" s="159" t="s">
        <v>478</v>
      </c>
      <c r="P53" s="159" t="s">
        <v>486</v>
      </c>
      <c r="Q53" s="73" t="s">
        <v>485</v>
      </c>
      <c r="S53" s="79"/>
    </row>
    <row r="54" spans="2:24" ht="15" customHeight="1" thickBot="1">
      <c r="C54" s="148" t="str">
        <f t="shared" ref="C54:C60" si="0">IF(C40="","",C40)</f>
        <v>Metals &amp; Mining</v>
      </c>
      <c r="D54" s="154">
        <f ca="1">IFERROR(VLOOKUP(Betas_Per_Segment[[#This Row],[Segment]],INDIRECT(VLOOKUP(Industry_Average,Industry_TableConverter[],3,FALSE)),3,FALSE),"")</f>
        <v>3.6008672528701777</v>
      </c>
      <c r="E54" s="72">
        <f ca="1">IFERROR(Betas_Per_Segment[[#This Row],[EV/Sales]]*VLOOKUP(Betas_Per_Segment[[#This Row],[Segment]],Operations_Per_Segment_Region[],2,FALSE),"")</f>
        <v>144034.6901148071</v>
      </c>
      <c r="F54" s="138">
        <f ca="1">IFERROR(Betas_Per_Segment[[#This Row],[Estimated Value]]/Estimated_Firm_Value,"")</f>
        <v>0.82498375495636911</v>
      </c>
      <c r="G54" s="125">
        <f ca="1">IFERROR(VLOOKUP(Betas_Per_Segment[[#This Row],[Segment]],INDIRECT(VLOOKUP(Industry_Average,Industry_TableConverter[],2,FALSE)),8,FALSE),"")</f>
        <v>0.90451447164101273</v>
      </c>
      <c r="H54" s="72">
        <f ca="1">IFERROR(Betas_Per_Segment[[#This Row],[Unlevered beta]]*Betas_Per_Segment[[#This Row],[Firm Value Proportion]],"")</f>
        <v>0.74620974522677896</v>
      </c>
      <c r="I54" s="152">
        <f ca="1">IFERROR(Betas_Per_Segment[[#This Row],[Unlevered beta]]*(1+(1-Company_Tax_Rate)*(Company_Debt/Company_Equity)),"")</f>
        <v>1.3454652765660065</v>
      </c>
      <c r="J54" s="152">
        <f ca="1">IFERROR(Betas_Per_Segment[[#This Row],[Estimated debt]]/SUM(Betas_Per_Segment[Estimated debt])*Company_Debt,"")</f>
        <v>5983.1411278702999</v>
      </c>
      <c r="K54" s="152">
        <f ca="1">IFERROR(Betas_Per_Segment[[#This Row],[Estimated Value]]*Betas_Per_Segment[Industry D/E]/$F$51,"")</f>
        <v>50064.218996829528</v>
      </c>
      <c r="L54" s="152">
        <f ca="1">IFERROR(Betas_Per_Segment[[#This Row],[Estimated Value]]-Betas_Per_Segment[[#This Row],[Allocated debt]],"")</f>
        <v>138051.5489869368</v>
      </c>
      <c r="M54" s="152">
        <f ca="1">IFERROR(Betas_Per_Segment[[#This Row],[Estimated equity]]/SUM(Betas_Per_Segment[Estimated equity])*Company_Equity,"")</f>
        <v>8262.0606559176176</v>
      </c>
      <c r="N54" s="152">
        <f ca="1">IFERROR(Betas_Per_Segment[[#This Row],[Unlevered beta]]*(1+(1-Company_Tax_Rate)*Betas_Per_Segment[[#This Row],[Allocated debt]]/Betas_Per_Segment[[#This Row],[Scaled estimated equity ]]),"")</f>
        <v>1.3302792626437849</v>
      </c>
      <c r="O54" s="152">
        <f ca="1">IFERROR(VLOOKUP(Betas_Per_Segment[[#This Row],[Segment]],INDIRECT(VLOOKUP(Industry_Average,Industry_TableConverter[],2,FALSE)),4,FALSE),"")</f>
        <v>0.48213439495131194</v>
      </c>
      <c r="P54" s="152">
        <f ca="1">IFERROR(Betas_Per_Segment[[#This Row],[Firm Value Proportion]]*Betas_Per_Segment[[#This Row],[Estimated levered beta using debt allocation]],"")</f>
        <v>1.0974587812364596</v>
      </c>
      <c r="Q54" s="72">
        <f ca="1">IFERROR(Betas_Per_Segment[[#This Row],[Estimated levered beta]]*Betas_Per_Segment[[#This Row],[Firm Value Proportion]],"")</f>
        <v>1.1099869960248336</v>
      </c>
      <c r="R54" s="171" t="s">
        <v>456</v>
      </c>
      <c r="S54" s="171"/>
      <c r="T54" s="171"/>
    </row>
    <row r="55" spans="2:24" ht="15" customHeight="1" thickTop="1" thickBot="1">
      <c r="C55" s="148" t="str">
        <f t="shared" si="0"/>
        <v>Chemical (Diversified)</v>
      </c>
      <c r="D55" s="154">
        <f ca="1">IFERROR(VLOOKUP(Betas_Per_Segment[[#This Row],[Segment]],INDIRECT(VLOOKUP(Industry_Average,Industry_TableConverter[],3,FALSE)),3,FALSE),"")</f>
        <v>1.6650619259181105</v>
      </c>
      <c r="E55" s="72">
        <f ca="1">IFERROR(Betas_Per_Segment[[#This Row],[EV/Sales]]*VLOOKUP(Betas_Per_Segment[[#This Row],[Segment]],Operations_Per_Segment_Region[],2,FALSE),"")</f>
        <v>16650.619259181105</v>
      </c>
      <c r="F55" s="138">
        <f ca="1">IFERROR(Betas_Per_Segment[[#This Row],[Estimated Value]]/Estimated_Firm_Value,"")</f>
        <v>9.5369319625980303E-2</v>
      </c>
      <c r="G55" s="125">
        <f ca="1">IFERROR(VLOOKUP(Betas_Per_Segment[[#This Row],[Segment]],INDIRECT(VLOOKUP(Industry_Average,Industry_TableConverter[],2,FALSE)),8,FALSE),"")</f>
        <v>1.2160388085910969</v>
      </c>
      <c r="H55" s="72">
        <f ca="1">IFERROR(Betas_Per_Segment[[#This Row],[Unlevered beta]]*Betas_Per_Segment[[#This Row],[Firm Value Proportion]],"")</f>
        <v>0.11597279381412061</v>
      </c>
      <c r="I55" s="153">
        <f ca="1">IFERROR(Betas_Per_Segment[[#This Row],[Unlevered beta]]*(1+(1-Company_Tax_Rate)*(Company_Debt/Company_Equity)),"")</f>
        <v>1.8088577277792568</v>
      </c>
      <c r="J55" s="153">
        <f ca="1">IFERROR(Betas_Per_Segment[[#This Row],[Estimated debt]]/SUM(Betas_Per_Segment[Estimated debt])*Company_Debt,"")</f>
        <v>478.99696683019607</v>
      </c>
      <c r="K55" s="153">
        <f ca="1">IFERROR(Betas_Per_Segment[[#This Row],[Estimated Value]]*Betas_Per_Segment[Industry D/E]/$F$51,"")</f>
        <v>4008.0299852027606</v>
      </c>
      <c r="L55" s="153">
        <f ca="1">IFERROR(Betas_Per_Segment[[#This Row],[Estimated Value]]-Betas_Per_Segment[[#This Row],[Allocated debt]],"")</f>
        <v>16171.622292350909</v>
      </c>
      <c r="M55" s="153">
        <f ca="1">IFERROR(Betas_Per_Segment[[#This Row],[Estimated equity]]/SUM(Betas_Per_Segment[Estimated equity])*Company_Equity,"")</f>
        <v>967.83357567857308</v>
      </c>
      <c r="N55" s="153">
        <f ca="1">IFERROR(Betas_Per_Segment[[#This Row],[Unlevered beta]]*(1+(1-Company_Tax_Rate)*Betas_Per_Segment[[#This Row],[Allocated debt]]/Betas_Per_Segment[[#This Row],[Scaled estimated equity ]]),"")</f>
        <v>1.607233426214749</v>
      </c>
      <c r="O55" s="153">
        <f ca="1">IFERROR(VLOOKUP(Betas_Per_Segment[[#This Row],[Segment]],INDIRECT(VLOOKUP(Industry_Average,Industry_TableConverter[],2,FALSE)),4,FALSE),"")</f>
        <v>0.33389379133206926</v>
      </c>
      <c r="P55" s="153">
        <f ca="1">IFERROR(Betas_Per_Segment[[#This Row],[Firm Value Proportion]]*Betas_Per_Segment[[#This Row],[Estimated levered beta using debt allocation]],"")</f>
        <v>0.15328075833823382</v>
      </c>
      <c r="Q55" s="72">
        <f ca="1">IFERROR(Betas_Per_Segment[[#This Row],[Estimated levered beta]]*Betas_Per_Segment[[#This Row],[Firm Value Proportion]],"")</f>
        <v>0.17250953079850442</v>
      </c>
      <c r="R55" s="171"/>
      <c r="S55" s="171"/>
      <c r="T55" s="171"/>
    </row>
    <row r="56" spans="2:24" ht="15" customHeight="1" thickTop="1" thickBot="1">
      <c r="C56" s="148" t="str">
        <f t="shared" si="0"/>
        <v>Coal &amp; Related Energy</v>
      </c>
      <c r="D56" s="154">
        <f ca="1">IFERROR(VLOOKUP(Betas_Per_Segment[[#This Row],[Segment]],INDIRECT(VLOOKUP(Industry_Average,Industry_TableConverter[],3,FALSE)),3,FALSE),"")</f>
        <v>1.7382039573820396</v>
      </c>
      <c r="E56" s="72">
        <f ca="1">IFERROR(Betas_Per_Segment[[#This Row],[EV/Sales]]*VLOOKUP(Betas_Per_Segment[[#This Row],[Segment]],Operations_Per_Segment_Region[],2,FALSE),"")</f>
        <v>13905.631659056316</v>
      </c>
      <c r="F56" s="138">
        <f ca="1">IFERROR(Betas_Per_Segment[[#This Row],[Estimated Value]]/Estimated_Firm_Value,"")</f>
        <v>7.9646925417650505E-2</v>
      </c>
      <c r="G56" s="125">
        <f ca="1">IFERROR(VLOOKUP(Betas_Per_Segment[[#This Row],[Segment]],INDIRECT(VLOOKUP(Industry_Average,Industry_TableConverter[],2,FALSE)),8,FALSE),"")</f>
        <v>0.73477287574552486</v>
      </c>
      <c r="H56" s="72">
        <f ca="1">IFERROR(Betas_Per_Segment[[#This Row],[Unlevered beta]]*Betas_Per_Segment[[#This Row],[Firm Value Proportion]],"")</f>
        <v>5.8522400433416402E-2</v>
      </c>
      <c r="I56" s="152">
        <f ca="1">IFERROR(Betas_Per_Segment[[#This Row],[Unlevered beta]]*(1+(1-Company_Tax_Rate)*(Company_Debt/Company_Equity)),"")</f>
        <v>1.0929746526714683</v>
      </c>
      <c r="J56" s="152">
        <f ca="1">IFERROR(Betas_Per_Segment[[#This Row],[Estimated debt]]/SUM(Betas_Per_Segment[Estimated debt])*Company_Debt,"")</f>
        <v>1037.8619052995036</v>
      </c>
      <c r="K56" s="152">
        <f ca="1">IFERROR(Betas_Per_Segment[[#This Row],[Estimated Value]]*Betas_Per_Segment[Industry D/E]/$F$51,"")</f>
        <v>8684.3590356485838</v>
      </c>
      <c r="L56" s="152">
        <f ca="1">IFERROR(Betas_Per_Segment[[#This Row],[Estimated Value]]-Betas_Per_Segment[[#This Row],[Allocated debt]],"")</f>
        <v>12867.769753756813</v>
      </c>
      <c r="M56" s="152">
        <f ca="1">IFERROR(Betas_Per_Segment[[#This Row],[Estimated equity]]/SUM(Betas_Per_Segment[Estimated equity])*Company_Equity,"")</f>
        <v>770.10576840380793</v>
      </c>
      <c r="N56" s="152">
        <f ca="1">IFERROR(Betas_Per_Segment[[#This Row],[Unlevered beta]]*(1+(1-Company_Tax_Rate)*Betas_Per_Segment[[#This Row],[Allocated debt]]/Betas_Per_Segment[[#This Row],[Scaled estimated equity ]]),"")</f>
        <v>1.3784316110083095</v>
      </c>
      <c r="O56" s="152">
        <f ca="1">IFERROR(VLOOKUP(Betas_Per_Segment[[#This Row],[Segment]],INDIRECT(VLOOKUP(Industry_Average,Industry_TableConverter[],2,FALSE)),4,FALSE),"")</f>
        <v>0.86627308371877576</v>
      </c>
      <c r="P56" s="152">
        <f ca="1">IFERROR(Betas_Per_Segment[[#This Row],[Firm Value Proportion]]*Betas_Per_Segment[[#This Row],[Estimated levered beta using debt allocation]],"")</f>
        <v>0.10978783971531066</v>
      </c>
      <c r="Q56" s="72">
        <f ca="1">IFERROR(Betas_Per_Segment[[#This Row],[Estimated levered beta]]*Betas_Per_Segment[[#This Row],[Firm Value Proportion]],"")</f>
        <v>8.7052070644706908E-2</v>
      </c>
    </row>
    <row r="57" spans="2:24" ht="15" customHeight="1" thickTop="1" thickBot="1">
      <c r="C57" s="148" t="str">
        <f t="shared" si="0"/>
        <v/>
      </c>
      <c r="D57" s="154" t="str">
        <f ca="1">IFERROR(VLOOKUP(Betas_Per_Segment[[#This Row],[Segment]],INDIRECT(VLOOKUP(Industry_Average,Industry_TableConverter[],3,FALSE)),3,FALSE),"")</f>
        <v/>
      </c>
      <c r="E57" s="72" t="str">
        <f ca="1">IFERROR(Betas_Per_Segment[[#This Row],[EV/Sales]]*VLOOKUP(Betas_Per_Segment[[#This Row],[Segment]],Operations_Per_Segment_Region[],2,FALSE),"")</f>
        <v/>
      </c>
      <c r="F57" s="138" t="str">
        <f ca="1">IFERROR(Betas_Per_Segment[[#This Row],[Estimated Value]]/Estimated_Firm_Value,"")</f>
        <v/>
      </c>
      <c r="G57" s="125" t="str">
        <f ca="1">IFERROR(VLOOKUP(Betas_Per_Segment[[#This Row],[Segment]],INDIRECT(VLOOKUP(Industry_Average,Industry_TableConverter[],2,FALSE)),8,FALSE),"")</f>
        <v/>
      </c>
      <c r="H57" s="72" t="str">
        <f ca="1">IFERROR(Betas_Per_Segment[[#This Row],[Unlevered beta]]*Betas_Per_Segment[[#This Row],[Firm Value Proportion]],"")</f>
        <v/>
      </c>
      <c r="I57" s="152" t="str">
        <f ca="1">IFERROR(Betas_Per_Segment[[#This Row],[Unlevered beta]]*(1+(1-Company_Tax_Rate)*(Company_Debt/Company_Equity)),"")</f>
        <v/>
      </c>
      <c r="J57" s="152" t="str">
        <f ca="1">IFERROR(Betas_Per_Segment[[#This Row],[Estimated debt]]/SUM(Betas_Per_Segment[Estimated debt])*Company_Debt,"")</f>
        <v/>
      </c>
      <c r="K57" s="152" t="str">
        <f ca="1">IFERROR(Betas_Per_Segment[[#This Row],[Estimated Value]]*Betas_Per_Segment[Industry D/E]/$F$51,"")</f>
        <v/>
      </c>
      <c r="L57" s="152" t="str">
        <f ca="1">IFERROR(Betas_Per_Segment[[#This Row],[Estimated Value]]-Betas_Per_Segment[[#This Row],[Allocated debt]],"")</f>
        <v/>
      </c>
      <c r="M57" s="152" t="str">
        <f ca="1">IFERROR(Betas_Per_Segment[[#This Row],[Estimated equity]]/SUM(Betas_Per_Segment[Estimated equity])*Company_Equity,"")</f>
        <v/>
      </c>
      <c r="N57" s="152" t="str">
        <f ca="1">IFERROR(Betas_Per_Segment[[#This Row],[Unlevered beta]]*(1+(1-Company_Tax_Rate)*Betas_Per_Segment[[#This Row],[Allocated debt]]/Betas_Per_Segment[[#This Row],[Scaled estimated equity ]]),"")</f>
        <v/>
      </c>
      <c r="O57" s="152" t="str">
        <f ca="1">IFERROR(VLOOKUP(Betas_Per_Segment[[#This Row],[Segment]],INDIRECT(VLOOKUP(Industry_Average,Industry_TableConverter[],2,FALSE)),4,FALSE),"")</f>
        <v/>
      </c>
      <c r="P57" s="152" t="str">
        <f ca="1">IFERROR(Betas_Per_Segment[[#This Row],[Firm Value Proportion]]*Betas_Per_Segment[[#This Row],[Estimated levered beta using debt allocation]],"")</f>
        <v/>
      </c>
      <c r="Q57" s="72" t="str">
        <f ca="1">IFERROR(Betas_Per_Segment[[#This Row],[Estimated levered beta]]*Betas_Per_Segment[[#This Row],[Firm Value Proportion]],"")</f>
        <v/>
      </c>
      <c r="S57" t="s">
        <v>459</v>
      </c>
    </row>
    <row r="58" spans="2:24" ht="15" customHeight="1" thickTop="1" thickBot="1">
      <c r="C58" s="148" t="str">
        <f t="shared" si="0"/>
        <v/>
      </c>
      <c r="D58" s="154" t="str">
        <f ca="1">IFERROR(VLOOKUP(Betas_Per_Segment[[#This Row],[Segment]],INDIRECT(VLOOKUP(Industry_Average,Industry_TableConverter[],3,FALSE)),3,FALSE),"")</f>
        <v/>
      </c>
      <c r="E58" s="72" t="str">
        <f ca="1">IFERROR(Betas_Per_Segment[[#This Row],[EV/Sales]]*VLOOKUP(Betas_Per_Segment[[#This Row],[Segment]],Operations_Per_Segment_Region[],2,FALSE),"")</f>
        <v/>
      </c>
      <c r="F58" s="138" t="str">
        <f ca="1">IFERROR(Betas_Per_Segment[[#This Row],[Estimated Value]]/Estimated_Firm_Value,"")</f>
        <v/>
      </c>
      <c r="G58" s="125" t="str">
        <f ca="1">IFERROR(VLOOKUP(Betas_Per_Segment[[#This Row],[Segment]],INDIRECT(VLOOKUP(Industry_Average,Industry_TableConverter[],2,FALSE)),8,FALSE),"")</f>
        <v/>
      </c>
      <c r="H58" s="72" t="str">
        <f ca="1">IFERROR(Betas_Per_Segment[[#This Row],[Unlevered beta]]*Betas_Per_Segment[[#This Row],[Firm Value Proportion]],"")</f>
        <v/>
      </c>
      <c r="I58" s="125" t="str">
        <f ca="1">IFERROR(Betas_Per_Segment[[#This Row],[Unlevered beta]]*(1+(1-Company_Tax_Rate)*(Company_Debt/Company_Equity)),"")</f>
        <v/>
      </c>
      <c r="J58" s="125" t="str">
        <f ca="1">IFERROR(Betas_Per_Segment[[#This Row],[Estimated debt]]/SUM(Betas_Per_Segment[Estimated debt])*Company_Debt,"")</f>
        <v/>
      </c>
      <c r="K58" s="125" t="str">
        <f ca="1">IFERROR(Betas_Per_Segment[[#This Row],[Estimated Value]]*Betas_Per_Segment[Industry D/E]/$F$51,"")</f>
        <v/>
      </c>
      <c r="L58" s="125" t="str">
        <f ca="1">IFERROR(Betas_Per_Segment[[#This Row],[Estimated Value]]-Betas_Per_Segment[[#This Row],[Allocated debt]],"")</f>
        <v/>
      </c>
      <c r="M58" s="125" t="str">
        <f ca="1">IFERROR(Betas_Per_Segment[[#This Row],[Estimated equity]]/SUM(Betas_Per_Segment[Estimated equity])*Company_Equity,"")</f>
        <v/>
      </c>
      <c r="N58" s="125" t="str">
        <f ca="1">IFERROR(Betas_Per_Segment[[#This Row],[Unlevered beta]]*(1+(1-Company_Tax_Rate)*Betas_Per_Segment[[#This Row],[Allocated debt]]/Betas_Per_Segment[[#This Row],[Scaled estimated equity ]]),"")</f>
        <v/>
      </c>
      <c r="O58" s="125" t="str">
        <f ca="1">IFERROR(VLOOKUP(Betas_Per_Segment[[#This Row],[Segment]],INDIRECT(VLOOKUP(Industry_Average,Industry_TableConverter[],2,FALSE)),4,FALSE),"")</f>
        <v/>
      </c>
      <c r="P58" s="125" t="str">
        <f ca="1">IFERROR(Betas_Per_Segment[[#This Row],[Firm Value Proportion]]*Betas_Per_Segment[[#This Row],[Estimated levered beta using debt allocation]],"")</f>
        <v/>
      </c>
      <c r="Q58" s="72" t="str">
        <f ca="1">IFERROR(Betas_Per_Segment[[#This Row],[Estimated levered beta]]*Betas_Per_Segment[[#This Row],[Firm Value Proportion]],"")</f>
        <v/>
      </c>
    </row>
    <row r="59" spans="2:24" ht="15" customHeight="1" thickTop="1" thickBot="1">
      <c r="C59" s="148" t="str">
        <f t="shared" si="0"/>
        <v/>
      </c>
      <c r="D59" s="154" t="str">
        <f ca="1">IFERROR(VLOOKUP(Betas_Per_Segment[[#This Row],[Segment]],INDIRECT(VLOOKUP(Industry_Average,Industry_TableConverter[],3,FALSE)),3,FALSE),"")</f>
        <v/>
      </c>
      <c r="E59" s="74" t="str">
        <f ca="1">IFERROR(Betas_Per_Segment[[#This Row],[EV/Sales]]*VLOOKUP(Betas_Per_Segment[[#This Row],[Segment]],Operations_Per_Segment_Region[],2,FALSE),"")</f>
        <v/>
      </c>
      <c r="F59" s="139" t="str">
        <f ca="1">IFERROR(Betas_Per_Segment[[#This Row],[Estimated Value]]/Estimated_Firm_Value,"")</f>
        <v/>
      </c>
      <c r="G59" s="125" t="str">
        <f ca="1">IFERROR(VLOOKUP(Betas_Per_Segment[[#This Row],[Segment]],INDIRECT(VLOOKUP(Industry_Average,Industry_TableConverter[],2,FALSE)),8,FALSE),"")</f>
        <v/>
      </c>
      <c r="H59" s="72" t="str">
        <f ca="1">IFERROR(Betas_Per_Segment[[#This Row],[Unlevered beta]]*Betas_Per_Segment[[#This Row],[Firm Value Proportion]],"")</f>
        <v/>
      </c>
      <c r="I59" s="125" t="str">
        <f ca="1">IFERROR(Betas_Per_Segment[[#This Row],[Unlevered beta]]*(1+(1-Company_Tax_Rate)*(Company_Debt/Company_Equity)),"")</f>
        <v/>
      </c>
      <c r="J59" s="125" t="str">
        <f ca="1">IFERROR(Betas_Per_Segment[[#This Row],[Estimated debt]]/SUM(Betas_Per_Segment[Estimated debt])*Company_Debt,"")</f>
        <v/>
      </c>
      <c r="K59" s="125" t="str">
        <f ca="1">IFERROR(Betas_Per_Segment[[#This Row],[Estimated Value]]*Betas_Per_Segment[Industry D/E]/$F$51,"")</f>
        <v/>
      </c>
      <c r="L59" s="125" t="str">
        <f ca="1">IFERROR(Betas_Per_Segment[[#This Row],[Estimated Value]]-Betas_Per_Segment[[#This Row],[Allocated debt]],"")</f>
        <v/>
      </c>
      <c r="M59" s="125" t="str">
        <f ca="1">IFERROR(Betas_Per_Segment[[#This Row],[Estimated equity]]/SUM(Betas_Per_Segment[Estimated equity])*Company_Equity,"")</f>
        <v/>
      </c>
      <c r="N59" s="125" t="str">
        <f ca="1">IFERROR(Betas_Per_Segment[[#This Row],[Unlevered beta]]*(1+(1-Company_Tax_Rate)*Betas_Per_Segment[[#This Row],[Allocated debt]]/Betas_Per_Segment[[#This Row],[Scaled estimated equity ]]),"")</f>
        <v/>
      </c>
      <c r="O59" s="125" t="str">
        <f ca="1">IFERROR(VLOOKUP(Betas_Per_Segment[[#This Row],[Segment]],INDIRECT(VLOOKUP(Industry_Average,Industry_TableConverter[],2,FALSE)),4,FALSE),"")</f>
        <v/>
      </c>
      <c r="P59" s="125" t="str">
        <f ca="1">IFERROR(Betas_Per_Segment[[#This Row],[Firm Value Proportion]]*Betas_Per_Segment[[#This Row],[Estimated levered beta using debt allocation]],"")</f>
        <v/>
      </c>
      <c r="Q59" s="72" t="str">
        <f ca="1">IFERROR(Betas_Per_Segment[[#This Row],[Estimated levered beta]]*Betas_Per_Segment[[#This Row],[Firm Value Proportion]],"")</f>
        <v/>
      </c>
      <c r="S59" s="166" t="s">
        <v>460</v>
      </c>
      <c r="T59" s="166"/>
      <c r="U59" s="166"/>
      <c r="V59" s="166"/>
      <c r="W59" s="166"/>
      <c r="X59" s="166"/>
    </row>
    <row r="60" spans="2:24" ht="15" customHeight="1" thickTop="1" thickBot="1">
      <c r="C60" s="148" t="str">
        <f t="shared" si="0"/>
        <v/>
      </c>
      <c r="D60" s="154" t="str">
        <f ca="1">IFERROR(VLOOKUP(Betas_Per_Segment[[#This Row],[Segment]],INDIRECT(VLOOKUP(Industry_Average,Industry_TableConverter[],3,FALSE)),3,FALSE),"")</f>
        <v/>
      </c>
      <c r="E60" s="72" t="str">
        <f ca="1">IFERROR(Betas_Per_Segment[[#This Row],[EV/Sales]]*VLOOKUP(Betas_Per_Segment[[#This Row],[Segment]],Operations_Per_Segment_Region[],2,FALSE),"")</f>
        <v/>
      </c>
      <c r="F60" s="138" t="str">
        <f ca="1">IFERROR(Betas_Per_Segment[[#This Row],[Estimated Value]]/Estimated_Firm_Value,"")</f>
        <v/>
      </c>
      <c r="G60" s="125" t="str">
        <f ca="1">IFERROR(VLOOKUP(Betas_Per_Segment[[#This Row],[Segment]],INDIRECT(VLOOKUP(Industry_Average,Industry_TableConverter[],2,FALSE)),8,FALSE),"")</f>
        <v/>
      </c>
      <c r="H60" s="72" t="str">
        <f ca="1">IFERROR(Betas_Per_Segment[[#This Row],[Unlevered beta]]*Betas_Per_Segment[[#This Row],[Firm Value Proportion]],"")</f>
        <v/>
      </c>
      <c r="I60" s="125" t="str">
        <f ca="1">IFERROR(Betas_Per_Segment[[#This Row],[Unlevered beta]]*(1+(1-Company_Tax_Rate)*(Company_Debt/Company_Equity)),"")</f>
        <v/>
      </c>
      <c r="J60" s="125" t="str">
        <f ca="1">IFERROR(Betas_Per_Segment[[#This Row],[Estimated debt]]/SUM(Betas_Per_Segment[Estimated debt])*Company_Debt,"")</f>
        <v/>
      </c>
      <c r="K60" s="125" t="str">
        <f ca="1">IFERROR(Betas_Per_Segment[[#This Row],[Estimated Value]]*Betas_Per_Segment[Industry D/E]/$F$51,"")</f>
        <v/>
      </c>
      <c r="L60" s="125" t="str">
        <f ca="1">IFERROR(Betas_Per_Segment[[#This Row],[Estimated Value]]-Betas_Per_Segment[[#This Row],[Allocated debt]],"")</f>
        <v/>
      </c>
      <c r="M60" s="125" t="str">
        <f ca="1">IFERROR(Betas_Per_Segment[[#This Row],[Estimated equity]]/SUM(Betas_Per_Segment[Estimated equity])*Company_Equity,"")</f>
        <v/>
      </c>
      <c r="N60" s="125"/>
      <c r="O60" s="125" t="str">
        <f ca="1">IFERROR(VLOOKUP(Betas_Per_Segment[[#This Row],[Segment]],INDIRECT(VLOOKUP(Industry_Average,Industry_TableConverter[],2,FALSE)),4,FALSE),"")</f>
        <v/>
      </c>
      <c r="P60" s="125" t="str">
        <f ca="1">IFERROR(Betas_Per_Segment[[#This Row],[Firm Value Proportion]]*Betas_Per_Segment[[#This Row],[Estimated levered beta using debt allocation]],"")</f>
        <v/>
      </c>
      <c r="Q60" s="72" t="str">
        <f ca="1">IFERROR(Betas_Per_Segment[[#This Row],[Estimated levered beta]]*Betas_Per_Segment[[#This Row],[Firm Value Proportion]],"")</f>
        <v/>
      </c>
      <c r="S60" s="166"/>
      <c r="T60" s="166"/>
      <c r="U60" s="166"/>
      <c r="V60" s="166"/>
      <c r="W60" s="166"/>
      <c r="X60" s="166"/>
    </row>
    <row r="61" spans="2:24" ht="23.25" customHeight="1" thickTop="1">
      <c r="C61" s="151" t="s">
        <v>302</v>
      </c>
      <c r="D61" s="151"/>
      <c r="E61" s="151">
        <f ca="1">SUBTOTAL(109,Betas_Per_Segment[Estimated Value])</f>
        <v>174590.94103304454</v>
      </c>
      <c r="F61" s="151"/>
      <c r="G61" s="161">
        <f ca="1">SUM(Betas_Per_Segment[Firm value proportion * Unlevered Beta])</f>
        <v>0.92070493947431598</v>
      </c>
      <c r="H61" s="151"/>
      <c r="I61" s="161">
        <f ca="1">SUM(Betas_Per_Segment[Firm value proportion * Levered Beta2])</f>
        <v>1.369548597468045</v>
      </c>
      <c r="J61" s="161"/>
      <c r="K61" s="161"/>
      <c r="L61" s="161"/>
      <c r="M61" s="161">
        <f ca="1">SUBTOTAL(109,Betas_Per_Segment[[Scaled estimated equity ]])</f>
        <v>9999.9999999999982</v>
      </c>
      <c r="N61">
        <f ca="1">SUM(Betas_Per_Segment[Firm value proportion * Levered Beta debt])</f>
        <v>1.3605273792900041</v>
      </c>
      <c r="O61">
        <f ca="1">SUM(Betas_Per_Segment[Industry D/E])</f>
        <v>1.6823012700021569</v>
      </c>
      <c r="Q61" s="151"/>
    </row>
    <row r="63" spans="2:24" ht="15.75" thickBot="1">
      <c r="B63" t="s">
        <v>473</v>
      </c>
    </row>
    <row r="64" spans="2:24" ht="30.75" customHeight="1">
      <c r="C64" s="160" t="s">
        <v>469</v>
      </c>
      <c r="D64" s="40" t="s">
        <v>298</v>
      </c>
      <c r="E64" s="40" t="s">
        <v>299</v>
      </c>
      <c r="F64" s="40" t="s">
        <v>300</v>
      </c>
      <c r="G64" s="40" t="s">
        <v>301</v>
      </c>
      <c r="H64" s="40" t="s">
        <v>443</v>
      </c>
      <c r="I64" s="40" t="s">
        <v>457</v>
      </c>
      <c r="J64" s="159" t="s">
        <v>477</v>
      </c>
      <c r="K64" s="159" t="s">
        <v>478</v>
      </c>
      <c r="L64" s="73" t="s">
        <v>458</v>
      </c>
    </row>
    <row r="65" spans="3:12" ht="15.75" thickBot="1">
      <c r="C65" s="150" t="str">
        <f>IF(C40="","",C40)</f>
        <v>Metals &amp; Mining</v>
      </c>
      <c r="D65" s="154" t="str">
        <f>IFERROR(VLOOKUP(Tabell28[[#This Row],[Segment]],EV_Sales_US[],3,FALSE)*VLOOKUP(Tabell28[[#This Row],[Segment]],Operations_Per_Segment_Region[],3,FALSE)+VLOOKUP(Tabell28[[#This Row],[Segment]],EV_Sales_China[],3,FALSE)*VLOOKUP(Tabell28[[#This Row],[Segment]],Operations_Per_Segment_Region[],4,FALSE)+VLOOKUP(Tabell28[[#This Row],[Segment]],EV_Sales_Europe[],3,FALSE)*VLOOKUP(Tabell28[[#This Row],[Segment]],Operations_Per_Segment_Region[],5,FALSE)+VLOOKUP(Tabell28[[#This Row],[Segment]],EV_Sales_India[],3,FALSE)*VLOOKUP(Tabell28[[#This Row],[Segment]],Operations_Per_Segment_Region[],6,FALSE),"")</f>
        <v/>
      </c>
      <c r="E65" s="72" t="str">
        <f>IFERROR(Tabell28[[#This Row],[EV/Sales]]*VLOOKUP(Tabell28[[#This Row],[Segment]],Operations_Per_Segment_Region[],2,FALSE),"")</f>
        <v/>
      </c>
      <c r="F65" s="144" t="str">
        <f>IFERROR(Tabell28[[#This Row],[Estimated Value]]/Tabell28[[#Totals],[Estimated Value]],"")</f>
        <v/>
      </c>
      <c r="G65" s="125">
        <f>IFERROR(VLOOKUP(Tabell28[[#This Row],[Segment]],Operations_Per_Segment_Region[],3,FALSE)*VLOOKUP(Tabell28[[#This Row],[Segment]],Industry_Average_US[],8,FALSE)+VLOOKUP(Tabell28[[#This Row],[Segment]],Operations_Per_Segment_Region[],4,FALSE)*VLOOKUP(Tabell28[[#This Row],[Segment]],Industry_Average_China[],8,FALSE)+VLOOKUP(Tabell28[[#This Row],[Segment]],Operations_Per_Segment_Region[],5,FALSE)*VLOOKUP(Tabell28[[#This Row],[Segment]],Industry_Average_Europe[],8,FALSE)+VLOOKUP(Tabell28[[#This Row],[Segment]],Operations_Per_Segment_Region[],6,FALSE)*VLOOKUP(Tabell28[[#This Row],[Segment]],Industry_Average_India[],8,FALSE)+VLOOKUP(Tabell28[[#This Row],[Segment]],Operations_Per_Segment_Region[],7,FALSE)*VLOOKUP(Tabell28[[#This Row],[Segment]],Industry_Average_EmergingMarkets[],8,FALSE),"")</f>
        <v>1.0806756987285682</v>
      </c>
      <c r="H65" s="155" t="str">
        <f>IFERROR(Tabell28[[#This Row],[Firm Value Proportion]]*Tabell28[[#This Row],[Unlevered beta]],"")</f>
        <v/>
      </c>
      <c r="I65" s="125">
        <f>IFERROR(Tabell28[[#This Row],[Unlevered beta]]*(1+(1-Company_Tax_Rate)*(Company_Debt/Company_Equity)),"")</f>
        <v>1.6075051018587452</v>
      </c>
      <c r="J65" s="125"/>
      <c r="K65" s="125"/>
      <c r="L65" s="72" t="str">
        <f>IFERROR(Tabell28[[#This Row],[Firm Value Proportion]]*Tabell28[[#This Row],[Estimated levered beta]],"")</f>
        <v/>
      </c>
    </row>
    <row r="66" spans="3:12" ht="16.5" thickTop="1" thickBot="1">
      <c r="C66" s="150" t="str">
        <f t="shared" ref="C66:C71" si="1">IF(C41="","",C41)</f>
        <v>Chemical (Diversified)</v>
      </c>
      <c r="D66" s="154" t="str">
        <f>IFERROR(VLOOKUP(Tabell28[[#This Row],[Segment]],EV_Sales_US[],3,FALSE)*VLOOKUP(Tabell28[[#This Row],[Segment]],Operations_Per_Segment_Region[],3,FALSE)+VLOOKUP(Tabell28[[#This Row],[Segment]],EV_Sales_China[],3,FALSE)*VLOOKUP(Tabell28[[#This Row],[Segment]],Operations_Per_Segment_Region[],4,FALSE)+VLOOKUP(Tabell28[[#This Row],[Segment]],EV_Sales_Europe[],3,FALSE)*VLOOKUP(Tabell28[[#This Row],[Segment]],Operations_Per_Segment_Region[],5,FALSE)+VLOOKUP(Tabell28[[#This Row],[Segment]],EV_Sales_India[],3,FALSE)*VLOOKUP(Tabell28[[#This Row],[Segment]],Operations_Per_Segment_Region[],6,FALSE),"")</f>
        <v/>
      </c>
      <c r="E66" s="72" t="str">
        <f>IFERROR(Tabell28[[#This Row],[EV/Sales]]*VLOOKUP(Tabell28[[#This Row],[Segment]],Operations_Per_Segment_Region[],2,FALSE),"")</f>
        <v/>
      </c>
      <c r="F66" s="144" t="str">
        <f>IFERROR(Tabell28[[#This Row],[Estimated Value]]/Tabell28[[#Totals],[Estimated Value]],"")</f>
        <v/>
      </c>
      <c r="G66" s="125">
        <f>IFERROR(VLOOKUP(Tabell28[[#This Row],[Segment]],Operations_Per_Segment_Region[],3,FALSE)*VLOOKUP(Tabell28[[#This Row],[Segment]],Industry_Average_US[],8,FALSE)+VLOOKUP(Tabell28[[#This Row],[Segment]],Operations_Per_Segment_Region[],4,FALSE)*VLOOKUP(Tabell28[[#This Row],[Segment]],Industry_Average_China[],8,FALSE)+VLOOKUP(Tabell28[[#This Row],[Segment]],Operations_Per_Segment_Region[],5,FALSE)*VLOOKUP(Tabell28[[#This Row],[Segment]],Industry_Average_Europe[],8,FALSE)+VLOOKUP(Tabell28[[#This Row],[Segment]],Operations_Per_Segment_Region[],6,FALSE)*VLOOKUP(Tabell28[[#This Row],[Segment]],Industry_Average_India[],8,FALSE)+VLOOKUP(Tabell28[[#This Row],[Segment]],Operations_Per_Segment_Region[],7,FALSE)*VLOOKUP(Tabell28[[#This Row],[Segment]],Industry_Average_EmergingMarkets[],8,FALSE),"")</f>
        <v>0</v>
      </c>
      <c r="H66" s="156" t="str">
        <f>IFERROR(Tabell28[[#This Row],[Firm Value Proportion]]*Tabell28[[#This Row],[Unlevered beta]],"")</f>
        <v/>
      </c>
      <c r="I66" s="125">
        <f>IFERROR(Tabell28[[#This Row],[Unlevered beta]]*(1+(1-Company_Tax_Rate)*(Company_Debt/Company_Equity)),"")</f>
        <v>0</v>
      </c>
      <c r="J66" s="125"/>
      <c r="K66" s="125"/>
      <c r="L66" s="72" t="str">
        <f>IFERROR(Tabell28[[#This Row],[Firm Value Proportion]]*Tabell28[[#This Row],[Estimated levered beta]],"")</f>
        <v/>
      </c>
    </row>
    <row r="67" spans="3:12" ht="16.5" thickTop="1" thickBot="1">
      <c r="C67" s="150" t="str">
        <f t="shared" si="1"/>
        <v>Coal &amp; Related Energy</v>
      </c>
      <c r="D67" s="154" t="str">
        <f>IFERROR(VLOOKUP(Tabell28[[#This Row],[Segment]],EV_Sales_US[],3,FALSE)*VLOOKUP(Tabell28[[#This Row],[Segment]],Operations_Per_Segment_Region[],3,FALSE)+VLOOKUP(Tabell28[[#This Row],[Segment]],EV_Sales_China[],3,FALSE)*VLOOKUP(Tabell28[[#This Row],[Segment]],Operations_Per_Segment_Region[],4,FALSE)+VLOOKUP(Tabell28[[#This Row],[Segment]],EV_Sales_Europe[],3,FALSE)*VLOOKUP(Tabell28[[#This Row],[Segment]],Operations_Per_Segment_Region[],5,FALSE)+VLOOKUP(Tabell28[[#This Row],[Segment]],EV_Sales_India[],3,FALSE)*VLOOKUP(Tabell28[[#This Row],[Segment]],Operations_Per_Segment_Region[],6,FALSE),"")</f>
        <v/>
      </c>
      <c r="E67" s="72" t="str">
        <f>IFERROR(Tabell28[[#This Row],[EV/Sales]]*VLOOKUP(Tabell28[[#This Row],[Segment]],Operations_Per_Segment_Region[],2,FALSE),"")</f>
        <v/>
      </c>
      <c r="F67" s="144" t="str">
        <f>IFERROR(Tabell28[[#This Row],[Estimated Value]]/Tabell28[[#Totals],[Estimated Value]],"")</f>
        <v/>
      </c>
      <c r="G67" s="125">
        <f>IFERROR(VLOOKUP(Tabell28[[#This Row],[Segment]],Operations_Per_Segment_Region[],3,FALSE)*VLOOKUP(Tabell28[[#This Row],[Segment]],Industry_Average_US[],8,FALSE)+VLOOKUP(Tabell28[[#This Row],[Segment]],Operations_Per_Segment_Region[],4,FALSE)*VLOOKUP(Tabell28[[#This Row],[Segment]],Industry_Average_China[],8,FALSE)+VLOOKUP(Tabell28[[#This Row],[Segment]],Operations_Per_Segment_Region[],5,FALSE)*VLOOKUP(Tabell28[[#This Row],[Segment]],Industry_Average_Europe[],8,FALSE)+VLOOKUP(Tabell28[[#This Row],[Segment]],Operations_Per_Segment_Region[],6,FALSE)*VLOOKUP(Tabell28[[#This Row],[Segment]],Industry_Average_India[],8,FALSE)+VLOOKUP(Tabell28[[#This Row],[Segment]],Operations_Per_Segment_Region[],7,FALSE)*VLOOKUP(Tabell28[[#This Row],[Segment]],Industry_Average_EmergingMarkets[],8,FALSE),"")</f>
        <v>0</v>
      </c>
      <c r="H67" s="156" t="str">
        <f>IFERROR(Tabell28[[#This Row],[Firm Value Proportion]]*Tabell28[[#This Row],[Unlevered beta]],"")</f>
        <v/>
      </c>
      <c r="I67" s="125">
        <f>IFERROR(Tabell28[[#This Row],[Unlevered beta]]*(1+(1-Company_Tax_Rate)*(Company_Debt/Company_Equity)),"")</f>
        <v>0</v>
      </c>
      <c r="J67" s="125"/>
      <c r="K67" s="125"/>
      <c r="L67" s="72" t="str">
        <f>IFERROR(Tabell28[[#This Row],[Firm Value Proportion]]*Tabell28[[#This Row],[Estimated levered beta]],"")</f>
        <v/>
      </c>
    </row>
    <row r="68" spans="3:12" ht="16.5" thickTop="1" thickBot="1">
      <c r="C68" s="150" t="str">
        <f t="shared" si="1"/>
        <v/>
      </c>
      <c r="D68" s="154" t="str">
        <f>IFERROR(VLOOKUP(Tabell28[[#This Row],[Segment]],EV_Sales_US[],3,FALSE)*VLOOKUP(Tabell28[[#This Row],[Segment]],Operations_Per_Segment_Region[],3,FALSE)+VLOOKUP(Tabell28[[#This Row],[Segment]],EV_Sales_China[],3,FALSE)*VLOOKUP(Tabell28[[#This Row],[Segment]],Operations_Per_Segment_Region[],4,FALSE)+VLOOKUP(Tabell28[[#This Row],[Segment]],EV_Sales_Europe[],3,FALSE)*VLOOKUP(Tabell28[[#This Row],[Segment]],Operations_Per_Segment_Region[],5,FALSE)+VLOOKUP(Tabell28[[#This Row],[Segment]],EV_Sales_India[],3,FALSE)*VLOOKUP(Tabell28[[#This Row],[Segment]],Operations_Per_Segment_Region[],6,FALSE),"")</f>
        <v/>
      </c>
      <c r="E68" s="72" t="str">
        <f>IFERROR(Tabell28[[#This Row],[EV/Sales]]*VLOOKUP(Tabell28[[#This Row],[Segment]],Operations_Per_Segment_Region[],2,FALSE),"")</f>
        <v/>
      </c>
      <c r="F68" s="144" t="str">
        <f>IFERROR(Tabell28[[#This Row],[Estimated Value]]/Tabell28[[#Totals],[Estimated Value]],"")</f>
        <v/>
      </c>
      <c r="G68" s="125" t="str">
        <f>IFERROR(VLOOKUP(Tabell28[[#This Row],[Segment]],Operations_Per_Segment_Region[],3,FALSE)*VLOOKUP(Tabell28[[#This Row],[Segment]],Industry_Average_US[],8,FALSE)+VLOOKUP(Tabell28[[#This Row],[Segment]],Operations_Per_Segment_Region[],4,FALSE)*VLOOKUP(Tabell28[[#This Row],[Segment]],Industry_Average_China[],8,FALSE)+VLOOKUP(Tabell28[[#This Row],[Segment]],Operations_Per_Segment_Region[],5,FALSE)*VLOOKUP(Tabell28[[#This Row],[Segment]],Industry_Average_Europe[],8,FALSE)+VLOOKUP(Tabell28[[#This Row],[Segment]],Operations_Per_Segment_Region[],6,FALSE)*VLOOKUP(Tabell28[[#This Row],[Segment]],Industry_Average_India[],8,FALSE)+VLOOKUP(Tabell28[[#This Row],[Segment]],Operations_Per_Segment_Region[],7,FALSE)*VLOOKUP(Tabell28[[#This Row],[Segment]],Industry_Average_EmergingMarkets[],8,FALSE),"")</f>
        <v/>
      </c>
      <c r="H68" s="156" t="str">
        <f>IFERROR(Tabell28[[#This Row],[Firm Value Proportion]]*Tabell28[[#This Row],[Unlevered beta]],"")</f>
        <v/>
      </c>
      <c r="I68" s="125" t="str">
        <f>IFERROR(Tabell28[[#This Row],[Unlevered beta]]*(1+(1-Company_Tax_Rate)*(Company_Debt/Company_Equity)),"")</f>
        <v/>
      </c>
      <c r="J68" s="125"/>
      <c r="K68" s="125"/>
      <c r="L68" s="72" t="str">
        <f>IFERROR(Tabell28[[#This Row],[Firm Value Proportion]]*Tabell28[[#This Row],[Estimated levered beta]],"")</f>
        <v/>
      </c>
    </row>
    <row r="69" spans="3:12" ht="16.5" thickTop="1" thickBot="1">
      <c r="C69" s="150" t="str">
        <f t="shared" si="1"/>
        <v/>
      </c>
      <c r="D69" s="154" t="str">
        <f>IFERROR(VLOOKUP(Tabell28[[#This Row],[Segment]],EV_Sales_US[],3,FALSE)*VLOOKUP(Tabell28[[#This Row],[Segment]],Operations_Per_Segment_Region[],3,FALSE)+VLOOKUP(Tabell28[[#This Row],[Segment]],EV_Sales_China[],3,FALSE)*VLOOKUP(Tabell28[[#This Row],[Segment]],Operations_Per_Segment_Region[],4,FALSE)+VLOOKUP(Tabell28[[#This Row],[Segment]],EV_Sales_Europe[],3,FALSE)*VLOOKUP(Tabell28[[#This Row],[Segment]],Operations_Per_Segment_Region[],5,FALSE)+VLOOKUP(Tabell28[[#This Row],[Segment]],EV_Sales_India[],3,FALSE)*VLOOKUP(Tabell28[[#This Row],[Segment]],Operations_Per_Segment_Region[],6,FALSE),"")</f>
        <v/>
      </c>
      <c r="E69" s="72" t="str">
        <f>IFERROR(Tabell28[[#This Row],[EV/Sales]]*VLOOKUP(Tabell28[[#This Row],[Segment]],Operations_Per_Segment_Region[],2,FALSE),"")</f>
        <v/>
      </c>
      <c r="F69" s="144" t="str">
        <f>IFERROR(Tabell28[[#This Row],[Estimated Value]]/Tabell28[[#Totals],[Estimated Value]],"")</f>
        <v/>
      </c>
      <c r="G69" s="125" t="str">
        <f>IFERROR(VLOOKUP(Tabell28[[#This Row],[Segment]],Operations_Per_Segment_Region[],3,FALSE)*VLOOKUP(Tabell28[[#This Row],[Segment]],Industry_Average_US[],8,FALSE)+VLOOKUP(Tabell28[[#This Row],[Segment]],Operations_Per_Segment_Region[],4,FALSE)*VLOOKUP(Tabell28[[#This Row],[Segment]],Industry_Average_China[],8,FALSE)+VLOOKUP(Tabell28[[#This Row],[Segment]],Operations_Per_Segment_Region[],5,FALSE)*VLOOKUP(Tabell28[[#This Row],[Segment]],Industry_Average_Europe[],8,FALSE)+VLOOKUP(Tabell28[[#This Row],[Segment]],Operations_Per_Segment_Region[],6,FALSE)*VLOOKUP(Tabell28[[#This Row],[Segment]],Industry_Average_India[],8,FALSE)+VLOOKUP(Tabell28[[#This Row],[Segment]],Operations_Per_Segment_Region[],7,FALSE)*VLOOKUP(Tabell28[[#This Row],[Segment]],Industry_Average_EmergingMarkets[],8,FALSE),"")</f>
        <v/>
      </c>
      <c r="H69" s="156" t="str">
        <f>IFERROR(Tabell28[[#This Row],[Firm Value Proportion]]*Tabell28[[#This Row],[Unlevered beta]],"")</f>
        <v/>
      </c>
      <c r="I69" s="125" t="str">
        <f>IFERROR(Tabell28[[#This Row],[Unlevered beta]]*(1+(1-Company_Tax_Rate)*(Company_Debt/Company_Equity)),"")</f>
        <v/>
      </c>
      <c r="J69" s="125"/>
      <c r="K69" s="125"/>
      <c r="L69" s="72" t="str">
        <f>IFERROR(Tabell28[[#This Row],[Firm Value Proportion]]*Tabell28[[#This Row],[Estimated levered beta]],"")</f>
        <v/>
      </c>
    </row>
    <row r="70" spans="3:12" ht="16.5" thickTop="1" thickBot="1">
      <c r="C70" s="150" t="str">
        <f t="shared" si="1"/>
        <v/>
      </c>
      <c r="D70" s="154" t="str">
        <f>IFERROR(VLOOKUP(Tabell28[[#This Row],[Segment]],EV_Sales_US[],3,FALSE)*VLOOKUP(Tabell28[[#This Row],[Segment]],Operations_Per_Segment_Region[],3,FALSE)+VLOOKUP(Tabell28[[#This Row],[Segment]],EV_Sales_China[],3,FALSE)*VLOOKUP(Tabell28[[#This Row],[Segment]],Operations_Per_Segment_Region[],4,FALSE)+VLOOKUP(Tabell28[[#This Row],[Segment]],EV_Sales_Europe[],3,FALSE)*VLOOKUP(Tabell28[[#This Row],[Segment]],Operations_Per_Segment_Region[],5,FALSE)+VLOOKUP(Tabell28[[#This Row],[Segment]],EV_Sales_India[],3,FALSE)*VLOOKUP(Tabell28[[#This Row],[Segment]],Operations_Per_Segment_Region[],6,FALSE),"")</f>
        <v/>
      </c>
      <c r="E70" s="72" t="str">
        <f>IFERROR(Tabell28[[#This Row],[EV/Sales]]*VLOOKUP(Tabell28[[#This Row],[Segment]],Operations_Per_Segment_Region[],2,FALSE),"")</f>
        <v/>
      </c>
      <c r="F70" s="144" t="str">
        <f>IFERROR(Tabell28[[#This Row],[Estimated Value]]/Tabell28[[#Totals],[Estimated Value]],"")</f>
        <v/>
      </c>
      <c r="G70" s="125" t="str">
        <f>IFERROR(VLOOKUP(Tabell28[[#This Row],[Segment]],Operations_Per_Segment_Region[],3,FALSE)*VLOOKUP(Tabell28[[#This Row],[Segment]],Industry_Average_US[],8,FALSE)+VLOOKUP(Tabell28[[#This Row],[Segment]],Operations_Per_Segment_Region[],4,FALSE)*VLOOKUP(Tabell28[[#This Row],[Segment]],Industry_Average_China[],8,FALSE)+VLOOKUP(Tabell28[[#This Row],[Segment]],Operations_Per_Segment_Region[],5,FALSE)*VLOOKUP(Tabell28[[#This Row],[Segment]],Industry_Average_Europe[],8,FALSE)+VLOOKUP(Tabell28[[#This Row],[Segment]],Operations_Per_Segment_Region[],6,FALSE)*VLOOKUP(Tabell28[[#This Row],[Segment]],Industry_Average_India[],8,FALSE)+VLOOKUP(Tabell28[[#This Row],[Segment]],Operations_Per_Segment_Region[],7,FALSE)*VLOOKUP(Tabell28[[#This Row],[Segment]],Industry_Average_EmergingMarkets[],8,FALSE),"")</f>
        <v/>
      </c>
      <c r="H70" s="156" t="str">
        <f>IFERROR(Tabell28[[#This Row],[Firm Value Proportion]]*Tabell28[[#This Row],[Unlevered beta]],"")</f>
        <v/>
      </c>
      <c r="I70" s="125" t="str">
        <f>IFERROR(Tabell28[[#This Row],[Unlevered beta]]*(1+(1-Company_Tax_Rate)*(Company_Debt/Company_Equity)),"")</f>
        <v/>
      </c>
      <c r="J70" s="125"/>
      <c r="K70" s="125"/>
      <c r="L70" s="72" t="str">
        <f>IFERROR(Tabell28[[#This Row],[Firm Value Proportion]]*Tabell28[[#This Row],[Estimated levered beta]],"")</f>
        <v/>
      </c>
    </row>
    <row r="71" spans="3:12" ht="16.5" thickTop="1" thickBot="1">
      <c r="C71" s="150" t="str">
        <f t="shared" si="1"/>
        <v/>
      </c>
      <c r="D71" s="154" t="str">
        <f>IFERROR(VLOOKUP(Tabell28[[#This Row],[Segment]],EV_Sales_US[],3,FALSE)*VLOOKUP(Tabell28[[#This Row],[Segment]],Operations_Per_Segment_Region[],3,FALSE)+VLOOKUP(Tabell28[[#This Row],[Segment]],EV_Sales_China[],3,FALSE)*VLOOKUP(Tabell28[[#This Row],[Segment]],Operations_Per_Segment_Region[],4,FALSE)+VLOOKUP(Tabell28[[#This Row],[Segment]],EV_Sales_Europe[],3,FALSE)*VLOOKUP(Tabell28[[#This Row],[Segment]],Operations_Per_Segment_Region[],5,FALSE)+VLOOKUP(Tabell28[[#This Row],[Segment]],EV_Sales_India[],3,FALSE)*VLOOKUP(Tabell28[[#This Row],[Segment]],Operations_Per_Segment_Region[],6,FALSE),"")</f>
        <v/>
      </c>
      <c r="E71" s="72" t="str">
        <f>IFERROR(Tabell28[[#This Row],[EV/Sales]]*VLOOKUP(Tabell28[[#This Row],[Segment]],Operations_Per_Segment_Region[],2,FALSE),"")</f>
        <v/>
      </c>
      <c r="F71" s="144" t="str">
        <f>IFERROR(Tabell28[[#This Row],[Estimated Value]]/Tabell28[[#Totals],[Estimated Value]],"")</f>
        <v/>
      </c>
      <c r="G71" s="125" t="str">
        <f>IFERROR(VLOOKUP(Tabell28[[#This Row],[Segment]],Operations_Per_Segment_Region[],3,FALSE)*VLOOKUP(Tabell28[[#This Row],[Segment]],Industry_Average_US[],8,FALSE)+VLOOKUP(Tabell28[[#This Row],[Segment]],Operations_Per_Segment_Region[],4,FALSE)*VLOOKUP(Tabell28[[#This Row],[Segment]],Industry_Average_China[],8,FALSE)+VLOOKUP(Tabell28[[#This Row],[Segment]],Operations_Per_Segment_Region[],5,FALSE)*VLOOKUP(Tabell28[[#This Row],[Segment]],Industry_Average_Europe[],8,FALSE)+VLOOKUP(Tabell28[[#This Row],[Segment]],Operations_Per_Segment_Region[],6,FALSE)*VLOOKUP(Tabell28[[#This Row],[Segment]],Industry_Average_India[],8,FALSE)+VLOOKUP(Tabell28[[#This Row],[Segment]],Operations_Per_Segment_Region[],7,FALSE)*VLOOKUP(Tabell28[[#This Row],[Segment]],Industry_Average_EmergingMarkets[],8,FALSE),"")</f>
        <v/>
      </c>
      <c r="H71" s="156" t="str">
        <f>IFERROR(Tabell28[[#This Row],[Firm Value Proportion]]*Tabell28[[#This Row],[Unlevered beta]],"")</f>
        <v/>
      </c>
      <c r="I71" s="125" t="str">
        <f>IFERROR(Tabell28[[#This Row],[Unlevered beta]]*(1+(1-Company_Tax_Rate)*(Company_Debt/Company_Equity)),"")</f>
        <v/>
      </c>
      <c r="J71" s="125"/>
      <c r="K71" s="125"/>
      <c r="L71" s="72" t="str">
        <f>IFERROR(Tabell28[[#This Row],[Firm Value Proportion]]*Tabell28[[#This Row],[Estimated levered beta]],"")</f>
        <v/>
      </c>
    </row>
    <row r="72" spans="3:12" ht="15.75" thickTop="1">
      <c r="C72" s="5" t="s">
        <v>302</v>
      </c>
      <c r="E72">
        <f>SUM(Tabell28[Estimated Value])</f>
        <v>0</v>
      </c>
      <c r="G72" s="158">
        <f>SUM(Tabell28[Firm value proportion * Unlevered Beta])</f>
        <v>0</v>
      </c>
      <c r="I72" s="158">
        <f>SUM(Tabell28[Firm value proportion * Levered Beta])</f>
        <v>0</v>
      </c>
    </row>
    <row r="73" spans="3:12" ht="135">
      <c r="D73" s="40" t="s">
        <v>474</v>
      </c>
    </row>
    <row r="76" spans="3:12">
      <c r="C76" s="47"/>
    </row>
    <row r="77" spans="3:12">
      <c r="C77" s="47"/>
    </row>
    <row r="87" spans="2:4">
      <c r="B87" t="s">
        <v>449</v>
      </c>
    </row>
    <row r="88" spans="2:4">
      <c r="C88" s="132" t="s">
        <v>427</v>
      </c>
      <c r="D88" s="134">
        <v>0.35</v>
      </c>
    </row>
    <row r="126" ht="30.75" customHeight="1"/>
  </sheetData>
  <mergeCells count="6">
    <mergeCell ref="S59:X60"/>
    <mergeCell ref="E38:I38"/>
    <mergeCell ref="C2:C4"/>
    <mergeCell ref="C51:D51"/>
    <mergeCell ref="C8:D8"/>
    <mergeCell ref="R54:T55"/>
  </mergeCells>
  <dataValidations count="2">
    <dataValidation type="decimal" operator="equal" allowBlank="1" showInputMessage="1" showErrorMessage="1" sqref="D35">
      <formula1>100</formula1>
    </dataValidation>
    <dataValidation type="list" allowBlank="1" showInputMessage="1" showErrorMessage="1" sqref="C40:C46">
      <formula1>Input_Industries</formula1>
    </dataValidation>
  </dataValidations>
  <hyperlinks>
    <hyperlink ref="E3" location="Summary!B3" display="Summary"/>
    <hyperlink ref="G3" location="Investments!B3" display="Investments"/>
    <hyperlink ref="I3" location="'Country &amp; region data'!B3" display="Country &amp; region"/>
    <hyperlink ref="F3" location="'Models &amp; inputs'!B3" display="Models &amp;  inputs"/>
  </hyperlinks>
  <pageMargins left="0.7" right="0.7" top="0.75" bottom="0.75" header="0.3" footer="0.3"/>
  <tableParts count="4">
    <tablePart r:id="rId1"/>
    <tablePart r:id="rId2"/>
    <tablePart r:id="rId3"/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'Input data &amp; validation'!$B$20:$B$25</xm:f>
          </x14:formula1>
          <xm:sqref>C51:D51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00"/>
  <sheetViews>
    <sheetView showGridLines="0" topLeftCell="A2" workbookViewId="0">
      <selection activeCell="B2" sqref="B2:B4"/>
    </sheetView>
  </sheetViews>
  <sheetFormatPr defaultRowHeight="15"/>
  <cols>
    <col min="1" max="1" width="2.28515625" customWidth="1"/>
    <col min="2" max="2" width="22.85546875" bestFit="1" customWidth="1"/>
    <col min="3" max="3" width="7" customWidth="1"/>
    <col min="4" max="4" width="2.140625" customWidth="1"/>
    <col min="5" max="5" width="24.42578125" customWidth="1"/>
    <col min="6" max="11" width="23.5703125" customWidth="1"/>
    <col min="12" max="12" width="9.42578125" customWidth="1"/>
    <col min="13" max="13" width="13.28515625" bestFit="1" customWidth="1"/>
    <col min="14" max="15" width="16.42578125" customWidth="1"/>
    <col min="16" max="17" width="13.85546875" customWidth="1"/>
    <col min="19" max="24" width="11" customWidth="1"/>
  </cols>
  <sheetData>
    <row r="1" spans="2:16" ht="4.5" customHeight="1">
      <c r="B1" s="1"/>
    </row>
    <row r="2" spans="2:16" s="2" customFormat="1" ht="9.75" customHeight="1">
      <c r="B2" s="164" t="s">
        <v>244</v>
      </c>
    </row>
    <row r="3" spans="2:16" s="2" customFormat="1" ht="57" customHeight="1" thickBot="1">
      <c r="B3" s="164"/>
      <c r="C3" s="23"/>
      <c r="D3" s="23"/>
      <c r="E3" s="25" t="s">
        <v>206</v>
      </c>
      <c r="F3" s="25" t="s">
        <v>243</v>
      </c>
      <c r="H3" s="26" t="s">
        <v>207</v>
      </c>
      <c r="I3" s="26" t="s">
        <v>208</v>
      </c>
      <c r="J3" s="24"/>
      <c r="K3" s="22"/>
      <c r="L3" s="22"/>
      <c r="M3" s="22"/>
      <c r="N3" s="22"/>
      <c r="O3" s="22"/>
      <c r="P3" s="22"/>
    </row>
    <row r="4" spans="2:16" s="2" customFormat="1" ht="9.75" customHeight="1" thickTop="1">
      <c r="B4" s="164"/>
    </row>
    <row r="5" spans="2:16" ht="7.5" customHeight="1">
      <c r="B5" s="1"/>
    </row>
    <row r="7" spans="2:16" ht="24.95" customHeight="1">
      <c r="C7" s="173" t="s">
        <v>262</v>
      </c>
      <c r="D7" s="173"/>
      <c r="E7" s="173"/>
    </row>
    <row r="8" spans="2:16">
      <c r="E8" s="45" t="s">
        <v>245</v>
      </c>
    </row>
    <row r="19" spans="2:16" ht="4.5" customHeight="1">
      <c r="B19" s="1"/>
    </row>
    <row r="20" spans="2:16" s="2" customFormat="1" ht="9.75" customHeight="1">
      <c r="B20" s="164" t="s">
        <v>210</v>
      </c>
    </row>
    <row r="21" spans="2:16" s="2" customFormat="1" ht="57" customHeight="1" thickBot="1">
      <c r="B21" s="164"/>
      <c r="C21" s="23"/>
      <c r="D21" s="23"/>
      <c r="E21" s="25" t="s">
        <v>246</v>
      </c>
      <c r="G21" s="24"/>
      <c r="H21" s="24"/>
      <c r="I21" s="24"/>
      <c r="J21" s="24"/>
      <c r="K21" s="22"/>
      <c r="L21" s="22"/>
      <c r="M21" s="22"/>
      <c r="N21" s="22"/>
      <c r="O21" s="22"/>
      <c r="P21" s="22"/>
    </row>
    <row r="22" spans="2:16" s="2" customFormat="1" ht="9.75" customHeight="1" thickTop="1">
      <c r="B22" s="164"/>
    </row>
    <row r="23" spans="2:16" ht="7.5" customHeight="1">
      <c r="B23" s="1"/>
    </row>
    <row r="25" spans="2:16" ht="24.95" customHeight="1">
      <c r="C25" s="41" t="s">
        <v>248</v>
      </c>
    </row>
    <row r="26" spans="2:16">
      <c r="C26" s="42"/>
      <c r="E26" t="s">
        <v>251</v>
      </c>
    </row>
    <row r="27" spans="2:16" ht="24.95" customHeight="1">
      <c r="C27" s="43" t="s">
        <v>250</v>
      </c>
    </row>
    <row r="28" spans="2:16" ht="15" customHeight="1">
      <c r="E28" t="s">
        <v>252</v>
      </c>
    </row>
    <row r="29" spans="2:16" ht="24.95" customHeight="1">
      <c r="C29" s="41" t="s">
        <v>247</v>
      </c>
    </row>
    <row r="30" spans="2:16">
      <c r="D30" t="s">
        <v>257</v>
      </c>
      <c r="E30" t="s">
        <v>253</v>
      </c>
    </row>
    <row r="31" spans="2:16" ht="24.95" customHeight="1">
      <c r="C31" s="41" t="s">
        <v>249</v>
      </c>
    </row>
    <row r="32" spans="2:16">
      <c r="E32" t="s">
        <v>254</v>
      </c>
    </row>
    <row r="35" spans="2:16" ht="4.5" customHeight="1">
      <c r="B35" s="1"/>
    </row>
    <row r="36" spans="2:16" s="2" customFormat="1" ht="9.75" customHeight="1">
      <c r="B36" s="164" t="s">
        <v>245</v>
      </c>
    </row>
    <row r="37" spans="2:16" s="2" customFormat="1" ht="57" customHeight="1" thickBot="1">
      <c r="B37" s="164"/>
      <c r="C37" s="23"/>
      <c r="D37" s="23"/>
      <c r="E37" s="25" t="s">
        <v>246</v>
      </c>
      <c r="G37" s="24"/>
      <c r="H37" s="24"/>
      <c r="I37" s="24"/>
      <c r="J37" s="24"/>
      <c r="K37" s="22"/>
      <c r="L37" s="22"/>
      <c r="M37" s="22"/>
      <c r="N37" s="22"/>
      <c r="O37" s="22"/>
      <c r="P37" s="22"/>
    </row>
    <row r="38" spans="2:16" s="2" customFormat="1" ht="9.75" customHeight="1" thickTop="1">
      <c r="B38" s="164"/>
    </row>
    <row r="39" spans="2:16" ht="7.5" customHeight="1">
      <c r="B39" s="1"/>
    </row>
    <row r="41" spans="2:16" ht="24.95" customHeight="1">
      <c r="C41" s="41" t="s">
        <v>248</v>
      </c>
    </row>
    <row r="42" spans="2:16" ht="15" customHeight="1">
      <c r="C42" s="42"/>
      <c r="E42" s="40" t="s">
        <v>255</v>
      </c>
      <c r="F42" s="40"/>
      <c r="G42" s="40"/>
      <c r="H42" s="40"/>
    </row>
    <row r="43" spans="2:16" ht="24.95" customHeight="1">
      <c r="C43" s="43" t="s">
        <v>250</v>
      </c>
    </row>
    <row r="44" spans="2:16" ht="15" customHeight="1">
      <c r="E44" s="39" t="s">
        <v>272</v>
      </c>
      <c r="F44" s="39"/>
      <c r="G44" s="39"/>
      <c r="H44" s="39"/>
    </row>
    <row r="45" spans="2:16" ht="15" customHeight="1">
      <c r="E45" s="39"/>
      <c r="F45" s="39"/>
      <c r="G45" s="39"/>
      <c r="H45" s="39"/>
    </row>
    <row r="46" spans="2:16" ht="15" customHeight="1">
      <c r="E46" s="39" t="s">
        <v>412</v>
      </c>
      <c r="F46" s="39"/>
      <c r="G46" s="39"/>
      <c r="H46" s="39"/>
    </row>
    <row r="47" spans="2:16" ht="15" customHeight="1">
      <c r="E47" s="39"/>
      <c r="F47" s="39"/>
      <c r="G47" s="39"/>
      <c r="H47" s="39"/>
    </row>
    <row r="48" spans="2:16" ht="24.95" customHeight="1">
      <c r="C48" s="41" t="s">
        <v>247</v>
      </c>
    </row>
    <row r="49" spans="4:8">
      <c r="D49" t="s">
        <v>264</v>
      </c>
      <c r="G49" s="37"/>
      <c r="H49" s="37"/>
    </row>
    <row r="50" spans="4:8">
      <c r="E50" t="s">
        <v>455</v>
      </c>
      <c r="F50" s="48">
        <v>1.403</v>
      </c>
      <c r="G50" s="38"/>
      <c r="H50" s="38"/>
    </row>
    <row r="51" spans="4:8">
      <c r="E51" t="s">
        <v>265</v>
      </c>
      <c r="F51" s="49">
        <v>0.14399999999999999</v>
      </c>
      <c r="G51" s="38"/>
      <c r="H51" s="38"/>
    </row>
    <row r="52" spans="4:8">
      <c r="G52" s="38"/>
      <c r="H52" s="38"/>
    </row>
    <row r="53" spans="4:8">
      <c r="F53" s="172"/>
      <c r="G53" s="172"/>
      <c r="H53" s="38"/>
    </row>
    <row r="54" spans="4:8">
      <c r="D54" s="35" t="s">
        <v>256</v>
      </c>
      <c r="F54" s="37" t="s">
        <v>411</v>
      </c>
      <c r="G54" s="35" t="s">
        <v>447</v>
      </c>
      <c r="H54" s="85" t="s">
        <v>410</v>
      </c>
    </row>
    <row r="55" spans="4:8">
      <c r="E55" s="4" t="s">
        <v>232</v>
      </c>
      <c r="F55" s="129">
        <f>VLOOKUP(E55,Company_Operations_Region[],2,FALSE)</f>
        <v>0.12</v>
      </c>
      <c r="G55" s="128">
        <f>VLOOKUP('Models &amp; inputs'!E55,Region_Data[],5,FALSE)*F55</f>
        <v>1.2047370422918565E-2</v>
      </c>
      <c r="H55" s="37"/>
    </row>
    <row r="56" spans="4:8" ht="24.95" customHeight="1">
      <c r="E56" s="5" t="s">
        <v>238</v>
      </c>
      <c r="F56" s="129">
        <f>VLOOKUP(E56,Company_Operations_Region[],2,FALSE)</f>
        <v>0.25</v>
      </c>
      <c r="G56" s="128">
        <f>VLOOKUP('Models &amp; inputs'!E56,Region_Data[],5,FALSE)*F56</f>
        <v>1.2500000000000002E-2</v>
      </c>
    </row>
    <row r="57" spans="4:8">
      <c r="E57" s="4" t="s">
        <v>237</v>
      </c>
      <c r="F57" s="129">
        <f>VLOOKUP(E57,Company_Operations_Region[],2,FALSE)</f>
        <v>0.13</v>
      </c>
      <c r="G57" s="128">
        <f>VLOOKUP('Models &amp; inputs'!E57,Region_Data[],5,FALSE)*F57</f>
        <v>1.1209578406112438E-2</v>
      </c>
      <c r="H57" s="39"/>
    </row>
    <row r="58" spans="4:8">
      <c r="E58" s="5" t="s">
        <v>233</v>
      </c>
      <c r="F58" s="129">
        <f>VLOOKUP(E58,Company_Operations_Region[],2,FALSE)</f>
        <v>0.05</v>
      </c>
      <c r="G58" s="128">
        <f>VLOOKUP('Models &amp; inputs'!E58,Region_Data[],5,FALSE)*F58</f>
        <v>3.2526925859492333E-3</v>
      </c>
    </row>
    <row r="59" spans="4:8">
      <c r="E59" s="4" t="s">
        <v>235</v>
      </c>
      <c r="F59" s="129">
        <f>VLOOKUP(E59,Company_Operations_Region[],2,FALSE)</f>
        <v>0.04</v>
      </c>
      <c r="G59" s="128">
        <f>VLOOKUP('Models &amp; inputs'!E59,Region_Data[],5,FALSE)*F59</f>
        <v>2.0019499559454394E-3</v>
      </c>
    </row>
    <row r="60" spans="4:8">
      <c r="E60" s="5" t="s">
        <v>236</v>
      </c>
      <c r="F60" s="129">
        <f>VLOOKUP(E60,Company_Operations_Region[],2,FALSE)</f>
        <v>0</v>
      </c>
      <c r="G60" s="128">
        <f>VLOOKUP('Models &amp; inputs'!E60,Region_Data[],5,FALSE)*F60</f>
        <v>0</v>
      </c>
    </row>
    <row r="61" spans="4:8">
      <c r="E61" s="4" t="s">
        <v>242</v>
      </c>
      <c r="F61" s="129">
        <f>VLOOKUP(E61,Company_Operations_Region[],2,FALSE)</f>
        <v>0.08</v>
      </c>
      <c r="G61" s="128">
        <f>VLOOKUP('Models &amp; inputs'!E61,Region_Data[],5,FALSE)*F61</f>
        <v>6.3716222698337001E-3</v>
      </c>
    </row>
    <row r="62" spans="4:8">
      <c r="E62" s="5" t="s">
        <v>240</v>
      </c>
      <c r="F62" s="129">
        <f>VLOOKUP(E62,Company_Operations_Region[],2,FALSE)</f>
        <v>0.33</v>
      </c>
      <c r="G62" s="128">
        <f>VLOOKUP('Models &amp; inputs'!E62,Region_Data[],5,FALSE)*F62</f>
        <v>2.0770551077162622E-2</v>
      </c>
    </row>
    <row r="63" spans="4:8">
      <c r="E63" s="4" t="s">
        <v>241</v>
      </c>
      <c r="F63" s="129">
        <f>VLOOKUP(E63,Company_Operations_Region[],2,FALSE)</f>
        <v>0</v>
      </c>
      <c r="G63" s="128">
        <f>VLOOKUP('Models &amp; inputs'!E63,Region_Data[],5,FALSE)*F63</f>
        <v>0</v>
      </c>
    </row>
    <row r="64" spans="4:8" ht="15.75" thickBot="1">
      <c r="E64" s="36" t="s">
        <v>239</v>
      </c>
      <c r="F64" s="129">
        <f>VLOOKUP(E64,Company_Operations_Region[],2,FALSE)</f>
        <v>0</v>
      </c>
      <c r="G64" s="128">
        <f>VLOOKUP('Models &amp; inputs'!E64,Region_Data[],5,FALSE)*F64</f>
        <v>0</v>
      </c>
    </row>
    <row r="65" spans="3:7" ht="16.5" thickTop="1" thickBot="1">
      <c r="E65" s="47" t="s">
        <v>258</v>
      </c>
      <c r="F65" s="130">
        <f>SUM(F55:F64)</f>
        <v>1</v>
      </c>
      <c r="G65" s="131">
        <f>SUM(G55:G64)</f>
        <v>6.8153764717922005E-2</v>
      </c>
    </row>
    <row r="66" spans="3:7" ht="15.75" thickTop="1"/>
    <row r="76" spans="3:7" ht="24.95" customHeight="1">
      <c r="C76" s="41" t="s">
        <v>249</v>
      </c>
    </row>
    <row r="77" spans="3:7">
      <c r="D77" t="s">
        <v>446</v>
      </c>
      <c r="E77" s="39"/>
    </row>
    <row r="78" spans="3:7" ht="31.5" customHeight="1">
      <c r="E78" s="127" t="s">
        <v>445</v>
      </c>
      <c r="F78" s="126">
        <f ca="1">Beta_Unlevered</f>
        <v>0.92070493947431598</v>
      </c>
    </row>
    <row r="79" spans="3:7" ht="30" customHeight="1">
      <c r="E79" s="127" t="s">
        <v>448</v>
      </c>
      <c r="F79" s="126">
        <f ca="1">Beta_Unlevered*(1+(1-Company_Tax_Rate)*(Company_Debt/Company_Equity))</f>
        <v>1.369548597468045</v>
      </c>
    </row>
    <row r="80" spans="3:7">
      <c r="E80" s="127"/>
    </row>
    <row r="81" spans="3:6">
      <c r="D81" t="s">
        <v>454</v>
      </c>
      <c r="E81" s="127"/>
    </row>
    <row r="82" spans="3:6" ht="30" customHeight="1">
      <c r="F82" s="125"/>
    </row>
    <row r="83" spans="3:6" ht="15" customHeight="1"/>
    <row r="84" spans="3:6" ht="24.95" customHeight="1">
      <c r="C84" s="41" t="s">
        <v>266</v>
      </c>
    </row>
    <row r="100" ht="30.75" customHeight="1"/>
  </sheetData>
  <mergeCells count="5">
    <mergeCell ref="F53:G53"/>
    <mergeCell ref="C7:E7"/>
    <mergeCell ref="B2:B4"/>
    <mergeCell ref="B20:B22"/>
    <mergeCell ref="B36:B38"/>
  </mergeCells>
  <dataValidations count="1">
    <dataValidation type="decimal" operator="equal" allowBlank="1" showInputMessage="1" showErrorMessage="1" sqref="F65">
      <formula1>100</formula1>
    </dataValidation>
  </dataValidations>
  <hyperlinks>
    <hyperlink ref="E3" location="Summary!B3" display="Summary"/>
    <hyperlink ref="F3" location="'Models &amp; inputs'!B3" display="Models &amp;  inputs"/>
    <hyperlink ref="E21" location="'Models &amp; inputs'!B3" display="Back to top"/>
    <hyperlink ref="E37" location="'Models &amp; inputs'!B3" display="Back to top"/>
    <hyperlink ref="E8" location="'Models &amp; inputs'!B37" display="Hurdle rate estimation"/>
    <hyperlink ref="H54" location="'Company data'!B19" display="Go to input"/>
    <hyperlink ref="H3" location="Investments!B3" display="Investments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8"/>
  <dimension ref="B1:N81"/>
  <sheetViews>
    <sheetView showGridLines="0" topLeftCell="A4" zoomScaleNormal="100" workbookViewId="0">
      <selection activeCell="B19" sqref="B19:D19"/>
    </sheetView>
  </sheetViews>
  <sheetFormatPr defaultRowHeight="15"/>
  <cols>
    <col min="1" max="1" width="2.28515625" customWidth="1"/>
    <col min="2" max="2" width="22.85546875" bestFit="1" customWidth="1"/>
    <col min="3" max="3" width="19.28515625" customWidth="1"/>
    <col min="4" max="6" width="23.28515625" customWidth="1"/>
    <col min="7" max="7" width="23.5703125" customWidth="1"/>
    <col min="8" max="8" width="17.28515625" bestFit="1" customWidth="1"/>
    <col min="9" max="9" width="15.7109375" customWidth="1"/>
    <col min="10" max="10" width="9.42578125" customWidth="1"/>
    <col min="11" max="11" width="13.28515625" bestFit="1" customWidth="1"/>
    <col min="12" max="13" width="16.42578125" customWidth="1"/>
    <col min="14" max="15" width="13.85546875" customWidth="1"/>
    <col min="17" max="22" width="11" customWidth="1"/>
  </cols>
  <sheetData>
    <row r="1" spans="2:14" ht="4.5" customHeight="1">
      <c r="B1" s="1"/>
    </row>
    <row r="2" spans="2:14" s="2" customFormat="1" ht="9.75" customHeight="1">
      <c r="B2" s="180" t="s">
        <v>207</v>
      </c>
    </row>
    <row r="3" spans="2:14" s="2" customFormat="1" ht="57" customHeight="1" thickBot="1">
      <c r="B3" s="180"/>
      <c r="C3" s="23"/>
      <c r="D3" s="25" t="s">
        <v>206</v>
      </c>
      <c r="E3" s="25" t="s">
        <v>243</v>
      </c>
      <c r="F3" s="26" t="s">
        <v>207</v>
      </c>
      <c r="G3" s="26" t="s">
        <v>208</v>
      </c>
      <c r="H3" s="24"/>
      <c r="I3" s="22"/>
      <c r="J3" s="22"/>
      <c r="K3" s="22"/>
      <c r="L3" s="22"/>
      <c r="M3" s="22"/>
      <c r="N3" s="22"/>
    </row>
    <row r="4" spans="2:14" s="2" customFormat="1" ht="9.75" customHeight="1" thickTop="1">
      <c r="B4" s="180"/>
    </row>
    <row r="5" spans="2:14" ht="7.5" customHeight="1">
      <c r="B5" s="1"/>
    </row>
    <row r="7" spans="2:14">
      <c r="B7" s="174" t="s">
        <v>229</v>
      </c>
      <c r="C7" s="174"/>
      <c r="D7" s="174"/>
      <c r="E7" t="s">
        <v>281</v>
      </c>
      <c r="H7" s="34"/>
    </row>
    <row r="8" spans="2:14" ht="27.75" customHeight="1">
      <c r="B8" s="175" t="s">
        <v>66</v>
      </c>
      <c r="C8" s="176"/>
      <c r="D8" s="177"/>
      <c r="E8" s="54">
        <v>0.67</v>
      </c>
    </row>
    <row r="10" spans="2:14">
      <c r="B10" t="s">
        <v>263</v>
      </c>
    </row>
    <row r="11" spans="2:14">
      <c r="B11" s="181" t="s">
        <v>267</v>
      </c>
      <c r="C11" s="181"/>
      <c r="D11" s="179" t="s">
        <v>273</v>
      </c>
      <c r="E11" s="179"/>
      <c r="G11" s="178" t="s">
        <v>277</v>
      </c>
      <c r="H11" s="178"/>
    </row>
    <row r="12" spans="2:14">
      <c r="B12" s="35" t="s">
        <v>190</v>
      </c>
      <c r="C12" s="35" t="s">
        <v>191</v>
      </c>
      <c r="D12" s="46" t="s">
        <v>278</v>
      </c>
      <c r="E12" s="46" t="s">
        <v>279</v>
      </c>
      <c r="F12" s="46" t="s">
        <v>189</v>
      </c>
      <c r="G12" s="46" t="s">
        <v>268</v>
      </c>
      <c r="H12" s="46" t="s">
        <v>269</v>
      </c>
    </row>
    <row r="13" spans="2:14" ht="15" customHeight="1">
      <c r="B13" s="53" t="s">
        <v>276</v>
      </c>
      <c r="C13" s="53" t="s">
        <v>274</v>
      </c>
      <c r="D13" s="46">
        <f>VLOOKUP(Investments_Country,Country_Data[],4,FALSE)</f>
        <v>2.9973529411764711E-2</v>
      </c>
      <c r="E13" s="51">
        <f>VLOOKUP(Investments_Country,Country_Data[],5,FALSE)</f>
        <v>4.250000000000001E-2</v>
      </c>
      <c r="F13" s="51" t="str">
        <f>IFERROR(Tabell5[[#This Row],[Risk free rate value]]+Tabell5[[#This Row],[Risk premium value]]*Beta_Value,"")</f>
        <v/>
      </c>
      <c r="G13" s="51" t="str">
        <f>IF(Tabell5[[#This Row],[Hurdle rate]]="","",Tabell5[[#This Row],[Hurdle rate]]-IF(Confidence_interval=0.67,Beta_Standard_Error*Tabell5[[#This Row],[Risk premium value]],2*Beta_Standard_Error*Tabell5[[#This Row],[Risk premium value]]))</f>
        <v/>
      </c>
      <c r="H13" s="51" t="str">
        <f>IF(Tabell5[[#This Row],[Hurdle rate]]="","",Tabell5[[#This Row],[Hurdle rate]]+IF(Confidence_interval=0.67,Beta_Standard_Error*Tabell5[[#This Row],[Risk premium value]],2*Beta_Standard_Error*Tabell5[[#This Row],[Risk premium value]]))</f>
        <v/>
      </c>
    </row>
    <row r="14" spans="2:14" ht="15" customHeight="1">
      <c r="B14" s="53" t="s">
        <v>276</v>
      </c>
      <c r="C14" s="53" t="s">
        <v>275</v>
      </c>
      <c r="D14" s="51">
        <f>VLOOKUP(Investments_Country,Country_Data[],4,FALSE)</f>
        <v>2.9973529411764711E-2</v>
      </c>
      <c r="E14" s="51">
        <f>VLOOKUP(Investments_Country,Country_Data[],6,FALSE)</f>
        <v>0</v>
      </c>
      <c r="F14" s="51" t="str">
        <f>IFERROR(Tabell5[[#This Row],[Risk free rate value]]+Tabell5[[#This Row],[Risk premium value]]*Beta_Value,"")</f>
        <v/>
      </c>
      <c r="G14" s="51" t="str">
        <f>IF(Tabell5[[#This Row],[Hurdle rate]]="","",Tabell5[[#This Row],[Hurdle rate]]-IF(Confidence_interval=0.67,Beta_Standard_Error*Tabell5[[#This Row],[Risk premium value]],2*Beta_Standard_Error*Tabell5[[#This Row],[Risk premium value]]))</f>
        <v/>
      </c>
      <c r="H14" s="51" t="str">
        <f>IF(Tabell5[[#This Row],[Hurdle rate]]="","",Tabell5[[#This Row],[Hurdle rate]]+IF(Confidence_interval=0.67,Beta_Standard_Error*Tabell5[[#This Row],[Risk premium value]],2*Beta_Standard_Error*Tabell5[[#This Row],[Risk premium value]]))</f>
        <v/>
      </c>
    </row>
    <row r="15" spans="2:14">
      <c r="B15" s="52" t="s">
        <v>230</v>
      </c>
      <c r="C15" s="53" t="s">
        <v>274</v>
      </c>
      <c r="D15" s="51">
        <f>VLOOKUP(Investments_Country,Country_Data[],3,FALSE)</f>
        <v>1.1066176470588236E-2</v>
      </c>
      <c r="E15" s="51">
        <f>VLOOKUP(Investments_Country,Country_Data[],5,FALSE)</f>
        <v>4.250000000000001E-2</v>
      </c>
      <c r="F15" s="51" t="str">
        <f>IFERROR(Tabell5[[#This Row],[Risk free rate value]]+Tabell5[[#This Row],[Risk premium value]]*Beta_Value,"")</f>
        <v/>
      </c>
      <c r="G15" s="51" t="str">
        <f>IF(Tabell5[[#This Row],[Hurdle rate]]="","",Tabell5[[#This Row],[Hurdle rate]]-IF(Confidence_interval=0.67,Beta_Standard_Error*Tabell5[[#This Row],[Risk premium value]],2*Beta_Standard_Error*Tabell5[[#This Row],[Risk premium value]]))</f>
        <v/>
      </c>
      <c r="H15" s="51" t="str">
        <f>IF(Tabell5[[#This Row],[Hurdle rate]]="","",Tabell5[[#This Row],[Hurdle rate]]+IF(Confidence_interval=0.67,Beta_Standard_Error*Tabell5[[#This Row],[Risk premium value]],2*Beta_Standard_Error*Tabell5[[#This Row],[Risk premium value]]))</f>
        <v/>
      </c>
    </row>
    <row r="16" spans="2:14">
      <c r="B16" s="52" t="s">
        <v>230</v>
      </c>
      <c r="C16" s="52" t="s">
        <v>275</v>
      </c>
      <c r="D16" s="51">
        <f>VLOOKUP(Investments_Country,Country_Data[],3,FALSE)</f>
        <v>1.1066176470588236E-2</v>
      </c>
      <c r="E16" s="51">
        <f>VLOOKUP(Investments_Country,Country_Data[],6,FALSE)</f>
        <v>0</v>
      </c>
      <c r="F16" s="51" t="str">
        <f>IFERROR(Tabell5[[#This Row],[Risk free rate value]]+Tabell5[[#This Row],[Risk premium value]]*Beta_Value,"")</f>
        <v/>
      </c>
      <c r="G16" s="51" t="str">
        <f>IF(Tabell5[[#This Row],[Hurdle rate]]="","",Tabell5[[#This Row],[Hurdle rate]]-IF(Confidence_interval=0.67,Beta_Standard_Error*Tabell5[[#This Row],[Risk premium value]],2*Beta_Standard_Error*Tabell5[[#This Row],[Risk premium value]]))</f>
        <v/>
      </c>
      <c r="H16" s="51" t="str">
        <f>IF(Tabell5[[#This Row],[Hurdle rate]]="","",Tabell5[[#This Row],[Hurdle rate]]+IF(Confidence_interval=0.67,Beta_Standard_Error*Tabell5[[#This Row],[Risk premium value]],2*Beta_Standard_Error*Tabell5[[#This Row],[Risk premium value]]))</f>
        <v/>
      </c>
    </row>
    <row r="18" spans="2:6">
      <c r="B18" s="174" t="s">
        <v>272</v>
      </c>
      <c r="C18" s="174"/>
      <c r="D18" s="174"/>
      <c r="E18" t="s">
        <v>281</v>
      </c>
      <c r="F18" s="50"/>
    </row>
    <row r="19" spans="2:6" ht="31.5">
      <c r="B19" s="175"/>
      <c r="C19" s="176"/>
      <c r="D19" s="177"/>
      <c r="E19" s="54">
        <v>0.67</v>
      </c>
    </row>
    <row r="81" ht="30.75" customHeight="1"/>
  </sheetData>
  <mergeCells count="8">
    <mergeCell ref="B18:D18"/>
    <mergeCell ref="B19:D19"/>
    <mergeCell ref="G11:H11"/>
    <mergeCell ref="D11:E11"/>
    <mergeCell ref="B2:B4"/>
    <mergeCell ref="B8:D8"/>
    <mergeCell ref="B7:D7"/>
    <mergeCell ref="B11:C11"/>
  </mergeCells>
  <dataValidations count="1">
    <dataValidation type="list" allowBlank="1" showInputMessage="1" showErrorMessage="1" sqref="E8 E19">
      <formula1>Input_Confidence_Interval</formula1>
    </dataValidation>
  </dataValidations>
  <hyperlinks>
    <hyperlink ref="D3" location="Summary!B3" display="Summary"/>
    <hyperlink ref="F3" location="Investments!B3" display="Investments"/>
    <hyperlink ref="G3" location="'Country &amp; region data'!B3" display="Country &amp; region"/>
    <hyperlink ref="E3" location="'Models &amp; inputs'!B3" display="Models &amp;  inputs"/>
  </hyperlinks>
  <pageMargins left="0.7" right="0.7" top="0.75" bottom="0.75" header="0.3" footer="0.3"/>
  <ignoredErrors>
    <ignoredError sqref="E14" formula="1"/>
  </ignoredErrors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'Country &amp; region data'!$B$8:$B$136</xm:f>
          </x14:formula1>
          <xm:sqref>B8:D8 B19:D19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93"/>
  <sheetViews>
    <sheetView showGridLines="0" workbookViewId="0">
      <pane ySplit="9" topLeftCell="A153" activePane="bottomLeft" state="frozen"/>
      <selection pane="bottomLeft" activeCell="D164" sqref="D164"/>
    </sheetView>
  </sheetViews>
  <sheetFormatPr defaultRowHeight="15"/>
  <cols>
    <col min="1" max="1" width="2.28515625" customWidth="1"/>
    <col min="2" max="2" width="22.85546875" bestFit="1" customWidth="1"/>
    <col min="3" max="3" width="19" customWidth="1"/>
    <col min="4" max="4" width="25" customWidth="1"/>
    <col min="5" max="5" width="26.7109375" customWidth="1"/>
    <col min="6" max="6" width="26" customWidth="1"/>
    <col min="7" max="7" width="24.5703125" customWidth="1"/>
    <col min="8" max="8" width="34.5703125" customWidth="1"/>
    <col min="9" max="9" width="36.5703125" customWidth="1"/>
    <col min="10" max="10" width="23.140625" customWidth="1"/>
    <col min="11" max="11" width="25.28515625" customWidth="1"/>
    <col min="12" max="12" width="16.42578125" customWidth="1"/>
    <col min="13" max="13" width="23.140625" customWidth="1"/>
    <col min="14" max="14" width="26.85546875" customWidth="1"/>
    <col min="15" max="15" width="13.85546875" customWidth="1"/>
    <col min="17" max="22" width="11" customWidth="1"/>
  </cols>
  <sheetData>
    <row r="1" spans="1:14" ht="4.5" customHeight="1">
      <c r="B1" s="1"/>
    </row>
    <row r="2" spans="1:14" s="2" customFormat="1" ht="9.75" customHeight="1">
      <c r="B2" s="164" t="s">
        <v>303</v>
      </c>
    </row>
    <row r="3" spans="1:14" s="2" customFormat="1" ht="57" customHeight="1" thickBot="1">
      <c r="B3" s="164"/>
      <c r="C3" s="23"/>
      <c r="D3" s="25" t="s">
        <v>206</v>
      </c>
      <c r="E3" s="25" t="s">
        <v>243</v>
      </c>
      <c r="F3" s="26" t="s">
        <v>207</v>
      </c>
      <c r="G3" s="26" t="s">
        <v>208</v>
      </c>
      <c r="H3" s="24"/>
      <c r="I3" s="22"/>
      <c r="J3" s="22"/>
      <c r="K3" s="22"/>
      <c r="L3" s="22"/>
      <c r="M3" s="22"/>
      <c r="N3" s="22"/>
    </row>
    <row r="4" spans="1:14" s="2" customFormat="1" ht="9.75" customHeight="1" thickTop="1">
      <c r="B4" s="164"/>
    </row>
    <row r="5" spans="1:14" ht="7.5" customHeight="1">
      <c r="B5" s="1"/>
    </row>
    <row r="6" spans="1:14" ht="7.5" customHeight="1"/>
    <row r="7" spans="1:14" s="2" customFormat="1" ht="22.5" customHeight="1">
      <c r="A7" s="83"/>
      <c r="B7" s="124" t="s">
        <v>405</v>
      </c>
      <c r="C7" s="124" t="s">
        <v>406</v>
      </c>
      <c r="D7" s="124" t="s">
        <v>407</v>
      </c>
      <c r="E7" s="124" t="s">
        <v>408</v>
      </c>
      <c r="F7" s="124" t="s">
        <v>409</v>
      </c>
      <c r="G7" s="124" t="s">
        <v>283</v>
      </c>
      <c r="H7" s="124" t="s">
        <v>444</v>
      </c>
    </row>
    <row r="8" spans="1:14">
      <c r="A8" s="84"/>
    </row>
    <row r="9" spans="1:14">
      <c r="B9" s="90" t="s">
        <v>304</v>
      </c>
      <c r="C9" s="91" t="s">
        <v>305</v>
      </c>
      <c r="D9" s="92" t="s">
        <v>425</v>
      </c>
      <c r="E9" s="91" t="s">
        <v>426</v>
      </c>
      <c r="F9" s="91" t="s">
        <v>427</v>
      </c>
      <c r="G9" s="91" t="s">
        <v>301</v>
      </c>
      <c r="H9" s="91" t="s">
        <v>428</v>
      </c>
      <c r="I9" s="93" t="s">
        <v>429</v>
      </c>
    </row>
    <row r="10" spans="1:14" ht="15.75">
      <c r="B10" s="75" t="s">
        <v>306</v>
      </c>
      <c r="C10" s="86">
        <v>243</v>
      </c>
      <c r="D10" s="88">
        <v>1.0261102686202694</v>
      </c>
      <c r="E10" s="87">
        <v>0.29206073775203978</v>
      </c>
      <c r="F10" s="87">
        <v>0.17085714708824859</v>
      </c>
      <c r="G10" s="88">
        <v>0.82606927291991061</v>
      </c>
      <c r="H10" s="87">
        <v>7.2958253195429507E-2</v>
      </c>
      <c r="I10" s="89">
        <v>0.89108098504441369</v>
      </c>
    </row>
    <row r="11" spans="1:14" ht="15.75">
      <c r="B11" s="75" t="s">
        <v>307</v>
      </c>
      <c r="C11" s="86">
        <v>207</v>
      </c>
      <c r="D11" s="88">
        <v>0.99535916253833445</v>
      </c>
      <c r="E11" s="87">
        <v>0.20641890701764026</v>
      </c>
      <c r="F11" s="87">
        <v>0.132488702875039</v>
      </c>
      <c r="G11" s="88">
        <v>0.84418952487184129</v>
      </c>
      <c r="H11" s="87">
        <v>7.1790903417920618E-2</v>
      </c>
      <c r="I11" s="89">
        <v>0.90948206388019548</v>
      </c>
    </row>
    <row r="12" spans="1:14" ht="15.75">
      <c r="B12" s="75" t="s">
        <v>308</v>
      </c>
      <c r="C12" s="86">
        <v>157</v>
      </c>
      <c r="D12" s="88">
        <v>1.0483554643874642</v>
      </c>
      <c r="E12" s="87">
        <v>1.1237495724907594</v>
      </c>
      <c r="F12" s="87">
        <v>0.15591964266536873</v>
      </c>
      <c r="G12" s="88">
        <v>0.53802240980571203</v>
      </c>
      <c r="H12" s="87">
        <v>9.8221944074357387E-2</v>
      </c>
      <c r="I12" s="89">
        <v>0.59662397667622491</v>
      </c>
    </row>
    <row r="13" spans="1:14" ht="15.75">
      <c r="B13" s="75" t="s">
        <v>309</v>
      </c>
      <c r="C13" s="86">
        <v>1170</v>
      </c>
      <c r="D13" s="88">
        <v>0.91309872661708502</v>
      </c>
      <c r="E13" s="87">
        <v>0.20198538357135506</v>
      </c>
      <c r="F13" s="87">
        <v>0.14746320338996974</v>
      </c>
      <c r="G13" s="88">
        <v>0.77896156673582861</v>
      </c>
      <c r="H13" s="87">
        <v>5.4297378364999059E-2</v>
      </c>
      <c r="I13" s="89">
        <v>0.82368553170456693</v>
      </c>
    </row>
    <row r="14" spans="1:14" ht="15.75">
      <c r="B14" s="75" t="s">
        <v>310</v>
      </c>
      <c r="C14" s="86">
        <v>129</v>
      </c>
      <c r="D14" s="88">
        <v>1.27737543662929</v>
      </c>
      <c r="E14" s="87">
        <v>0.79902977923875385</v>
      </c>
      <c r="F14" s="87">
        <v>0.13899395589534005</v>
      </c>
      <c r="G14" s="88">
        <v>0.7567526900386321</v>
      </c>
      <c r="H14" s="87">
        <v>0.10983912346106875</v>
      </c>
      <c r="I14" s="89">
        <v>0.85013025171471401</v>
      </c>
    </row>
    <row r="15" spans="1:14" ht="15.75">
      <c r="B15" s="75" t="s">
        <v>311</v>
      </c>
      <c r="C15" s="86">
        <v>609</v>
      </c>
      <c r="D15" s="88">
        <v>1.2297233762850301</v>
      </c>
      <c r="E15" s="87">
        <v>0.28986879004318022</v>
      </c>
      <c r="F15" s="87">
        <v>0.18976029133466199</v>
      </c>
      <c r="G15" s="88">
        <v>0.99583773514823437</v>
      </c>
      <c r="H15" s="87">
        <v>0.10572157785917567</v>
      </c>
      <c r="I15" s="89">
        <v>1.1135656530370999</v>
      </c>
    </row>
    <row r="16" spans="1:14" ht="15.75">
      <c r="B16" s="75" t="s">
        <v>312</v>
      </c>
      <c r="C16" s="86">
        <v>580</v>
      </c>
      <c r="D16" s="88">
        <v>1.1218772656423972</v>
      </c>
      <c r="E16" s="87">
        <v>2.9246954222720354</v>
      </c>
      <c r="F16" s="87">
        <v>0.18140002094907651</v>
      </c>
      <c r="G16" s="88">
        <v>0.33053206572898364</v>
      </c>
      <c r="H16" s="87">
        <v>0.17968651513138112</v>
      </c>
      <c r="I16" s="89">
        <v>0.40293384398273246</v>
      </c>
    </row>
    <row r="17" spans="2:9" ht="15.75">
      <c r="B17" s="75" t="s">
        <v>313</v>
      </c>
      <c r="C17" s="86">
        <v>947</v>
      </c>
      <c r="D17" s="88">
        <v>0.66574041028097108</v>
      </c>
      <c r="E17" s="87">
        <v>1.0837315872505229</v>
      </c>
      <c r="F17" s="87">
        <v>0.19854944929143359</v>
      </c>
      <c r="G17" s="88">
        <v>0.35628579242666003</v>
      </c>
      <c r="H17" s="87">
        <v>0.28342211557761743</v>
      </c>
      <c r="I17" s="89">
        <v>0.49720456097225779</v>
      </c>
    </row>
    <row r="18" spans="2:9" ht="15.75">
      <c r="B18" s="75" t="s">
        <v>314</v>
      </c>
      <c r="C18" s="86">
        <v>107</v>
      </c>
      <c r="D18" s="88">
        <v>1.0076322973698337</v>
      </c>
      <c r="E18" s="87">
        <v>0.22459784158716928</v>
      </c>
      <c r="F18" s="87">
        <v>0.10401104232359901</v>
      </c>
      <c r="G18" s="88">
        <v>0.83882875849179905</v>
      </c>
      <c r="H18" s="87">
        <v>6.0285861499623471E-2</v>
      </c>
      <c r="I18" s="89">
        <v>0.89264247937189356</v>
      </c>
    </row>
    <row r="19" spans="2:9" ht="15.75">
      <c r="B19" s="75" t="s">
        <v>315</v>
      </c>
      <c r="C19" s="86">
        <v>209</v>
      </c>
      <c r="D19" s="88">
        <v>0.81540289562289592</v>
      </c>
      <c r="E19" s="87">
        <v>0.23021708307977687</v>
      </c>
      <c r="F19" s="87">
        <v>0.18097472985860913</v>
      </c>
      <c r="G19" s="88">
        <v>0.68604637576407013</v>
      </c>
      <c r="H19" s="87">
        <v>3.9437088890284085E-2</v>
      </c>
      <c r="I19" s="89">
        <v>0.71421285147424307</v>
      </c>
    </row>
    <row r="20" spans="2:9" ht="15.75">
      <c r="B20" s="75" t="s">
        <v>316</v>
      </c>
      <c r="C20" s="86">
        <v>707</v>
      </c>
      <c r="D20" s="88">
        <v>1.0649852037037038</v>
      </c>
      <c r="E20" s="87">
        <v>8.6943628957699456E-2</v>
      </c>
      <c r="F20" s="87">
        <v>2.9065721037236827E-2</v>
      </c>
      <c r="G20" s="88">
        <v>0.98208128970896191</v>
      </c>
      <c r="H20" s="87">
        <v>4.5814344538068548E-2</v>
      </c>
      <c r="I20" s="89">
        <v>1.0292350174070957</v>
      </c>
    </row>
    <row r="21" spans="2:9" ht="15.75">
      <c r="B21" s="75" t="s">
        <v>317</v>
      </c>
      <c r="C21" s="86">
        <v>134</v>
      </c>
      <c r="D21" s="88">
        <v>1.3328239184562716</v>
      </c>
      <c r="E21" s="87">
        <v>0.34414723804311459</v>
      </c>
      <c r="F21" s="87">
        <v>0.17818938590653957</v>
      </c>
      <c r="G21" s="88">
        <v>1.0389765635423804</v>
      </c>
      <c r="H21" s="87">
        <v>4.204995553442898E-2</v>
      </c>
      <c r="I21" s="89">
        <v>1.0845832405822511</v>
      </c>
    </row>
    <row r="22" spans="2:9" ht="15.75">
      <c r="B22" s="75" t="s">
        <v>318</v>
      </c>
      <c r="C22" s="86">
        <v>521</v>
      </c>
      <c r="D22" s="88">
        <v>1.0752144361401761</v>
      </c>
      <c r="E22" s="87">
        <v>3.1989188159902131</v>
      </c>
      <c r="F22" s="87">
        <v>0.1168603038282247</v>
      </c>
      <c r="G22" s="88">
        <v>0.28109503833786842</v>
      </c>
      <c r="H22" s="87">
        <v>0.18564237066103506</v>
      </c>
      <c r="I22" s="89">
        <v>0.34517394841138838</v>
      </c>
    </row>
    <row r="23" spans="2:9" ht="15.75">
      <c r="B23" s="75" t="s">
        <v>319</v>
      </c>
      <c r="C23" s="86">
        <v>414</v>
      </c>
      <c r="D23" s="88">
        <v>0.96332670816474786</v>
      </c>
      <c r="E23" s="87">
        <v>0.3658497657463457</v>
      </c>
      <c r="F23" s="87">
        <v>0.18244866736650805</v>
      </c>
      <c r="G23" s="88">
        <v>0.74153336438720641</v>
      </c>
      <c r="H23" s="87">
        <v>8.0536187456434649E-2</v>
      </c>
      <c r="I23" s="89">
        <v>0.80648455574979094</v>
      </c>
    </row>
    <row r="24" spans="2:9" ht="15.75">
      <c r="B24" s="75" t="s">
        <v>320</v>
      </c>
      <c r="C24" s="86">
        <v>714</v>
      </c>
      <c r="D24" s="88">
        <v>0.87488792659932679</v>
      </c>
      <c r="E24" s="87">
        <v>0.24949146337030603</v>
      </c>
      <c r="F24" s="87">
        <v>0.1775498421601851</v>
      </c>
      <c r="G24" s="88">
        <v>0.72593102321319791</v>
      </c>
      <c r="H24" s="87">
        <v>5.3200642336872536E-2</v>
      </c>
      <c r="I24" s="89">
        <v>0.76672107700297487</v>
      </c>
    </row>
    <row r="25" spans="2:9" ht="15.75">
      <c r="B25" s="75" t="s">
        <v>321</v>
      </c>
      <c r="C25" s="86">
        <v>63</v>
      </c>
      <c r="D25" s="88">
        <v>0.99912065319865373</v>
      </c>
      <c r="E25" s="87">
        <v>0.50824993106035898</v>
      </c>
      <c r="F25" s="87">
        <v>0.15617652391115303</v>
      </c>
      <c r="G25" s="88">
        <v>0.69923673894376337</v>
      </c>
      <c r="H25" s="87">
        <v>2.7185280245271806E-2</v>
      </c>
      <c r="I25" s="89">
        <v>0.7187768901359336</v>
      </c>
    </row>
    <row r="26" spans="2:9" ht="15.75">
      <c r="B26" s="75" t="s">
        <v>322</v>
      </c>
      <c r="C26" s="86">
        <v>735</v>
      </c>
      <c r="D26" s="88">
        <v>0.99988673970554431</v>
      </c>
      <c r="E26" s="87">
        <v>0.14597366667492806</v>
      </c>
      <c r="F26" s="87">
        <v>0.15403120466003598</v>
      </c>
      <c r="G26" s="88">
        <v>0.88998342762971661</v>
      </c>
      <c r="H26" s="87">
        <v>3.7313972577136235E-2</v>
      </c>
      <c r="I26" s="89">
        <v>0.92447942764083324</v>
      </c>
    </row>
    <row r="27" spans="2:9" ht="15.75">
      <c r="B27" s="75" t="s">
        <v>323</v>
      </c>
      <c r="C27" s="86">
        <v>84</v>
      </c>
      <c r="D27" s="88">
        <v>1.2548249025341125</v>
      </c>
      <c r="E27" s="87">
        <v>0.38570093332751842</v>
      </c>
      <c r="F27" s="87">
        <v>0.226315248859597</v>
      </c>
      <c r="G27" s="88">
        <v>0.96643125296139698</v>
      </c>
      <c r="H27" s="87">
        <v>5.6339832444455826E-2</v>
      </c>
      <c r="I27" s="89">
        <v>1.024130599328823</v>
      </c>
    </row>
    <row r="28" spans="2:9" ht="15.75">
      <c r="B28" s="75" t="s">
        <v>324</v>
      </c>
      <c r="C28" s="86">
        <v>681</v>
      </c>
      <c r="D28" s="88">
        <v>0.96792918252673532</v>
      </c>
      <c r="E28" s="87">
        <v>0.22781864969305335</v>
      </c>
      <c r="F28" s="87">
        <v>0.17608429142535204</v>
      </c>
      <c r="G28" s="88">
        <v>0.81495869399021104</v>
      </c>
      <c r="H28" s="87">
        <v>7.0751819821060422E-2</v>
      </c>
      <c r="I28" s="89">
        <v>0.8770086521270124</v>
      </c>
    </row>
    <row r="29" spans="2:9" ht="15.75">
      <c r="B29" s="75" t="s">
        <v>325</v>
      </c>
      <c r="C29" s="86">
        <v>322</v>
      </c>
      <c r="D29" s="88">
        <v>1.2394413817663816</v>
      </c>
      <c r="E29" s="87">
        <v>0.57620289142670522</v>
      </c>
      <c r="F29" s="87">
        <v>6.274466609246579E-2</v>
      </c>
      <c r="G29" s="88">
        <v>0.80480633663115364</v>
      </c>
      <c r="H29" s="87">
        <v>0.10203031723073099</v>
      </c>
      <c r="I29" s="89">
        <v>0.89625112303256516</v>
      </c>
    </row>
    <row r="30" spans="2:9" ht="15.75">
      <c r="B30" s="75" t="s">
        <v>326</v>
      </c>
      <c r="C30" s="86">
        <v>939</v>
      </c>
      <c r="D30" s="88">
        <v>0.92196676692762114</v>
      </c>
      <c r="E30" s="87">
        <v>0.18059410694101669</v>
      </c>
      <c r="F30" s="87">
        <v>0.17304397249911879</v>
      </c>
      <c r="G30" s="88">
        <v>0.80216824557983113</v>
      </c>
      <c r="H30" s="87">
        <v>7.3614856873999754E-2</v>
      </c>
      <c r="I30" s="89">
        <v>0.86591225208231337</v>
      </c>
    </row>
    <row r="31" spans="2:9" ht="15.75">
      <c r="B31" s="75" t="s">
        <v>327</v>
      </c>
      <c r="C31" s="86">
        <v>1059</v>
      </c>
      <c r="D31" s="88">
        <v>1.027188524669391</v>
      </c>
      <c r="E31" s="87">
        <v>8.1187076840791003E-2</v>
      </c>
      <c r="F31" s="87">
        <v>0.11784430257346268</v>
      </c>
      <c r="G31" s="88">
        <v>0.95853835076788863</v>
      </c>
      <c r="H31" s="87">
        <v>6.44761016941756E-2</v>
      </c>
      <c r="I31" s="89">
        <v>1.0246006034733501</v>
      </c>
    </row>
    <row r="32" spans="2:9" ht="15.75">
      <c r="B32" s="75" t="s">
        <v>328</v>
      </c>
      <c r="C32" s="86">
        <v>316</v>
      </c>
      <c r="D32" s="88">
        <v>1.1288366162219567</v>
      </c>
      <c r="E32" s="87">
        <v>0.13702996974348222</v>
      </c>
      <c r="F32" s="87">
        <v>0.11984213471814516</v>
      </c>
      <c r="G32" s="88">
        <v>1.007342987495552</v>
      </c>
      <c r="H32" s="87">
        <v>9.4754178314529633E-2</v>
      </c>
      <c r="I32" s="89">
        <v>1.1127839127939718</v>
      </c>
    </row>
    <row r="33" spans="2:9" ht="15.75">
      <c r="B33" s="75" t="s">
        <v>329</v>
      </c>
      <c r="C33" s="86">
        <v>477</v>
      </c>
      <c r="D33" s="88">
        <v>0.9169273370839186</v>
      </c>
      <c r="E33" s="87">
        <v>0.52367363362716257</v>
      </c>
      <c r="F33" s="87">
        <v>0.14841310487543394</v>
      </c>
      <c r="G33" s="88">
        <v>0.63413330464095019</v>
      </c>
      <c r="H33" s="87">
        <v>6.2938018825375794E-2</v>
      </c>
      <c r="I33" s="89">
        <v>0.67672503781025517</v>
      </c>
    </row>
    <row r="34" spans="2:9" ht="15.75">
      <c r="B34" s="75" t="s">
        <v>330</v>
      </c>
      <c r="C34" s="86">
        <v>341</v>
      </c>
      <c r="D34" s="88">
        <v>0.89205459813555088</v>
      </c>
      <c r="E34" s="87">
        <v>0.71912614748467152</v>
      </c>
      <c r="F34" s="87">
        <v>0.14264106174124525</v>
      </c>
      <c r="G34" s="88">
        <v>0.55182643462097036</v>
      </c>
      <c r="H34" s="87">
        <v>7.2541564547880757E-2</v>
      </c>
      <c r="I34" s="89">
        <v>0.59498777899622524</v>
      </c>
    </row>
    <row r="35" spans="2:9" ht="15.75">
      <c r="B35" s="75" t="s">
        <v>331</v>
      </c>
      <c r="C35" s="86">
        <v>161</v>
      </c>
      <c r="D35" s="88">
        <v>0.8885581365740739</v>
      </c>
      <c r="E35" s="87">
        <v>0.27721279000620097</v>
      </c>
      <c r="F35" s="87">
        <v>0.14130702508814183</v>
      </c>
      <c r="G35" s="88">
        <v>0.71771320141345785</v>
      </c>
      <c r="H35" s="87">
        <v>9.6090030824317413E-2</v>
      </c>
      <c r="I35" s="89">
        <v>0.79400960924014785</v>
      </c>
    </row>
    <row r="36" spans="2:9" ht="15.75">
      <c r="B36" s="75" t="s">
        <v>332</v>
      </c>
      <c r="C36" s="86">
        <v>863</v>
      </c>
      <c r="D36" s="88">
        <v>1.0884416400668802</v>
      </c>
      <c r="E36" s="87">
        <v>0.25401038465684544</v>
      </c>
      <c r="F36" s="87">
        <v>0.13528952345626535</v>
      </c>
      <c r="G36" s="88">
        <v>0.89242463726618371</v>
      </c>
      <c r="H36" s="87">
        <v>9.0529571838788181E-2</v>
      </c>
      <c r="I36" s="89">
        <v>0.98125745448426327</v>
      </c>
    </row>
    <row r="37" spans="2:9" ht="15.75">
      <c r="B37" s="75" t="s">
        <v>333</v>
      </c>
      <c r="C37" s="86">
        <v>1167</v>
      </c>
      <c r="D37" s="88">
        <v>1.1224111664578107</v>
      </c>
      <c r="E37" s="87">
        <v>0.25765994127825759</v>
      </c>
      <c r="F37" s="87">
        <v>0.13292885457136316</v>
      </c>
      <c r="G37" s="88">
        <v>0.91744519400648306</v>
      </c>
      <c r="H37" s="87">
        <v>0.14368553628066158</v>
      </c>
      <c r="I37" s="89">
        <v>1.0713881790827495</v>
      </c>
    </row>
    <row r="38" spans="2:9" ht="15.75">
      <c r="B38" s="75" t="s">
        <v>334</v>
      </c>
      <c r="C38" s="86">
        <v>185</v>
      </c>
      <c r="D38" s="88">
        <v>1.2158995686540195</v>
      </c>
      <c r="E38" s="87">
        <v>0.4270268465985953</v>
      </c>
      <c r="F38" s="87">
        <v>0.13963730476079822</v>
      </c>
      <c r="G38" s="88">
        <v>0.88920679751236142</v>
      </c>
      <c r="H38" s="87">
        <v>0.14654037952284332</v>
      </c>
      <c r="I38" s="89">
        <v>1.041885024408324</v>
      </c>
    </row>
    <row r="39" spans="2:9" ht="15.75">
      <c r="B39" s="75" t="s">
        <v>335</v>
      </c>
      <c r="C39" s="86">
        <v>1167</v>
      </c>
      <c r="D39" s="88">
        <v>1.2247810803799479</v>
      </c>
      <c r="E39" s="87">
        <v>0.85930860843792289</v>
      </c>
      <c r="F39" s="87">
        <v>0.16247564382925439</v>
      </c>
      <c r="G39" s="88">
        <v>0.7122096046332913</v>
      </c>
      <c r="H39" s="87">
        <v>0.16916526078748451</v>
      </c>
      <c r="I39" s="89">
        <v>0.85722174461354395</v>
      </c>
    </row>
    <row r="40" spans="2:9" ht="15.75">
      <c r="B40" s="75" t="s">
        <v>336</v>
      </c>
      <c r="C40" s="86">
        <v>352</v>
      </c>
      <c r="D40" s="88">
        <v>1.0378956581196581</v>
      </c>
      <c r="E40" s="87">
        <v>0.27065885343302826</v>
      </c>
      <c r="F40" s="87">
        <v>9.038537005251901E-2</v>
      </c>
      <c r="G40" s="88">
        <v>0.83285155819798928</v>
      </c>
      <c r="H40" s="87">
        <v>4.727462419016297E-2</v>
      </c>
      <c r="I40" s="89">
        <v>0.87417799435650334</v>
      </c>
    </row>
    <row r="41" spans="2:9" ht="15.75">
      <c r="B41" s="75" t="s">
        <v>337</v>
      </c>
      <c r="C41" s="86">
        <v>312</v>
      </c>
      <c r="D41" s="88">
        <v>1.0972101112700683</v>
      </c>
      <c r="E41" s="87">
        <v>0.37332895179531694</v>
      </c>
      <c r="F41" s="87">
        <v>0.1145220124769314</v>
      </c>
      <c r="G41" s="88">
        <v>0.82461376979480727</v>
      </c>
      <c r="H41" s="87">
        <v>3.9469255375376197E-2</v>
      </c>
      <c r="I41" s="89">
        <v>0.85849804851073974</v>
      </c>
    </row>
    <row r="42" spans="2:9" ht="15.75">
      <c r="B42" s="75" t="s">
        <v>338</v>
      </c>
      <c r="C42" s="86">
        <v>341</v>
      </c>
      <c r="D42" s="88">
        <v>0.81470552777777783</v>
      </c>
      <c r="E42" s="87">
        <v>0.45019066523483869</v>
      </c>
      <c r="F42" s="87">
        <v>0.13185596305476735</v>
      </c>
      <c r="G42" s="88">
        <v>0.58576916498102549</v>
      </c>
      <c r="H42" s="87">
        <v>0.11304768692210296</v>
      </c>
      <c r="I42" s="89">
        <v>0.6604291531168035</v>
      </c>
    </row>
    <row r="43" spans="2:9" ht="15.75">
      <c r="B43" s="75" t="s">
        <v>339</v>
      </c>
      <c r="C43" s="86">
        <v>548</v>
      </c>
      <c r="D43" s="88">
        <v>0.95691783044895884</v>
      </c>
      <c r="E43" s="87">
        <v>5.1270052282457605</v>
      </c>
      <c r="F43" s="87">
        <v>0.17326208931877099</v>
      </c>
      <c r="G43" s="88">
        <v>0.1826635867475517</v>
      </c>
      <c r="H43" s="87">
        <v>0.13338341223052175</v>
      </c>
      <c r="I43" s="89">
        <v>0.21077785646556374</v>
      </c>
    </row>
    <row r="44" spans="2:9" ht="15.75">
      <c r="B44" s="75" t="s">
        <v>340</v>
      </c>
      <c r="C44" s="86">
        <v>133</v>
      </c>
      <c r="D44" s="88">
        <v>0.92736010132774283</v>
      </c>
      <c r="E44" s="87">
        <v>2.9788962203127922</v>
      </c>
      <c r="F44" s="87">
        <v>0.12595151204109512</v>
      </c>
      <c r="G44" s="88">
        <v>0.2573355631623514</v>
      </c>
      <c r="H44" s="87">
        <v>8.211631761145495E-2</v>
      </c>
      <c r="I44" s="89">
        <v>0.28035748766412855</v>
      </c>
    </row>
    <row r="45" spans="2:9" ht="15.75">
      <c r="B45" s="75" t="s">
        <v>341</v>
      </c>
      <c r="C45" s="86">
        <v>1201</v>
      </c>
      <c r="D45" s="88">
        <v>0.76783252254266454</v>
      </c>
      <c r="E45" s="87">
        <v>0.2632702403884889</v>
      </c>
      <c r="F45" s="87">
        <v>0.16398730218971458</v>
      </c>
      <c r="G45" s="88">
        <v>0.62932074781932668</v>
      </c>
      <c r="H45" s="87">
        <v>4.8628324421250875E-2</v>
      </c>
      <c r="I45" s="89">
        <v>0.66148779070649877</v>
      </c>
    </row>
    <row r="46" spans="2:9" ht="15.75">
      <c r="B46" s="75" t="s">
        <v>342</v>
      </c>
      <c r="C46" s="86">
        <v>115</v>
      </c>
      <c r="D46" s="88">
        <v>0.89733656084656088</v>
      </c>
      <c r="E46" s="87">
        <v>0.79907171814165134</v>
      </c>
      <c r="F46" s="87">
        <v>0.17200995863847734</v>
      </c>
      <c r="G46" s="88">
        <v>0.54003605592578896</v>
      </c>
      <c r="H46" s="87">
        <v>9.1024904824265465E-2</v>
      </c>
      <c r="I46" s="89">
        <v>0.59411534902546737</v>
      </c>
    </row>
    <row r="47" spans="2:9" ht="15.75">
      <c r="B47" s="75" t="s">
        <v>343</v>
      </c>
      <c r="C47" s="86">
        <v>319</v>
      </c>
      <c r="D47" s="88">
        <v>0.91223282729616029</v>
      </c>
      <c r="E47" s="87">
        <v>0.23457845933646276</v>
      </c>
      <c r="F47" s="87">
        <v>0.16030357402180526</v>
      </c>
      <c r="G47" s="88">
        <v>0.76211538300069526</v>
      </c>
      <c r="H47" s="87">
        <v>0.12089021650764384</v>
      </c>
      <c r="I47" s="89">
        <v>0.86691718976566468</v>
      </c>
    </row>
    <row r="48" spans="2:9" ht="15.75">
      <c r="B48" s="75" t="s">
        <v>344</v>
      </c>
      <c r="C48" s="86">
        <v>448</v>
      </c>
      <c r="D48" s="88">
        <v>0.87333913968253973</v>
      </c>
      <c r="E48" s="87">
        <v>0.16055884012241531</v>
      </c>
      <c r="F48" s="87">
        <v>8.8299795713018062E-2</v>
      </c>
      <c r="G48" s="88">
        <v>0.76182241152230168</v>
      </c>
      <c r="H48" s="87">
        <v>5.6694931322194553E-2</v>
      </c>
      <c r="I48" s="89">
        <v>0.80760979328789029</v>
      </c>
    </row>
    <row r="49" spans="2:9" ht="15.75">
      <c r="B49" s="75" t="s">
        <v>345</v>
      </c>
      <c r="C49" s="86">
        <v>170</v>
      </c>
      <c r="D49" s="88">
        <v>0.77977462157809962</v>
      </c>
      <c r="E49" s="87">
        <v>0.7584168727834445</v>
      </c>
      <c r="F49" s="87">
        <v>0.16647691757996058</v>
      </c>
      <c r="G49" s="88">
        <v>0.47775683243910599</v>
      </c>
      <c r="H49" s="87">
        <v>2.2404449208798777E-2</v>
      </c>
      <c r="I49" s="89">
        <v>0.48870602167986671</v>
      </c>
    </row>
    <row r="50" spans="2:9" ht="15.75">
      <c r="B50" s="75" t="s">
        <v>346</v>
      </c>
      <c r="C50" s="86">
        <v>159</v>
      </c>
      <c r="D50" s="88">
        <v>0.87348195928753258</v>
      </c>
      <c r="E50" s="87">
        <v>0.15027634398036105</v>
      </c>
      <c r="F50" s="87">
        <v>0.1266300885085907</v>
      </c>
      <c r="G50" s="88">
        <v>0.77214090729975038</v>
      </c>
      <c r="H50" s="87">
        <v>4.6603948419650806E-2</v>
      </c>
      <c r="I50" s="89">
        <v>0.80988473365276648</v>
      </c>
    </row>
    <row r="51" spans="2:9" ht="15.75">
      <c r="B51" s="75" t="s">
        <v>347</v>
      </c>
      <c r="C51" s="86">
        <v>322</v>
      </c>
      <c r="D51" s="88">
        <v>0.81761849894610061</v>
      </c>
      <c r="E51" s="87">
        <v>0.30649486679393018</v>
      </c>
      <c r="F51" s="87">
        <v>0.17260847899456566</v>
      </c>
      <c r="G51" s="88">
        <v>0.65222096622494519</v>
      </c>
      <c r="H51" s="87">
        <v>7.0474004237179047E-2</v>
      </c>
      <c r="I51" s="89">
        <v>0.70167049571292117</v>
      </c>
    </row>
    <row r="52" spans="2:9" ht="15.75">
      <c r="B52" s="75" t="s">
        <v>348</v>
      </c>
      <c r="C52" s="86">
        <v>278</v>
      </c>
      <c r="D52" s="88">
        <v>1.1116506944444446</v>
      </c>
      <c r="E52" s="87">
        <v>0.15716035023007868</v>
      </c>
      <c r="F52" s="87">
        <v>7.8777100224145552E-2</v>
      </c>
      <c r="G52" s="88">
        <v>0.97106079123203459</v>
      </c>
      <c r="H52" s="87">
        <v>5.1413665122680682E-2</v>
      </c>
      <c r="I52" s="89">
        <v>1.0236925786598241</v>
      </c>
    </row>
    <row r="53" spans="2:9" ht="15.75">
      <c r="B53" s="75" t="s">
        <v>349</v>
      </c>
      <c r="C53" s="86">
        <v>335</v>
      </c>
      <c r="D53" s="88">
        <v>1.2859189488784557</v>
      </c>
      <c r="E53" s="87">
        <v>0.58477733047671088</v>
      </c>
      <c r="F53" s="87">
        <v>0.17110730148906728</v>
      </c>
      <c r="G53" s="88">
        <v>0.86610335686509432</v>
      </c>
      <c r="H53" s="87">
        <v>8.9579488229529242E-2</v>
      </c>
      <c r="I53" s="89">
        <v>0.9513223237697116</v>
      </c>
    </row>
    <row r="54" spans="2:9" ht="15.75">
      <c r="B54" s="75" t="s">
        <v>350</v>
      </c>
      <c r="C54" s="86">
        <v>164</v>
      </c>
      <c r="D54" s="88">
        <v>1.3571448009950249</v>
      </c>
      <c r="E54" s="87">
        <v>0.55579661789440382</v>
      </c>
      <c r="F54" s="87">
        <v>0.16647868463438092</v>
      </c>
      <c r="G54" s="88">
        <v>0.92747500578280462</v>
      </c>
      <c r="H54" s="87">
        <v>0.10566313375966115</v>
      </c>
      <c r="I54" s="89">
        <v>1.0370533082033995</v>
      </c>
    </row>
    <row r="55" spans="2:9" ht="15.75">
      <c r="B55" s="75" t="s">
        <v>351</v>
      </c>
      <c r="C55" s="86">
        <v>648</v>
      </c>
      <c r="D55" s="88">
        <v>0.90049850477430526</v>
      </c>
      <c r="E55" s="87">
        <v>0.34466059382172054</v>
      </c>
      <c r="F55" s="87">
        <v>0.1236296018449022</v>
      </c>
      <c r="G55" s="88">
        <v>0.69160037507043437</v>
      </c>
      <c r="H55" s="87">
        <v>6.6482435080177801E-2</v>
      </c>
      <c r="I55" s="89">
        <v>0.74085416392763259</v>
      </c>
    </row>
    <row r="56" spans="2:9" ht="15.75">
      <c r="B56" s="75" t="s">
        <v>352</v>
      </c>
      <c r="C56" s="86">
        <v>458</v>
      </c>
      <c r="D56" s="88">
        <v>0.82313159512937673</v>
      </c>
      <c r="E56" s="87">
        <v>0.14117893498138886</v>
      </c>
      <c r="F56" s="87">
        <v>0.14132844644344861</v>
      </c>
      <c r="G56" s="88">
        <v>0.73413508862485921</v>
      </c>
      <c r="H56" s="87">
        <v>3.9848583470196618E-2</v>
      </c>
      <c r="I56" s="89">
        <v>0.7646034531492788</v>
      </c>
    </row>
    <row r="57" spans="2:9" ht="15.75">
      <c r="B57" s="75" t="s">
        <v>353</v>
      </c>
      <c r="C57" s="86">
        <v>177</v>
      </c>
      <c r="D57" s="88">
        <v>0.82867465644955307</v>
      </c>
      <c r="E57" s="87">
        <v>0.11069276818168076</v>
      </c>
      <c r="F57" s="87">
        <v>0.17567885283636564</v>
      </c>
      <c r="G57" s="88">
        <v>0.75938364086148691</v>
      </c>
      <c r="H57" s="87">
        <v>4.1783608954677351E-2</v>
      </c>
      <c r="I57" s="89">
        <v>0.79249702672386124</v>
      </c>
    </row>
    <row r="58" spans="2:9" ht="15.75">
      <c r="B58" s="75" t="s">
        <v>354</v>
      </c>
      <c r="C58" s="86">
        <v>235</v>
      </c>
      <c r="D58" s="88">
        <v>0.74391137415824926</v>
      </c>
      <c r="E58" s="87">
        <v>0.40999713363088508</v>
      </c>
      <c r="F58" s="87">
        <v>0.13953359912365873</v>
      </c>
      <c r="G58" s="88">
        <v>0.54990948866866851</v>
      </c>
      <c r="H58" s="87">
        <v>0.17244118707707007</v>
      </c>
      <c r="I58" s="89">
        <v>0.66449596098964059</v>
      </c>
    </row>
    <row r="59" spans="2:9" ht="15.75">
      <c r="B59" s="75" t="s">
        <v>355</v>
      </c>
      <c r="C59" s="86">
        <v>121</v>
      </c>
      <c r="D59" s="88">
        <v>1.2076175666666662</v>
      </c>
      <c r="E59" s="87">
        <v>0.517292011045689</v>
      </c>
      <c r="F59" s="87">
        <v>0.1880117198172882</v>
      </c>
      <c r="G59" s="88">
        <v>0.8504139150124792</v>
      </c>
      <c r="H59" s="87">
        <v>0.19204492514280844</v>
      </c>
      <c r="I59" s="89">
        <v>1.0525509913565336</v>
      </c>
    </row>
    <row r="60" spans="2:9" ht="15.75">
      <c r="B60" s="75" t="s">
        <v>356</v>
      </c>
      <c r="C60" s="86">
        <v>219</v>
      </c>
      <c r="D60" s="88">
        <v>0.72489969063180815</v>
      </c>
      <c r="E60" s="87">
        <v>0.32796610512304381</v>
      </c>
      <c r="F60" s="87">
        <v>0.15063460447970425</v>
      </c>
      <c r="G60" s="88">
        <v>0.56696436255120353</v>
      </c>
      <c r="H60" s="87">
        <v>0.10150392635757913</v>
      </c>
      <c r="I60" s="89">
        <v>0.63101484712424161</v>
      </c>
    </row>
    <row r="61" spans="2:9" ht="15.75">
      <c r="B61" s="75" t="s">
        <v>357</v>
      </c>
      <c r="C61" s="86">
        <v>706</v>
      </c>
      <c r="D61" s="88">
        <v>1.0923440881983673</v>
      </c>
      <c r="E61" s="87">
        <v>3.9558191584375166E-2</v>
      </c>
      <c r="F61" s="87">
        <v>8.6521499643040053E-2</v>
      </c>
      <c r="G61" s="88">
        <v>1.0542482402662501</v>
      </c>
      <c r="H61" s="87">
        <v>4.5492717497919895E-2</v>
      </c>
      <c r="I61" s="89">
        <v>1.104494705899693</v>
      </c>
    </row>
    <row r="62" spans="2:9" ht="15.75">
      <c r="B62" s="75" t="s">
        <v>358</v>
      </c>
      <c r="C62" s="86">
        <v>433</v>
      </c>
      <c r="D62" s="88">
        <v>0.89021634538152616</v>
      </c>
      <c r="E62" s="87">
        <v>0.85616168356094557</v>
      </c>
      <c r="F62" s="87">
        <v>6.9551146598912497E-2</v>
      </c>
      <c r="G62" s="88">
        <v>0.49549653956930323</v>
      </c>
      <c r="H62" s="87">
        <v>0.14938382935441508</v>
      </c>
      <c r="I62" s="89">
        <v>0.58251483650168612</v>
      </c>
    </row>
    <row r="63" spans="2:9" ht="15.75">
      <c r="B63" s="75" t="s">
        <v>359</v>
      </c>
      <c r="C63" s="86">
        <v>1270</v>
      </c>
      <c r="D63" s="88">
        <v>1.081573211553946</v>
      </c>
      <c r="E63" s="87">
        <v>0.21446922806989421</v>
      </c>
      <c r="F63" s="87">
        <v>0.1744696306210943</v>
      </c>
      <c r="G63" s="88">
        <v>0.91888400690833894</v>
      </c>
      <c r="H63" s="87">
        <v>9.3794060863525264E-2</v>
      </c>
      <c r="I63" s="89">
        <v>1.0139902722155465</v>
      </c>
    </row>
    <row r="64" spans="2:9" ht="15.75">
      <c r="B64" s="75" t="s">
        <v>360</v>
      </c>
      <c r="C64" s="86">
        <v>1691</v>
      </c>
      <c r="D64" s="88">
        <v>1.3189801382682922</v>
      </c>
      <c r="E64" s="87">
        <v>0.38743313302663407</v>
      </c>
      <c r="F64" s="87">
        <v>3.5783644539461257E-2</v>
      </c>
      <c r="G64" s="88">
        <v>0.96025739457107062</v>
      </c>
      <c r="H64" s="87">
        <v>6.6745782938092593E-2</v>
      </c>
      <c r="I64" s="89">
        <v>1.028934428599932</v>
      </c>
    </row>
    <row r="65" spans="2:9" ht="15.75">
      <c r="B65" s="75" t="s">
        <v>361</v>
      </c>
      <c r="C65" s="86">
        <v>161</v>
      </c>
      <c r="D65" s="88">
        <v>0.7434930707573244</v>
      </c>
      <c r="E65" s="87">
        <v>0.38621690846848189</v>
      </c>
      <c r="F65" s="87">
        <v>0.17655794334866767</v>
      </c>
      <c r="G65" s="88">
        <v>0.56409537309588875</v>
      </c>
      <c r="H65" s="87">
        <v>8.932422860502752E-2</v>
      </c>
      <c r="I65" s="89">
        <v>0.61942503667557547</v>
      </c>
    </row>
    <row r="66" spans="2:9" ht="15.75">
      <c r="B66" s="75" t="s">
        <v>362</v>
      </c>
      <c r="C66" s="86">
        <v>53</v>
      </c>
      <c r="D66" s="88">
        <v>1.1943380929866034</v>
      </c>
      <c r="E66" s="87">
        <v>0.30511782851767144</v>
      </c>
      <c r="F66" s="87">
        <v>0.245276983648967</v>
      </c>
      <c r="G66" s="88">
        <v>0.97078602348708221</v>
      </c>
      <c r="H66" s="87">
        <v>6.4806512260921781E-2</v>
      </c>
      <c r="I66" s="89">
        <v>1.0380590072692364</v>
      </c>
    </row>
    <row r="67" spans="2:9" ht="15.75">
      <c r="B67" s="75" t="s">
        <v>363</v>
      </c>
      <c r="C67" s="86">
        <v>1172</v>
      </c>
      <c r="D67" s="88">
        <v>1.2952984870645605</v>
      </c>
      <c r="E67" s="87">
        <v>0.87130061808255799</v>
      </c>
      <c r="F67" s="87">
        <v>6.9278809060392424E-2</v>
      </c>
      <c r="G67" s="88">
        <v>0.71526387076441234</v>
      </c>
      <c r="H67" s="87">
        <v>3.2025118396669376E-2</v>
      </c>
      <c r="I67" s="89">
        <v>0.73892813166770011</v>
      </c>
    </row>
    <row r="68" spans="2:9" ht="15.75">
      <c r="B68" s="75" t="s">
        <v>364</v>
      </c>
      <c r="C68" s="86">
        <v>199</v>
      </c>
      <c r="D68" s="88">
        <v>1.0866569483255717</v>
      </c>
      <c r="E68" s="87">
        <v>0.56537783229191518</v>
      </c>
      <c r="F68" s="87">
        <v>9.627054252372852E-2</v>
      </c>
      <c r="G68" s="88">
        <v>0.71918855951922112</v>
      </c>
      <c r="H68" s="87">
        <v>1.7340585684454849E-2</v>
      </c>
      <c r="I68" s="89">
        <v>0.73187978361776529</v>
      </c>
    </row>
    <row r="69" spans="2:9" ht="15.75">
      <c r="B69" s="75" t="s">
        <v>365</v>
      </c>
      <c r="C69" s="86">
        <v>593</v>
      </c>
      <c r="D69" s="88">
        <v>1.1394243484224964</v>
      </c>
      <c r="E69" s="87">
        <v>0.37388853799526106</v>
      </c>
      <c r="F69" s="87">
        <v>0.13975990294352561</v>
      </c>
      <c r="G69" s="88">
        <v>0.86213310500961415</v>
      </c>
      <c r="H69" s="87">
        <v>6.2941480901026664E-2</v>
      </c>
      <c r="I69" s="89">
        <v>0.92004190500140426</v>
      </c>
    </row>
    <row r="70" spans="2:9" ht="15.75">
      <c r="B70" s="75" t="s">
        <v>366</v>
      </c>
      <c r="C70" s="86">
        <v>398</v>
      </c>
      <c r="D70" s="88">
        <v>0.83931040356883468</v>
      </c>
      <c r="E70" s="87">
        <v>0.46625437528343228</v>
      </c>
      <c r="F70" s="87">
        <v>0.17719799807119052</v>
      </c>
      <c r="G70" s="88">
        <v>0.60659811533659558</v>
      </c>
      <c r="H70" s="87">
        <v>5.7688838351752911E-2</v>
      </c>
      <c r="I70" s="89">
        <v>0.64373440539063786</v>
      </c>
    </row>
    <row r="71" spans="2:9" ht="15.75">
      <c r="B71" s="75" t="s">
        <v>367</v>
      </c>
      <c r="C71" s="86">
        <v>303</v>
      </c>
      <c r="D71" s="88">
        <v>0.97157607630186626</v>
      </c>
      <c r="E71" s="87">
        <v>0.78760943117119853</v>
      </c>
      <c r="F71" s="87">
        <v>0.12533792551350489</v>
      </c>
      <c r="G71" s="88">
        <v>0.57527421491520336</v>
      </c>
      <c r="H71" s="87">
        <v>6.6353680322464137E-2</v>
      </c>
      <c r="I71" s="89">
        <v>0.61615860609175044</v>
      </c>
    </row>
    <row r="72" spans="2:9" ht="15.75">
      <c r="B72" s="75" t="s">
        <v>368</v>
      </c>
      <c r="C72" s="86">
        <v>820</v>
      </c>
      <c r="D72" s="88">
        <v>0.88125535158346713</v>
      </c>
      <c r="E72" s="87">
        <v>0.12885849367494345</v>
      </c>
      <c r="F72" s="87">
        <v>0.13535210029568023</v>
      </c>
      <c r="G72" s="88">
        <v>0.79291136670827833</v>
      </c>
      <c r="H72" s="87">
        <v>4.5080227313289097E-2</v>
      </c>
      <c r="I72" s="89">
        <v>0.83034343762448815</v>
      </c>
    </row>
    <row r="73" spans="2:9" ht="15.75">
      <c r="B73" s="75" t="s">
        <v>369</v>
      </c>
      <c r="C73" s="86">
        <v>743</v>
      </c>
      <c r="D73" s="88">
        <v>0.87612139458228422</v>
      </c>
      <c r="E73" s="87">
        <v>1.0176039996385986</v>
      </c>
      <c r="F73" s="87">
        <v>0.14720948877292064</v>
      </c>
      <c r="G73" s="88">
        <v>0.4690651948455864</v>
      </c>
      <c r="H73" s="87">
        <v>5.055356775644599E-2</v>
      </c>
      <c r="I73" s="89">
        <v>0.49404071563803698</v>
      </c>
    </row>
    <row r="74" spans="2:9" ht="15.75">
      <c r="B74" s="75" t="s">
        <v>370</v>
      </c>
      <c r="C74" s="86">
        <v>1181</v>
      </c>
      <c r="D74" s="88">
        <v>1.3797718762999458</v>
      </c>
      <c r="E74" s="87">
        <v>0.30996676610388729</v>
      </c>
      <c r="F74" s="87">
        <v>2.1632441000855897E-2</v>
      </c>
      <c r="G74" s="88">
        <v>1.0587069073888149</v>
      </c>
      <c r="H74" s="87">
        <v>8.1776734987020747E-2</v>
      </c>
      <c r="I74" s="89">
        <v>1.1529950805307136</v>
      </c>
    </row>
    <row r="75" spans="2:9" ht="15.75">
      <c r="B75" s="75" t="s">
        <v>371</v>
      </c>
      <c r="C75" s="86">
        <v>390</v>
      </c>
      <c r="D75" s="88">
        <v>0.9148893096117261</v>
      </c>
      <c r="E75" s="87">
        <v>0.33158831385213805</v>
      </c>
      <c r="F75" s="87">
        <v>0.15187668400408438</v>
      </c>
      <c r="G75" s="88">
        <v>0.7140723325596402</v>
      </c>
      <c r="H75" s="87">
        <v>7.4047730753167382E-2</v>
      </c>
      <c r="I75" s="89">
        <v>0.77117617859553922</v>
      </c>
    </row>
    <row r="76" spans="2:9" ht="15.75">
      <c r="B76" s="75" t="s">
        <v>372</v>
      </c>
      <c r="C76" s="86">
        <v>49</v>
      </c>
      <c r="D76" s="88">
        <v>0.79208984468339316</v>
      </c>
      <c r="E76" s="87">
        <v>5.5145756719663481</v>
      </c>
      <c r="F76" s="87">
        <v>2.324098945401842E-2</v>
      </c>
      <c r="G76" s="88">
        <v>0.12402737398687926</v>
      </c>
      <c r="H76" s="87">
        <v>2.4025493580279004E-2</v>
      </c>
      <c r="I76" s="89">
        <v>0.12708054684938758</v>
      </c>
    </row>
    <row r="77" spans="2:9" ht="15.75">
      <c r="B77" s="75" t="s">
        <v>373</v>
      </c>
      <c r="C77" s="110">
        <v>54</v>
      </c>
      <c r="D77" s="111">
        <v>0.76482771604938271</v>
      </c>
      <c r="E77" s="112">
        <v>0.47734439909677184</v>
      </c>
      <c r="F77" s="112">
        <v>0.25535568938453168</v>
      </c>
      <c r="G77" s="111">
        <v>0.56426036037023397</v>
      </c>
      <c r="H77" s="112">
        <v>2.316314683949993E-2</v>
      </c>
      <c r="I77" s="89">
        <v>0.57764032811067856</v>
      </c>
    </row>
    <row r="78" spans="2:9" ht="15.75">
      <c r="B78" s="75" t="s">
        <v>403</v>
      </c>
      <c r="C78" s="86">
        <v>422</v>
      </c>
      <c r="D78" s="88">
        <v>1.0648345780206439</v>
      </c>
      <c r="E78" s="87">
        <v>0.77674509647035173</v>
      </c>
      <c r="F78" s="87">
        <v>0.13987918304678143</v>
      </c>
      <c r="G78" s="88">
        <v>0.63835382047461942</v>
      </c>
      <c r="H78" s="87">
        <v>8.9139856537707798E-2</v>
      </c>
      <c r="I78" s="89">
        <v>0.7008252859194799</v>
      </c>
    </row>
    <row r="79" spans="2:9" ht="15.75">
      <c r="B79" s="75" t="s">
        <v>374</v>
      </c>
      <c r="C79" s="86">
        <v>647</v>
      </c>
      <c r="D79" s="88">
        <v>1.1316605092592591</v>
      </c>
      <c r="E79" s="87">
        <v>3.5207606236623077</v>
      </c>
      <c r="F79" s="87">
        <v>0.17320133868552295</v>
      </c>
      <c r="G79" s="88">
        <v>0.28935618363207771</v>
      </c>
      <c r="H79" s="87">
        <v>6.7414936938275244E-2</v>
      </c>
      <c r="I79" s="89">
        <v>0.31027323414564079</v>
      </c>
    </row>
    <row r="80" spans="2:9" ht="15.75">
      <c r="B80" s="75" t="s">
        <v>376</v>
      </c>
      <c r="C80" s="86">
        <v>481</v>
      </c>
      <c r="D80" s="88">
        <v>0.88970853971137254</v>
      </c>
      <c r="E80" s="87">
        <v>0.78732425422519325</v>
      </c>
      <c r="F80" s="87">
        <v>0.12904530471734396</v>
      </c>
      <c r="G80" s="88">
        <v>0.52779023643878564</v>
      </c>
      <c r="H80" s="87">
        <v>4.3721682427848615E-2</v>
      </c>
      <c r="I80" s="89">
        <v>0.55192115803562991</v>
      </c>
    </row>
    <row r="81" spans="2:9" ht="15.75">
      <c r="B81" s="75" t="s">
        <v>377</v>
      </c>
      <c r="C81" s="86">
        <v>286</v>
      </c>
      <c r="D81" s="88">
        <v>0.96192330207845034</v>
      </c>
      <c r="E81" s="87">
        <v>0.27879216075579871</v>
      </c>
      <c r="F81" s="87">
        <v>0.17482960275799214</v>
      </c>
      <c r="G81" s="88">
        <v>0.78201901574111132</v>
      </c>
      <c r="H81" s="87">
        <v>8.9117781017131262E-2</v>
      </c>
      <c r="I81" s="89">
        <v>0.85852923621052601</v>
      </c>
    </row>
    <row r="82" spans="2:9" ht="15.75">
      <c r="B82" s="75" t="s">
        <v>378</v>
      </c>
      <c r="C82" s="86">
        <v>37</v>
      </c>
      <c r="D82" s="88">
        <v>0.98909433221099874</v>
      </c>
      <c r="E82" s="87">
        <v>0.34266817479378492</v>
      </c>
      <c r="F82" s="87">
        <v>0.10811050027988169</v>
      </c>
      <c r="G82" s="88">
        <v>0.75756552881219796</v>
      </c>
      <c r="H82" s="87">
        <v>0.14436295137255289</v>
      </c>
      <c r="I82" s="89">
        <v>0.88538186843058209</v>
      </c>
    </row>
    <row r="83" spans="2:9" ht="15.75">
      <c r="B83" s="75" t="s">
        <v>379</v>
      </c>
      <c r="C83" s="86">
        <v>304</v>
      </c>
      <c r="D83" s="88">
        <v>0.76494614074073997</v>
      </c>
      <c r="E83" s="87">
        <v>0.30254178006954008</v>
      </c>
      <c r="F83" s="87">
        <v>0.2105406359304538</v>
      </c>
      <c r="G83" s="88">
        <v>0.6174674682635406</v>
      </c>
      <c r="H83" s="87">
        <v>3.8257194778849965E-2</v>
      </c>
      <c r="I83" s="89">
        <v>0.64202972448705309</v>
      </c>
    </row>
    <row r="84" spans="2:9" ht="15.75">
      <c r="B84" s="75" t="s">
        <v>380</v>
      </c>
      <c r="C84" s="86">
        <v>148</v>
      </c>
      <c r="D84" s="88">
        <v>0.89078855333966445</v>
      </c>
      <c r="E84" s="87">
        <v>0.58654962587688597</v>
      </c>
      <c r="F84" s="87">
        <v>0.18786907627396879</v>
      </c>
      <c r="G84" s="88">
        <v>0.60337012395622469</v>
      </c>
      <c r="H84" s="87">
        <v>5.9204386585956933E-2</v>
      </c>
      <c r="I84" s="89">
        <v>0.64134028194143189</v>
      </c>
    </row>
    <row r="85" spans="2:9" ht="15.75">
      <c r="B85" s="75" t="s">
        <v>381</v>
      </c>
      <c r="C85" s="86">
        <v>50</v>
      </c>
      <c r="D85" s="88">
        <v>0.86649568724279835</v>
      </c>
      <c r="E85" s="87">
        <v>0.29982125234168644</v>
      </c>
      <c r="F85" s="87">
        <v>0.26049548288555874</v>
      </c>
      <c r="G85" s="88">
        <v>0.70924293259250459</v>
      </c>
      <c r="H85" s="87">
        <v>3.7423596773388912E-2</v>
      </c>
      <c r="I85" s="89">
        <v>0.73681728558385784</v>
      </c>
    </row>
    <row r="86" spans="2:9" ht="15.75">
      <c r="B86" s="75" t="s">
        <v>382</v>
      </c>
      <c r="C86" s="86">
        <v>848</v>
      </c>
      <c r="D86" s="88">
        <v>0.88007642161339394</v>
      </c>
      <c r="E86" s="87">
        <v>0.8993586656383028</v>
      </c>
      <c r="F86" s="87">
        <v>0.19038032111788072</v>
      </c>
      <c r="G86" s="88">
        <v>0.50926267473155173</v>
      </c>
      <c r="H86" s="87">
        <v>0.1055272093682324</v>
      </c>
      <c r="I86" s="89">
        <v>0.56934395329326759</v>
      </c>
    </row>
    <row r="87" spans="2:9" ht="15.75">
      <c r="B87" s="75" t="s">
        <v>383</v>
      </c>
      <c r="C87" s="86">
        <v>229</v>
      </c>
      <c r="D87" s="88">
        <v>0.92863585395822323</v>
      </c>
      <c r="E87" s="87">
        <v>0.45477007779616641</v>
      </c>
      <c r="F87" s="87">
        <v>0.2362507394734156</v>
      </c>
      <c r="G87" s="88">
        <v>0.68924141810960615</v>
      </c>
      <c r="H87" s="87">
        <v>5.7358531597660953E-2</v>
      </c>
      <c r="I87" s="89">
        <v>0.73118087970157442</v>
      </c>
    </row>
    <row r="88" spans="2:9" ht="15.75">
      <c r="B88" s="75" t="s">
        <v>384</v>
      </c>
      <c r="C88" s="86">
        <v>174</v>
      </c>
      <c r="D88" s="88">
        <v>0.68980583751493407</v>
      </c>
      <c r="E88" s="87">
        <v>0.55808631940609665</v>
      </c>
      <c r="F88" s="87">
        <v>0.26174195567086844</v>
      </c>
      <c r="G88" s="88">
        <v>0.48852699330901839</v>
      </c>
      <c r="H88" s="87">
        <v>7.1886725858083367E-2</v>
      </c>
      <c r="I88" s="89">
        <v>0.52636570009267891</v>
      </c>
    </row>
    <row r="89" spans="2:9" ht="15.75">
      <c r="B89" s="75" t="s">
        <v>385</v>
      </c>
      <c r="C89" s="86">
        <v>118</v>
      </c>
      <c r="D89" s="88">
        <v>1.2388115947712419</v>
      </c>
      <c r="E89" s="87">
        <v>6.1362545796380924E-2</v>
      </c>
      <c r="F89" s="87">
        <v>0.13545408841139908</v>
      </c>
      <c r="G89" s="88">
        <v>1.1764025701313543</v>
      </c>
      <c r="H89" s="87">
        <v>3.8173108434902084E-2</v>
      </c>
      <c r="I89" s="89">
        <v>1.2230917854844918</v>
      </c>
    </row>
    <row r="90" spans="2:9" ht="15.75">
      <c r="B90" s="75" t="s">
        <v>386</v>
      </c>
      <c r="C90" s="86">
        <v>543</v>
      </c>
      <c r="D90" s="88">
        <v>0.93441346160012795</v>
      </c>
      <c r="E90" s="87">
        <v>0.29068615795413238</v>
      </c>
      <c r="F90" s="87">
        <v>0.20752151046829553</v>
      </c>
      <c r="G90" s="88">
        <v>0.75946189907737061</v>
      </c>
      <c r="H90" s="87">
        <v>4.9431421131782227E-2</v>
      </c>
      <c r="I90" s="89">
        <v>0.79895539991613662</v>
      </c>
    </row>
    <row r="91" spans="2:9" ht="15.75">
      <c r="B91" s="75" t="s">
        <v>387</v>
      </c>
      <c r="C91" s="86">
        <v>93</v>
      </c>
      <c r="D91" s="88">
        <v>1.1457244673068125</v>
      </c>
      <c r="E91" s="87">
        <v>0.40191417259431145</v>
      </c>
      <c r="F91" s="87">
        <v>0.20063874826124747</v>
      </c>
      <c r="G91" s="88">
        <v>0.86713575917446117</v>
      </c>
      <c r="H91" s="87">
        <v>6.894295893763451E-2</v>
      </c>
      <c r="I91" s="89">
        <v>0.93134547179304061</v>
      </c>
    </row>
    <row r="92" spans="2:9" ht="15.75">
      <c r="B92" s="75" t="s">
        <v>388</v>
      </c>
      <c r="C92" s="86">
        <v>559</v>
      </c>
      <c r="D92" s="88">
        <v>1.3741487970196742</v>
      </c>
      <c r="E92" s="87">
        <v>0.1361937912968598</v>
      </c>
      <c r="F92" s="87">
        <v>9.0384662144846181E-2</v>
      </c>
      <c r="G92" s="88">
        <v>1.2226785363187247</v>
      </c>
      <c r="H92" s="87">
        <v>8.690434756987464E-2</v>
      </c>
      <c r="I92" s="89">
        <v>1.3390475938251061</v>
      </c>
    </row>
    <row r="93" spans="2:9" ht="15.75">
      <c r="B93" s="75" t="s">
        <v>389</v>
      </c>
      <c r="C93" s="86">
        <v>263</v>
      </c>
      <c r="D93" s="88">
        <v>1.2955024789915972</v>
      </c>
      <c r="E93" s="87">
        <v>0.18752219812575094</v>
      </c>
      <c r="F93" s="87">
        <v>9.6145326025275354E-2</v>
      </c>
      <c r="G93" s="88">
        <v>1.1077472748002208</v>
      </c>
      <c r="H93" s="87">
        <v>0.1006959637116068</v>
      </c>
      <c r="I93" s="89">
        <v>1.2317828343928205</v>
      </c>
    </row>
    <row r="94" spans="2:9" ht="15.75">
      <c r="B94" s="75" t="s">
        <v>390</v>
      </c>
      <c r="C94" s="86">
        <v>356</v>
      </c>
      <c r="D94" s="88">
        <v>1.0616704081384014</v>
      </c>
      <c r="E94" s="87">
        <v>0.94619342705120513</v>
      </c>
      <c r="F94" s="87">
        <v>0.12579059138456461</v>
      </c>
      <c r="G94" s="88">
        <v>0.58104594155670286</v>
      </c>
      <c r="H94" s="87">
        <v>9.0829084527603215E-2</v>
      </c>
      <c r="I94" s="89">
        <v>0.63909429092856185</v>
      </c>
    </row>
    <row r="95" spans="2:9" ht="15.75">
      <c r="B95" s="75" t="s">
        <v>391</v>
      </c>
      <c r="C95" s="86">
        <v>92</v>
      </c>
      <c r="D95" s="88">
        <v>0.91579728997290033</v>
      </c>
      <c r="E95" s="87">
        <v>0.11172269121090059</v>
      </c>
      <c r="F95" s="87">
        <v>0.20408108790113755</v>
      </c>
      <c r="G95" s="88">
        <v>0.84101259720844701</v>
      </c>
      <c r="H95" s="87">
        <v>6.2034533332647607E-2</v>
      </c>
      <c r="I95" s="89">
        <v>0.89663492643989895</v>
      </c>
    </row>
    <row r="96" spans="2:9" ht="15.75">
      <c r="B96" s="75" t="s">
        <v>392</v>
      </c>
      <c r="C96" s="86">
        <v>714</v>
      </c>
      <c r="D96" s="88">
        <v>1.2589455900621114</v>
      </c>
      <c r="E96" s="87">
        <v>0.88905388307024191</v>
      </c>
      <c r="F96" s="87">
        <v>0.12969447962939659</v>
      </c>
      <c r="G96" s="88">
        <v>0.70976555492459303</v>
      </c>
      <c r="H96" s="87">
        <v>9.189396542312632E-2</v>
      </c>
      <c r="I96" s="89">
        <v>0.78158885405414558</v>
      </c>
    </row>
    <row r="97" spans="1:9" ht="15.75">
      <c r="B97" s="75" t="s">
        <v>393</v>
      </c>
      <c r="C97" s="86">
        <v>116</v>
      </c>
      <c r="D97" s="88">
        <v>0.94973299415204682</v>
      </c>
      <c r="E97" s="87">
        <v>0.40714286758219753</v>
      </c>
      <c r="F97" s="87">
        <v>0.15354469238125118</v>
      </c>
      <c r="G97" s="88">
        <v>0.70631641150677249</v>
      </c>
      <c r="H97" s="87">
        <v>5.8071389879028351E-2</v>
      </c>
      <c r="I97" s="89">
        <v>0.74986193636910603</v>
      </c>
    </row>
    <row r="98" spans="1:9" ht="15.75">
      <c r="B98" s="75" t="s">
        <v>394</v>
      </c>
      <c r="C98" s="86">
        <v>525</v>
      </c>
      <c r="D98" s="88">
        <v>1.1540218678451173</v>
      </c>
      <c r="E98" s="87">
        <v>0.15031506012918744</v>
      </c>
      <c r="F98" s="87">
        <v>9.5583529491374719E-2</v>
      </c>
      <c r="G98" s="88">
        <v>1.0159113454037361</v>
      </c>
      <c r="H98" s="87">
        <v>0.10038851296881172</v>
      </c>
      <c r="I98" s="89">
        <v>1.1292778716691907</v>
      </c>
    </row>
    <row r="99" spans="1:9" ht="15.75">
      <c r="B99" s="75" t="s">
        <v>395</v>
      </c>
      <c r="C99" s="86">
        <v>317</v>
      </c>
      <c r="D99" s="88">
        <v>0.83511980613425951</v>
      </c>
      <c r="E99" s="87">
        <v>0.66594605689445552</v>
      </c>
      <c r="F99" s="87">
        <v>0.12920288511615416</v>
      </c>
      <c r="G99" s="88">
        <v>0.52858898790299202</v>
      </c>
      <c r="H99" s="87">
        <v>6.852783928567667E-2</v>
      </c>
      <c r="I99" s="89">
        <v>0.5674769576555353</v>
      </c>
    </row>
    <row r="100" spans="1:9" ht="15.75">
      <c r="B100" s="75" t="s">
        <v>396</v>
      </c>
      <c r="C100" s="110">
        <v>281</v>
      </c>
      <c r="D100" s="111">
        <v>0.59709721032959562</v>
      </c>
      <c r="E100" s="112">
        <v>37.374316855424127</v>
      </c>
      <c r="F100" s="112">
        <v>0.18731066499722901</v>
      </c>
      <c r="G100" s="111">
        <v>1.9031770066517531E-2</v>
      </c>
      <c r="H100" s="112">
        <v>2.0012823219176995E-2</v>
      </c>
      <c r="I100" s="89">
        <v>1.9420427651956961E-2</v>
      </c>
    </row>
    <row r="101" spans="1:9" ht="15.75">
      <c r="B101" s="75" t="s">
        <v>397</v>
      </c>
      <c r="C101" s="86">
        <v>53</v>
      </c>
      <c r="D101" s="88">
        <v>0.66942393298059966</v>
      </c>
      <c r="E101" s="87">
        <v>0.17470558101071715</v>
      </c>
      <c r="F101" s="87">
        <v>0.20515940899151788</v>
      </c>
      <c r="G101" s="88">
        <v>0.58780018464676553</v>
      </c>
      <c r="H101" s="87">
        <v>3.202531433402412E-2</v>
      </c>
      <c r="I101" s="89">
        <v>0.60724747594236239</v>
      </c>
    </row>
    <row r="102" spans="1:9" ht="15.75">
      <c r="B102" s="118" t="s">
        <v>402</v>
      </c>
      <c r="C102" s="119">
        <v>40906</v>
      </c>
      <c r="D102" s="120">
        <v>1.027557058297691</v>
      </c>
      <c r="E102" s="121">
        <v>0.84664264467969663</v>
      </c>
      <c r="F102" s="121">
        <v>0.13796982263061383</v>
      </c>
      <c r="G102" s="120">
        <v>0.59402147137188188</v>
      </c>
      <c r="H102" s="121">
        <v>9.56976060412639E-2</v>
      </c>
      <c r="I102" s="122">
        <v>0.6568836656192546</v>
      </c>
    </row>
    <row r="103" spans="1:9" ht="15.75">
      <c r="B103" s="75" t="s">
        <v>404</v>
      </c>
      <c r="C103" s="86">
        <v>228</v>
      </c>
      <c r="D103" s="88">
        <v>0.89455103590900586</v>
      </c>
      <c r="E103" s="87">
        <v>0.47229983273930443</v>
      </c>
      <c r="F103" s="87">
        <v>0.2049112132431824</v>
      </c>
      <c r="G103" s="88">
        <v>0.65033648377263364</v>
      </c>
      <c r="H103" s="87">
        <v>8.3120283010954338E-2</v>
      </c>
      <c r="I103" s="89">
        <v>0.70929312942845202</v>
      </c>
    </row>
    <row r="104" spans="1:9" ht="15.75">
      <c r="B104" s="75" t="s">
        <v>399</v>
      </c>
      <c r="C104" s="86">
        <v>191</v>
      </c>
      <c r="D104" s="88">
        <v>0.82055951042997088</v>
      </c>
      <c r="E104" s="87">
        <v>0.72280201065282035</v>
      </c>
      <c r="F104" s="87">
        <v>0.23297088369479688</v>
      </c>
      <c r="G104" s="88">
        <v>0.52789123297790508</v>
      </c>
      <c r="H104" s="87">
        <v>6.2276495121000128E-2</v>
      </c>
      <c r="I104" s="89">
        <v>0.5629497716877877</v>
      </c>
    </row>
    <row r="105" spans="1:9" ht="15.75">
      <c r="B105" s="75" t="s">
        <v>400</v>
      </c>
      <c r="C105" s="86">
        <v>55</v>
      </c>
      <c r="D105" s="88">
        <v>0.69718268861454036</v>
      </c>
      <c r="E105" s="87">
        <v>0.95185480507634257</v>
      </c>
      <c r="F105" s="87">
        <v>0.25180093375997875</v>
      </c>
      <c r="G105" s="88">
        <v>0.40719080968963778</v>
      </c>
      <c r="H105" s="87">
        <v>5.215253318428463E-2</v>
      </c>
      <c r="I105" s="89">
        <v>0.4295952924341207</v>
      </c>
    </row>
    <row r="106" spans="1:9" ht="15.75">
      <c r="B106" s="80" t="s">
        <v>401</v>
      </c>
      <c r="C106" s="81">
        <v>97</v>
      </c>
      <c r="D106" s="102">
        <v>0.83176213743864347</v>
      </c>
      <c r="E106" s="82">
        <v>0.52456954875501993</v>
      </c>
      <c r="F106" s="82">
        <v>0.15087984423491277</v>
      </c>
      <c r="G106" s="102">
        <v>0.5754456521598168</v>
      </c>
      <c r="H106" s="82">
        <v>5.52333149292474E-2</v>
      </c>
      <c r="I106" s="103">
        <v>0.60908757818521331</v>
      </c>
    </row>
    <row r="108" spans="1:9" ht="30" customHeight="1">
      <c r="A108" s="182" t="s">
        <v>420</v>
      </c>
      <c r="B108" s="182"/>
    </row>
    <row r="109" spans="1:9">
      <c r="B109" s="90" t="s">
        <v>304</v>
      </c>
      <c r="C109" s="91" t="s">
        <v>305</v>
      </c>
      <c r="D109" s="92" t="s">
        <v>425</v>
      </c>
      <c r="E109" s="91" t="s">
        <v>426</v>
      </c>
      <c r="F109" s="91" t="s">
        <v>427</v>
      </c>
      <c r="G109" s="91" t="s">
        <v>301</v>
      </c>
      <c r="H109" s="91" t="s">
        <v>428</v>
      </c>
      <c r="I109" s="93" t="s">
        <v>429</v>
      </c>
    </row>
    <row r="110" spans="1:9" ht="15.75">
      <c r="B110" s="75" t="s">
        <v>306</v>
      </c>
      <c r="C110" s="96">
        <v>65</v>
      </c>
      <c r="D110" s="97">
        <v>1.0291018518518518</v>
      </c>
      <c r="E110" s="98">
        <v>0.52565346530557577</v>
      </c>
      <c r="F110" s="98">
        <v>6.0351774007887118E-2</v>
      </c>
      <c r="G110" s="97">
        <v>0.68885577118916319</v>
      </c>
      <c r="H110" s="98">
        <v>5.9108677974181179E-2</v>
      </c>
      <c r="I110" s="89">
        <v>0.73213107089349949</v>
      </c>
    </row>
    <row r="111" spans="1:9" ht="15.75">
      <c r="B111" s="75" t="s">
        <v>307</v>
      </c>
      <c r="C111" s="96">
        <v>95</v>
      </c>
      <c r="D111" s="97">
        <v>1.007175175175175</v>
      </c>
      <c r="E111" s="98">
        <v>0.18985651956982819</v>
      </c>
      <c r="F111" s="98">
        <v>0.15029197733025265</v>
      </c>
      <c r="G111" s="97">
        <v>0.86726562316143851</v>
      </c>
      <c r="H111" s="98">
        <v>6.2383879124268252E-2</v>
      </c>
      <c r="I111" s="89">
        <v>0.92496876264394212</v>
      </c>
    </row>
    <row r="112" spans="1:9" ht="15.75">
      <c r="B112" s="75" t="s">
        <v>308</v>
      </c>
      <c r="C112" s="96">
        <v>25</v>
      </c>
      <c r="D112" s="97">
        <v>0.93801525054466228</v>
      </c>
      <c r="E112" s="98">
        <v>1.0948361367318522</v>
      </c>
      <c r="F112" s="98">
        <v>0.13793721275277337</v>
      </c>
      <c r="G112" s="97">
        <v>0.48256343745919938</v>
      </c>
      <c r="H112" s="98">
        <v>6.9161862337828547E-2</v>
      </c>
      <c r="I112" s="89">
        <v>0.51841820606015587</v>
      </c>
    </row>
    <row r="113" spans="2:9" ht="15.75">
      <c r="B113" s="75" t="s">
        <v>309</v>
      </c>
      <c r="C113" s="96">
        <v>70</v>
      </c>
      <c r="D113" s="97">
        <v>1.1451311369509047</v>
      </c>
      <c r="E113" s="98">
        <v>0.21328921799454356</v>
      </c>
      <c r="F113" s="98">
        <v>0.10286117181320455</v>
      </c>
      <c r="G113" s="97">
        <v>0.96120459929589663</v>
      </c>
      <c r="H113" s="98">
        <v>2.989245099932164E-2</v>
      </c>
      <c r="I113" s="89">
        <v>0.99082271886869377</v>
      </c>
    </row>
    <row r="114" spans="2:9" ht="15.75">
      <c r="B114" s="75" t="s">
        <v>310</v>
      </c>
      <c r="C114" s="96">
        <v>26</v>
      </c>
      <c r="D114" s="97">
        <v>1.2765993265993265</v>
      </c>
      <c r="E114" s="98">
        <v>0.97556839267876272</v>
      </c>
      <c r="F114" s="98">
        <v>4.7110910919464517E-2</v>
      </c>
      <c r="G114" s="97">
        <v>0.66158463843434268</v>
      </c>
      <c r="H114" s="98">
        <v>8.4765365479405635E-2</v>
      </c>
      <c r="I114" s="89">
        <v>0.72285795738148051</v>
      </c>
    </row>
    <row r="115" spans="2:9" ht="15.75">
      <c r="B115" s="75" t="s">
        <v>311</v>
      </c>
      <c r="C115" s="96">
        <v>75</v>
      </c>
      <c r="D115" s="97">
        <v>1.4611345822566757</v>
      </c>
      <c r="E115" s="98">
        <v>0.32000444891373808</v>
      </c>
      <c r="F115" s="98">
        <v>9.4259548599073859E-2</v>
      </c>
      <c r="G115" s="97">
        <v>1.1328021141356523</v>
      </c>
      <c r="H115" s="98">
        <v>8.0360528809193768E-2</v>
      </c>
      <c r="I115" s="89">
        <v>1.2317893583545625</v>
      </c>
    </row>
    <row r="116" spans="2:9" ht="15.75">
      <c r="B116" s="75" t="s">
        <v>312</v>
      </c>
      <c r="C116" s="96">
        <v>7</v>
      </c>
      <c r="D116" s="97">
        <v>0.71611666666666651</v>
      </c>
      <c r="E116" s="98">
        <v>0.84185953975104555</v>
      </c>
      <c r="F116" s="98">
        <v>0.2216595241201221</v>
      </c>
      <c r="G116" s="97">
        <v>0.43263266290486174</v>
      </c>
      <c r="H116" s="98">
        <v>0.10936902119510217</v>
      </c>
      <c r="I116" s="89">
        <v>0.48575972900178505</v>
      </c>
    </row>
    <row r="117" spans="2:9" ht="15.75">
      <c r="B117" s="75" t="s">
        <v>313</v>
      </c>
      <c r="C117" s="96">
        <v>721</v>
      </c>
      <c r="D117" s="97">
        <v>0.58315484158857667</v>
      </c>
      <c r="E117" s="98">
        <v>0.71997842636156306</v>
      </c>
      <c r="F117" s="98">
        <v>0.17998448436942854</v>
      </c>
      <c r="G117" s="97">
        <v>0.36667330992335684</v>
      </c>
      <c r="H117" s="98">
        <v>0.13799777316479844</v>
      </c>
      <c r="I117" s="89">
        <v>0.42537397063297588</v>
      </c>
    </row>
    <row r="118" spans="2:9" ht="15.75">
      <c r="B118" s="75" t="s">
        <v>314</v>
      </c>
      <c r="C118" s="96">
        <v>47</v>
      </c>
      <c r="D118" s="97">
        <v>1.4236312399355879</v>
      </c>
      <c r="E118" s="98">
        <v>0.22160132912391517</v>
      </c>
      <c r="F118" s="98">
        <v>3.9481239894195289E-2</v>
      </c>
      <c r="G118" s="97">
        <v>1.1737878697489936</v>
      </c>
      <c r="H118" s="98">
        <v>5.0590800896953128E-2</v>
      </c>
      <c r="I118" s="89">
        <v>1.2363350501110884</v>
      </c>
    </row>
    <row r="119" spans="2:9" ht="15.75">
      <c r="B119" s="75" t="s">
        <v>315</v>
      </c>
      <c r="C119" s="96">
        <v>19</v>
      </c>
      <c r="D119" s="97">
        <v>1.1390206552706554</v>
      </c>
      <c r="E119" s="98">
        <v>0.27557518135531661</v>
      </c>
      <c r="F119" s="98">
        <v>0.10721246655365128</v>
      </c>
      <c r="G119" s="97">
        <v>0.91411970518608032</v>
      </c>
      <c r="H119" s="98">
        <v>1.3817179323667477E-2</v>
      </c>
      <c r="I119" s="89">
        <v>0.92692722487212797</v>
      </c>
    </row>
    <row r="120" spans="2:9" ht="15.75">
      <c r="B120" s="75" t="s">
        <v>316</v>
      </c>
      <c r="C120" s="96">
        <v>349</v>
      </c>
      <c r="D120" s="97">
        <v>1.1152640632264064</v>
      </c>
      <c r="E120" s="98">
        <v>9.1541868325358267E-2</v>
      </c>
      <c r="F120" s="98">
        <v>1.1280487355268437E-2</v>
      </c>
      <c r="G120" s="97">
        <v>1.022700249640752</v>
      </c>
      <c r="H120" s="98">
        <v>4.3881849112430649E-2</v>
      </c>
      <c r="I120" s="89">
        <v>1.0696379403438521</v>
      </c>
    </row>
    <row r="121" spans="2:9" ht="15.75">
      <c r="B121" s="75" t="s">
        <v>317</v>
      </c>
      <c r="C121" s="96">
        <v>30</v>
      </c>
      <c r="D121" s="97">
        <v>1.5314122574955908</v>
      </c>
      <c r="E121" s="98">
        <v>0.48487540790867445</v>
      </c>
      <c r="F121" s="98">
        <v>0.13211592536997219</v>
      </c>
      <c r="G121" s="97">
        <v>1.0778402273399652</v>
      </c>
      <c r="H121" s="98">
        <v>2.3058714712708997E-2</v>
      </c>
      <c r="I121" s="89">
        <v>1.1032804566376808</v>
      </c>
    </row>
    <row r="122" spans="2:9" ht="15.75">
      <c r="B122" s="75" t="s">
        <v>318</v>
      </c>
      <c r="C122" s="96">
        <v>49</v>
      </c>
      <c r="D122" s="97">
        <v>1.1077835648148147</v>
      </c>
      <c r="E122" s="98">
        <v>4.0055810131005609</v>
      </c>
      <c r="F122" s="98">
        <v>0.13443974473216669</v>
      </c>
      <c r="G122" s="97">
        <v>0.24798875711232715</v>
      </c>
      <c r="H122" s="98">
        <v>0.24388577205352266</v>
      </c>
      <c r="I122" s="89">
        <v>0.3279779006220227</v>
      </c>
    </row>
    <row r="123" spans="2:9" ht="15.75">
      <c r="B123" s="75" t="s">
        <v>319</v>
      </c>
      <c r="C123" s="96">
        <v>37</v>
      </c>
      <c r="D123" s="97">
        <v>1.2715424648786715</v>
      </c>
      <c r="E123" s="98">
        <v>0.30052961843842618</v>
      </c>
      <c r="F123" s="98">
        <v>0.16326438561726256</v>
      </c>
      <c r="G123" s="97">
        <v>1.0160441152145641</v>
      </c>
      <c r="H123" s="98">
        <v>5.0430489006603491E-2</v>
      </c>
      <c r="I123" s="89">
        <v>1.0700049901050686</v>
      </c>
    </row>
    <row r="124" spans="2:9" ht="15.75">
      <c r="B124" s="75" t="s">
        <v>320</v>
      </c>
      <c r="C124" s="96">
        <v>179</v>
      </c>
      <c r="D124" s="97">
        <v>0.8977425246347267</v>
      </c>
      <c r="E124" s="98">
        <v>0.29230279947636095</v>
      </c>
      <c r="F124" s="98">
        <v>0.13410279740543729</v>
      </c>
      <c r="G124" s="97">
        <v>0.71641491709827132</v>
      </c>
      <c r="H124" s="98">
        <v>4.3306497740570701E-2</v>
      </c>
      <c r="I124" s="89">
        <v>0.74884476105075404</v>
      </c>
    </row>
    <row r="125" spans="2:9" ht="15.75">
      <c r="B125" s="75" t="s">
        <v>321</v>
      </c>
      <c r="C125" s="96">
        <v>16</v>
      </c>
      <c r="D125" s="97">
        <v>0.97484986772486781</v>
      </c>
      <c r="E125" s="98">
        <v>0.49227763989151596</v>
      </c>
      <c r="F125" s="98">
        <v>0.14997713298728857</v>
      </c>
      <c r="G125" s="97">
        <v>0.6872655061064914</v>
      </c>
      <c r="H125" s="98">
        <v>2.580807042587574E-2</v>
      </c>
      <c r="I125" s="89">
        <v>0.70547238715776983</v>
      </c>
    </row>
    <row r="126" spans="2:9" ht="15.75">
      <c r="B126" s="75" t="s">
        <v>322</v>
      </c>
      <c r="C126" s="96">
        <v>47</v>
      </c>
      <c r="D126" s="97">
        <v>1.0123460219478739</v>
      </c>
      <c r="E126" s="98">
        <v>0.29672244647225149</v>
      </c>
      <c r="F126" s="98">
        <v>6.2696560349162364E-2</v>
      </c>
      <c r="G126" s="97">
        <v>0.79205930429578864</v>
      </c>
      <c r="H126" s="98">
        <v>7.1939457142284183E-2</v>
      </c>
      <c r="I126" s="89">
        <v>0.85345650172439458</v>
      </c>
    </row>
    <row r="127" spans="2:9" ht="15.75">
      <c r="B127" s="75" t="s">
        <v>323</v>
      </c>
      <c r="C127" s="96">
        <v>10</v>
      </c>
      <c r="D127" s="97">
        <v>1.416775462962963</v>
      </c>
      <c r="E127" s="98">
        <v>0.33389379133206926</v>
      </c>
      <c r="F127" s="98">
        <v>0.25034084330763018</v>
      </c>
      <c r="G127" s="97">
        <v>1.1331424893528872</v>
      </c>
      <c r="H127" s="98">
        <v>6.8169139547654259E-2</v>
      </c>
      <c r="I127" s="89">
        <v>1.2160388085910969</v>
      </c>
    </row>
    <row r="128" spans="2:9" ht="15.75">
      <c r="B128" s="75" t="s">
        <v>324</v>
      </c>
      <c r="C128" s="96">
        <v>100</v>
      </c>
      <c r="D128" s="97">
        <v>1.0140386636636642</v>
      </c>
      <c r="E128" s="98">
        <v>0.16297293212785632</v>
      </c>
      <c r="F128" s="98">
        <v>0.12741103943709003</v>
      </c>
      <c r="G128" s="97">
        <v>0.8877877978626918</v>
      </c>
      <c r="H128" s="98">
        <v>6.2459154410085142E-2</v>
      </c>
      <c r="I128" s="89">
        <v>0.94693239450712385</v>
      </c>
    </row>
    <row r="129" spans="2:9" ht="15.75">
      <c r="B129" s="75" t="s">
        <v>325</v>
      </c>
      <c r="C129" s="96">
        <v>45</v>
      </c>
      <c r="D129" s="97">
        <v>1.2763097371565113</v>
      </c>
      <c r="E129" s="98">
        <v>0.86627308371877576</v>
      </c>
      <c r="F129" s="98">
        <v>2.436867798767417E-2</v>
      </c>
      <c r="G129" s="97">
        <v>0.69170562747485209</v>
      </c>
      <c r="H129" s="98">
        <v>5.8613007763760064E-2</v>
      </c>
      <c r="I129" s="89">
        <v>0.73477287574552486</v>
      </c>
    </row>
    <row r="130" spans="2:9" ht="15.75">
      <c r="B130" s="75" t="s">
        <v>326</v>
      </c>
      <c r="C130" s="96">
        <v>129</v>
      </c>
      <c r="D130" s="97">
        <v>0.92138851351351325</v>
      </c>
      <c r="E130" s="98">
        <v>0.20476694748333069</v>
      </c>
      <c r="F130" s="98">
        <v>9.9442386151074286E-2</v>
      </c>
      <c r="G130" s="97">
        <v>0.77793402942340795</v>
      </c>
      <c r="H130" s="98">
        <v>5.4778063449607152E-2</v>
      </c>
      <c r="I130" s="89">
        <v>0.82301732465339772</v>
      </c>
    </row>
    <row r="131" spans="2:9" ht="15.75">
      <c r="B131" s="75" t="s">
        <v>327</v>
      </c>
      <c r="C131" s="96">
        <v>273</v>
      </c>
      <c r="D131" s="97">
        <v>1.0677674096251939</v>
      </c>
      <c r="E131" s="98">
        <v>8.6835130760728824E-2</v>
      </c>
      <c r="F131" s="98">
        <v>6.1553821739998106E-2</v>
      </c>
      <c r="G131" s="97">
        <v>0.98731131517611959</v>
      </c>
      <c r="H131" s="98">
        <v>5.4972443294329772E-2</v>
      </c>
      <c r="I131" s="89">
        <v>1.0447434132162758</v>
      </c>
    </row>
    <row r="132" spans="2:9" ht="15.75">
      <c r="B132" s="75" t="s">
        <v>328</v>
      </c>
      <c r="C132" s="96">
        <v>66</v>
      </c>
      <c r="D132" s="97">
        <v>1.1493271604938269</v>
      </c>
      <c r="E132" s="98">
        <v>8.8293880231325894E-2</v>
      </c>
      <c r="F132" s="98">
        <v>5.6569762991867181E-2</v>
      </c>
      <c r="G132" s="97">
        <v>1.060950888950327</v>
      </c>
      <c r="H132" s="98">
        <v>5.9172209161930812E-2</v>
      </c>
      <c r="I132" s="89">
        <v>1.127678092932666</v>
      </c>
    </row>
    <row r="133" spans="2:9" ht="15.75">
      <c r="B133" s="75" t="s">
        <v>329</v>
      </c>
      <c r="C133" s="96">
        <v>18</v>
      </c>
      <c r="D133" s="97">
        <v>0.96010956790123492</v>
      </c>
      <c r="E133" s="98">
        <v>0.30468217216750876</v>
      </c>
      <c r="F133" s="98">
        <v>9.8210800235634374E-2</v>
      </c>
      <c r="G133" s="97">
        <v>0.75316942139093868</v>
      </c>
      <c r="H133" s="98">
        <v>1.8893727138576937E-2</v>
      </c>
      <c r="I133" s="89">
        <v>0.76767363763183338</v>
      </c>
    </row>
    <row r="134" spans="2:9" ht="15.75">
      <c r="B134" s="75" t="s">
        <v>330</v>
      </c>
      <c r="C134" s="96">
        <v>20</v>
      </c>
      <c r="D134" s="97">
        <v>0.77093945868945879</v>
      </c>
      <c r="E134" s="98">
        <v>0.94466929898436769</v>
      </c>
      <c r="F134" s="98">
        <v>0.12600398671565352</v>
      </c>
      <c r="G134" s="97">
        <v>0.42228513868433482</v>
      </c>
      <c r="H134" s="98">
        <v>2.2650073015826794E-2</v>
      </c>
      <c r="I134" s="89">
        <v>0.4320715917863604</v>
      </c>
    </row>
    <row r="135" spans="2:9" ht="15.75">
      <c r="B135" s="75" t="s">
        <v>331</v>
      </c>
      <c r="C135" s="96">
        <v>40</v>
      </c>
      <c r="D135" s="97">
        <v>1.2359319800569799</v>
      </c>
      <c r="E135" s="98">
        <v>0.39030350611699477</v>
      </c>
      <c r="F135" s="98">
        <v>0.11842592461422949</v>
      </c>
      <c r="G135" s="97">
        <v>0.91953651896261879</v>
      </c>
      <c r="H135" s="98">
        <v>0.11983508077496918</v>
      </c>
      <c r="I135" s="89">
        <v>1.0447320710898749</v>
      </c>
    </row>
    <row r="136" spans="2:9" ht="15.75">
      <c r="B136" s="75" t="s">
        <v>332</v>
      </c>
      <c r="C136" s="96">
        <v>135</v>
      </c>
      <c r="D136" s="97">
        <v>1.1420897190293744</v>
      </c>
      <c r="E136" s="98">
        <v>0.1373944878468624</v>
      </c>
      <c r="F136" s="98">
        <v>7.4876073333252288E-2</v>
      </c>
      <c r="G136" s="97">
        <v>1.0132931406564816</v>
      </c>
      <c r="H136" s="98">
        <v>5.3673970513405639E-2</v>
      </c>
      <c r="I136" s="89">
        <v>1.0707653695272639</v>
      </c>
    </row>
    <row r="137" spans="2:9" ht="15.75">
      <c r="B137" s="75" t="s">
        <v>333</v>
      </c>
      <c r="C137" s="96">
        <v>191</v>
      </c>
      <c r="D137" s="97">
        <v>1.0246114890400599</v>
      </c>
      <c r="E137" s="98">
        <v>0.1600913940058111</v>
      </c>
      <c r="F137" s="98">
        <v>7.5206260672450578E-2</v>
      </c>
      <c r="G137" s="97">
        <v>0.89247866683251953</v>
      </c>
      <c r="H137" s="98">
        <v>0.10692208167886269</v>
      </c>
      <c r="I137" s="89">
        <v>0.99932900424887428</v>
      </c>
    </row>
    <row r="138" spans="2:9" ht="15.75">
      <c r="B138" s="75" t="s">
        <v>334</v>
      </c>
      <c r="C138" s="96">
        <v>26</v>
      </c>
      <c r="D138" s="97">
        <v>1.367480936819172</v>
      </c>
      <c r="E138" s="98">
        <v>0.40303261618114145</v>
      </c>
      <c r="F138" s="98">
        <v>8.9673612048751947E-2</v>
      </c>
      <c r="G138" s="97">
        <v>1.0004314250419917</v>
      </c>
      <c r="H138" s="98">
        <v>6.9675389840066479E-2</v>
      </c>
      <c r="I138" s="89">
        <v>1.0753573689402949</v>
      </c>
    </row>
    <row r="139" spans="2:9" ht="15.75">
      <c r="B139" s="75" t="s">
        <v>335</v>
      </c>
      <c r="C139" s="96">
        <v>56</v>
      </c>
      <c r="D139" s="97">
        <v>1.2000296296296298</v>
      </c>
      <c r="E139" s="98">
        <v>0.22721532210028431</v>
      </c>
      <c r="F139" s="98">
        <v>0.14864507861700244</v>
      </c>
      <c r="G139" s="97">
        <v>1.0055207987605668</v>
      </c>
      <c r="H139" s="98">
        <v>0.11210704767187192</v>
      </c>
      <c r="I139" s="89">
        <v>1.1324797613541238</v>
      </c>
    </row>
    <row r="140" spans="2:9" ht="15.75">
      <c r="B140" s="75" t="s">
        <v>336</v>
      </c>
      <c r="C140" s="96">
        <v>85</v>
      </c>
      <c r="D140" s="97">
        <v>1.1885225225225224</v>
      </c>
      <c r="E140" s="98">
        <v>0.25978083927405604</v>
      </c>
      <c r="F140" s="98">
        <v>4.8516368986790015E-2</v>
      </c>
      <c r="G140" s="97">
        <v>0.95297004071692204</v>
      </c>
      <c r="H140" s="98">
        <v>4.0457928984835093E-2</v>
      </c>
      <c r="I140" s="89">
        <v>0.99315086800593344</v>
      </c>
    </row>
    <row r="141" spans="2:9" ht="15.75">
      <c r="B141" s="75" t="s">
        <v>337</v>
      </c>
      <c r="C141" s="96">
        <v>108</v>
      </c>
      <c r="D141" s="97">
        <v>1.1345487472766886</v>
      </c>
      <c r="E141" s="98">
        <v>0.43587427116036004</v>
      </c>
      <c r="F141" s="98">
        <v>5.0189257216839263E-2</v>
      </c>
      <c r="G141" s="97">
        <v>0.80236937741168823</v>
      </c>
      <c r="H141" s="98">
        <v>1.4181566035883848E-2</v>
      </c>
      <c r="I141" s="89">
        <v>0.81391192309647409</v>
      </c>
    </row>
    <row r="142" spans="2:9" ht="15.75">
      <c r="B142" s="75" t="s">
        <v>338</v>
      </c>
      <c r="C142" s="96">
        <v>29</v>
      </c>
      <c r="D142" s="97">
        <v>0.7937894736842106</v>
      </c>
      <c r="E142" s="98">
        <v>0.41122777943204597</v>
      </c>
      <c r="F142" s="98">
        <v>9.0140068077759067E-2</v>
      </c>
      <c r="G142" s="97">
        <v>0.57765446445905466</v>
      </c>
      <c r="H142" s="98">
        <v>7.6319248926083785E-2</v>
      </c>
      <c r="I142" s="89">
        <v>0.62538324392648159</v>
      </c>
    </row>
    <row r="143" spans="2:9" ht="15.75">
      <c r="B143" s="75" t="s">
        <v>339</v>
      </c>
      <c r="C143" s="96">
        <v>76</v>
      </c>
      <c r="D143" s="97">
        <v>0.98508278867102417</v>
      </c>
      <c r="E143" s="98">
        <v>1.0211871284557388</v>
      </c>
      <c r="F143" s="98">
        <v>0.18368206233439904</v>
      </c>
      <c r="G143" s="97">
        <v>0.53723582322602281</v>
      </c>
      <c r="H143" s="98">
        <v>7.2178163698867412E-2</v>
      </c>
      <c r="I143" s="89">
        <v>0.57902907886688093</v>
      </c>
    </row>
    <row r="144" spans="2:9" ht="15.75">
      <c r="B144" s="75" t="s">
        <v>340</v>
      </c>
      <c r="C144" s="96">
        <v>17</v>
      </c>
      <c r="D144" s="97">
        <v>1.0495447530864197</v>
      </c>
      <c r="E144" s="98">
        <v>3.3147210678913956</v>
      </c>
      <c r="F144" s="98">
        <v>9.7674769942655906E-2</v>
      </c>
      <c r="G144" s="97">
        <v>0.2629807581699049</v>
      </c>
      <c r="H144" s="98">
        <v>7.8453069623927937E-2</v>
      </c>
      <c r="I144" s="89">
        <v>0.28536881790988733</v>
      </c>
    </row>
    <row r="145" spans="2:9" ht="15.75">
      <c r="B145" s="75" t="s">
        <v>341</v>
      </c>
      <c r="C145" s="96">
        <v>97</v>
      </c>
      <c r="D145" s="97">
        <v>0.8511859974009095</v>
      </c>
      <c r="E145" s="98">
        <v>0.2792284923193542</v>
      </c>
      <c r="F145" s="98">
        <v>0.13998778813129831</v>
      </c>
      <c r="G145" s="97">
        <v>0.68636287589392275</v>
      </c>
      <c r="H145" s="98">
        <v>3.1047465538332052E-2</v>
      </c>
      <c r="I145" s="89">
        <v>0.70835551947366882</v>
      </c>
    </row>
    <row r="146" spans="2:9" ht="15.75">
      <c r="B146" s="75" t="s">
        <v>342</v>
      </c>
      <c r="C146" s="96">
        <v>18</v>
      </c>
      <c r="D146" s="97">
        <v>1.1757880658436215</v>
      </c>
      <c r="E146" s="98">
        <v>0.16787422483748227</v>
      </c>
      <c r="F146" s="98">
        <v>0.1068899230752309</v>
      </c>
      <c r="G146" s="97">
        <v>1.0224864994788425</v>
      </c>
      <c r="H146" s="98">
        <v>1.7144490985782756E-2</v>
      </c>
      <c r="I146" s="89">
        <v>1.0403222956997762</v>
      </c>
    </row>
    <row r="147" spans="2:9" ht="15.75">
      <c r="B147" s="75" t="s">
        <v>343</v>
      </c>
      <c r="C147" s="96">
        <v>36</v>
      </c>
      <c r="D147" s="97">
        <v>1.2414188712522045</v>
      </c>
      <c r="E147" s="98">
        <v>0.27664853793860722</v>
      </c>
      <c r="F147" s="98">
        <v>0.10025185494908126</v>
      </c>
      <c r="G147" s="97">
        <v>0.99399867602088965</v>
      </c>
      <c r="H147" s="98">
        <v>3.87726032424352E-2</v>
      </c>
      <c r="I147" s="89">
        <v>1.0340931598223997</v>
      </c>
    </row>
    <row r="148" spans="2:9" ht="15.75">
      <c r="B148" s="75" t="s">
        <v>344</v>
      </c>
      <c r="C148" s="96">
        <v>193</v>
      </c>
      <c r="D148" s="97">
        <v>0.85353591269841256</v>
      </c>
      <c r="E148" s="98">
        <v>0.17263580160730452</v>
      </c>
      <c r="F148" s="98">
        <v>5.7987787046611061E-2</v>
      </c>
      <c r="G148" s="97">
        <v>0.73414547949626219</v>
      </c>
      <c r="H148" s="98">
        <v>5.1954569410432049E-2</v>
      </c>
      <c r="I148" s="89">
        <v>0.77437795258367925</v>
      </c>
    </row>
    <row r="149" spans="2:9" ht="15.75">
      <c r="B149" s="75" t="s">
        <v>345</v>
      </c>
      <c r="C149" s="96">
        <v>47</v>
      </c>
      <c r="D149" s="97">
        <v>1.1285868055555557</v>
      </c>
      <c r="E149" s="98">
        <v>1.2089591778472306</v>
      </c>
      <c r="F149" s="98">
        <v>0.13486984711719327</v>
      </c>
      <c r="G149" s="97">
        <v>0.55163151814571476</v>
      </c>
      <c r="H149" s="98">
        <v>1.2212749192967665E-2</v>
      </c>
      <c r="I149" s="89">
        <v>0.55845174929624386</v>
      </c>
    </row>
    <row r="150" spans="2:9" ht="15.75">
      <c r="B150" s="75" t="s">
        <v>346</v>
      </c>
      <c r="C150" s="96">
        <v>58</v>
      </c>
      <c r="D150" s="97">
        <v>1.0048172839506173</v>
      </c>
      <c r="E150" s="98">
        <v>0.19804655701379431</v>
      </c>
      <c r="F150" s="98">
        <v>8.7576230617930143E-2</v>
      </c>
      <c r="G150" s="97">
        <v>0.85103349989879196</v>
      </c>
      <c r="H150" s="98">
        <v>4.2789631176620602E-2</v>
      </c>
      <c r="I150" s="89">
        <v>0.88907676683955894</v>
      </c>
    </row>
    <row r="151" spans="2:9" ht="15.75">
      <c r="B151" s="75" t="s">
        <v>347</v>
      </c>
      <c r="C151" s="96">
        <v>126</v>
      </c>
      <c r="D151" s="97">
        <v>0.83227597109304396</v>
      </c>
      <c r="E151" s="98">
        <v>0.27925622900731639</v>
      </c>
      <c r="F151" s="98">
        <v>0.13773438845223371</v>
      </c>
      <c r="G151" s="97">
        <v>0.6707613132845589</v>
      </c>
      <c r="H151" s="98">
        <v>6.5418897163489836E-2</v>
      </c>
      <c r="I151" s="89">
        <v>0.71771332765958751</v>
      </c>
    </row>
    <row r="152" spans="2:9" ht="15.75">
      <c r="B152" s="75" t="s">
        <v>348</v>
      </c>
      <c r="C152" s="96">
        <v>125</v>
      </c>
      <c r="D152" s="97">
        <v>0.99274547101449262</v>
      </c>
      <c r="E152" s="98">
        <v>0.14524426104500224</v>
      </c>
      <c r="F152" s="98">
        <v>6.0854083578939865E-2</v>
      </c>
      <c r="G152" s="97">
        <v>0.87358378965815697</v>
      </c>
      <c r="H152" s="98">
        <v>4.8769361447896474E-2</v>
      </c>
      <c r="I152" s="89">
        <v>0.91837221621442389</v>
      </c>
    </row>
    <row r="153" spans="2:9" ht="15.75">
      <c r="B153" s="75" t="s">
        <v>349</v>
      </c>
      <c r="C153" s="96">
        <v>46</v>
      </c>
      <c r="D153" s="97">
        <v>1.6693235596707821</v>
      </c>
      <c r="E153" s="98">
        <v>0.56304350162822892</v>
      </c>
      <c r="F153" s="98">
        <v>0.1940126723718035</v>
      </c>
      <c r="G153" s="97">
        <v>1.1482437431437427</v>
      </c>
      <c r="H153" s="98">
        <v>5.5445305206438644E-2</v>
      </c>
      <c r="I153" s="89">
        <v>1.215645583546328</v>
      </c>
    </row>
    <row r="154" spans="2:9" ht="15.75">
      <c r="B154" s="75" t="s">
        <v>350</v>
      </c>
      <c r="C154" s="96">
        <v>32</v>
      </c>
      <c r="D154" s="97">
        <v>1.7130160818713454</v>
      </c>
      <c r="E154" s="98">
        <v>0.56613358137416359</v>
      </c>
      <c r="F154" s="98">
        <v>6.6775332089890088E-2</v>
      </c>
      <c r="G154" s="97">
        <v>1.1208418860670262</v>
      </c>
      <c r="H154" s="98">
        <v>9.1538654821520127E-2</v>
      </c>
      <c r="I154" s="89">
        <v>1.2337804927152087</v>
      </c>
    </row>
    <row r="155" spans="2:9" ht="15.75">
      <c r="B155" s="75" t="s">
        <v>351</v>
      </c>
      <c r="C155" s="96">
        <v>89</v>
      </c>
      <c r="D155" s="97">
        <v>1.2736163522012578</v>
      </c>
      <c r="E155" s="98">
        <v>0.52329912362656361</v>
      </c>
      <c r="F155" s="98">
        <v>0.1048088643664261</v>
      </c>
      <c r="G155" s="97">
        <v>0.86731858664748807</v>
      </c>
      <c r="H155" s="98">
        <v>3.8409288020614378E-2</v>
      </c>
      <c r="I155" s="89">
        <v>0.90196231706747332</v>
      </c>
    </row>
    <row r="156" spans="2:9" ht="15.75">
      <c r="B156" s="75" t="s">
        <v>352</v>
      </c>
      <c r="C156" s="96">
        <v>139</v>
      </c>
      <c r="D156" s="97">
        <v>1.004602564102564</v>
      </c>
      <c r="E156" s="98">
        <v>0.19334894482728421</v>
      </c>
      <c r="F156" s="98">
        <v>9.5129247069913075E-2</v>
      </c>
      <c r="G156" s="97">
        <v>0.85501306481876793</v>
      </c>
      <c r="H156" s="98">
        <v>3.5187681783953803E-2</v>
      </c>
      <c r="I156" s="89">
        <v>0.88619625669757318</v>
      </c>
    </row>
    <row r="157" spans="2:9" ht="15.75">
      <c r="B157" s="75" t="s">
        <v>353</v>
      </c>
      <c r="C157" s="96">
        <v>71</v>
      </c>
      <c r="D157" s="97">
        <v>0.84329121278140884</v>
      </c>
      <c r="E157" s="98">
        <v>0.10634731394500864</v>
      </c>
      <c r="F157" s="98">
        <v>0.1704619643713764</v>
      </c>
      <c r="G157" s="97">
        <v>0.77492775150572712</v>
      </c>
      <c r="H157" s="98">
        <v>3.8402641283530721E-2</v>
      </c>
      <c r="I157" s="89">
        <v>0.80587549922151736</v>
      </c>
    </row>
    <row r="158" spans="2:9" ht="15.75">
      <c r="B158" s="75" t="s">
        <v>354</v>
      </c>
      <c r="C158" s="96">
        <v>26</v>
      </c>
      <c r="D158" s="97">
        <v>0.91929953703703704</v>
      </c>
      <c r="E158" s="98">
        <v>0.46141748031258462</v>
      </c>
      <c r="F158" s="98">
        <v>0.19188037363457836</v>
      </c>
      <c r="G158" s="97">
        <v>0.66961364987487215</v>
      </c>
      <c r="H158" s="98">
        <v>5.0412971593886073E-2</v>
      </c>
      <c r="I158" s="89">
        <v>0.7051630128086539</v>
      </c>
    </row>
    <row r="159" spans="2:9" ht="15.75">
      <c r="B159" s="75" t="s">
        <v>355</v>
      </c>
      <c r="C159" s="96">
        <v>27</v>
      </c>
      <c r="D159" s="97">
        <v>1.2100965608465606</v>
      </c>
      <c r="E159" s="98">
        <v>0.66669752836792051</v>
      </c>
      <c r="F159" s="98">
        <v>0.17819944092959214</v>
      </c>
      <c r="G159" s="97">
        <v>0.78177046391584259</v>
      </c>
      <c r="H159" s="98">
        <v>0.10411620318967094</v>
      </c>
      <c r="I159" s="89">
        <v>0.87262485011921054</v>
      </c>
    </row>
    <row r="160" spans="2:9" ht="15.75">
      <c r="B160" s="75" t="s">
        <v>356</v>
      </c>
      <c r="C160" s="96">
        <v>53</v>
      </c>
      <c r="D160" s="97">
        <v>0.76314533011272168</v>
      </c>
      <c r="E160" s="98">
        <v>0.34979970111120007</v>
      </c>
      <c r="F160" s="98">
        <v>0.19422691673224041</v>
      </c>
      <c r="G160" s="97">
        <v>0.59534256166547295</v>
      </c>
      <c r="H160" s="98">
        <v>5.4699875681860813E-2</v>
      </c>
      <c r="I160" s="89">
        <v>0.62979211189134621</v>
      </c>
    </row>
    <row r="161" spans="2:9" ht="15.75">
      <c r="B161" s="75" t="s">
        <v>357</v>
      </c>
      <c r="C161" s="96">
        <v>330</v>
      </c>
      <c r="D161" s="97">
        <v>1.0451352880658435</v>
      </c>
      <c r="E161" s="98">
        <v>4.1635578200752865E-2</v>
      </c>
      <c r="F161" s="98">
        <v>4.5869495763086611E-2</v>
      </c>
      <c r="G161" s="97">
        <v>1.0052028265258734</v>
      </c>
      <c r="H161" s="98">
        <v>3.9818655815178294E-2</v>
      </c>
      <c r="I161" s="89">
        <v>1.0468885201881049</v>
      </c>
    </row>
    <row r="162" spans="2:9" ht="15.75">
      <c r="B162" s="75" t="s">
        <v>358</v>
      </c>
      <c r="C162" s="96">
        <v>65</v>
      </c>
      <c r="D162" s="97">
        <v>0.81550617283950633</v>
      </c>
      <c r="E162" s="98">
        <v>1.0439694849840839</v>
      </c>
      <c r="F162" s="98">
        <v>6.6160243284532877E-2</v>
      </c>
      <c r="G162" s="97">
        <v>0.41293538213292713</v>
      </c>
      <c r="H162" s="98">
        <v>0.11377261100744254</v>
      </c>
      <c r="I162" s="89">
        <v>0.46594743884223933</v>
      </c>
    </row>
    <row r="163" spans="2:9" ht="15.75">
      <c r="B163" s="75" t="s">
        <v>359</v>
      </c>
      <c r="C163" s="96">
        <v>141</v>
      </c>
      <c r="D163" s="97">
        <v>1.0428306737588651</v>
      </c>
      <c r="E163" s="98">
        <v>0.17498589120788405</v>
      </c>
      <c r="F163" s="98">
        <v>0.13017222634523787</v>
      </c>
      <c r="G163" s="97">
        <v>0.90507186766130521</v>
      </c>
      <c r="H163" s="98">
        <v>5.9030804102307065E-2</v>
      </c>
      <c r="I163" s="89">
        <v>0.96185068715013422</v>
      </c>
    </row>
    <row r="164" spans="2:9" ht="15.75">
      <c r="B164" s="75" t="s">
        <v>360</v>
      </c>
      <c r="C164" s="96">
        <v>134</v>
      </c>
      <c r="D164" s="97">
        <v>1.2608422172172171</v>
      </c>
      <c r="E164" s="98">
        <v>0.48213439495131194</v>
      </c>
      <c r="F164" s="98">
        <v>1.8983192880175755E-2</v>
      </c>
      <c r="G164" s="97">
        <v>0.85597941082819473</v>
      </c>
      <c r="H164" s="98">
        <v>5.3658689091799099E-2</v>
      </c>
      <c r="I164" s="89">
        <v>0.90451447164101273</v>
      </c>
    </row>
    <row r="165" spans="2:9" ht="15.75">
      <c r="B165" s="75" t="s">
        <v>361</v>
      </c>
      <c r="C165" s="96">
        <v>30</v>
      </c>
      <c r="D165" s="97">
        <v>1.144662551440329</v>
      </c>
      <c r="E165" s="98">
        <v>0.5508272875611262</v>
      </c>
      <c r="F165" s="98">
        <v>0.12807099875969141</v>
      </c>
      <c r="G165" s="97">
        <v>0.77327315318542456</v>
      </c>
      <c r="H165" s="98">
        <v>5.4463547002694714E-2</v>
      </c>
      <c r="I165" s="89">
        <v>0.81781421618826611</v>
      </c>
    </row>
    <row r="166" spans="2:9" ht="15.75">
      <c r="B166" s="75" t="s">
        <v>362</v>
      </c>
      <c r="C166" s="96">
        <v>8</v>
      </c>
      <c r="D166" s="97">
        <v>1.0044629629629631</v>
      </c>
      <c r="E166" s="98">
        <v>8.5409832510758871E-2</v>
      </c>
      <c r="F166" s="98">
        <v>0.2054585320271162</v>
      </c>
      <c r="G166" s="97">
        <v>0.94063023939511092</v>
      </c>
      <c r="H166" s="98">
        <v>3.087954361565607E-2</v>
      </c>
      <c r="I166" s="89">
        <v>0.97060198574744139</v>
      </c>
    </row>
    <row r="167" spans="2:9" ht="15.75">
      <c r="B167" s="75" t="s">
        <v>363</v>
      </c>
      <c r="C167" s="96">
        <v>411</v>
      </c>
      <c r="D167" s="97">
        <v>1.239947823736145</v>
      </c>
      <c r="E167" s="98">
        <v>1.5614934745748805</v>
      </c>
      <c r="F167" s="98">
        <v>6.2890771690283079E-2</v>
      </c>
      <c r="G167" s="97">
        <v>0.50337063497877643</v>
      </c>
      <c r="H167" s="98">
        <v>1.7600277828877499E-2</v>
      </c>
      <c r="I167" s="89">
        <v>0.51238882057734869</v>
      </c>
    </row>
    <row r="168" spans="2:9" ht="15.75">
      <c r="B168" s="75" t="s">
        <v>364</v>
      </c>
      <c r="C168" s="96">
        <v>80</v>
      </c>
      <c r="D168" s="97">
        <v>0.81666543209876552</v>
      </c>
      <c r="E168" s="98">
        <v>0.51925126290684864</v>
      </c>
      <c r="F168" s="98">
        <v>4.1784960315867224E-2</v>
      </c>
      <c r="G168" s="97">
        <v>0.54533274299457912</v>
      </c>
      <c r="H168" s="98">
        <v>1.1167387594657628E-2</v>
      </c>
      <c r="I168" s="89">
        <v>0.55149146190481457</v>
      </c>
    </row>
    <row r="169" spans="2:9" ht="15.75">
      <c r="B169" s="75" t="s">
        <v>365</v>
      </c>
      <c r="C169" s="96">
        <v>163</v>
      </c>
      <c r="D169" s="97">
        <v>1.3035158062102508</v>
      </c>
      <c r="E169" s="98">
        <v>0.20285169767034697</v>
      </c>
      <c r="F169" s="98">
        <v>0.10731337843952475</v>
      </c>
      <c r="G169" s="97">
        <v>1.1036614783924377</v>
      </c>
      <c r="H169" s="98">
        <v>5.6884775426597714E-2</v>
      </c>
      <c r="I169" s="89">
        <v>1.1702297340090708</v>
      </c>
    </row>
    <row r="170" spans="2:9" ht="15.75">
      <c r="B170" s="75" t="s">
        <v>366</v>
      </c>
      <c r="C170" s="96">
        <v>24</v>
      </c>
      <c r="D170" s="97">
        <v>0.98519929453262789</v>
      </c>
      <c r="E170" s="98">
        <v>0.49193067675757579</v>
      </c>
      <c r="F170" s="98">
        <v>0.21281121058747787</v>
      </c>
      <c r="G170" s="97">
        <v>0.7101854410384949</v>
      </c>
      <c r="H170" s="98">
        <v>3.3074257942261195E-2</v>
      </c>
      <c r="I170" s="89">
        <v>0.73447774751257688</v>
      </c>
    </row>
    <row r="171" spans="2:9" ht="15.75">
      <c r="B171" s="75" t="s">
        <v>367</v>
      </c>
      <c r="C171" s="96">
        <v>21</v>
      </c>
      <c r="D171" s="97">
        <v>1.335621913580247</v>
      </c>
      <c r="E171" s="98">
        <v>0.51989180751155495</v>
      </c>
      <c r="F171" s="98">
        <v>8.1978576048648305E-2</v>
      </c>
      <c r="G171" s="97">
        <v>0.90411385218303963</v>
      </c>
      <c r="H171" s="98">
        <v>3.1216515463033789E-2</v>
      </c>
      <c r="I171" s="89">
        <v>0.9332465577849568</v>
      </c>
    </row>
    <row r="172" spans="2:9" ht="15.75">
      <c r="B172" s="75" t="s">
        <v>368</v>
      </c>
      <c r="C172" s="96">
        <v>138</v>
      </c>
      <c r="D172" s="97">
        <v>1.103147494553377</v>
      </c>
      <c r="E172" s="98">
        <v>0.13868439074458005</v>
      </c>
      <c r="F172" s="98">
        <v>4.2963870233176514E-2</v>
      </c>
      <c r="G172" s="97">
        <v>0.97388734897939477</v>
      </c>
      <c r="H172" s="98">
        <v>5.1513314146313771E-2</v>
      </c>
      <c r="I172" s="89">
        <v>1.0267801999801891</v>
      </c>
    </row>
    <row r="173" spans="2:9" ht="15.75">
      <c r="B173" s="75" t="s">
        <v>369</v>
      </c>
      <c r="C173" s="96">
        <v>106</v>
      </c>
      <c r="D173" s="97">
        <v>0.67805506822612083</v>
      </c>
      <c r="E173" s="98">
        <v>0.85110094159285299</v>
      </c>
      <c r="F173" s="98">
        <v>0.16030499329347112</v>
      </c>
      <c r="G173" s="97">
        <v>0.39544458237799979</v>
      </c>
      <c r="H173" s="98">
        <v>2.0506929114003768E-2</v>
      </c>
      <c r="I173" s="89">
        <v>0.40372371600373047</v>
      </c>
    </row>
    <row r="174" spans="2:9" ht="15.75">
      <c r="B174" s="75" t="s">
        <v>370</v>
      </c>
      <c r="C174" s="96">
        <v>166</v>
      </c>
      <c r="D174" s="97">
        <v>1.3336833964646471</v>
      </c>
      <c r="E174" s="98">
        <v>0.37015874364475371</v>
      </c>
      <c r="F174" s="98">
        <v>8.1664103306588291E-3</v>
      </c>
      <c r="G174" s="97">
        <v>0.97553097713799053</v>
      </c>
      <c r="H174" s="98">
        <v>0.10571838712382345</v>
      </c>
      <c r="I174" s="89">
        <v>1.0908543383783782</v>
      </c>
    </row>
    <row r="175" spans="2:9" ht="15.75">
      <c r="B175" s="75" t="s">
        <v>371</v>
      </c>
      <c r="C175" s="96">
        <v>52</v>
      </c>
      <c r="D175" s="97">
        <v>1.0817402263374485</v>
      </c>
      <c r="E175" s="98">
        <v>0.36821584243865496</v>
      </c>
      <c r="F175" s="98">
        <v>0.13924641188390072</v>
      </c>
      <c r="G175" s="97">
        <v>0.82140239780367208</v>
      </c>
      <c r="H175" s="98">
        <v>6.0610291473137484E-2</v>
      </c>
      <c r="I175" s="89">
        <v>0.87440003903362273</v>
      </c>
    </row>
    <row r="176" spans="2:9" ht="15.75">
      <c r="B176" s="75" t="s">
        <v>372</v>
      </c>
      <c r="C176" s="96">
        <v>46</v>
      </c>
      <c r="D176" s="97">
        <v>0.78295802469135822</v>
      </c>
      <c r="E176" s="98">
        <v>5.697924876754298</v>
      </c>
      <c r="F176" s="98">
        <v>2.4756706157541358E-2</v>
      </c>
      <c r="G176" s="97">
        <v>0.11941045919691963</v>
      </c>
      <c r="H176" s="98">
        <v>2.3974159615697169E-2</v>
      </c>
      <c r="I176" s="89">
        <v>0.1223435428204469</v>
      </c>
    </row>
    <row r="177" spans="2:9" ht="15.75">
      <c r="B177" s="75" t="s">
        <v>373</v>
      </c>
      <c r="C177" s="96">
        <v>10</v>
      </c>
      <c r="D177" s="97">
        <v>1.0788822751322751</v>
      </c>
      <c r="E177" s="98">
        <v>0.23687191695856419</v>
      </c>
      <c r="F177" s="98">
        <v>0.20513358944153098</v>
      </c>
      <c r="G177" s="97">
        <v>0.90793490223960582</v>
      </c>
      <c r="H177" s="98">
        <v>1.6103047556898259E-2</v>
      </c>
      <c r="I177" s="89">
        <v>0.92279470932918783</v>
      </c>
    </row>
    <row r="178" spans="2:9" ht="15.75">
      <c r="B178" s="75" t="s">
        <v>374</v>
      </c>
      <c r="C178" s="96">
        <v>22</v>
      </c>
      <c r="D178" s="97">
        <v>0.99004497354497356</v>
      </c>
      <c r="E178" s="98">
        <v>0.2490462387064353</v>
      </c>
      <c r="F178" s="98">
        <v>3.0014591927035303E-2</v>
      </c>
      <c r="G178" s="97">
        <v>0.79741295513752097</v>
      </c>
      <c r="H178" s="98">
        <v>6.2722750717040782E-2</v>
      </c>
      <c r="I178" s="89">
        <v>0.85077596383307297</v>
      </c>
    </row>
    <row r="179" spans="2:9" ht="15.75">
      <c r="B179" s="75" t="s">
        <v>375</v>
      </c>
      <c r="C179" s="96">
        <v>11</v>
      </c>
      <c r="D179" s="97">
        <v>0.71834259259259259</v>
      </c>
      <c r="E179" s="98">
        <v>0.1730143239654762</v>
      </c>
      <c r="F179" s="98">
        <v>8.7200826740705117E-2</v>
      </c>
      <c r="G179" s="97">
        <v>0.62036932095533448</v>
      </c>
      <c r="H179" s="98">
        <v>6.9221498538000279E-3</v>
      </c>
      <c r="I179" s="89">
        <v>0.62469354327458249</v>
      </c>
    </row>
    <row r="180" spans="2:9" ht="15.75">
      <c r="B180" s="75" t="s">
        <v>376</v>
      </c>
      <c r="C180" s="96">
        <v>47</v>
      </c>
      <c r="D180" s="97">
        <v>1.4010748456790123</v>
      </c>
      <c r="E180" s="98">
        <v>0.5957220164193896</v>
      </c>
      <c r="F180" s="98">
        <v>8.5608055994703156E-2</v>
      </c>
      <c r="G180" s="97">
        <v>0.90700693352462192</v>
      </c>
      <c r="H180" s="98">
        <v>3.2517663571935453E-2</v>
      </c>
      <c r="I180" s="89">
        <v>0.93749198241001763</v>
      </c>
    </row>
    <row r="181" spans="2:9" ht="15.75">
      <c r="B181" s="75" t="s">
        <v>377</v>
      </c>
      <c r="C181" s="96">
        <v>70</v>
      </c>
      <c r="D181" s="97">
        <v>1.3049613425925926</v>
      </c>
      <c r="E181" s="98">
        <v>0.25128371314808245</v>
      </c>
      <c r="F181" s="98">
        <v>8.8075278811522037E-2</v>
      </c>
      <c r="G181" s="97">
        <v>1.0616762800878952</v>
      </c>
      <c r="H181" s="98">
        <v>4.2206400176206048E-2</v>
      </c>
      <c r="I181" s="89">
        <v>1.108460403455622</v>
      </c>
    </row>
    <row r="182" spans="2:9" ht="15.75">
      <c r="B182" s="75" t="s">
        <v>378</v>
      </c>
      <c r="C182" s="96">
        <v>3</v>
      </c>
      <c r="D182" s="97">
        <v>0.56297839506172831</v>
      </c>
      <c r="E182" s="98">
        <v>0.38499521696522476</v>
      </c>
      <c r="F182" s="98">
        <v>0.13344081179830455</v>
      </c>
      <c r="G182" s="97">
        <v>0.42214267384253534</v>
      </c>
      <c r="H182" s="98">
        <v>0.10464220853740197</v>
      </c>
      <c r="I182" s="89">
        <v>0.47147931013472349</v>
      </c>
    </row>
    <row r="183" spans="2:9" ht="15.75">
      <c r="B183" s="75" t="s">
        <v>379</v>
      </c>
      <c r="C183" s="96">
        <v>84</v>
      </c>
      <c r="D183" s="97">
        <v>0.8563451468710086</v>
      </c>
      <c r="E183" s="98">
        <v>0.27565723388843377</v>
      </c>
      <c r="F183" s="98">
        <v>0.15167353984518511</v>
      </c>
      <c r="G183" s="97">
        <v>0.69404465950856831</v>
      </c>
      <c r="H183" s="98">
        <v>2.5623714183243305E-2</v>
      </c>
      <c r="I183" s="89">
        <v>0.71229633726850761</v>
      </c>
    </row>
    <row r="184" spans="2:9" ht="15.75">
      <c r="B184" s="75" t="s">
        <v>380</v>
      </c>
      <c r="C184" s="110">
        <v>30</v>
      </c>
      <c r="D184" s="111">
        <v>1.1510245370370373</v>
      </c>
      <c r="E184" s="112">
        <v>0.57513354821296137</v>
      </c>
      <c r="F184" s="112">
        <v>0.19225003391559045</v>
      </c>
      <c r="G184" s="111">
        <v>0.78591611923564142</v>
      </c>
      <c r="H184" s="112">
        <v>2.2491641694898035E-2</v>
      </c>
      <c r="I184" s="89">
        <v>0.80399938533348037</v>
      </c>
    </row>
    <row r="185" spans="2:9" ht="15.75">
      <c r="B185" s="75" t="s">
        <v>381</v>
      </c>
      <c r="C185" s="96">
        <v>7</v>
      </c>
      <c r="D185" s="97">
        <v>1.0686080246913578</v>
      </c>
      <c r="E185" s="98">
        <v>0.22178139327397972</v>
      </c>
      <c r="F185" s="98">
        <v>0.2197090136716974</v>
      </c>
      <c r="G185" s="97">
        <v>0.91096232957109935</v>
      </c>
      <c r="H185" s="98">
        <v>2.8864276848869459E-2</v>
      </c>
      <c r="I185" s="89">
        <v>0.93803812160798572</v>
      </c>
    </row>
    <row r="186" spans="2:9" ht="15.75">
      <c r="B186" s="75" t="s">
        <v>382</v>
      </c>
      <c r="C186" s="96">
        <v>87</v>
      </c>
      <c r="D186" s="97">
        <v>0.99910457516339846</v>
      </c>
      <c r="E186" s="98">
        <v>0.43815825434761735</v>
      </c>
      <c r="F186" s="98">
        <v>0.16180677474161614</v>
      </c>
      <c r="G186" s="97">
        <v>0.73073419798877826</v>
      </c>
      <c r="H186" s="98">
        <v>1.8622015688778512E-2</v>
      </c>
      <c r="I186" s="89">
        <v>0.74460015373346988</v>
      </c>
    </row>
    <row r="187" spans="2:9" ht="15.75">
      <c r="B187" s="75" t="s">
        <v>383</v>
      </c>
      <c r="C187" s="96">
        <v>21</v>
      </c>
      <c r="D187" s="97">
        <v>0.97906822612085787</v>
      </c>
      <c r="E187" s="98">
        <v>0.35615426779129322</v>
      </c>
      <c r="F187" s="98">
        <v>0.25032851769820796</v>
      </c>
      <c r="G187" s="97">
        <v>0.7727460397331547</v>
      </c>
      <c r="H187" s="98">
        <v>3.1922303801930382E-2</v>
      </c>
      <c r="I187" s="89">
        <v>0.79822729391241976</v>
      </c>
    </row>
    <row r="188" spans="2:9" ht="15.75">
      <c r="B188" s="75" t="s">
        <v>384</v>
      </c>
      <c r="C188" s="96">
        <v>21</v>
      </c>
      <c r="D188" s="97">
        <v>0.81410545267489709</v>
      </c>
      <c r="E188" s="98">
        <v>0.56863117043210454</v>
      </c>
      <c r="F188" s="98">
        <v>0.22828587019871605</v>
      </c>
      <c r="G188" s="97">
        <v>0.5658143837222479</v>
      </c>
      <c r="H188" s="98">
        <v>1.7194737285776026E-2</v>
      </c>
      <c r="I188" s="89">
        <v>0.5757136283129296</v>
      </c>
    </row>
    <row r="189" spans="2:9" ht="15.75">
      <c r="B189" s="75" t="s">
        <v>385</v>
      </c>
      <c r="C189" s="96">
        <v>47</v>
      </c>
      <c r="D189" s="97">
        <v>1.0304980842911877</v>
      </c>
      <c r="E189" s="98">
        <v>5.0619641444897903E-2</v>
      </c>
      <c r="F189" s="98">
        <v>9.8032068354241164E-2</v>
      </c>
      <c r="G189" s="97">
        <v>0.98550269854117067</v>
      </c>
      <c r="H189" s="98">
        <v>3.0299323247844113E-2</v>
      </c>
      <c r="I189" s="89">
        <v>1.0162957726728015</v>
      </c>
    </row>
    <row r="190" spans="2:9" ht="15.75">
      <c r="B190" s="75" t="s">
        <v>386</v>
      </c>
      <c r="C190" s="96">
        <v>137</v>
      </c>
      <c r="D190" s="97">
        <v>0.98630724715099671</v>
      </c>
      <c r="E190" s="98">
        <v>0.37799040470680112</v>
      </c>
      <c r="F190" s="98">
        <v>0.1889791185030939</v>
      </c>
      <c r="G190" s="97">
        <v>0.7548896896962406</v>
      </c>
      <c r="H190" s="98">
        <v>3.1977203989413172E-2</v>
      </c>
      <c r="I190" s="89">
        <v>0.77982635616360496</v>
      </c>
    </row>
    <row r="191" spans="2:9" ht="15.75">
      <c r="B191" s="75" t="s">
        <v>387</v>
      </c>
      <c r="C191" s="96">
        <v>4</v>
      </c>
      <c r="D191" s="97">
        <v>1.267372685185185</v>
      </c>
      <c r="E191" s="98">
        <v>1.0978100667286403</v>
      </c>
      <c r="F191" s="98">
        <v>0.15210232506380267</v>
      </c>
      <c r="G191" s="97">
        <v>0.65638729940880458</v>
      </c>
      <c r="H191" s="98">
        <v>0.17504646335871923</v>
      </c>
      <c r="I191" s="89">
        <v>0.79566578025863433</v>
      </c>
    </row>
    <row r="192" spans="2:9" ht="15.75">
      <c r="B192" s="75" t="s">
        <v>388</v>
      </c>
      <c r="C192" s="96">
        <v>104</v>
      </c>
      <c r="D192" s="97">
        <v>1.1934791412291412</v>
      </c>
      <c r="E192" s="98">
        <v>0.1301799520069386</v>
      </c>
      <c r="F192" s="98">
        <v>7.2950996279250391E-2</v>
      </c>
      <c r="G192" s="97">
        <v>1.064956757408035</v>
      </c>
      <c r="H192" s="98">
        <v>6.338202976829288E-2</v>
      </c>
      <c r="I192" s="89">
        <v>1.1370236224963508</v>
      </c>
    </row>
    <row r="193" spans="1:9" ht="15.75">
      <c r="B193" s="75" t="s">
        <v>389</v>
      </c>
      <c r="C193" s="96">
        <v>51</v>
      </c>
      <c r="D193" s="97">
        <v>1.2538475308641976</v>
      </c>
      <c r="E193" s="98">
        <v>0.16969373837579765</v>
      </c>
      <c r="F193" s="98">
        <v>5.1315556318925787E-2</v>
      </c>
      <c r="G193" s="97">
        <v>1.0799852334922273</v>
      </c>
      <c r="H193" s="98">
        <v>0.10973927880433056</v>
      </c>
      <c r="I193" s="89">
        <v>1.2131111794326355</v>
      </c>
    </row>
    <row r="194" spans="1:9" ht="15.75">
      <c r="B194" s="75" t="s">
        <v>390</v>
      </c>
      <c r="C194" s="96">
        <v>14</v>
      </c>
      <c r="D194" s="97">
        <v>1.4965601851851855</v>
      </c>
      <c r="E194" s="98">
        <v>0.65345568961205835</v>
      </c>
      <c r="F194" s="98">
        <v>4.9875987976710771E-2</v>
      </c>
      <c r="G194" s="97">
        <v>0.92331018469451509</v>
      </c>
      <c r="H194" s="98">
        <v>2.2767853055325048E-2</v>
      </c>
      <c r="I194" s="89">
        <v>0.94482174740285885</v>
      </c>
    </row>
    <row r="195" spans="1:9" ht="15.75">
      <c r="B195" s="75" t="s">
        <v>391</v>
      </c>
      <c r="C195" s="96">
        <v>14</v>
      </c>
      <c r="D195" s="97">
        <v>0.83049166666666674</v>
      </c>
      <c r="E195" s="98">
        <v>7.8887558717355644E-2</v>
      </c>
      <c r="F195" s="98">
        <v>0.19823303352732152</v>
      </c>
      <c r="G195" s="97">
        <v>0.7810882719344262</v>
      </c>
      <c r="H195" s="98">
        <v>3.5305593078319146E-2</v>
      </c>
      <c r="I195" s="89">
        <v>0.80967430341683244</v>
      </c>
    </row>
    <row r="196" spans="1:9" ht="15.75">
      <c r="B196" s="75" t="s">
        <v>392</v>
      </c>
      <c r="C196" s="96">
        <v>37</v>
      </c>
      <c r="D196" s="97">
        <v>1.1904670781893003</v>
      </c>
      <c r="E196" s="98">
        <v>0.4590827466684253</v>
      </c>
      <c r="F196" s="98">
        <v>0.14131591014305081</v>
      </c>
      <c r="G196" s="97">
        <v>0.85386677521763599</v>
      </c>
      <c r="H196" s="98">
        <v>6.3094417021264601E-2</v>
      </c>
      <c r="I196" s="89">
        <v>0.91136907574283921</v>
      </c>
    </row>
    <row r="197" spans="1:9" ht="15.75">
      <c r="B197" s="75" t="s">
        <v>393</v>
      </c>
      <c r="C197" s="96">
        <v>28</v>
      </c>
      <c r="D197" s="97">
        <v>0.68071825396825392</v>
      </c>
      <c r="E197" s="98">
        <v>1.0513850034518384</v>
      </c>
      <c r="F197" s="98">
        <v>0.11544702314287625</v>
      </c>
      <c r="G197" s="97">
        <v>0.35270271054405578</v>
      </c>
      <c r="H197" s="98">
        <v>5.1464507545026093E-2</v>
      </c>
      <c r="I197" s="89">
        <v>0.37183923358650517</v>
      </c>
    </row>
    <row r="198" spans="1:9" ht="15.75">
      <c r="B198" s="75" t="s">
        <v>394</v>
      </c>
      <c r="C198" s="96">
        <v>131</v>
      </c>
      <c r="D198" s="97">
        <v>1.1449544402356899</v>
      </c>
      <c r="E198" s="98">
        <v>0.10768156964887088</v>
      </c>
      <c r="F198" s="98">
        <v>6.902385092755893E-2</v>
      </c>
      <c r="G198" s="97">
        <v>1.0406321371738951</v>
      </c>
      <c r="H198" s="98">
        <v>6.3621266531945178E-2</v>
      </c>
      <c r="I198" s="89">
        <v>1.1113367913853813</v>
      </c>
    </row>
    <row r="199" spans="1:9" ht="15.75">
      <c r="B199" s="75" t="s">
        <v>395</v>
      </c>
      <c r="C199" s="96">
        <v>82</v>
      </c>
      <c r="D199" s="97">
        <v>0.94049440586419741</v>
      </c>
      <c r="E199" s="98">
        <v>0.71233760157318537</v>
      </c>
      <c r="F199" s="98">
        <v>8.3998938195763415E-2</v>
      </c>
      <c r="G199" s="97">
        <v>0.56913359633049287</v>
      </c>
      <c r="H199" s="98">
        <v>9.6342209943487619E-2</v>
      </c>
      <c r="I199" s="89">
        <v>0.62981097777611228</v>
      </c>
    </row>
    <row r="200" spans="1:9" ht="15.75">
      <c r="B200" s="75" t="s">
        <v>396</v>
      </c>
      <c r="C200" s="110">
        <v>223</v>
      </c>
      <c r="D200" s="111">
        <v>0.53137101263112785</v>
      </c>
      <c r="E200" s="112" t="s">
        <v>219</v>
      </c>
      <c r="F200" s="112">
        <v>0.18928838382005742</v>
      </c>
      <c r="G200" s="111">
        <v>1.2004147606086993E-2</v>
      </c>
      <c r="H200" s="112">
        <v>1.8841211800575835E-2</v>
      </c>
      <c r="I200" s="89" t="s">
        <v>219</v>
      </c>
    </row>
    <row r="201" spans="1:9" ht="15.75">
      <c r="B201" s="75" t="s">
        <v>397</v>
      </c>
      <c r="C201" s="96">
        <v>12</v>
      </c>
      <c r="D201" s="97">
        <v>0.93871412037037039</v>
      </c>
      <c r="E201" s="98">
        <v>0.2082941005353855</v>
      </c>
      <c r="F201" s="98">
        <v>0.14231549640411176</v>
      </c>
      <c r="G201" s="97">
        <v>0.7964311923091989</v>
      </c>
      <c r="H201" s="98">
        <v>3.7971646603628763E-2</v>
      </c>
      <c r="I201" s="89">
        <v>0.82786665226389267</v>
      </c>
    </row>
    <row r="202" spans="1:9" ht="15.75">
      <c r="B202" s="118" t="s">
        <v>402</v>
      </c>
      <c r="C202" s="119">
        <v>7766</v>
      </c>
      <c r="D202" s="120">
        <v>1.006633027274894</v>
      </c>
      <c r="E202" s="121">
        <v>0.74279914294523075</v>
      </c>
      <c r="F202" s="121">
        <v>0.10317534141356116</v>
      </c>
      <c r="G202" s="120">
        <v>0.60416326893320893</v>
      </c>
      <c r="H202" s="121">
        <v>5.2393384644217576E-2</v>
      </c>
      <c r="I202" s="122">
        <v>0.63756759307381328</v>
      </c>
    </row>
    <row r="203" spans="1:9" ht="15.75">
      <c r="B203" s="75" t="s">
        <v>398</v>
      </c>
      <c r="C203" s="96">
        <v>22</v>
      </c>
      <c r="D203" s="97">
        <v>1.0061123456790124</v>
      </c>
      <c r="E203" s="98">
        <v>0.20753048953748554</v>
      </c>
      <c r="F203" s="98">
        <v>0.21205535598499192</v>
      </c>
      <c r="G203" s="97">
        <v>0.86471238250966309</v>
      </c>
      <c r="H203" s="98">
        <v>5.5983040196584455E-2</v>
      </c>
      <c r="I203" s="89">
        <v>0.91599242315491125</v>
      </c>
    </row>
    <row r="204" spans="1:9" ht="15.75">
      <c r="B204" s="75" t="s">
        <v>399</v>
      </c>
      <c r="C204" s="96">
        <v>28</v>
      </c>
      <c r="D204" s="97">
        <v>1.1666896433470504</v>
      </c>
      <c r="E204" s="98">
        <v>0.78480008363054843</v>
      </c>
      <c r="F204" s="98">
        <v>0.27927887180133443</v>
      </c>
      <c r="G204" s="97">
        <v>0.74519241687437165</v>
      </c>
      <c r="H204" s="98">
        <v>2.9160950255610898E-2</v>
      </c>
      <c r="I204" s="89">
        <v>0.76757565228816493</v>
      </c>
    </row>
    <row r="205" spans="1:9" ht="15.75">
      <c r="B205" s="75" t="s">
        <v>400</v>
      </c>
      <c r="C205" s="96">
        <v>20</v>
      </c>
      <c r="D205" s="97">
        <v>0.55940648148148153</v>
      </c>
      <c r="E205" s="98">
        <v>0.69348263553722533</v>
      </c>
      <c r="F205" s="98">
        <v>0.29925147868742752</v>
      </c>
      <c r="G205" s="97">
        <v>0.37646210980770206</v>
      </c>
      <c r="H205" s="98">
        <v>9.720747341444614E-3</v>
      </c>
      <c r="I205" s="89">
        <v>0.380157525058747</v>
      </c>
    </row>
    <row r="206" spans="1:9" ht="15.75">
      <c r="B206" s="80" t="s">
        <v>401</v>
      </c>
      <c r="C206" s="81">
        <v>20</v>
      </c>
      <c r="D206" s="102">
        <v>0.74742102396514165</v>
      </c>
      <c r="E206" s="82">
        <v>0.57897465658594027</v>
      </c>
      <c r="F206" s="82">
        <v>0.14520452995987823</v>
      </c>
      <c r="G206" s="102">
        <v>0.49997897331568159</v>
      </c>
      <c r="H206" s="82">
        <v>5.5058344518004896E-3</v>
      </c>
      <c r="I206" s="103">
        <v>0.50274701515224673</v>
      </c>
    </row>
    <row r="208" spans="1:9" ht="30" customHeight="1">
      <c r="A208" s="182" t="s">
        <v>415</v>
      </c>
      <c r="B208" s="182"/>
    </row>
    <row r="209" spans="2:9">
      <c r="B209" s="90" t="s">
        <v>304</v>
      </c>
      <c r="C209" s="91" t="s">
        <v>305</v>
      </c>
      <c r="D209" s="92" t="s">
        <v>425</v>
      </c>
      <c r="E209" s="91" t="s">
        <v>426</v>
      </c>
      <c r="F209" s="91" t="s">
        <v>427</v>
      </c>
      <c r="G209" s="91" t="s">
        <v>301</v>
      </c>
      <c r="H209" s="91" t="s">
        <v>428</v>
      </c>
      <c r="I209" s="93" t="s">
        <v>429</v>
      </c>
    </row>
    <row r="210" spans="2:9" ht="15.75">
      <c r="B210" s="75" t="s">
        <v>306</v>
      </c>
      <c r="C210" s="99">
        <v>72</v>
      </c>
      <c r="D210" s="100">
        <v>0.78537545454545454</v>
      </c>
      <c r="E210" s="101">
        <v>0.27980672047266536</v>
      </c>
      <c r="F210" s="101">
        <v>0.2111439829468279</v>
      </c>
      <c r="G210" s="100">
        <v>0.64336687579208773</v>
      </c>
      <c r="H210" s="101">
        <v>5.7188671659124238E-2</v>
      </c>
      <c r="I210" s="89">
        <v>0.68239196587111528</v>
      </c>
    </row>
    <row r="211" spans="2:9" ht="15.75">
      <c r="B211" s="75" t="s">
        <v>307</v>
      </c>
      <c r="C211" s="99">
        <v>37</v>
      </c>
      <c r="D211" s="100">
        <v>0.96102645161290334</v>
      </c>
      <c r="E211" s="101">
        <v>0.22226378717329703</v>
      </c>
      <c r="F211" s="101">
        <v>0.16751224971523165</v>
      </c>
      <c r="G211" s="100">
        <v>0.81097096855173301</v>
      </c>
      <c r="H211" s="101">
        <v>8.5638298782383895E-2</v>
      </c>
      <c r="I211" s="89">
        <v>0.88692578382471388</v>
      </c>
    </row>
    <row r="212" spans="2:9" ht="15.75">
      <c r="B212" s="75" t="s">
        <v>308</v>
      </c>
      <c r="C212" s="99">
        <v>36</v>
      </c>
      <c r="D212" s="100">
        <v>1.2291224242424241</v>
      </c>
      <c r="E212" s="101">
        <v>0.90379584957506642</v>
      </c>
      <c r="F212" s="101">
        <v>0.17905825617633866</v>
      </c>
      <c r="G212" s="100">
        <v>0.70559587174321292</v>
      </c>
      <c r="H212" s="101">
        <v>9.7294553051546939E-2</v>
      </c>
      <c r="I212" s="89">
        <v>0.78164574516354324</v>
      </c>
    </row>
    <row r="213" spans="2:9" ht="15.75">
      <c r="B213" s="75" t="s">
        <v>309</v>
      </c>
      <c r="C213" s="99">
        <v>135</v>
      </c>
      <c r="D213" s="100">
        <v>0.96714601769911512</v>
      </c>
      <c r="E213" s="101">
        <v>0.14864168139107342</v>
      </c>
      <c r="F213" s="101">
        <v>0.12042308742889284</v>
      </c>
      <c r="G213" s="100">
        <v>0.85531995476616074</v>
      </c>
      <c r="H213" s="101">
        <v>3.7639253624309525E-2</v>
      </c>
      <c r="I213" s="89">
        <v>0.88877269567295647</v>
      </c>
    </row>
    <row r="214" spans="2:9" ht="15.75">
      <c r="B214" s="75" t="s">
        <v>310</v>
      </c>
      <c r="C214" s="99">
        <v>16</v>
      </c>
      <c r="D214" s="100">
        <v>1.5786053333333334</v>
      </c>
      <c r="E214" s="101">
        <v>1.3334527982997266</v>
      </c>
      <c r="F214" s="101">
        <v>0.13315006300967422</v>
      </c>
      <c r="G214" s="100">
        <v>0.73222449531493516</v>
      </c>
      <c r="H214" s="101">
        <v>0.14591456990757432</v>
      </c>
      <c r="I214" s="89">
        <v>0.85731997001248084</v>
      </c>
    </row>
    <row r="215" spans="2:9" ht="15.75">
      <c r="B215" s="75" t="s">
        <v>311</v>
      </c>
      <c r="C215" s="99">
        <v>54</v>
      </c>
      <c r="D215" s="100">
        <v>1.7684441666666675</v>
      </c>
      <c r="E215" s="101">
        <v>0.29047236333888016</v>
      </c>
      <c r="F215" s="101">
        <v>0.18044704870041878</v>
      </c>
      <c r="G215" s="100">
        <v>1.4284023088233777</v>
      </c>
      <c r="H215" s="101">
        <v>7.5539800752945183E-2</v>
      </c>
      <c r="I215" s="89">
        <v>1.5451203956500981</v>
      </c>
    </row>
    <row r="216" spans="2:9" ht="15.75">
      <c r="B216" s="75" t="s">
        <v>312</v>
      </c>
      <c r="C216" s="99">
        <v>121</v>
      </c>
      <c r="D216" s="100">
        <v>1.8451836206896548</v>
      </c>
      <c r="E216" s="101">
        <v>5.9329296081713414</v>
      </c>
      <c r="F216" s="101">
        <v>0.15869796405277151</v>
      </c>
      <c r="G216" s="100">
        <v>0.30797276207364116</v>
      </c>
      <c r="H216" s="101">
        <v>0.12504035196783833</v>
      </c>
      <c r="I216" s="89">
        <v>0.35198510327452354</v>
      </c>
    </row>
    <row r="217" spans="2:9" ht="15.75">
      <c r="B217" s="75" t="s">
        <v>313</v>
      </c>
      <c r="C217" s="99">
        <v>68</v>
      </c>
      <c r="D217" s="100">
        <v>0.71863107692307693</v>
      </c>
      <c r="E217" s="101">
        <v>3.3695267376788669</v>
      </c>
      <c r="F217" s="101">
        <v>0.24558850700275539</v>
      </c>
      <c r="G217" s="100">
        <v>0.20288794735904778</v>
      </c>
      <c r="H217" s="101">
        <v>9.9831565681007858E-2</v>
      </c>
      <c r="I217" s="89">
        <v>0.22538887126445326</v>
      </c>
    </row>
    <row r="218" spans="2:9" ht="15.75">
      <c r="B218" s="75" t="s">
        <v>314</v>
      </c>
      <c r="C218" s="99">
        <v>15</v>
      </c>
      <c r="D218" s="100">
        <v>0.65113833333333326</v>
      </c>
      <c r="E218" s="101">
        <v>0.26454859063607222</v>
      </c>
      <c r="F218" s="101">
        <v>0.17067389363062108</v>
      </c>
      <c r="G218" s="100">
        <v>0.53398385040829222</v>
      </c>
      <c r="H218" s="101">
        <v>5.4421735776805792E-2</v>
      </c>
      <c r="I218" s="89">
        <v>0.56471671421822223</v>
      </c>
    </row>
    <row r="219" spans="2:9" ht="15.75">
      <c r="B219" s="75" t="s">
        <v>315</v>
      </c>
      <c r="C219" s="99">
        <v>52</v>
      </c>
      <c r="D219" s="100">
        <v>0.68694622222222235</v>
      </c>
      <c r="E219" s="101">
        <v>0.32443772169660723</v>
      </c>
      <c r="F219" s="101">
        <v>0.14138370484844576</v>
      </c>
      <c r="G219" s="100">
        <v>0.53727801963705002</v>
      </c>
      <c r="H219" s="101">
        <v>1.5171810030986938E-2</v>
      </c>
      <c r="I219" s="89">
        <v>0.54555507763638966</v>
      </c>
    </row>
    <row r="220" spans="2:9" ht="15.75">
      <c r="B220" s="75" t="s">
        <v>316</v>
      </c>
      <c r="C220" s="99">
        <v>126</v>
      </c>
      <c r="D220" s="100">
        <v>0.98666839285714281</v>
      </c>
      <c r="E220" s="101">
        <v>9.5974582066288922E-2</v>
      </c>
      <c r="F220" s="101">
        <v>3.4383882995694309E-2</v>
      </c>
      <c r="G220" s="100">
        <v>0.90298464877652529</v>
      </c>
      <c r="H220" s="101">
        <v>5.1723394466270993E-2</v>
      </c>
      <c r="I220" s="89">
        <v>0.95223761032076548</v>
      </c>
    </row>
    <row r="221" spans="2:9" ht="15.75">
      <c r="B221" s="75" t="s">
        <v>317</v>
      </c>
      <c r="C221" s="99">
        <v>28</v>
      </c>
      <c r="D221" s="100">
        <v>1.4505148148148148</v>
      </c>
      <c r="E221" s="101">
        <v>0.22574040326371275</v>
      </c>
      <c r="F221" s="101">
        <v>0.15092065147834058</v>
      </c>
      <c r="G221" s="100">
        <v>1.2172102774286411</v>
      </c>
      <c r="H221" s="101">
        <v>3.6682670708006744E-2</v>
      </c>
      <c r="I221" s="89">
        <v>1.2635610721580717</v>
      </c>
    </row>
    <row r="222" spans="2:9" ht="15.75">
      <c r="B222" s="75" t="s">
        <v>318</v>
      </c>
      <c r="C222" s="99">
        <v>79</v>
      </c>
      <c r="D222" s="100">
        <v>0.82495176470588216</v>
      </c>
      <c r="E222" s="101">
        <v>2.3942127172532</v>
      </c>
      <c r="F222" s="101">
        <v>0.13127826801859119</v>
      </c>
      <c r="G222" s="100">
        <v>0.2678497768275917</v>
      </c>
      <c r="H222" s="101">
        <v>0.1112060704855414</v>
      </c>
      <c r="I222" s="89">
        <v>0.301363193348897</v>
      </c>
    </row>
    <row r="223" spans="2:9" ht="15.75">
      <c r="B223" s="75" t="s">
        <v>319</v>
      </c>
      <c r="C223" s="99">
        <v>90</v>
      </c>
      <c r="D223" s="100">
        <v>1.0712028205128203</v>
      </c>
      <c r="E223" s="101">
        <v>0.32421394325394215</v>
      </c>
      <c r="F223" s="101">
        <v>0.15252985678004591</v>
      </c>
      <c r="G223" s="100">
        <v>0.84031617322451013</v>
      </c>
      <c r="H223" s="101">
        <v>5.8985336751642053E-2</v>
      </c>
      <c r="I223" s="89">
        <v>0.89298945706516486</v>
      </c>
    </row>
    <row r="224" spans="2:9" ht="15.75">
      <c r="B224" s="75" t="s">
        <v>320</v>
      </c>
      <c r="C224" s="99">
        <v>212</v>
      </c>
      <c r="D224" s="100">
        <v>0.93004539682539644</v>
      </c>
      <c r="E224" s="101">
        <v>0.24043348966171399</v>
      </c>
      <c r="F224" s="101">
        <v>0.1672539970101862</v>
      </c>
      <c r="G224" s="100">
        <v>0.77489574870876377</v>
      </c>
      <c r="H224" s="101">
        <v>3.9739921215477036E-2</v>
      </c>
      <c r="I224" s="89">
        <v>0.80696445247376158</v>
      </c>
    </row>
    <row r="225" spans="2:9" ht="15.75">
      <c r="B225" s="75" t="s">
        <v>321</v>
      </c>
      <c r="C225" s="99">
        <v>11</v>
      </c>
      <c r="D225" s="100">
        <v>1.045895</v>
      </c>
      <c r="E225" s="101">
        <v>0.73184264590131198</v>
      </c>
      <c r="F225" s="101">
        <v>0.16881233372848795</v>
      </c>
      <c r="G225" s="100">
        <v>0.65031146107128313</v>
      </c>
      <c r="H225" s="101">
        <v>1.966490296823761E-2</v>
      </c>
      <c r="I225" s="89">
        <v>0.66335629831093701</v>
      </c>
    </row>
    <row r="226" spans="2:9" ht="15.75">
      <c r="B226" s="75" t="s">
        <v>322</v>
      </c>
      <c r="C226" s="99">
        <v>60</v>
      </c>
      <c r="D226" s="100">
        <v>1.0520232653061226</v>
      </c>
      <c r="E226" s="101">
        <v>0.19362398533102609</v>
      </c>
      <c r="F226" s="101">
        <v>0.12523514963888668</v>
      </c>
      <c r="G226" s="100">
        <v>0.89964541277950638</v>
      </c>
      <c r="H226" s="101">
        <v>7.6930167146125536E-2</v>
      </c>
      <c r="I226" s="89">
        <v>0.97462334999948341</v>
      </c>
    </row>
    <row r="227" spans="2:9" ht="15.75">
      <c r="B227" s="75" t="s">
        <v>323</v>
      </c>
      <c r="C227" s="99">
        <v>8</v>
      </c>
      <c r="D227" s="100">
        <v>2.0169142857142859</v>
      </c>
      <c r="E227" s="101">
        <v>0.26822897340396767</v>
      </c>
      <c r="F227" s="101">
        <v>0.24789044106305466</v>
      </c>
      <c r="G227" s="100">
        <v>1.6783317155694839</v>
      </c>
      <c r="H227" s="101">
        <v>3.3655574244583576E-2</v>
      </c>
      <c r="I227" s="89">
        <v>1.7367841846425394</v>
      </c>
    </row>
    <row r="228" spans="2:9" ht="15.75">
      <c r="B228" s="75" t="s">
        <v>324</v>
      </c>
      <c r="C228" s="99">
        <v>81</v>
      </c>
      <c r="D228" s="100">
        <v>0.9303397260273969</v>
      </c>
      <c r="E228" s="101">
        <v>0.18773388801396582</v>
      </c>
      <c r="F228" s="101">
        <v>0.13325481702715725</v>
      </c>
      <c r="G228" s="100">
        <v>0.80014257250106979</v>
      </c>
      <c r="H228" s="101">
        <v>6.0537926101028892E-2</v>
      </c>
      <c r="I228" s="89">
        <v>0.85170289970334279</v>
      </c>
    </row>
    <row r="229" spans="2:9" ht="15.75">
      <c r="B229" s="75" t="s">
        <v>325</v>
      </c>
      <c r="C229" s="99">
        <v>26</v>
      </c>
      <c r="D229" s="100">
        <v>1.2524833333333334</v>
      </c>
      <c r="E229" s="101">
        <v>0.79553386147669825</v>
      </c>
      <c r="F229" s="101">
        <v>5.552525996037859E-2</v>
      </c>
      <c r="G229" s="100">
        <v>0.71514832052103672</v>
      </c>
      <c r="H229" s="101">
        <v>3.331775446775883E-2</v>
      </c>
      <c r="I229" s="89">
        <v>0.73979668482199801</v>
      </c>
    </row>
    <row r="230" spans="2:9" ht="15.75">
      <c r="B230" s="75" t="s">
        <v>326</v>
      </c>
      <c r="C230" s="99">
        <v>221</v>
      </c>
      <c r="D230" s="100">
        <v>0.83287402173913005</v>
      </c>
      <c r="E230" s="101">
        <v>0.16147184502376755</v>
      </c>
      <c r="F230" s="101">
        <v>0.18563242175267322</v>
      </c>
      <c r="G230" s="100">
        <v>0.7360812280181338</v>
      </c>
      <c r="H230" s="101">
        <v>8.8287983980792295E-2</v>
      </c>
      <c r="I230" s="89">
        <v>0.8073615517672702</v>
      </c>
    </row>
    <row r="231" spans="2:9" ht="15.75">
      <c r="B231" s="75" t="s">
        <v>327</v>
      </c>
      <c r="C231" s="99">
        <v>244</v>
      </c>
      <c r="D231" s="100">
        <v>0.87871096774193558</v>
      </c>
      <c r="E231" s="101">
        <v>8.3216725507793007E-2</v>
      </c>
      <c r="F231" s="101">
        <v>0.12050430543546523</v>
      </c>
      <c r="G231" s="100">
        <v>0.8187851077158933</v>
      </c>
      <c r="H231" s="101">
        <v>5.9489785299749395E-2</v>
      </c>
      <c r="I231" s="89">
        <v>0.87057545459710683</v>
      </c>
    </row>
    <row r="232" spans="2:9" ht="15.75">
      <c r="B232" s="75" t="s">
        <v>328</v>
      </c>
      <c r="C232" s="99">
        <v>34</v>
      </c>
      <c r="D232" s="100">
        <v>1.3104162962962962</v>
      </c>
      <c r="E232" s="101">
        <v>0.14911906983346418</v>
      </c>
      <c r="F232" s="101">
        <v>0.12085895803299558</v>
      </c>
      <c r="G232" s="100">
        <v>1.1585360497901849</v>
      </c>
      <c r="H232" s="101">
        <v>9.0987911567328106E-2</v>
      </c>
      <c r="I232" s="89">
        <v>1.2745001574046664</v>
      </c>
    </row>
    <row r="233" spans="2:9" ht="15.75">
      <c r="B233" s="75" t="s">
        <v>329</v>
      </c>
      <c r="C233" s="99">
        <v>59</v>
      </c>
      <c r="D233" s="100">
        <v>1.3135927272727277</v>
      </c>
      <c r="E233" s="101">
        <v>0.76174956654757287</v>
      </c>
      <c r="F233" s="101">
        <v>0.16577875791273916</v>
      </c>
      <c r="G233" s="100">
        <v>0.80319088644676018</v>
      </c>
      <c r="H233" s="101">
        <v>7.2858926448014338E-2</v>
      </c>
      <c r="I233" s="89">
        <v>0.86630924824594624</v>
      </c>
    </row>
    <row r="234" spans="2:9" ht="15.75">
      <c r="B234" s="75" t="s">
        <v>330</v>
      </c>
      <c r="C234" s="99">
        <v>54</v>
      </c>
      <c r="D234" s="100">
        <v>1.1882957446808511</v>
      </c>
      <c r="E234" s="101">
        <v>0.43061240872741502</v>
      </c>
      <c r="F234" s="101">
        <v>0.12268588222598061</v>
      </c>
      <c r="G234" s="100">
        <v>0.8624698586042614</v>
      </c>
      <c r="H234" s="101">
        <v>9.9359840047159823E-2</v>
      </c>
      <c r="I234" s="89">
        <v>0.95761869940312516</v>
      </c>
    </row>
    <row r="235" spans="2:9" ht="15.75">
      <c r="B235" s="75" t="s">
        <v>331</v>
      </c>
      <c r="C235" s="99">
        <v>7</v>
      </c>
      <c r="D235" s="100">
        <v>0.41145200000000004</v>
      </c>
      <c r="E235" s="101">
        <v>3.9468907302740171E-2</v>
      </c>
      <c r="F235" s="101">
        <v>0.12787114845938377</v>
      </c>
      <c r="G235" s="100">
        <v>0.39776030558135267</v>
      </c>
      <c r="H235" s="101">
        <v>9.9951226081392452E-2</v>
      </c>
      <c r="I235" s="89">
        <v>0.44193194536513258</v>
      </c>
    </row>
    <row r="236" spans="2:9" ht="15.75">
      <c r="B236" s="75" t="s">
        <v>332</v>
      </c>
      <c r="C236" s="99">
        <v>103</v>
      </c>
      <c r="D236" s="100">
        <v>1.2083909090909088</v>
      </c>
      <c r="E236" s="101">
        <v>0.2846681334375552</v>
      </c>
      <c r="F236" s="101">
        <v>0.11154964707968774</v>
      </c>
      <c r="G236" s="100">
        <v>0.96446475004196575</v>
      </c>
      <c r="H236" s="101">
        <v>6.281468699467084E-2</v>
      </c>
      <c r="I236" s="89">
        <v>1.0291078366872375</v>
      </c>
    </row>
    <row r="237" spans="2:9" ht="15.75">
      <c r="B237" s="75" t="s">
        <v>333</v>
      </c>
      <c r="C237" s="99">
        <v>138</v>
      </c>
      <c r="D237" s="100">
        <v>0.97906163934426205</v>
      </c>
      <c r="E237" s="101">
        <v>0.1538624799454815</v>
      </c>
      <c r="F237" s="101">
        <v>0.14433988658572955</v>
      </c>
      <c r="G237" s="100">
        <v>0.86515989035202456</v>
      </c>
      <c r="H237" s="101">
        <v>5.1558425441628315E-2</v>
      </c>
      <c r="I237" s="89">
        <v>0.91219102321075918</v>
      </c>
    </row>
    <row r="238" spans="2:9" ht="15.75">
      <c r="B238" s="75" t="s">
        <v>334</v>
      </c>
      <c r="C238" s="99">
        <v>22</v>
      </c>
      <c r="D238" s="100">
        <v>1.226985263157895</v>
      </c>
      <c r="E238" s="101">
        <v>0.177207447343318</v>
      </c>
      <c r="F238" s="101">
        <v>0.11603961446071601</v>
      </c>
      <c r="G238" s="100">
        <v>1.0608146305858366</v>
      </c>
      <c r="H238" s="101">
        <v>0.10567043385947913</v>
      </c>
      <c r="I238" s="89">
        <v>1.1861562792380689</v>
      </c>
    </row>
    <row r="239" spans="2:9" ht="15.75">
      <c r="B239" s="75" t="s">
        <v>335</v>
      </c>
      <c r="C239" s="99">
        <v>170</v>
      </c>
      <c r="D239" s="100">
        <v>1.3179337662337669</v>
      </c>
      <c r="E239" s="101">
        <v>1.0352881585018607</v>
      </c>
      <c r="F239" s="101">
        <v>0.14452913168382905</v>
      </c>
      <c r="G239" s="100">
        <v>0.69892481310004595</v>
      </c>
      <c r="H239" s="101">
        <v>0.11489864154957843</v>
      </c>
      <c r="I239" s="89">
        <v>0.78965511286038292</v>
      </c>
    </row>
    <row r="240" spans="2:9" ht="15.75">
      <c r="B240" s="75" t="s">
        <v>336</v>
      </c>
      <c r="C240" s="99">
        <v>86</v>
      </c>
      <c r="D240" s="100">
        <v>0.83371055555555551</v>
      </c>
      <c r="E240" s="101">
        <v>0.56732177731972011</v>
      </c>
      <c r="F240" s="101">
        <v>0.10394716193504133</v>
      </c>
      <c r="G240" s="100">
        <v>0.5527300666308349</v>
      </c>
      <c r="H240" s="101">
        <v>7.8782882815508187E-2</v>
      </c>
      <c r="I240" s="89">
        <v>0.59999977890135081</v>
      </c>
    </row>
    <row r="241" spans="2:9" ht="15.75">
      <c r="B241" s="75" t="s">
        <v>337</v>
      </c>
      <c r="C241" s="99">
        <v>49</v>
      </c>
      <c r="D241" s="100">
        <v>1.1642946341463416</v>
      </c>
      <c r="E241" s="101">
        <v>0.50929536594661773</v>
      </c>
      <c r="F241" s="101">
        <v>0.15145751700873644</v>
      </c>
      <c r="G241" s="100">
        <v>0.8129647852043741</v>
      </c>
      <c r="H241" s="101">
        <v>5.4000902956234179E-2</v>
      </c>
      <c r="I241" s="89">
        <v>0.85937162915364074</v>
      </c>
    </row>
    <row r="242" spans="2:9" ht="15.75">
      <c r="B242" s="75" t="s">
        <v>338</v>
      </c>
      <c r="C242" s="99">
        <v>37</v>
      </c>
      <c r="D242" s="100">
        <v>0.7024406666666666</v>
      </c>
      <c r="E242" s="101">
        <v>0.27206755226042023</v>
      </c>
      <c r="F242" s="101">
        <v>0.14035004192660178</v>
      </c>
      <c r="G242" s="100">
        <v>0.56929283119073737</v>
      </c>
      <c r="H242" s="101">
        <v>7.299940968237327E-2</v>
      </c>
      <c r="I242" s="89">
        <v>0.61412348291566388</v>
      </c>
    </row>
    <row r="243" spans="2:9" ht="15.75">
      <c r="B243" s="75" t="s">
        <v>339</v>
      </c>
      <c r="C243" s="99">
        <v>84</v>
      </c>
      <c r="D243" s="100">
        <v>0.9826841666666668</v>
      </c>
      <c r="E243" s="101">
        <v>9.2233783008021888</v>
      </c>
      <c r="F243" s="101">
        <v>0.13497369347372307</v>
      </c>
      <c r="G243" s="100">
        <v>0.10944901844761742</v>
      </c>
      <c r="H243" s="101">
        <v>0.21993692127696865</v>
      </c>
      <c r="I243" s="89">
        <v>0.14030790769739573</v>
      </c>
    </row>
    <row r="244" spans="2:9" ht="15.75">
      <c r="B244" s="75" t="s">
        <v>340</v>
      </c>
      <c r="C244" s="99">
        <v>14</v>
      </c>
      <c r="D244" s="100">
        <v>1.0753981818181819</v>
      </c>
      <c r="E244" s="101">
        <v>3.6126471440448813</v>
      </c>
      <c r="F244" s="101">
        <v>0.13786317736458201</v>
      </c>
      <c r="G244" s="100">
        <v>0.26136178322802889</v>
      </c>
      <c r="H244" s="101">
        <v>3.7272917166335802E-2</v>
      </c>
      <c r="I244" s="89">
        <v>0.27148065935648541</v>
      </c>
    </row>
    <row r="245" spans="2:9" ht="15.75">
      <c r="B245" s="75" t="s">
        <v>341</v>
      </c>
      <c r="C245" s="99">
        <v>156</v>
      </c>
      <c r="D245" s="100">
        <v>0.968684647887324</v>
      </c>
      <c r="E245" s="101">
        <v>0.21464206507830064</v>
      </c>
      <c r="F245" s="101">
        <v>0.14908874631836169</v>
      </c>
      <c r="G245" s="100">
        <v>0.81908572616835962</v>
      </c>
      <c r="H245" s="101">
        <v>3.1010483962253959E-2</v>
      </c>
      <c r="I245" s="89">
        <v>0.84529885268279092</v>
      </c>
    </row>
    <row r="246" spans="2:9" ht="15.75">
      <c r="B246" s="75" t="s">
        <v>342</v>
      </c>
      <c r="C246" s="99">
        <v>16</v>
      </c>
      <c r="D246" s="100">
        <v>0.94088933333333324</v>
      </c>
      <c r="E246" s="101">
        <v>2.7220909836083482</v>
      </c>
      <c r="F246" s="101">
        <v>0.12482943406401799</v>
      </c>
      <c r="G246" s="100">
        <v>0.27818083209220434</v>
      </c>
      <c r="H246" s="101">
        <v>0.16116638310033549</v>
      </c>
      <c r="I246" s="89">
        <v>0.33162813994074636</v>
      </c>
    </row>
    <row r="247" spans="2:9" ht="15.75">
      <c r="B247" s="75" t="s">
        <v>343</v>
      </c>
      <c r="C247" s="99">
        <v>51</v>
      </c>
      <c r="D247" s="100">
        <v>1.0328310638297873</v>
      </c>
      <c r="E247" s="101">
        <v>0.31267631524476813</v>
      </c>
      <c r="F247" s="101">
        <v>0.16902211119942917</v>
      </c>
      <c r="G247" s="100">
        <v>0.81981968818430262</v>
      </c>
      <c r="H247" s="101">
        <v>7.1503379589310065E-2</v>
      </c>
      <c r="I247" s="89">
        <v>0.88295387421193017</v>
      </c>
    </row>
    <row r="248" spans="2:9" ht="15.75">
      <c r="B248" s="75" t="s">
        <v>344</v>
      </c>
      <c r="C248" s="99">
        <v>104</v>
      </c>
      <c r="D248" s="100">
        <v>0.83216620689655174</v>
      </c>
      <c r="E248" s="101">
        <v>0.12305717725457942</v>
      </c>
      <c r="F248" s="101">
        <v>0.11435981610976463</v>
      </c>
      <c r="G248" s="100">
        <v>0.75038586754175995</v>
      </c>
      <c r="H248" s="101">
        <v>4.0496563501505954E-2</v>
      </c>
      <c r="I248" s="89">
        <v>0.78205646691598663</v>
      </c>
    </row>
    <row r="249" spans="2:9" ht="15.75">
      <c r="B249" s="75" t="s">
        <v>345</v>
      </c>
      <c r="C249" s="99">
        <v>26</v>
      </c>
      <c r="D249" s="100">
        <v>0.82446615384615385</v>
      </c>
      <c r="E249" s="101">
        <v>1.2681129780655771</v>
      </c>
      <c r="F249" s="101">
        <v>0.20630003866451252</v>
      </c>
      <c r="G249" s="100">
        <v>0.41089740935427704</v>
      </c>
      <c r="H249" s="101">
        <v>2.9720884881532482E-2</v>
      </c>
      <c r="I249" s="89">
        <v>0.4234837202531232</v>
      </c>
    </row>
    <row r="250" spans="2:9" ht="15.75">
      <c r="B250" s="75" t="s">
        <v>346</v>
      </c>
      <c r="C250" s="99">
        <v>20</v>
      </c>
      <c r="D250" s="100">
        <v>0.6388012500000001</v>
      </c>
      <c r="E250" s="101">
        <v>5.6118863367753853E-2</v>
      </c>
      <c r="F250" s="101">
        <v>0.11846627287188397</v>
      </c>
      <c r="G250" s="100">
        <v>0.60868899701704104</v>
      </c>
      <c r="H250" s="101">
        <v>2.6583293610433007E-2</v>
      </c>
      <c r="I250" s="89">
        <v>0.62531184540142892</v>
      </c>
    </row>
    <row r="251" spans="2:9" ht="15.75">
      <c r="B251" s="75" t="s">
        <v>347</v>
      </c>
      <c r="C251" s="99">
        <v>46</v>
      </c>
      <c r="D251" s="100">
        <v>0.76124190476190468</v>
      </c>
      <c r="E251" s="101">
        <v>0.57844039349208665</v>
      </c>
      <c r="F251" s="101">
        <v>0.16140155619670929</v>
      </c>
      <c r="G251" s="100">
        <v>0.5125934682003539</v>
      </c>
      <c r="H251" s="101">
        <v>3.3708039164652912E-2</v>
      </c>
      <c r="I251" s="89">
        <v>0.53047473121604305</v>
      </c>
    </row>
    <row r="252" spans="2:9" ht="15.75">
      <c r="B252" s="75" t="s">
        <v>348</v>
      </c>
      <c r="C252" s="99">
        <v>66</v>
      </c>
      <c r="D252" s="100">
        <v>0.91668965517241385</v>
      </c>
      <c r="E252" s="101">
        <v>0.26018067191517991</v>
      </c>
      <c r="F252" s="101">
        <v>8.4666680006891565E-2</v>
      </c>
      <c r="G252" s="100">
        <v>0.74036921708635417</v>
      </c>
      <c r="H252" s="101">
        <v>5.0494289557472163E-2</v>
      </c>
      <c r="I252" s="89">
        <v>0.77974172134393671</v>
      </c>
    </row>
    <row r="253" spans="2:9" ht="15.75">
      <c r="B253" s="75" t="s">
        <v>349</v>
      </c>
      <c r="C253" s="99">
        <v>53</v>
      </c>
      <c r="D253" s="100">
        <v>1.1964177777777776</v>
      </c>
      <c r="E253" s="101">
        <v>0.70707798154345247</v>
      </c>
      <c r="F253" s="101">
        <v>0.18396116425204251</v>
      </c>
      <c r="G253" s="100">
        <v>0.75866546058692352</v>
      </c>
      <c r="H253" s="101">
        <v>6.5809299865765988E-2</v>
      </c>
      <c r="I253" s="89">
        <v>0.81210984061167679</v>
      </c>
    </row>
    <row r="254" spans="2:9" ht="15.75">
      <c r="B254" s="75" t="s">
        <v>350</v>
      </c>
      <c r="C254" s="99">
        <v>43</v>
      </c>
      <c r="D254" s="100">
        <v>1.036913684210526</v>
      </c>
      <c r="E254" s="101">
        <v>0.11808372186004307</v>
      </c>
      <c r="F254" s="101">
        <v>0.15114850478794806</v>
      </c>
      <c r="G254" s="100">
        <v>0.9424469969145356</v>
      </c>
      <c r="H254" s="101">
        <v>6.7449108700623664E-2</v>
      </c>
      <c r="I254" s="89">
        <v>1.0106118665560122</v>
      </c>
    </row>
    <row r="255" spans="2:9" ht="15.75">
      <c r="B255" s="75" t="s">
        <v>351</v>
      </c>
      <c r="C255" s="99">
        <v>120</v>
      </c>
      <c r="D255" s="100">
        <v>1.0026392592592592</v>
      </c>
      <c r="E255" s="101">
        <v>0.51025997919063648</v>
      </c>
      <c r="F255" s="101">
        <v>0.10567736804955222</v>
      </c>
      <c r="G255" s="100">
        <v>0.68846649265229698</v>
      </c>
      <c r="H255" s="101">
        <v>8.991868214817586E-2</v>
      </c>
      <c r="I255" s="89">
        <v>0.75648898526712793</v>
      </c>
    </row>
    <row r="256" spans="2:9" ht="15.75">
      <c r="B256" s="75" t="s">
        <v>352</v>
      </c>
      <c r="C256" s="99">
        <v>57</v>
      </c>
      <c r="D256" s="100">
        <v>0.71452163265306123</v>
      </c>
      <c r="E256" s="101">
        <v>7.4578111708288555E-2</v>
      </c>
      <c r="F256" s="101">
        <v>0.1541800309841703</v>
      </c>
      <c r="G256" s="100">
        <v>0.67212426512915247</v>
      </c>
      <c r="H256" s="101">
        <v>2.2120508053302533E-2</v>
      </c>
      <c r="I256" s="89">
        <v>0.68732831669384153</v>
      </c>
    </row>
    <row r="257" spans="2:9" ht="15.75">
      <c r="B257" s="75" t="s">
        <v>353</v>
      </c>
      <c r="C257" s="99">
        <v>22</v>
      </c>
      <c r="D257" s="100">
        <v>1.0635389473684209</v>
      </c>
      <c r="E257" s="101">
        <v>0.12099790964484862</v>
      </c>
      <c r="F257" s="101">
        <v>0.15366225523102492</v>
      </c>
      <c r="G257" s="100">
        <v>0.96474422090961909</v>
      </c>
      <c r="H257" s="101">
        <v>5.9642191117694039E-2</v>
      </c>
      <c r="I257" s="89">
        <v>1.0259331201346629</v>
      </c>
    </row>
    <row r="258" spans="2:9" ht="15.75">
      <c r="B258" s="75" t="s">
        <v>354</v>
      </c>
      <c r="C258" s="99">
        <v>50</v>
      </c>
      <c r="D258" s="100">
        <v>1.2024127659574468</v>
      </c>
      <c r="E258" s="101">
        <v>0.43407809753434856</v>
      </c>
      <c r="F258" s="101">
        <v>0.19957698441862906</v>
      </c>
      <c r="G258" s="100">
        <v>0.89236427795700268</v>
      </c>
      <c r="H258" s="101">
        <v>0.23972205162332286</v>
      </c>
      <c r="I258" s="89">
        <v>1.173734263715464</v>
      </c>
    </row>
    <row r="259" spans="2:9" ht="15.75">
      <c r="B259" s="75" t="s">
        <v>355</v>
      </c>
      <c r="C259" s="99">
        <v>21</v>
      </c>
      <c r="D259" s="100">
        <v>1.9594336842105264</v>
      </c>
      <c r="E259" s="101">
        <v>0.51877459869881359</v>
      </c>
      <c r="F259" s="101">
        <v>0.24185494572002281</v>
      </c>
      <c r="G259" s="100">
        <v>1.4063193059534886</v>
      </c>
      <c r="H259" s="101">
        <v>0.27739599209299198</v>
      </c>
      <c r="I259" s="89">
        <v>1.946182543364011</v>
      </c>
    </row>
    <row r="260" spans="2:9" ht="15.75">
      <c r="B260" s="75" t="s">
        <v>356</v>
      </c>
      <c r="C260" s="99">
        <v>24</v>
      </c>
      <c r="D260" s="100">
        <v>1.2847442105263156</v>
      </c>
      <c r="E260" s="101">
        <v>0.19808815089883267</v>
      </c>
      <c r="F260" s="101">
        <v>0.14506198847429758</v>
      </c>
      <c r="G260" s="100">
        <v>1.0986794507946467</v>
      </c>
      <c r="H260" s="101">
        <v>9.4681554481219066E-2</v>
      </c>
      <c r="I260" s="89">
        <v>1.2135834150215097</v>
      </c>
    </row>
    <row r="261" spans="2:9" ht="15.75">
      <c r="B261" s="75" t="s">
        <v>357</v>
      </c>
      <c r="C261" s="99">
        <v>136</v>
      </c>
      <c r="D261" s="100">
        <v>1.0136016666666665</v>
      </c>
      <c r="E261" s="101">
        <v>7.7197287855488128E-2</v>
      </c>
      <c r="F261" s="101">
        <v>8.6528020397892008E-2</v>
      </c>
      <c r="G261" s="100">
        <v>0.94683329367827285</v>
      </c>
      <c r="H261" s="101">
        <v>3.3605269250166006E-2</v>
      </c>
      <c r="I261" s="89">
        <v>0.97975833637215382</v>
      </c>
    </row>
    <row r="262" spans="2:9" ht="15.75">
      <c r="B262" s="75" t="s">
        <v>358</v>
      </c>
      <c r="C262" s="99">
        <v>134</v>
      </c>
      <c r="D262" s="100">
        <v>0.93294490566037713</v>
      </c>
      <c r="E262" s="101">
        <v>0.47009343142327442</v>
      </c>
      <c r="F262" s="101">
        <v>7.6351730407435217E-2</v>
      </c>
      <c r="G262" s="100">
        <v>0.65049802346776775</v>
      </c>
      <c r="H262" s="101">
        <v>0.31743068858672208</v>
      </c>
      <c r="I262" s="89">
        <v>0.95301387359606637</v>
      </c>
    </row>
    <row r="263" spans="2:9" ht="15.75">
      <c r="B263" s="75" t="s">
        <v>359</v>
      </c>
      <c r="C263" s="99">
        <v>222</v>
      </c>
      <c r="D263" s="100">
        <v>1.1347646000000005</v>
      </c>
      <c r="E263" s="101">
        <v>0.19090183070136535</v>
      </c>
      <c r="F263" s="101">
        <v>0.16251495302428845</v>
      </c>
      <c r="G263" s="100">
        <v>0.97834872200086431</v>
      </c>
      <c r="H263" s="101">
        <v>7.0716025313976263E-2</v>
      </c>
      <c r="I263" s="89">
        <v>1.0527984433729398</v>
      </c>
    </row>
    <row r="264" spans="2:9" ht="15.75">
      <c r="B264" s="75" t="s">
        <v>360</v>
      </c>
      <c r="C264" s="99">
        <v>103</v>
      </c>
      <c r="D264" s="100">
        <v>1.5641135555555552</v>
      </c>
      <c r="E264" s="101">
        <v>0.35203938600528395</v>
      </c>
      <c r="F264" s="101">
        <v>5.4776776786300795E-2</v>
      </c>
      <c r="G264" s="100">
        <v>1.1735935059316325</v>
      </c>
      <c r="H264" s="101">
        <v>6.6232474694707999E-2</v>
      </c>
      <c r="I264" s="89">
        <v>1.2568369258161236</v>
      </c>
    </row>
    <row r="265" spans="2:9" ht="15.75">
      <c r="B265" s="75" t="s">
        <v>361</v>
      </c>
      <c r="C265" s="99">
        <v>36</v>
      </c>
      <c r="D265" s="100">
        <v>0.70165878787878799</v>
      </c>
      <c r="E265" s="101">
        <v>0.36408138378182325</v>
      </c>
      <c r="F265" s="101">
        <v>0.14327187154034365</v>
      </c>
      <c r="G265" s="100">
        <v>0.53483402167623773</v>
      </c>
      <c r="H265" s="101">
        <v>4.2933218502825811E-2</v>
      </c>
      <c r="I265" s="89">
        <v>0.55882623032802115</v>
      </c>
    </row>
    <row r="266" spans="2:9" ht="15.75">
      <c r="B266" s="75" t="s">
        <v>362</v>
      </c>
      <c r="C266" s="99">
        <v>15</v>
      </c>
      <c r="D266" s="100">
        <v>1.1766514285714285</v>
      </c>
      <c r="E266" s="101">
        <v>0.39907202088237415</v>
      </c>
      <c r="F266" s="101">
        <v>0.29094373751847619</v>
      </c>
      <c r="G266" s="100">
        <v>0.91713481883193948</v>
      </c>
      <c r="H266" s="101">
        <v>8.7807020093587693E-2</v>
      </c>
      <c r="I266" s="89">
        <v>1.005417536677419</v>
      </c>
    </row>
    <row r="267" spans="2:9" ht="15.75">
      <c r="B267" s="75" t="s">
        <v>363</v>
      </c>
      <c r="C267" s="99">
        <v>136</v>
      </c>
      <c r="D267" s="100">
        <v>1.3746013008130085</v>
      </c>
      <c r="E267" s="101">
        <v>0.41489011217688804</v>
      </c>
      <c r="F267" s="101">
        <v>7.8973529707572085E-2</v>
      </c>
      <c r="G267" s="100">
        <v>0.99455658787293177</v>
      </c>
      <c r="H267" s="101">
        <v>8.8284134049395516E-2</v>
      </c>
      <c r="I267" s="89">
        <v>1.0908624331506538</v>
      </c>
    </row>
    <row r="268" spans="2:9" ht="15.75">
      <c r="B268" s="75" t="s">
        <v>364</v>
      </c>
      <c r="C268" s="99">
        <v>32</v>
      </c>
      <c r="D268" s="100">
        <v>1.3521977777777778</v>
      </c>
      <c r="E268" s="101">
        <v>0.74213406630814938</v>
      </c>
      <c r="F268" s="101">
        <v>8.6090124888452121E-2</v>
      </c>
      <c r="G268" s="100">
        <v>0.80572196789339545</v>
      </c>
      <c r="H268" s="101">
        <v>4.8784887200692739E-2</v>
      </c>
      <c r="I268" s="89">
        <v>0.84704496075788405</v>
      </c>
    </row>
    <row r="269" spans="2:9" ht="15.75">
      <c r="B269" s="75" t="s">
        <v>365</v>
      </c>
      <c r="C269" s="99">
        <v>87</v>
      </c>
      <c r="D269" s="100">
        <v>1.3431280000000001</v>
      </c>
      <c r="E269" s="101">
        <v>0.53593393350391194</v>
      </c>
      <c r="F269" s="101">
        <v>0.14903715516638991</v>
      </c>
      <c r="G269" s="100">
        <v>0.92244009505692359</v>
      </c>
      <c r="H269" s="101">
        <v>6.8991545505397461E-2</v>
      </c>
      <c r="I269" s="89">
        <v>0.99079668998029635</v>
      </c>
    </row>
    <row r="270" spans="2:9" ht="15.75">
      <c r="B270" s="75" t="s">
        <v>366</v>
      </c>
      <c r="C270" s="99">
        <v>53</v>
      </c>
      <c r="D270" s="100">
        <v>0.99419061224489758</v>
      </c>
      <c r="E270" s="101">
        <v>0.43886019529656323</v>
      </c>
      <c r="F270" s="101">
        <v>0.15660615437259653</v>
      </c>
      <c r="G270" s="100">
        <v>0.72561667130944041</v>
      </c>
      <c r="H270" s="101">
        <v>5.9581781202575651E-2</v>
      </c>
      <c r="I270" s="89">
        <v>0.77158933845128497</v>
      </c>
    </row>
    <row r="271" spans="2:9" ht="15.75">
      <c r="B271" s="75" t="s">
        <v>367</v>
      </c>
      <c r="C271" s="99">
        <v>47</v>
      </c>
      <c r="D271" s="100">
        <v>1.065591818181818</v>
      </c>
      <c r="E271" s="101">
        <v>0.73855831536387295</v>
      </c>
      <c r="F271" s="101">
        <v>0.10625573060787567</v>
      </c>
      <c r="G271" s="100">
        <v>0.64189097287163566</v>
      </c>
      <c r="H271" s="101">
        <v>9.2406133489569359E-2</v>
      </c>
      <c r="I271" s="89">
        <v>0.70724472317074505</v>
      </c>
    </row>
    <row r="272" spans="2:9" ht="15.75">
      <c r="B272" s="75" t="s">
        <v>368</v>
      </c>
      <c r="C272" s="99">
        <v>79</v>
      </c>
      <c r="D272" s="100">
        <v>0.8929640624999996</v>
      </c>
      <c r="E272" s="101">
        <v>0.12417007147003599</v>
      </c>
      <c r="F272" s="101">
        <v>0.11215406712589376</v>
      </c>
      <c r="G272" s="100">
        <v>0.80429540588229409</v>
      </c>
      <c r="H272" s="101">
        <v>2.7711031650461307E-2</v>
      </c>
      <c r="I272" s="89">
        <v>0.82721848345928084</v>
      </c>
    </row>
    <row r="273" spans="2:9" ht="15.75">
      <c r="B273" s="75" t="s">
        <v>369</v>
      </c>
      <c r="C273" s="99">
        <v>126</v>
      </c>
      <c r="D273" s="100">
        <v>1.0934067924528306</v>
      </c>
      <c r="E273" s="101">
        <v>0.9242706396660636</v>
      </c>
      <c r="F273" s="101">
        <v>0.12813870552570236</v>
      </c>
      <c r="G273" s="100">
        <v>0.60548516906497285</v>
      </c>
      <c r="H273" s="101">
        <v>6.6223697052159122E-2</v>
      </c>
      <c r="I273" s="89">
        <v>0.64842635988246344</v>
      </c>
    </row>
    <row r="274" spans="2:9" ht="15.75">
      <c r="B274" s="75" t="s">
        <v>370</v>
      </c>
      <c r="C274" s="99">
        <v>69</v>
      </c>
      <c r="D274" s="100">
        <v>1.1415326666666668</v>
      </c>
      <c r="E274" s="101">
        <v>0.19438594715325333</v>
      </c>
      <c r="F274" s="101">
        <v>2.9143754277105215E-2</v>
      </c>
      <c r="G274" s="100">
        <v>0.96030342551745584</v>
      </c>
      <c r="H274" s="101">
        <v>0.11239568004610084</v>
      </c>
      <c r="I274" s="89">
        <v>1.0819048577493771</v>
      </c>
    </row>
    <row r="275" spans="2:9" ht="15.75">
      <c r="B275" s="75" t="s">
        <v>371</v>
      </c>
      <c r="C275" s="99">
        <v>109</v>
      </c>
      <c r="D275" s="100">
        <v>1.0779303157894733</v>
      </c>
      <c r="E275" s="101">
        <v>0.33826439775529765</v>
      </c>
      <c r="F275" s="101">
        <v>0.11417025932678573</v>
      </c>
      <c r="G275" s="100">
        <v>0.82940387158239282</v>
      </c>
      <c r="H275" s="101">
        <v>3.6378863691576634E-2</v>
      </c>
      <c r="I275" s="89">
        <v>0.8607157318692602</v>
      </c>
    </row>
    <row r="276" spans="2:9" ht="15.75">
      <c r="B276" s="75" t="s">
        <v>373</v>
      </c>
      <c r="C276" s="99">
        <v>8</v>
      </c>
      <c r="D276" s="100">
        <v>0.694712</v>
      </c>
      <c r="E276" s="101">
        <v>0.70929546138371402</v>
      </c>
      <c r="F276" s="101">
        <v>0.24855306227140098</v>
      </c>
      <c r="G276" s="100">
        <v>0.45317217910844371</v>
      </c>
      <c r="H276" s="101">
        <v>7.9525796435768112E-2</v>
      </c>
      <c r="I276" s="89">
        <v>0.49232469237452209</v>
      </c>
    </row>
    <row r="277" spans="2:9" ht="15.75">
      <c r="B277" s="75" t="s">
        <v>403</v>
      </c>
      <c r="C277" s="99">
        <v>62</v>
      </c>
      <c r="D277" s="100">
        <v>0.80229038461538438</v>
      </c>
      <c r="E277" s="101">
        <v>2.0871813426037154</v>
      </c>
      <c r="F277" s="101">
        <v>8.9795658876517928E-2</v>
      </c>
      <c r="G277" s="100">
        <v>0.2766746090765671</v>
      </c>
      <c r="H277" s="101">
        <v>4.6273140387960814E-2</v>
      </c>
      <c r="I277" s="89">
        <v>0.29009837175930425</v>
      </c>
    </row>
    <row r="278" spans="2:9" ht="15.75">
      <c r="B278" s="75" t="s">
        <v>374</v>
      </c>
      <c r="C278" s="99">
        <v>48</v>
      </c>
      <c r="D278" s="100">
        <v>0.87341095238095268</v>
      </c>
      <c r="E278" s="101">
        <v>1.5544104533587935</v>
      </c>
      <c r="F278" s="101">
        <v>0.11362982374884845</v>
      </c>
      <c r="G278" s="100">
        <v>0.36732154598757638</v>
      </c>
      <c r="H278" s="101">
        <v>4.4499524215957091E-2</v>
      </c>
      <c r="I278" s="89">
        <v>0.38442842813465683</v>
      </c>
    </row>
    <row r="279" spans="2:9" ht="15.75">
      <c r="B279" s="75" t="s">
        <v>376</v>
      </c>
      <c r="C279" s="99">
        <v>152</v>
      </c>
      <c r="D279" s="100">
        <v>0.56492139130434771</v>
      </c>
      <c r="E279" s="101">
        <v>1.0118503502051817</v>
      </c>
      <c r="F279" s="101">
        <v>0.11090923287133837</v>
      </c>
      <c r="G279" s="100">
        <v>0.2973854601809286</v>
      </c>
      <c r="H279" s="101">
        <v>3.2783473941560129E-2</v>
      </c>
      <c r="I279" s="89">
        <v>0.30746523882591348</v>
      </c>
    </row>
    <row r="280" spans="2:9" ht="15.75">
      <c r="B280" s="75" t="s">
        <v>377</v>
      </c>
      <c r="C280" s="99">
        <v>57</v>
      </c>
      <c r="D280" s="100">
        <v>0.6412156</v>
      </c>
      <c r="E280" s="101">
        <v>0.63138485367571773</v>
      </c>
      <c r="F280" s="101">
        <v>0.1737106036147758</v>
      </c>
      <c r="G280" s="100">
        <v>0.42137925664639597</v>
      </c>
      <c r="H280" s="101">
        <v>3.5100269050452222E-2</v>
      </c>
      <c r="I280" s="89">
        <v>0.43670781857480784</v>
      </c>
    </row>
    <row r="281" spans="2:9" ht="15.75">
      <c r="B281" s="75" t="s">
        <v>378</v>
      </c>
      <c r="C281" s="99">
        <v>5</v>
      </c>
      <c r="D281" s="100">
        <v>1.2201200000000001</v>
      </c>
      <c r="E281" s="101">
        <v>0.41960104130240528</v>
      </c>
      <c r="F281" s="101">
        <v>0.15548920025553051</v>
      </c>
      <c r="G281" s="100">
        <v>0.90088466304821191</v>
      </c>
      <c r="H281" s="101">
        <v>0.13225226309269686</v>
      </c>
      <c r="I281" s="89">
        <v>1.0381872803944272</v>
      </c>
    </row>
    <row r="282" spans="2:9" ht="15.75">
      <c r="B282" s="75" t="s">
        <v>379</v>
      </c>
      <c r="C282" s="99">
        <v>40</v>
      </c>
      <c r="D282" s="100">
        <v>1.0252714285714286</v>
      </c>
      <c r="E282" s="101">
        <v>0.52286350400244819</v>
      </c>
      <c r="F282" s="101">
        <v>0.16328593017325554</v>
      </c>
      <c r="G282" s="100">
        <v>0.71323862405578231</v>
      </c>
      <c r="H282" s="101">
        <v>4.9941300114133141E-2</v>
      </c>
      <c r="I282" s="89">
        <v>0.75073111181600205</v>
      </c>
    </row>
    <row r="283" spans="2:9" ht="15.75">
      <c r="B283" s="75" t="s">
        <v>380</v>
      </c>
      <c r="C283" s="99">
        <v>21</v>
      </c>
      <c r="D283" s="100">
        <v>1.1321344444444446</v>
      </c>
      <c r="E283" s="101">
        <v>0.69216390246420278</v>
      </c>
      <c r="F283" s="101">
        <v>0.1144863810366666</v>
      </c>
      <c r="G283" s="100">
        <v>0.70191581097425715</v>
      </c>
      <c r="H283" s="101">
        <v>3.4518136842660266E-2</v>
      </c>
      <c r="I283" s="89">
        <v>0.72701087173076129</v>
      </c>
    </row>
    <row r="284" spans="2:9" ht="15.75">
      <c r="B284" s="75" t="s">
        <v>381</v>
      </c>
      <c r="C284" s="99">
        <v>12</v>
      </c>
      <c r="D284" s="100">
        <v>0.90684833333333348</v>
      </c>
      <c r="E284" s="101">
        <v>0.68163230713762646</v>
      </c>
      <c r="F284" s="101">
        <v>0.23401804412861671</v>
      </c>
      <c r="G284" s="100">
        <v>0.59578055370950767</v>
      </c>
      <c r="H284" s="101">
        <v>5.270426851421689E-2</v>
      </c>
      <c r="I284" s="89">
        <v>0.62892772964896348</v>
      </c>
    </row>
    <row r="285" spans="2:9" ht="15.75">
      <c r="B285" s="75" t="s">
        <v>382</v>
      </c>
      <c r="C285" s="99">
        <v>121</v>
      </c>
      <c r="D285" s="100">
        <v>1.0628814545454546</v>
      </c>
      <c r="E285" s="101">
        <v>0.42709019563493539</v>
      </c>
      <c r="F285" s="101">
        <v>0.14588052564949305</v>
      </c>
      <c r="G285" s="100">
        <v>0.77878979778604185</v>
      </c>
      <c r="H285" s="101">
        <v>3.9985542319020274E-2</v>
      </c>
      <c r="I285" s="89">
        <v>0.81122715554440095</v>
      </c>
    </row>
    <row r="286" spans="2:9" ht="15.75">
      <c r="B286" s="75" t="s">
        <v>383</v>
      </c>
      <c r="C286" s="99">
        <v>17</v>
      </c>
      <c r="D286" s="100">
        <v>1.0085920000000002</v>
      </c>
      <c r="E286" s="101">
        <v>1.20051269334092</v>
      </c>
      <c r="F286" s="101">
        <v>0.21333665837613261</v>
      </c>
      <c r="G286" s="100">
        <v>0.51871649305357925</v>
      </c>
      <c r="H286" s="101">
        <v>8.3241224901934391E-2</v>
      </c>
      <c r="I286" s="89">
        <v>0.56581568362745394</v>
      </c>
    </row>
    <row r="287" spans="2:9" ht="15.75">
      <c r="B287" s="75" t="s">
        <v>384</v>
      </c>
      <c r="C287" s="99">
        <v>34</v>
      </c>
      <c r="D287" s="100">
        <v>0.94833931034482788</v>
      </c>
      <c r="E287" s="101">
        <v>0.86323196886784082</v>
      </c>
      <c r="F287" s="101">
        <v>0.19587958189440574</v>
      </c>
      <c r="G287" s="100">
        <v>0.55977542465656693</v>
      </c>
      <c r="H287" s="101">
        <v>8.1503136360820655E-2</v>
      </c>
      <c r="I287" s="89">
        <v>0.60944729025930355</v>
      </c>
    </row>
    <row r="288" spans="2:9" ht="15.75">
      <c r="B288" s="75" t="s">
        <v>385</v>
      </c>
      <c r="C288" s="99">
        <v>31</v>
      </c>
      <c r="D288" s="100">
        <v>1.1664707142857142</v>
      </c>
      <c r="E288" s="101">
        <v>2.5255182042265754E-2</v>
      </c>
      <c r="F288" s="101">
        <v>0.13713805534138351</v>
      </c>
      <c r="G288" s="100">
        <v>1.1415934126015215</v>
      </c>
      <c r="H288" s="101">
        <v>1.8896179886784745E-2</v>
      </c>
      <c r="I288" s="89">
        <v>1.1635806417202477</v>
      </c>
    </row>
    <row r="289" spans="2:9" ht="15.75">
      <c r="B289" s="75" t="s">
        <v>386</v>
      </c>
      <c r="C289" s="99">
        <v>87</v>
      </c>
      <c r="D289" s="100">
        <v>1.1676618181818186</v>
      </c>
      <c r="E289" s="101">
        <v>0.16740149029511275</v>
      </c>
      <c r="F289" s="101">
        <v>0.13484682387334157</v>
      </c>
      <c r="G289" s="100">
        <v>1.0199452568774929</v>
      </c>
      <c r="H289" s="101">
        <v>4.1651502225785696E-2</v>
      </c>
      <c r="I289" s="89">
        <v>1.0642738620098413</v>
      </c>
    </row>
    <row r="290" spans="2:9" ht="15.75">
      <c r="B290" s="75" t="s">
        <v>387</v>
      </c>
      <c r="C290" s="99">
        <v>8</v>
      </c>
      <c r="D290" s="100">
        <v>1.3248725000000001</v>
      </c>
      <c r="E290" s="101">
        <v>0.2431923788998816</v>
      </c>
      <c r="F290" s="101">
        <v>0.23361069530087153</v>
      </c>
      <c r="G290" s="100">
        <v>1.1167353271048324</v>
      </c>
      <c r="H290" s="101">
        <v>4.6184948586757812E-2</v>
      </c>
      <c r="I290" s="89">
        <v>1.1708090844762782</v>
      </c>
    </row>
    <row r="291" spans="2:9" ht="15.75">
      <c r="B291" s="75" t="s">
        <v>388</v>
      </c>
      <c r="C291" s="99">
        <v>43</v>
      </c>
      <c r="D291" s="100">
        <v>1.9091322222222216</v>
      </c>
      <c r="E291" s="101">
        <v>0.13903913230988907</v>
      </c>
      <c r="F291" s="101">
        <v>7.6083351285902823E-2</v>
      </c>
      <c r="G291" s="100">
        <v>1.6918023317702544</v>
      </c>
      <c r="H291" s="101">
        <v>6.0632294241487646E-2</v>
      </c>
      <c r="I291" s="89">
        <v>1.8010011642929249</v>
      </c>
    </row>
    <row r="292" spans="2:9" ht="15.75">
      <c r="B292" s="75" t="s">
        <v>389</v>
      </c>
      <c r="C292" s="99">
        <v>17</v>
      </c>
      <c r="D292" s="100">
        <v>1.3465962500000002</v>
      </c>
      <c r="E292" s="101">
        <v>4.9789903361462357E-2</v>
      </c>
      <c r="F292" s="101">
        <v>2.8999139580235589E-2</v>
      </c>
      <c r="G292" s="100">
        <v>1.2844959582993278</v>
      </c>
      <c r="H292" s="101">
        <v>7.8056979962028775E-2</v>
      </c>
      <c r="I292" s="89">
        <v>1.3932487478959648</v>
      </c>
    </row>
    <row r="293" spans="2:9" ht="15.75">
      <c r="B293" s="75" t="s">
        <v>390</v>
      </c>
      <c r="C293" s="99">
        <v>71</v>
      </c>
      <c r="D293" s="100">
        <v>1.5415133333333326</v>
      </c>
      <c r="E293" s="101">
        <v>0.82214550133340258</v>
      </c>
      <c r="F293" s="101">
        <v>7.2784281120968325E-2</v>
      </c>
      <c r="G293" s="100">
        <v>0.87471365946834112</v>
      </c>
      <c r="H293" s="101">
        <v>5.434942972670849E-2</v>
      </c>
      <c r="I293" s="89">
        <v>0.92498612803199631</v>
      </c>
    </row>
    <row r="294" spans="2:9" ht="15.75">
      <c r="B294" s="75" t="s">
        <v>391</v>
      </c>
      <c r="C294" s="99">
        <v>8</v>
      </c>
      <c r="D294" s="100">
        <v>1.2604500000000001</v>
      </c>
      <c r="E294" s="101">
        <v>0.11644076072405152</v>
      </c>
      <c r="F294" s="101">
        <v>0.25328478883871408</v>
      </c>
      <c r="G294" s="100">
        <v>1.1596229983807425</v>
      </c>
      <c r="H294" s="101">
        <v>6.4965366367361388E-2</v>
      </c>
      <c r="I294" s="89">
        <v>1.2401925625744696</v>
      </c>
    </row>
    <row r="295" spans="2:9" ht="15.75">
      <c r="B295" s="75" t="s">
        <v>392</v>
      </c>
      <c r="C295" s="99">
        <v>58</v>
      </c>
      <c r="D295" s="100">
        <v>1.6641233333333334</v>
      </c>
      <c r="E295" s="101">
        <v>0.90819156266553558</v>
      </c>
      <c r="F295" s="101">
        <v>5.3754507595151851E-2</v>
      </c>
      <c r="G295" s="100">
        <v>0.89499206131189657</v>
      </c>
      <c r="H295" s="101">
        <v>0.11113597627525716</v>
      </c>
      <c r="I295" s="89">
        <v>1.0068942351401224</v>
      </c>
    </row>
    <row r="296" spans="2:9" ht="15.75">
      <c r="B296" s="75" t="s">
        <v>393</v>
      </c>
      <c r="C296" s="99">
        <v>14</v>
      </c>
      <c r="D296" s="100">
        <v>1.3934723076923077</v>
      </c>
      <c r="E296" s="101">
        <v>0.32565423109492786</v>
      </c>
      <c r="F296" s="101">
        <v>0.11092730799270721</v>
      </c>
      <c r="G296" s="100">
        <v>1.0806045620538394</v>
      </c>
      <c r="H296" s="101">
        <v>4.9335547346784914E-2</v>
      </c>
      <c r="I296" s="89">
        <v>1.136683462853769</v>
      </c>
    </row>
    <row r="297" spans="2:9" ht="15.75">
      <c r="B297" s="75" t="s">
        <v>394</v>
      </c>
      <c r="C297" s="99">
        <v>54</v>
      </c>
      <c r="D297" s="100">
        <v>1.0619783999999997</v>
      </c>
      <c r="E297" s="101">
        <v>0.27692158769757952</v>
      </c>
      <c r="F297" s="101">
        <v>0.11601813776222859</v>
      </c>
      <c r="G297" s="100">
        <v>0.8531360927149948</v>
      </c>
      <c r="H297" s="101">
        <v>0.17162349066222837</v>
      </c>
      <c r="I297" s="89">
        <v>1.0298892871757273</v>
      </c>
    </row>
    <row r="298" spans="2:9" ht="15.75">
      <c r="B298" s="75" t="s">
        <v>395</v>
      </c>
      <c r="C298" s="99">
        <v>83</v>
      </c>
      <c r="D298" s="100">
        <v>0.91797027027027023</v>
      </c>
      <c r="E298" s="101">
        <v>0.90717494063688597</v>
      </c>
      <c r="F298" s="101">
        <v>0.14762691855940818</v>
      </c>
      <c r="G298" s="100">
        <v>0.51767629718623565</v>
      </c>
      <c r="H298" s="101">
        <v>6.2279702563772243E-2</v>
      </c>
      <c r="I298" s="89">
        <v>0.55205832549597944</v>
      </c>
    </row>
    <row r="299" spans="2:9" ht="15.75">
      <c r="B299" s="75" t="s">
        <v>396</v>
      </c>
      <c r="C299" s="99">
        <v>8</v>
      </c>
      <c r="D299" s="100">
        <v>1.2436628571428572</v>
      </c>
      <c r="E299" s="101">
        <v>11.479043874279517</v>
      </c>
      <c r="F299" s="101">
        <v>0.1622956815270547</v>
      </c>
      <c r="G299" s="100">
        <v>0.11714936221767658</v>
      </c>
      <c r="H299" s="101">
        <v>6.8763885329584509E-2</v>
      </c>
      <c r="I299" s="89">
        <v>0.1257998485799042</v>
      </c>
    </row>
    <row r="300" spans="2:9" ht="15.75">
      <c r="B300" s="75" t="s">
        <v>397</v>
      </c>
      <c r="C300" s="99">
        <v>5</v>
      </c>
      <c r="D300" s="100">
        <v>0.46454399999999996</v>
      </c>
      <c r="E300" s="101">
        <v>0.26788856769808772</v>
      </c>
      <c r="F300" s="101">
        <v>0.22850952176904929</v>
      </c>
      <c r="G300" s="100">
        <v>0.38497904197386729</v>
      </c>
      <c r="H300" s="101">
        <v>3.4848023064317717E-2</v>
      </c>
      <c r="I300" s="89">
        <v>0.39887919330192934</v>
      </c>
    </row>
    <row r="301" spans="2:9" ht="15.75">
      <c r="B301" s="75" t="s">
        <v>404</v>
      </c>
      <c r="C301" s="99">
        <v>44</v>
      </c>
      <c r="D301" s="100">
        <v>0.93522108108108093</v>
      </c>
      <c r="E301" s="101">
        <v>0.63668583192125883</v>
      </c>
      <c r="F301" s="101">
        <v>0.19886668225864038</v>
      </c>
      <c r="G301" s="100">
        <v>0.61932290347430907</v>
      </c>
      <c r="H301" s="101">
        <v>8.815895889785326E-2</v>
      </c>
      <c r="I301" s="89">
        <v>0.6792005136396696</v>
      </c>
    </row>
    <row r="302" spans="2:9" ht="15.75">
      <c r="B302" s="75" t="s">
        <v>399</v>
      </c>
      <c r="C302" s="99">
        <v>21</v>
      </c>
      <c r="D302" s="100">
        <v>1.0180161904761906</v>
      </c>
      <c r="E302" s="101">
        <v>0.87580675060226876</v>
      </c>
      <c r="F302" s="101">
        <v>0.15657633785366049</v>
      </c>
      <c r="G302" s="100">
        <v>0.5855122577781372</v>
      </c>
      <c r="H302" s="101">
        <v>6.0499375095696202E-2</v>
      </c>
      <c r="I302" s="89">
        <v>0.62321646442521172</v>
      </c>
    </row>
    <row r="303" spans="2:9" ht="15.75">
      <c r="B303" s="75" t="s">
        <v>400</v>
      </c>
      <c r="C303" s="99">
        <v>20</v>
      </c>
      <c r="D303" s="100">
        <v>1.0816139999999999</v>
      </c>
      <c r="E303" s="101">
        <v>1.0805923122392653</v>
      </c>
      <c r="F303" s="101">
        <v>0.27215380448046622</v>
      </c>
      <c r="G303" s="100">
        <v>0.60543575190613674</v>
      </c>
      <c r="H303" s="101">
        <v>7.9205485228210304E-2</v>
      </c>
      <c r="I303" s="89">
        <v>0.65751450751874674</v>
      </c>
    </row>
    <row r="304" spans="2:9" ht="15.75">
      <c r="B304" s="75" t="s">
        <v>401</v>
      </c>
      <c r="C304" s="99">
        <v>15</v>
      </c>
      <c r="D304" s="100">
        <v>0.61428181818181815</v>
      </c>
      <c r="E304" s="101">
        <v>1.1010056133982482</v>
      </c>
      <c r="F304" s="101">
        <v>0.11397705343304353</v>
      </c>
      <c r="G304" s="100">
        <v>0.31094749131258465</v>
      </c>
      <c r="H304" s="101">
        <v>3.1922411612956669E-2</v>
      </c>
      <c r="I304" s="89">
        <v>0.32120100190591949</v>
      </c>
    </row>
    <row r="305" spans="1:9" ht="15.75">
      <c r="B305" s="76" t="s">
        <v>402</v>
      </c>
      <c r="C305" s="77">
        <v>6073</v>
      </c>
      <c r="D305" s="94">
        <v>1.0628312328251437</v>
      </c>
      <c r="E305" s="78">
        <v>1.218147827000263</v>
      </c>
      <c r="F305" s="78">
        <v>0.13356842966077953</v>
      </c>
      <c r="G305" s="94">
        <v>0.51708166420221824</v>
      </c>
      <c r="H305" s="78">
        <v>0.10322279685589235</v>
      </c>
      <c r="I305" s="95">
        <v>0.57659992068188848</v>
      </c>
    </row>
    <row r="307" spans="1:9" ht="30" customHeight="1">
      <c r="A307" s="183" t="s">
        <v>408</v>
      </c>
      <c r="B307" s="183"/>
      <c r="C307" s="183"/>
    </row>
    <row r="308" spans="1:9">
      <c r="B308" s="90" t="s">
        <v>304</v>
      </c>
      <c r="C308" s="91" t="s">
        <v>305</v>
      </c>
      <c r="D308" s="92" t="s">
        <v>425</v>
      </c>
      <c r="E308" s="91" t="s">
        <v>426</v>
      </c>
      <c r="F308" s="91" t="s">
        <v>427</v>
      </c>
      <c r="G308" s="91" t="s">
        <v>301</v>
      </c>
      <c r="H308" s="91" t="s">
        <v>428</v>
      </c>
      <c r="I308" s="93" t="s">
        <v>429</v>
      </c>
    </row>
    <row r="309" spans="1:9" ht="15.75">
      <c r="B309" s="75" t="s">
        <v>306</v>
      </c>
      <c r="C309" s="104">
        <v>56</v>
      </c>
      <c r="D309" s="105">
        <v>1.2570893719806764</v>
      </c>
      <c r="E309" s="106">
        <v>9.3022235878706103E-2</v>
      </c>
      <c r="F309" s="106">
        <v>0.15884605569949201</v>
      </c>
      <c r="G309" s="105">
        <v>1.1658650697002411</v>
      </c>
      <c r="H309" s="106">
        <v>7.2350974554998185E-2</v>
      </c>
      <c r="I309" s="89">
        <v>1.2567954449593313</v>
      </c>
    </row>
    <row r="310" spans="1:9" ht="15.75">
      <c r="B310" s="75" t="s">
        <v>307</v>
      </c>
      <c r="C310" s="104">
        <v>56</v>
      </c>
      <c r="D310" s="105">
        <v>0.97316975308641973</v>
      </c>
      <c r="E310" s="106">
        <v>0.17180507802754691</v>
      </c>
      <c r="F310" s="106">
        <v>8.2884596105886013E-2</v>
      </c>
      <c r="G310" s="105">
        <v>0.84070413572068903</v>
      </c>
      <c r="H310" s="106">
        <v>9.0902289364524297E-2</v>
      </c>
      <c r="I310" s="89">
        <v>0.92476763045968036</v>
      </c>
    </row>
    <row r="311" spans="1:9" ht="15.75">
      <c r="B311" s="75" t="s">
        <v>308</v>
      </c>
      <c r="C311" s="104">
        <v>75</v>
      </c>
      <c r="D311" s="105">
        <v>1.116642652329749</v>
      </c>
      <c r="E311" s="106">
        <v>1.3077772213387706</v>
      </c>
      <c r="F311" s="106">
        <v>0.12825887708843461</v>
      </c>
      <c r="G311" s="105">
        <v>0.52178510273359058</v>
      </c>
      <c r="H311" s="106">
        <v>0.1049472000117037</v>
      </c>
      <c r="I311" s="89">
        <v>0.58296572307288841</v>
      </c>
    </row>
    <row r="312" spans="1:9" ht="15.75">
      <c r="B312" s="75" t="s">
        <v>309</v>
      </c>
      <c r="C312" s="104">
        <v>889</v>
      </c>
      <c r="D312" s="105">
        <v>0.89523700775874782</v>
      </c>
      <c r="E312" s="106">
        <v>0.31459008036981351</v>
      </c>
      <c r="F312" s="106">
        <v>0.14462615012126462</v>
      </c>
      <c r="G312" s="105">
        <v>0.70541530270374786</v>
      </c>
      <c r="H312" s="106">
        <v>9.7107338133643903E-2</v>
      </c>
      <c r="I312" s="89">
        <v>0.78128368132441606</v>
      </c>
    </row>
    <row r="313" spans="1:9" ht="15.75">
      <c r="B313" s="75" t="s">
        <v>310</v>
      </c>
      <c r="C313" s="104">
        <v>75</v>
      </c>
      <c r="D313" s="105">
        <v>1.2015489827856025</v>
      </c>
      <c r="E313" s="106">
        <v>0.30451785701596473</v>
      </c>
      <c r="F313" s="106">
        <v>0.15855168348477916</v>
      </c>
      <c r="G313" s="105">
        <v>0.95646753182586941</v>
      </c>
      <c r="H313" s="106">
        <v>0.1344215671981368</v>
      </c>
      <c r="I313" s="89">
        <v>1.1050038859330167</v>
      </c>
    </row>
    <row r="314" spans="1:9" ht="15.75">
      <c r="B314" s="75" t="s">
        <v>311</v>
      </c>
      <c r="C314" s="104">
        <v>350</v>
      </c>
      <c r="D314" s="105">
        <v>1.1156137464387466</v>
      </c>
      <c r="E314" s="106">
        <v>0.23912047920964866</v>
      </c>
      <c r="F314" s="106">
        <v>0.18087712657204641</v>
      </c>
      <c r="G314" s="105">
        <v>0.93288955231614601</v>
      </c>
      <c r="H314" s="106">
        <v>9.7573342931097623E-2</v>
      </c>
      <c r="I314" s="89">
        <v>1.0337566438320736</v>
      </c>
    </row>
    <row r="315" spans="1:9" ht="15.75">
      <c r="B315" s="75" t="s">
        <v>312</v>
      </c>
      <c r="C315" s="104">
        <v>436</v>
      </c>
      <c r="D315" s="105">
        <v>0.90133376304481305</v>
      </c>
      <c r="E315" s="106">
        <v>1.1726816203632215</v>
      </c>
      <c r="F315" s="106">
        <v>0.18619932279851148</v>
      </c>
      <c r="G315" s="105">
        <v>0.46119855889354833</v>
      </c>
      <c r="H315" s="106">
        <v>0.27179905620461675</v>
      </c>
      <c r="I315" s="89">
        <v>0.63333968847909139</v>
      </c>
    </row>
    <row r="316" spans="1:9" ht="15.75">
      <c r="B316" s="75" t="s">
        <v>313</v>
      </c>
      <c r="C316" s="104">
        <v>64</v>
      </c>
      <c r="D316" s="105">
        <v>0.82075654320987657</v>
      </c>
      <c r="E316" s="106">
        <v>2.0403111947879924</v>
      </c>
      <c r="F316" s="106">
        <v>0.17862811411755028</v>
      </c>
      <c r="G316" s="105">
        <v>0.30672692357177189</v>
      </c>
      <c r="H316" s="106">
        <v>0.30612096350244988</v>
      </c>
      <c r="I316" s="89">
        <v>0.44204667879868259</v>
      </c>
    </row>
    <row r="317" spans="1:9" ht="15.75">
      <c r="B317" s="75" t="s">
        <v>314</v>
      </c>
      <c r="C317" s="104">
        <v>33</v>
      </c>
      <c r="D317" s="105">
        <v>0.81776837606837616</v>
      </c>
      <c r="E317" s="106">
        <v>0.18755203807025189</v>
      </c>
      <c r="F317" s="106">
        <v>0.13298776108507004</v>
      </c>
      <c r="G317" s="105">
        <v>0.70339016321636194</v>
      </c>
      <c r="H317" s="106">
        <v>7.79808570995872E-2</v>
      </c>
      <c r="I317" s="89">
        <v>0.76288021635179337</v>
      </c>
    </row>
    <row r="318" spans="1:9" ht="15.75">
      <c r="B318" s="75" t="s">
        <v>315</v>
      </c>
      <c r="C318" s="104">
        <v>117</v>
      </c>
      <c r="D318" s="105">
        <v>0.84629113355780028</v>
      </c>
      <c r="E318" s="106">
        <v>5.1060060410485636E-2</v>
      </c>
      <c r="F318" s="106">
        <v>0.20214216139006574</v>
      </c>
      <c r="G318" s="105">
        <v>0.81316391752261019</v>
      </c>
      <c r="H318" s="106">
        <v>9.2369453349489927E-2</v>
      </c>
      <c r="I318" s="89">
        <v>0.89591951320224239</v>
      </c>
    </row>
    <row r="319" spans="1:9" ht="15.75">
      <c r="B319" s="75" t="s">
        <v>316</v>
      </c>
      <c r="C319" s="104">
        <v>127</v>
      </c>
      <c r="D319" s="105">
        <v>1.0110297029702968</v>
      </c>
      <c r="E319" s="106">
        <v>4.7884956287817471E-2</v>
      </c>
      <c r="F319" s="106">
        <v>7.8655407415612888E-2</v>
      </c>
      <c r="G319" s="105">
        <v>0.96830930480748256</v>
      </c>
      <c r="H319" s="106">
        <v>5.8777447856948967E-2</v>
      </c>
      <c r="I319" s="89">
        <v>1.0287782656745297</v>
      </c>
    </row>
    <row r="320" spans="1:9" ht="15.75">
      <c r="B320" s="75" t="s">
        <v>317</v>
      </c>
      <c r="C320" s="104">
        <v>56</v>
      </c>
      <c r="D320" s="105">
        <v>1.4278050314465411</v>
      </c>
      <c r="E320" s="106">
        <v>0.23637948158987945</v>
      </c>
      <c r="F320" s="106">
        <v>0.18693908923058306</v>
      </c>
      <c r="G320" s="105">
        <v>1.1976311944500102</v>
      </c>
      <c r="H320" s="106">
        <v>9.6234938416677365E-2</v>
      </c>
      <c r="I320" s="89">
        <v>1.3251576602793851</v>
      </c>
    </row>
    <row r="321" spans="2:9" ht="15.75">
      <c r="B321" s="75" t="s">
        <v>318</v>
      </c>
      <c r="C321" s="104">
        <v>345</v>
      </c>
      <c r="D321" s="105">
        <v>1.0625023546725532</v>
      </c>
      <c r="E321" s="106">
        <v>0.93708290180650544</v>
      </c>
      <c r="F321" s="106">
        <v>0.10352205966364905</v>
      </c>
      <c r="G321" s="105">
        <v>0.57742366242417276</v>
      </c>
      <c r="H321" s="106">
        <v>0.18604331254706596</v>
      </c>
      <c r="I321" s="89">
        <v>0.7094034256676115</v>
      </c>
    </row>
    <row r="322" spans="2:9" ht="15.75">
      <c r="B322" s="75" t="s">
        <v>319</v>
      </c>
      <c r="C322" s="104">
        <v>204</v>
      </c>
      <c r="D322" s="105">
        <v>0.88627840909090994</v>
      </c>
      <c r="E322" s="106">
        <v>0.35746400943799722</v>
      </c>
      <c r="F322" s="106">
        <v>0.16470830625803173</v>
      </c>
      <c r="G322" s="105">
        <v>0.68249458960074982</v>
      </c>
      <c r="H322" s="106">
        <v>9.1756235112155915E-2</v>
      </c>
      <c r="I322" s="89">
        <v>0.75144428840095445</v>
      </c>
    </row>
    <row r="323" spans="2:9" ht="15.75">
      <c r="B323" s="75" t="s">
        <v>320</v>
      </c>
      <c r="C323" s="104">
        <v>144</v>
      </c>
      <c r="D323" s="105">
        <v>0.9244955974842769</v>
      </c>
      <c r="E323" s="106">
        <v>0.14177095379213001</v>
      </c>
      <c r="F323" s="106">
        <v>0.13464478856834416</v>
      </c>
      <c r="G323" s="105">
        <v>0.82347040840101327</v>
      </c>
      <c r="H323" s="106">
        <v>9.3636502909334049E-2</v>
      </c>
      <c r="I323" s="89">
        <v>0.90854321808443184</v>
      </c>
    </row>
    <row r="324" spans="2:9" ht="15.75">
      <c r="B324" s="75" t="s">
        <v>321</v>
      </c>
      <c r="C324" s="104">
        <v>29</v>
      </c>
      <c r="D324" s="105">
        <v>1.1595230769230769</v>
      </c>
      <c r="E324" s="106">
        <v>0.13227340341563254</v>
      </c>
      <c r="F324" s="106">
        <v>0.1312062892276315</v>
      </c>
      <c r="G324" s="105">
        <v>1.0400072147829249</v>
      </c>
      <c r="H324" s="106">
        <v>5.01934436240885E-2</v>
      </c>
      <c r="I324" s="89">
        <v>1.094967399205143</v>
      </c>
    </row>
    <row r="325" spans="2:9" ht="15.75">
      <c r="B325" s="75" t="s">
        <v>322</v>
      </c>
      <c r="C325" s="104">
        <v>547</v>
      </c>
      <c r="D325" s="105">
        <v>0.98990160669834826</v>
      </c>
      <c r="E325" s="106">
        <v>0.12091551495793497</v>
      </c>
      <c r="F325" s="106">
        <v>0.15037066503451782</v>
      </c>
      <c r="G325" s="105">
        <v>0.89767992419632858</v>
      </c>
      <c r="H325" s="106">
        <v>3.0608278614484265E-2</v>
      </c>
      <c r="I325" s="89">
        <v>0.92602392241735654</v>
      </c>
    </row>
    <row r="326" spans="2:9" ht="15.75">
      <c r="B326" s="75" t="s">
        <v>323</v>
      </c>
      <c r="C326" s="104">
        <v>41</v>
      </c>
      <c r="D326" s="105">
        <v>1.0950538011695907</v>
      </c>
      <c r="E326" s="106">
        <v>0.34823997924375366</v>
      </c>
      <c r="F326" s="106">
        <v>0.16440854571226265</v>
      </c>
      <c r="G326" s="105">
        <v>0.84823034773219574</v>
      </c>
      <c r="H326" s="106">
        <v>6.0391058499392518E-2</v>
      </c>
      <c r="I326" s="89">
        <v>0.90274827140057323</v>
      </c>
    </row>
    <row r="327" spans="2:9" ht="15.75">
      <c r="B327" s="75" t="s">
        <v>324</v>
      </c>
      <c r="C327" s="104">
        <v>396</v>
      </c>
      <c r="D327" s="105">
        <v>0.97368985507246386</v>
      </c>
      <c r="E327" s="106">
        <v>0.40327927052681606</v>
      </c>
      <c r="F327" s="106">
        <v>0.18188504100438577</v>
      </c>
      <c r="G327" s="105">
        <v>0.73213682735383168</v>
      </c>
      <c r="H327" s="106">
        <v>7.2512499450275825E-2</v>
      </c>
      <c r="I327" s="89">
        <v>0.7893764896237333</v>
      </c>
    </row>
    <row r="328" spans="2:9" ht="15.75">
      <c r="B328" s="75" t="s">
        <v>325</v>
      </c>
      <c r="C328" s="104">
        <v>102</v>
      </c>
      <c r="D328" s="105">
        <v>1.5147658303464751</v>
      </c>
      <c r="E328" s="106">
        <v>0.46231637331386449</v>
      </c>
      <c r="F328" s="106">
        <v>0.1587173334158305</v>
      </c>
      <c r="G328" s="105">
        <v>1.0905922445301752</v>
      </c>
      <c r="H328" s="106">
        <v>0.14850109541707668</v>
      </c>
      <c r="I328" s="89">
        <v>1.2807911303941881</v>
      </c>
    </row>
    <row r="329" spans="2:9" ht="15.75">
      <c r="B329" s="75" t="s">
        <v>326</v>
      </c>
      <c r="C329" s="104">
        <v>414</v>
      </c>
      <c r="D329" s="105">
        <v>1.0057431134259249</v>
      </c>
      <c r="E329" s="106">
        <v>0.10724872792607414</v>
      </c>
      <c r="F329" s="106">
        <v>0.13327750214007167</v>
      </c>
      <c r="G329" s="105">
        <v>0.92020551524804706</v>
      </c>
      <c r="H329" s="106">
        <v>6.60631487948143E-2</v>
      </c>
      <c r="I329" s="89">
        <v>0.98529736144427837</v>
      </c>
    </row>
    <row r="330" spans="2:9" ht="15.75">
      <c r="B330" s="75" t="s">
        <v>327</v>
      </c>
      <c r="C330" s="104">
        <v>339</v>
      </c>
      <c r="D330" s="105">
        <v>1.1912761130468443</v>
      </c>
      <c r="E330" s="106">
        <v>4.5178925678592864E-2</v>
      </c>
      <c r="F330" s="106">
        <v>0.11926818274651545</v>
      </c>
      <c r="G330" s="105">
        <v>1.1456885720824119</v>
      </c>
      <c r="H330" s="106">
        <v>6.9205348090076335E-2</v>
      </c>
      <c r="I330" s="89">
        <v>1.2308714599203394</v>
      </c>
    </row>
    <row r="331" spans="2:9" ht="15.75">
      <c r="B331" s="75" t="s">
        <v>328</v>
      </c>
      <c r="C331" s="104">
        <v>192</v>
      </c>
      <c r="D331" s="105">
        <v>1.091220757020757</v>
      </c>
      <c r="E331" s="106">
        <v>0.36460915837900404</v>
      </c>
      <c r="F331" s="106">
        <v>0.13166446373963966</v>
      </c>
      <c r="G331" s="105">
        <v>0.82881527932194066</v>
      </c>
      <c r="H331" s="106">
        <v>0.26892372181286311</v>
      </c>
      <c r="I331" s="89">
        <v>1.1336919334562037</v>
      </c>
    </row>
    <row r="332" spans="2:9" ht="15.75">
      <c r="B332" s="75" t="s">
        <v>329</v>
      </c>
      <c r="C332" s="104">
        <v>365</v>
      </c>
      <c r="D332" s="105">
        <v>0.82767006802721066</v>
      </c>
      <c r="E332" s="106">
        <v>0.42799204668906798</v>
      </c>
      <c r="F332" s="106">
        <v>0.13809441495985794</v>
      </c>
      <c r="G332" s="105">
        <v>0.60462917593440868</v>
      </c>
      <c r="H332" s="106">
        <v>6.0735888795006583E-2</v>
      </c>
      <c r="I332" s="89">
        <v>0.643726475568967</v>
      </c>
    </row>
    <row r="333" spans="2:9" ht="15.75">
      <c r="B333" s="75" t="s">
        <v>330</v>
      </c>
      <c r="C333" s="104">
        <v>247</v>
      </c>
      <c r="D333" s="105">
        <v>0.83098353909465039</v>
      </c>
      <c r="E333" s="106">
        <v>0.65574178050936427</v>
      </c>
      <c r="F333" s="106">
        <v>0.14001984704630516</v>
      </c>
      <c r="G333" s="105">
        <v>0.53134490679244695</v>
      </c>
      <c r="H333" s="106">
        <v>0.11473486414640953</v>
      </c>
      <c r="I333" s="89">
        <v>0.600209909181743</v>
      </c>
    </row>
    <row r="334" spans="2:9" ht="15.75">
      <c r="B334" s="75" t="s">
        <v>331</v>
      </c>
      <c r="C334" s="104">
        <v>78</v>
      </c>
      <c r="D334" s="105">
        <v>0.98107658119658114</v>
      </c>
      <c r="E334" s="106">
        <v>0.14797346137111125</v>
      </c>
      <c r="F334" s="106">
        <v>9.8619833068942162E-2</v>
      </c>
      <c r="G334" s="105">
        <v>0.86561990155008095</v>
      </c>
      <c r="H334" s="106">
        <v>3.9909630889956443E-2</v>
      </c>
      <c r="I334" s="89">
        <v>0.90160252555441001</v>
      </c>
    </row>
    <row r="335" spans="2:9" ht="15.75">
      <c r="B335" s="75" t="s">
        <v>332</v>
      </c>
      <c r="C335" s="104">
        <v>536</v>
      </c>
      <c r="D335" s="105">
        <v>1.0665889355742297</v>
      </c>
      <c r="E335" s="106">
        <v>0.27290053786866181</v>
      </c>
      <c r="F335" s="106">
        <v>0.14518227689489385</v>
      </c>
      <c r="G335" s="105">
        <v>0.86483908634700724</v>
      </c>
      <c r="H335" s="106">
        <v>0.13031790929410764</v>
      </c>
      <c r="I335" s="89">
        <v>0.994431293445454</v>
      </c>
    </row>
    <row r="336" spans="2:9" ht="15.75">
      <c r="B336" s="75" t="s">
        <v>333</v>
      </c>
      <c r="C336" s="104">
        <v>657</v>
      </c>
      <c r="D336" s="105">
        <v>1.1670362986781009</v>
      </c>
      <c r="E336" s="106">
        <v>0.3215501898076793</v>
      </c>
      <c r="F336" s="106">
        <v>0.12989951151332108</v>
      </c>
      <c r="G336" s="105">
        <v>0.91190314549678231</v>
      </c>
      <c r="H336" s="106">
        <v>0.17152377597639509</v>
      </c>
      <c r="I336" s="89">
        <v>1.1006992343944446</v>
      </c>
    </row>
    <row r="337" spans="2:9" ht="15.75">
      <c r="B337" s="75" t="s">
        <v>334</v>
      </c>
      <c r="C337" s="104">
        <v>106</v>
      </c>
      <c r="D337" s="105">
        <v>1.1228768707482992</v>
      </c>
      <c r="E337" s="106">
        <v>0.45088739677123923</v>
      </c>
      <c r="F337" s="106">
        <v>0.12327684091998374</v>
      </c>
      <c r="G337" s="105">
        <v>0.80475461632944167</v>
      </c>
      <c r="H337" s="106">
        <v>0.15846627212437089</v>
      </c>
      <c r="I337" s="89">
        <v>0.95629514263316251</v>
      </c>
    </row>
    <row r="338" spans="2:9" ht="15.75">
      <c r="B338" s="75" t="s">
        <v>335</v>
      </c>
      <c r="C338" s="104">
        <v>717</v>
      </c>
      <c r="D338" s="105">
        <v>1.2707207966457019</v>
      </c>
      <c r="E338" s="106">
        <v>1.0306247680652263</v>
      </c>
      <c r="F338" s="106">
        <v>0.13556615822838897</v>
      </c>
      <c r="G338" s="105">
        <v>0.67201657471442111</v>
      </c>
      <c r="H338" s="106">
        <v>0.20824410624825521</v>
      </c>
      <c r="I338" s="89">
        <v>0.8487673789582576</v>
      </c>
    </row>
    <row r="339" spans="2:9" ht="15.75">
      <c r="B339" s="75" t="s">
        <v>336</v>
      </c>
      <c r="C339" s="104">
        <v>139</v>
      </c>
      <c r="D339" s="105">
        <v>1.1765118773946366</v>
      </c>
      <c r="E339" s="106">
        <v>0.1886879233754328</v>
      </c>
      <c r="F339" s="106">
        <v>8.5207581102452051E-2</v>
      </c>
      <c r="G339" s="105">
        <v>1.0033272738723922</v>
      </c>
      <c r="H339" s="106">
        <v>7.5190451333513278E-2</v>
      </c>
      <c r="I339" s="89">
        <v>1.0849015079041116</v>
      </c>
    </row>
    <row r="340" spans="2:9" ht="15.75">
      <c r="B340" s="75" t="s">
        <v>337</v>
      </c>
      <c r="C340" s="104">
        <v>87</v>
      </c>
      <c r="D340" s="105">
        <v>1.2904620232172472</v>
      </c>
      <c r="E340" s="106">
        <v>0.16240605877728378</v>
      </c>
      <c r="F340" s="106">
        <v>0.12106263474654905</v>
      </c>
      <c r="G340" s="105">
        <v>1.1292653231392811</v>
      </c>
      <c r="H340" s="106">
        <v>6.8326056647847036E-2</v>
      </c>
      <c r="I340" s="89">
        <v>1.2120821143459228</v>
      </c>
    </row>
    <row r="341" spans="2:9" ht="15.75">
      <c r="B341" s="75" t="s">
        <v>338</v>
      </c>
      <c r="C341" s="104">
        <v>249</v>
      </c>
      <c r="D341" s="105">
        <v>0.84284476650563611</v>
      </c>
      <c r="E341" s="106">
        <v>0.48128753315341694</v>
      </c>
      <c r="F341" s="106">
        <v>0.12866707708317957</v>
      </c>
      <c r="G341" s="105">
        <v>0.59381958983628347</v>
      </c>
      <c r="H341" s="106">
        <v>0.13175967647088779</v>
      </c>
      <c r="I341" s="89">
        <v>0.6839345901634718</v>
      </c>
    </row>
    <row r="342" spans="2:9" ht="15.75">
      <c r="B342" s="75" t="s">
        <v>339</v>
      </c>
      <c r="C342" s="104">
        <v>329</v>
      </c>
      <c r="D342" s="105">
        <v>0.9062746502057617</v>
      </c>
      <c r="E342" s="106">
        <v>0.99905945111164884</v>
      </c>
      <c r="F342" s="106">
        <v>0.17283066522641988</v>
      </c>
      <c r="G342" s="105">
        <v>0.49621054895282785</v>
      </c>
      <c r="H342" s="106">
        <v>0.10028745840563406</v>
      </c>
      <c r="I342" s="89">
        <v>0.5515212092892483</v>
      </c>
    </row>
    <row r="343" spans="2:9" ht="15.75">
      <c r="B343" s="75" t="s">
        <v>340</v>
      </c>
      <c r="C343" s="104">
        <v>97</v>
      </c>
      <c r="D343" s="105">
        <v>0.8646844444444447</v>
      </c>
      <c r="E343" s="106">
        <v>1.0472839434517565</v>
      </c>
      <c r="F343" s="106">
        <v>0.13211012899000113</v>
      </c>
      <c r="G343" s="105">
        <v>0.45296880766088976</v>
      </c>
      <c r="H343" s="106">
        <v>0.13585590465922587</v>
      </c>
      <c r="I343" s="89">
        <v>0.52418203179674805</v>
      </c>
    </row>
    <row r="344" spans="2:9" ht="15.75">
      <c r="B344" s="75" t="s">
        <v>341</v>
      </c>
      <c r="C344" s="104">
        <v>784</v>
      </c>
      <c r="D344" s="105">
        <v>0.77424637082903391</v>
      </c>
      <c r="E344" s="106">
        <v>0.2874483526745002</v>
      </c>
      <c r="F344" s="106">
        <v>0.14163690027351808</v>
      </c>
      <c r="G344" s="105">
        <v>0.62101916941519864</v>
      </c>
      <c r="H344" s="106">
        <v>6.8794554695082291E-2</v>
      </c>
      <c r="I344" s="89">
        <v>0.66689812924348779</v>
      </c>
    </row>
    <row r="345" spans="2:9" ht="15.75">
      <c r="B345" s="75" t="s">
        <v>342</v>
      </c>
      <c r="C345" s="104">
        <v>46</v>
      </c>
      <c r="D345" s="105">
        <v>1.0611176470588235</v>
      </c>
      <c r="E345" s="106">
        <v>0.76116625567376317</v>
      </c>
      <c r="F345" s="106">
        <v>0.10304558861379444</v>
      </c>
      <c r="G345" s="105">
        <v>0.63059239734925876</v>
      </c>
      <c r="H345" s="106">
        <v>5.8441024856981223E-2</v>
      </c>
      <c r="I345" s="89">
        <v>0.66973223557608219</v>
      </c>
    </row>
    <row r="346" spans="2:9" ht="15.75">
      <c r="B346" s="75" t="s">
        <v>343</v>
      </c>
      <c r="C346" s="104">
        <v>205</v>
      </c>
      <c r="D346" s="105">
        <v>0.84150530864197559</v>
      </c>
      <c r="E346" s="106">
        <v>0.20091855252947913</v>
      </c>
      <c r="F346" s="106">
        <v>0.14904286776659093</v>
      </c>
      <c r="G346" s="105">
        <v>0.71863762405109677</v>
      </c>
      <c r="H346" s="106">
        <v>0.16598452051374218</v>
      </c>
      <c r="I346" s="89">
        <v>0.86165981534751346</v>
      </c>
    </row>
    <row r="347" spans="2:9" ht="15.75">
      <c r="B347" s="75" t="s">
        <v>344</v>
      </c>
      <c r="C347" s="104">
        <v>87</v>
      </c>
      <c r="D347" s="105">
        <v>1.0442377104377103</v>
      </c>
      <c r="E347" s="106">
        <v>6.0486359094299953E-2</v>
      </c>
      <c r="F347" s="106">
        <v>0.10508469976676464</v>
      </c>
      <c r="G347" s="105">
        <v>0.9906155254165725</v>
      </c>
      <c r="H347" s="106">
        <v>0.10567294134389214</v>
      </c>
      <c r="I347" s="89">
        <v>1.1076658318995245</v>
      </c>
    </row>
    <row r="348" spans="2:9" ht="15.75">
      <c r="B348" s="75" t="s">
        <v>345</v>
      </c>
      <c r="C348" s="104">
        <v>72</v>
      </c>
      <c r="D348" s="105">
        <v>0.59691111111111106</v>
      </c>
      <c r="E348" s="106">
        <v>0.18827853503421371</v>
      </c>
      <c r="F348" s="106">
        <v>0.1621930946373934</v>
      </c>
      <c r="G348" s="105">
        <v>0.51558257143408814</v>
      </c>
      <c r="H348" s="106">
        <v>3.8883779360031845E-2</v>
      </c>
      <c r="I348" s="89">
        <v>0.53644144210861688</v>
      </c>
    </row>
    <row r="349" spans="2:9" ht="15.75">
      <c r="B349" s="75" t="s">
        <v>346</v>
      </c>
      <c r="C349" s="104">
        <v>53</v>
      </c>
      <c r="D349" s="105">
        <v>0.79369086419753088</v>
      </c>
      <c r="E349" s="106">
        <v>6.8077279139167307E-2</v>
      </c>
      <c r="F349" s="106">
        <v>0.11827506055799959</v>
      </c>
      <c r="G349" s="105">
        <v>0.74874699995056671</v>
      </c>
      <c r="H349" s="106">
        <v>3.6787378580467218E-2</v>
      </c>
      <c r="I349" s="89">
        <v>0.7773434268823245</v>
      </c>
    </row>
    <row r="350" spans="2:9" ht="15.75">
      <c r="B350" s="75" t="s">
        <v>347</v>
      </c>
      <c r="C350" s="104">
        <v>96</v>
      </c>
      <c r="D350" s="105">
        <v>0.95596988304093522</v>
      </c>
      <c r="E350" s="106">
        <v>0.20132253382561957</v>
      </c>
      <c r="F350" s="106">
        <v>0.16097034887063075</v>
      </c>
      <c r="G350" s="105">
        <v>0.81782628551174463</v>
      </c>
      <c r="H350" s="106">
        <v>0.12304727269639337</v>
      </c>
      <c r="I350" s="89">
        <v>0.93257738991968264</v>
      </c>
    </row>
    <row r="351" spans="2:9" ht="15.75">
      <c r="B351" s="75" t="s">
        <v>348</v>
      </c>
      <c r="C351" s="104">
        <v>38</v>
      </c>
      <c r="D351" s="105">
        <v>1.4713275985663083</v>
      </c>
      <c r="E351" s="106">
        <v>0.10618574001101345</v>
      </c>
      <c r="F351" s="106">
        <v>7.155540409380387E-2</v>
      </c>
      <c r="G351" s="105">
        <v>1.3392902214374227</v>
      </c>
      <c r="H351" s="106">
        <v>4.2069028024336874E-2</v>
      </c>
      <c r="I351" s="89">
        <v>1.3981072338388161</v>
      </c>
    </row>
    <row r="352" spans="2:9" ht="15.75">
      <c r="B352" s="75" t="s">
        <v>349</v>
      </c>
      <c r="C352" s="104">
        <v>185</v>
      </c>
      <c r="D352" s="105">
        <v>1.2299027065527068</v>
      </c>
      <c r="E352" s="106">
        <v>0.63062601137496999</v>
      </c>
      <c r="F352" s="106">
        <v>0.14571762582566541</v>
      </c>
      <c r="G352" s="105">
        <v>0.79929588652545003</v>
      </c>
      <c r="H352" s="106">
        <v>0.14726309852028197</v>
      </c>
      <c r="I352" s="89">
        <v>0.93733000781186548</v>
      </c>
    </row>
    <row r="353" spans="2:9" ht="15.75">
      <c r="B353" s="75" t="s">
        <v>350</v>
      </c>
      <c r="C353" s="104">
        <v>32</v>
      </c>
      <c r="D353" s="105">
        <v>1.6946508960573481</v>
      </c>
      <c r="E353" s="106">
        <v>1.2831564781110936</v>
      </c>
      <c r="F353" s="106">
        <v>9.3218007503181918E-2</v>
      </c>
      <c r="G353" s="105">
        <v>0.78327574209272843</v>
      </c>
      <c r="H353" s="106">
        <v>0.10575029401485155</v>
      </c>
      <c r="I353" s="89">
        <v>0.87590271134597053</v>
      </c>
    </row>
    <row r="354" spans="2:9" ht="15.75">
      <c r="B354" s="75" t="s">
        <v>351</v>
      </c>
      <c r="C354" s="104">
        <v>389</v>
      </c>
      <c r="D354" s="105">
        <v>0.81691061093247586</v>
      </c>
      <c r="E354" s="106">
        <v>0.15936710695305292</v>
      </c>
      <c r="F354" s="106">
        <v>0.12504802553532446</v>
      </c>
      <c r="G354" s="105">
        <v>0.71694133944727056</v>
      </c>
      <c r="H354" s="106">
        <v>7.7499268190341294E-2</v>
      </c>
      <c r="I354" s="89">
        <v>0.77717156716055413</v>
      </c>
    </row>
    <row r="355" spans="2:9" ht="15.75">
      <c r="B355" s="75" t="s">
        <v>352</v>
      </c>
      <c r="C355" s="104">
        <v>205</v>
      </c>
      <c r="D355" s="105">
        <v>0.81242029543994854</v>
      </c>
      <c r="E355" s="106">
        <v>9.8978626652591592E-2</v>
      </c>
      <c r="F355" s="106">
        <v>0.14614420548355639</v>
      </c>
      <c r="G355" s="105">
        <v>0.7491103752892736</v>
      </c>
      <c r="H355" s="106">
        <v>6.0738960398589566E-2</v>
      </c>
      <c r="I355" s="89">
        <v>0.79755290989943528</v>
      </c>
    </row>
    <row r="356" spans="2:9" ht="15.75">
      <c r="B356" s="75" t="s">
        <v>353</v>
      </c>
      <c r="C356" s="104">
        <v>43</v>
      </c>
      <c r="D356" s="105">
        <v>0.70056353276353267</v>
      </c>
      <c r="E356" s="106">
        <v>7.8807939305116093E-2</v>
      </c>
      <c r="F356" s="106">
        <v>0.16588874434266107</v>
      </c>
      <c r="G356" s="105">
        <v>0.65735272164069669</v>
      </c>
      <c r="H356" s="106">
        <v>4.0233915794372001E-2</v>
      </c>
      <c r="I356" s="89">
        <v>0.68490930494253655</v>
      </c>
    </row>
    <row r="357" spans="2:9" ht="15.75">
      <c r="B357" s="75" t="s">
        <v>354</v>
      </c>
      <c r="C357" s="104">
        <v>152</v>
      </c>
      <c r="D357" s="105">
        <v>0.54117907227615958</v>
      </c>
      <c r="E357" s="106">
        <v>0.2248204119089717</v>
      </c>
      <c r="F357" s="106">
        <v>0.10909957415012266</v>
      </c>
      <c r="G357" s="105">
        <v>0.4508726221891971</v>
      </c>
      <c r="H357" s="106">
        <v>9.7669371192487378E-2</v>
      </c>
      <c r="I357" s="89">
        <v>0.4996756264220511</v>
      </c>
    </row>
    <row r="358" spans="2:9" ht="15.75">
      <c r="B358" s="75" t="s">
        <v>355</v>
      </c>
      <c r="C358" s="104">
        <v>56</v>
      </c>
      <c r="D358" s="105">
        <v>0.80946320987654352</v>
      </c>
      <c r="E358" s="106">
        <v>0.48582718077343584</v>
      </c>
      <c r="F358" s="106">
        <v>0.15826100789113914</v>
      </c>
      <c r="G358" s="105">
        <v>0.57451942089128094</v>
      </c>
      <c r="H358" s="106">
        <v>0.21143760031020048</v>
      </c>
      <c r="I358" s="89">
        <v>0.72856557847201742</v>
      </c>
    </row>
    <row r="359" spans="2:9" ht="15.75">
      <c r="B359" s="75" t="s">
        <v>356</v>
      </c>
      <c r="C359" s="104">
        <v>131</v>
      </c>
      <c r="D359" s="105">
        <v>0.56287044917257711</v>
      </c>
      <c r="E359" s="106">
        <v>0.23856523965355086</v>
      </c>
      <c r="F359" s="106">
        <v>0.12825641685545244</v>
      </c>
      <c r="G359" s="105">
        <v>0.46596481125340045</v>
      </c>
      <c r="H359" s="106">
        <v>0.15456718405581057</v>
      </c>
      <c r="I359" s="89">
        <v>0.55115534015911771</v>
      </c>
    </row>
    <row r="360" spans="2:9" ht="15.75">
      <c r="B360" s="75" t="s">
        <v>357</v>
      </c>
      <c r="C360" s="104">
        <v>117</v>
      </c>
      <c r="D360" s="105">
        <v>1.2848025462962966</v>
      </c>
      <c r="E360" s="106">
        <v>2.7760988982928874E-2</v>
      </c>
      <c r="F360" s="106">
        <v>0.11709809969608445</v>
      </c>
      <c r="G360" s="105">
        <v>1.2540651218167067</v>
      </c>
      <c r="H360" s="106">
        <v>4.3925707046468206E-2</v>
      </c>
      <c r="I360" s="89">
        <v>1.3116816664347426</v>
      </c>
    </row>
    <row r="361" spans="2:9" ht="15.75">
      <c r="B361" s="75" t="s">
        <v>358</v>
      </c>
      <c r="C361" s="104">
        <v>147</v>
      </c>
      <c r="D361" s="105">
        <v>0.92083537037037</v>
      </c>
      <c r="E361" s="106">
        <v>0.93368154248399027</v>
      </c>
      <c r="F361" s="106">
        <v>7.4252408564790651E-2</v>
      </c>
      <c r="G361" s="105">
        <v>0.49391673866517327</v>
      </c>
      <c r="H361" s="106">
        <v>7.7148362966632744E-2</v>
      </c>
      <c r="I361" s="89">
        <v>0.53520708946557882</v>
      </c>
    </row>
    <row r="362" spans="2:9" ht="15.75">
      <c r="B362" s="75" t="s">
        <v>359</v>
      </c>
      <c r="C362" s="104">
        <v>645</v>
      </c>
      <c r="D362" s="105">
        <v>1.0791939181286538</v>
      </c>
      <c r="E362" s="106">
        <v>0.23718316686184424</v>
      </c>
      <c r="F362" s="106">
        <v>0.15486391537382166</v>
      </c>
      <c r="G362" s="105">
        <v>0.89898960599791944</v>
      </c>
      <c r="H362" s="106">
        <v>0.10168727017743583</v>
      </c>
      <c r="I362" s="89">
        <v>1.0007534972542234</v>
      </c>
    </row>
    <row r="363" spans="2:9" ht="15.75">
      <c r="B363" s="75" t="s">
        <v>360</v>
      </c>
      <c r="C363" s="104">
        <v>330</v>
      </c>
      <c r="D363" s="105">
        <v>1.2837648616125155</v>
      </c>
      <c r="E363" s="106">
        <v>0.54169065510527803</v>
      </c>
      <c r="F363" s="106">
        <v>0.10689547592063235</v>
      </c>
      <c r="G363" s="105">
        <v>0.86519520833957253</v>
      </c>
      <c r="H363" s="106">
        <v>9.2963236803857846E-2</v>
      </c>
      <c r="I363" s="89">
        <v>0.95387005625975763</v>
      </c>
    </row>
    <row r="364" spans="2:9" ht="15.75">
      <c r="B364" s="75" t="s">
        <v>361</v>
      </c>
      <c r="C364" s="104">
        <v>59</v>
      </c>
      <c r="D364" s="105">
        <v>0.63964700854700873</v>
      </c>
      <c r="E364" s="106">
        <v>0.15821037227330714</v>
      </c>
      <c r="F364" s="106">
        <v>0.14191864691602879</v>
      </c>
      <c r="G364" s="105">
        <v>0.56318983725474914</v>
      </c>
      <c r="H364" s="106">
        <v>0.10978834851402058</v>
      </c>
      <c r="I364" s="89">
        <v>0.63264711972107812</v>
      </c>
    </row>
    <row r="365" spans="2:9" ht="15.75">
      <c r="B365" s="75" t="s">
        <v>362</v>
      </c>
      <c r="C365" s="104">
        <v>24</v>
      </c>
      <c r="D365" s="105">
        <v>1.2292404040404041</v>
      </c>
      <c r="E365" s="106">
        <v>0.43632102026878256</v>
      </c>
      <c r="F365" s="106">
        <v>0.22887708943642357</v>
      </c>
      <c r="G365" s="105">
        <v>0.91977540600871588</v>
      </c>
      <c r="H365" s="106">
        <v>7.2194711691615926E-2</v>
      </c>
      <c r="I365" s="89">
        <v>0.99134529367222235</v>
      </c>
    </row>
    <row r="366" spans="2:9" ht="15.75">
      <c r="B366" s="75" t="s">
        <v>363</v>
      </c>
      <c r="C366" s="104">
        <v>133</v>
      </c>
      <c r="D366" s="105">
        <v>1.4998662351672063</v>
      </c>
      <c r="E366" s="106">
        <v>0.25250798221537257</v>
      </c>
      <c r="F366" s="106">
        <v>0.13093167149644061</v>
      </c>
      <c r="G366" s="105">
        <v>1.2299563789219945</v>
      </c>
      <c r="H366" s="106">
        <v>4.1875912271620845E-2</v>
      </c>
      <c r="I366" s="89">
        <v>1.2837130332858071</v>
      </c>
    </row>
    <row r="367" spans="2:9" ht="15.75">
      <c r="B367" s="75" t="s">
        <v>364</v>
      </c>
      <c r="C367" s="104">
        <v>75</v>
      </c>
      <c r="D367" s="105">
        <v>1.2615088566827701</v>
      </c>
      <c r="E367" s="106">
        <v>0.88845131442159098</v>
      </c>
      <c r="F367" s="106">
        <v>0.13736560243160717</v>
      </c>
      <c r="G367" s="105">
        <v>0.71416591308560096</v>
      </c>
      <c r="H367" s="106">
        <v>6.8944498703940746E-2</v>
      </c>
      <c r="I367" s="89">
        <v>0.76704977532645369</v>
      </c>
    </row>
    <row r="368" spans="2:9" ht="15.75">
      <c r="B368" s="75" t="s">
        <v>365</v>
      </c>
      <c r="C368" s="104">
        <v>251</v>
      </c>
      <c r="D368" s="105">
        <v>1.0783995621237006</v>
      </c>
      <c r="E368" s="106">
        <v>0.43063776583726071</v>
      </c>
      <c r="F368" s="106">
        <v>0.14051448762048047</v>
      </c>
      <c r="G368" s="105">
        <v>0.78708004764829764</v>
      </c>
      <c r="H368" s="106">
        <v>6.5029122231877179E-2</v>
      </c>
      <c r="I368" s="89">
        <v>0.84182306247563921</v>
      </c>
    </row>
    <row r="369" spans="2:9" ht="15.75">
      <c r="B369" s="75" t="s">
        <v>366</v>
      </c>
      <c r="C369" s="104">
        <v>280</v>
      </c>
      <c r="D369" s="105">
        <v>0.83092806782686257</v>
      </c>
      <c r="E369" s="106">
        <v>0.43733170693577939</v>
      </c>
      <c r="F369" s="106">
        <v>0.15920076785077369</v>
      </c>
      <c r="G369" s="105">
        <v>0.60753316392415624</v>
      </c>
      <c r="H369" s="106">
        <v>8.9105362595928855E-2</v>
      </c>
      <c r="I369" s="89">
        <v>0.66696315795155536</v>
      </c>
    </row>
    <row r="370" spans="2:9" ht="15.75">
      <c r="B370" s="75" t="s">
        <v>367</v>
      </c>
      <c r="C370" s="104">
        <v>196</v>
      </c>
      <c r="D370" s="105">
        <v>0.86044595959595893</v>
      </c>
      <c r="E370" s="106">
        <v>0.84601412964739942</v>
      </c>
      <c r="F370" s="106">
        <v>0.12850777447896525</v>
      </c>
      <c r="G370" s="105">
        <v>0.49527920705378153</v>
      </c>
      <c r="H370" s="106">
        <v>6.1349596225052226E-2</v>
      </c>
      <c r="I370" s="89">
        <v>0.52765034251509302</v>
      </c>
    </row>
    <row r="371" spans="2:9" ht="15.75">
      <c r="B371" s="75" t="s">
        <v>368</v>
      </c>
      <c r="C371" s="104">
        <v>519</v>
      </c>
      <c r="D371" s="105">
        <v>0.86632618025751007</v>
      </c>
      <c r="E371" s="106">
        <v>9.3942317402752926E-2</v>
      </c>
      <c r="F371" s="106">
        <v>0.16000851351432735</v>
      </c>
      <c r="G371" s="105">
        <v>0.80296371390834731</v>
      </c>
      <c r="H371" s="106">
        <v>6.2100048346374621E-2</v>
      </c>
      <c r="I371" s="89">
        <v>0.85612939044578262</v>
      </c>
    </row>
    <row r="372" spans="2:9" ht="15.75">
      <c r="B372" s="75" t="s">
        <v>369</v>
      </c>
      <c r="C372" s="104">
        <v>420</v>
      </c>
      <c r="D372" s="105">
        <v>0.87002958801498143</v>
      </c>
      <c r="E372" s="106">
        <v>0.890779626535675</v>
      </c>
      <c r="F372" s="106">
        <v>0.14957962998820692</v>
      </c>
      <c r="G372" s="105">
        <v>0.49502771145664781</v>
      </c>
      <c r="H372" s="106">
        <v>5.5251904173656781E-2</v>
      </c>
      <c r="I372" s="89">
        <v>0.52397852257501687</v>
      </c>
    </row>
    <row r="373" spans="2:9" ht="15.75">
      <c r="B373" s="75" t="s">
        <v>370</v>
      </c>
      <c r="C373" s="104">
        <v>111</v>
      </c>
      <c r="D373" s="105">
        <v>1.6974704545454549</v>
      </c>
      <c r="E373" s="106">
        <v>0.32500529509403059</v>
      </c>
      <c r="F373" s="106">
        <v>9.0356732848352661E-2</v>
      </c>
      <c r="G373" s="105">
        <v>1.3101416472997223</v>
      </c>
      <c r="H373" s="106">
        <v>6.3940353853085982E-2</v>
      </c>
      <c r="I373" s="89">
        <v>1.3996347911082754</v>
      </c>
    </row>
    <row r="374" spans="2:9" ht="15.75">
      <c r="B374" s="75" t="s">
        <v>371</v>
      </c>
      <c r="C374" s="104">
        <v>163</v>
      </c>
      <c r="D374" s="105">
        <v>0.79833884833738877</v>
      </c>
      <c r="E374" s="106">
        <v>0.15043338046297874</v>
      </c>
      <c r="F374" s="106">
        <v>0.13072472157525158</v>
      </c>
      <c r="G374" s="105">
        <v>0.70601470429350988</v>
      </c>
      <c r="H374" s="106">
        <v>0.12787037265781642</v>
      </c>
      <c r="I374" s="89">
        <v>0.8095295494605439</v>
      </c>
    </row>
    <row r="375" spans="2:9" ht="15.75">
      <c r="B375" s="75" t="s">
        <v>373</v>
      </c>
      <c r="C375" s="104">
        <v>12</v>
      </c>
      <c r="D375" s="105">
        <v>0.90026111111111107</v>
      </c>
      <c r="E375" s="106">
        <v>0.22852423250934117</v>
      </c>
      <c r="F375" s="106">
        <v>0.17288459733385464</v>
      </c>
      <c r="G375" s="105">
        <v>0.75714807647055715</v>
      </c>
      <c r="H375" s="106">
        <v>6.1730175196600581E-2</v>
      </c>
      <c r="I375" s="89">
        <v>0.80696198093038574</v>
      </c>
    </row>
    <row r="376" spans="2:9" ht="15.75">
      <c r="B376" s="75" t="s">
        <v>403</v>
      </c>
      <c r="C376" s="104">
        <v>296</v>
      </c>
      <c r="D376" s="105">
        <v>1.0537245478036175</v>
      </c>
      <c r="E376" s="106">
        <v>0.64675399323269722</v>
      </c>
      <c r="F376" s="106">
        <v>0.14103669404025601</v>
      </c>
      <c r="G376" s="105">
        <v>0.67740201969574754</v>
      </c>
      <c r="H376" s="106">
        <v>0.11694411076552999</v>
      </c>
      <c r="I376" s="89">
        <v>0.76711115112203621</v>
      </c>
    </row>
    <row r="377" spans="2:9" ht="15.75">
      <c r="B377" s="75" t="s">
        <v>374</v>
      </c>
      <c r="C377" s="104">
        <v>552</v>
      </c>
      <c r="D377" s="105">
        <v>1.1603621099887764</v>
      </c>
      <c r="E377" s="106">
        <v>3.6514040932142109</v>
      </c>
      <c r="F377" s="106">
        <v>0.18739025313291596</v>
      </c>
      <c r="G377" s="105">
        <v>0.29249140252611239</v>
      </c>
      <c r="H377" s="106">
        <v>6.6990140414413438E-2</v>
      </c>
      <c r="I377" s="89">
        <v>0.31349229541478563</v>
      </c>
    </row>
    <row r="378" spans="2:9" ht="15.75">
      <c r="B378" s="75" t="s">
        <v>376</v>
      </c>
      <c r="C378" s="104">
        <v>230</v>
      </c>
      <c r="D378" s="105">
        <v>1.0154755064456717</v>
      </c>
      <c r="E378" s="106">
        <v>0.70343520171450558</v>
      </c>
      <c r="F378" s="106">
        <v>0.12452730156300175</v>
      </c>
      <c r="G378" s="105">
        <v>0.62845118692182023</v>
      </c>
      <c r="H378" s="106">
        <v>5.5909088299279125E-2</v>
      </c>
      <c r="I378" s="89">
        <v>0.66566808252576504</v>
      </c>
    </row>
    <row r="379" spans="2:9" ht="15.75">
      <c r="B379" s="75" t="s">
        <v>377</v>
      </c>
      <c r="C379" s="104">
        <v>99</v>
      </c>
      <c r="D379" s="105">
        <v>1.1051899877899878</v>
      </c>
      <c r="E379" s="106">
        <v>0.1974995889011267</v>
      </c>
      <c r="F379" s="106">
        <v>0.16397189841414517</v>
      </c>
      <c r="G379" s="105">
        <v>0.94856713031018181</v>
      </c>
      <c r="H379" s="106">
        <v>0.11152085954136561</v>
      </c>
      <c r="I379" s="89">
        <v>1.0676301638556533</v>
      </c>
    </row>
    <row r="380" spans="2:9" ht="15.75">
      <c r="B380" s="75" t="s">
        <v>378</v>
      </c>
      <c r="C380" s="104">
        <v>29</v>
      </c>
      <c r="D380" s="105">
        <v>0.99402311111111119</v>
      </c>
      <c r="E380" s="106">
        <v>0.14335783018661036</v>
      </c>
      <c r="F380" s="106">
        <v>9.7321381851139865E-2</v>
      </c>
      <c r="G380" s="105">
        <v>0.88012908450785632</v>
      </c>
      <c r="H380" s="106">
        <v>0.19706921157037621</v>
      </c>
      <c r="I380" s="89">
        <v>1.0961456419291349</v>
      </c>
    </row>
    <row r="381" spans="2:9" ht="15.75">
      <c r="B381" s="75" t="s">
        <v>379</v>
      </c>
      <c r="C381" s="104">
        <v>73</v>
      </c>
      <c r="D381" s="105">
        <v>1.0592633879781426</v>
      </c>
      <c r="E381" s="106">
        <v>0.14041452459338885</v>
      </c>
      <c r="F381" s="106">
        <v>0.1583196371987215</v>
      </c>
      <c r="G381" s="105">
        <v>0.94730674716731256</v>
      </c>
      <c r="H381" s="106">
        <v>5.5974170160097307E-2</v>
      </c>
      <c r="I381" s="89">
        <v>1.0034754529205692</v>
      </c>
    </row>
    <row r="382" spans="2:9" ht="15.75">
      <c r="B382" s="75" t="s">
        <v>380</v>
      </c>
      <c r="C382" s="104">
        <v>62</v>
      </c>
      <c r="D382" s="105">
        <v>0.7500485260770976</v>
      </c>
      <c r="E382" s="106">
        <v>0.70394314322776297</v>
      </c>
      <c r="F382" s="106">
        <v>0.16432979021363039</v>
      </c>
      <c r="G382" s="105">
        <v>0.47224414688489336</v>
      </c>
      <c r="H382" s="106">
        <v>0.13332767708962528</v>
      </c>
      <c r="I382" s="89">
        <v>0.54489353634721938</v>
      </c>
    </row>
    <row r="383" spans="2:9" ht="15.75">
      <c r="B383" s="75" t="s">
        <v>381</v>
      </c>
      <c r="C383" s="104">
        <v>12</v>
      </c>
      <c r="D383" s="105">
        <v>1.1298444444444444</v>
      </c>
      <c r="E383" s="106">
        <v>0.33865434132026428</v>
      </c>
      <c r="F383" s="106">
        <v>0.18376128761675359</v>
      </c>
      <c r="G383" s="105">
        <v>0.88516474247222154</v>
      </c>
      <c r="H383" s="106">
        <v>9.2883958718719198E-2</v>
      </c>
      <c r="I383" s="89">
        <v>0.97580100250674273</v>
      </c>
    </row>
    <row r="384" spans="2:9" ht="15.75">
      <c r="B384" s="75" t="s">
        <v>382</v>
      </c>
      <c r="C384" s="104">
        <v>427</v>
      </c>
      <c r="D384" s="105">
        <v>0.8389054501656128</v>
      </c>
      <c r="E384" s="106">
        <v>0.65728633630585975</v>
      </c>
      <c r="F384" s="106">
        <v>0.15081921324718084</v>
      </c>
      <c r="G384" s="105">
        <v>0.53839668635661087</v>
      </c>
      <c r="H384" s="106">
        <v>0.10315294994564163</v>
      </c>
      <c r="I384" s="89">
        <v>0.60032163379918391</v>
      </c>
    </row>
    <row r="385" spans="2:9" ht="15.75">
      <c r="B385" s="75" t="s">
        <v>383</v>
      </c>
      <c r="C385" s="104">
        <v>145</v>
      </c>
      <c r="D385" s="105">
        <v>1.0027073251028809</v>
      </c>
      <c r="E385" s="106">
        <v>0.32543947449569516</v>
      </c>
      <c r="F385" s="106">
        <v>0.22758753691920897</v>
      </c>
      <c r="G385" s="105">
        <v>0.80128540378385549</v>
      </c>
      <c r="H385" s="106">
        <v>8.351641265928593E-2</v>
      </c>
      <c r="I385" s="89">
        <v>0.87430414996179051</v>
      </c>
    </row>
    <row r="386" spans="2:9" ht="15.75">
      <c r="B386" s="75" t="s">
        <v>384</v>
      </c>
      <c r="C386" s="104">
        <v>51</v>
      </c>
      <c r="D386" s="105">
        <v>0.8872743961352656</v>
      </c>
      <c r="E386" s="106">
        <v>0.2644849796118906</v>
      </c>
      <c r="F386" s="106">
        <v>0.20732105814681906</v>
      </c>
      <c r="G386" s="105">
        <v>0.73349577847187675</v>
      </c>
      <c r="H386" s="106">
        <v>6.3486365784623661E-2</v>
      </c>
      <c r="I386" s="89">
        <v>0.78321954072394184</v>
      </c>
    </row>
    <row r="387" spans="2:9" ht="15.75">
      <c r="B387" s="75" t="s">
        <v>385</v>
      </c>
      <c r="C387" s="104">
        <v>12</v>
      </c>
      <c r="D387" s="105">
        <v>3.5460407407407408</v>
      </c>
      <c r="E387" s="106">
        <v>0.67134417414945768</v>
      </c>
      <c r="F387" s="106">
        <v>0.11719721204242717</v>
      </c>
      <c r="G387" s="105">
        <v>2.2264831805772207</v>
      </c>
      <c r="H387" s="106">
        <v>2.0757511956237741E-2</v>
      </c>
      <c r="I387" s="89">
        <v>2.2736791017157332</v>
      </c>
    </row>
    <row r="388" spans="2:9" ht="15.75">
      <c r="B388" s="75" t="s">
        <v>386</v>
      </c>
      <c r="C388" s="104">
        <v>154</v>
      </c>
      <c r="D388" s="105">
        <v>1.079439902676399</v>
      </c>
      <c r="E388" s="106">
        <v>0.24779676923291297</v>
      </c>
      <c r="F388" s="106">
        <v>0.16392833971604273</v>
      </c>
      <c r="G388" s="105">
        <v>0.89418612629951155</v>
      </c>
      <c r="H388" s="106">
        <v>8.8470010840785512E-2</v>
      </c>
      <c r="I388" s="89">
        <v>0.98097280060341108</v>
      </c>
    </row>
    <row r="389" spans="2:9" ht="15.75">
      <c r="B389" s="75" t="s">
        <v>387</v>
      </c>
      <c r="C389" s="104">
        <v>70</v>
      </c>
      <c r="D389" s="105">
        <v>1.1207499058380412</v>
      </c>
      <c r="E389" s="106">
        <v>0.46726958148319209</v>
      </c>
      <c r="F389" s="106">
        <v>0.18597235022392289</v>
      </c>
      <c r="G389" s="105">
        <v>0.81191971295730281</v>
      </c>
      <c r="H389" s="106">
        <v>6.6906484043877307E-2</v>
      </c>
      <c r="I389" s="89">
        <v>0.8701375575687551</v>
      </c>
    </row>
    <row r="390" spans="2:9" ht="15.75">
      <c r="B390" s="75" t="s">
        <v>388</v>
      </c>
      <c r="C390" s="104">
        <v>379</v>
      </c>
      <c r="D390" s="105">
        <v>1.3538622471210706</v>
      </c>
      <c r="E390" s="106">
        <v>0.13417590766376233</v>
      </c>
      <c r="F390" s="106">
        <v>9.6454306679285881E-2</v>
      </c>
      <c r="G390" s="105">
        <v>1.2074751304597298</v>
      </c>
      <c r="H390" s="106">
        <v>0.10198507765371385</v>
      </c>
      <c r="I390" s="89">
        <v>1.3446047503363332</v>
      </c>
    </row>
    <row r="391" spans="2:9" ht="15.75">
      <c r="B391" s="75" t="s">
        <v>389</v>
      </c>
      <c r="C391" s="104">
        <v>151</v>
      </c>
      <c r="D391" s="105">
        <v>1.2742699588477362</v>
      </c>
      <c r="E391" s="106">
        <v>0.38222665729013044</v>
      </c>
      <c r="F391" s="106">
        <v>9.9258085084400524E-2</v>
      </c>
      <c r="G391" s="105">
        <v>0.94791470674086731</v>
      </c>
      <c r="H391" s="106">
        <v>9.150269587851001E-2</v>
      </c>
      <c r="I391" s="89">
        <v>1.0433874734031199</v>
      </c>
    </row>
    <row r="392" spans="2:9" ht="15.75">
      <c r="B392" s="75" t="s">
        <v>390</v>
      </c>
      <c r="C392" s="104">
        <v>225</v>
      </c>
      <c r="D392" s="105">
        <v>0.91438333333333344</v>
      </c>
      <c r="E392" s="106">
        <v>0.91176442557800375</v>
      </c>
      <c r="F392" s="106">
        <v>0.11198994885588465</v>
      </c>
      <c r="G392" s="105">
        <v>0.5052802004221616</v>
      </c>
      <c r="H392" s="106">
        <v>0.11169740670570442</v>
      </c>
      <c r="I392" s="89">
        <v>0.56881540618756443</v>
      </c>
    </row>
    <row r="393" spans="2:9" ht="15.75">
      <c r="B393" s="75" t="s">
        <v>391</v>
      </c>
      <c r="C393" s="104">
        <v>65</v>
      </c>
      <c r="D393" s="105">
        <v>0.89669566854990568</v>
      </c>
      <c r="E393" s="106">
        <v>0.1939312178247638</v>
      </c>
      <c r="F393" s="106">
        <v>0.18735311997507953</v>
      </c>
      <c r="G393" s="105">
        <v>0.77461776807709315</v>
      </c>
      <c r="H393" s="106">
        <v>0.11898592317157815</v>
      </c>
      <c r="I393" s="89">
        <v>0.87923426929300996</v>
      </c>
    </row>
    <row r="394" spans="2:9" ht="15.75">
      <c r="B394" s="75" t="s">
        <v>392</v>
      </c>
      <c r="C394" s="104">
        <v>488</v>
      </c>
      <c r="D394" s="105">
        <v>1.2278211592002024</v>
      </c>
      <c r="E394" s="106">
        <v>1.0271990836329254</v>
      </c>
      <c r="F394" s="106">
        <v>0.13872764294730819</v>
      </c>
      <c r="G394" s="105">
        <v>0.65146832255990583</v>
      </c>
      <c r="H394" s="106">
        <v>9.7937418125377609E-2</v>
      </c>
      <c r="I394" s="89">
        <v>0.72219858760359634</v>
      </c>
    </row>
    <row r="395" spans="2:9" ht="15.75">
      <c r="B395" s="75" t="s">
        <v>393</v>
      </c>
      <c r="C395" s="104">
        <v>61</v>
      </c>
      <c r="D395" s="105">
        <v>0.96242911877394688</v>
      </c>
      <c r="E395" s="106">
        <v>0.29618791369867276</v>
      </c>
      <c r="F395" s="106">
        <v>0.16429735905791837</v>
      </c>
      <c r="G395" s="105">
        <v>0.77147079380240802</v>
      </c>
      <c r="H395" s="106">
        <v>5.2704101308606879E-2</v>
      </c>
      <c r="I395" s="89">
        <v>0.81439262522737388</v>
      </c>
    </row>
    <row r="396" spans="2:9" ht="15.75">
      <c r="B396" s="75" t="s">
        <v>394</v>
      </c>
      <c r="C396" s="104">
        <v>280</v>
      </c>
      <c r="D396" s="105">
        <v>1.1719771454381207</v>
      </c>
      <c r="E396" s="106">
        <v>0.19135198709802237</v>
      </c>
      <c r="F396" s="106">
        <v>0.10454817521777948</v>
      </c>
      <c r="G396" s="105">
        <v>1.0005384055213535</v>
      </c>
      <c r="H396" s="106">
        <v>0.13349793667266355</v>
      </c>
      <c r="I396" s="89">
        <v>1.1546866970856622</v>
      </c>
    </row>
    <row r="397" spans="2:9" ht="15.75">
      <c r="B397" s="75" t="s">
        <v>395</v>
      </c>
      <c r="C397" s="104">
        <v>117</v>
      </c>
      <c r="D397" s="105">
        <v>0.81646170442286936</v>
      </c>
      <c r="E397" s="106">
        <v>0.36982349979074125</v>
      </c>
      <c r="F397" s="106">
        <v>0.12708209700411732</v>
      </c>
      <c r="G397" s="105">
        <v>0.61721041146046451</v>
      </c>
      <c r="H397" s="106">
        <v>5.5434255167576656E-2</v>
      </c>
      <c r="I397" s="89">
        <v>0.65343298212657985</v>
      </c>
    </row>
    <row r="398" spans="2:9" ht="15.75">
      <c r="B398" s="75" t="s">
        <v>396</v>
      </c>
      <c r="C398" s="104">
        <v>31</v>
      </c>
      <c r="D398" s="105">
        <v>0.9952444444444446</v>
      </c>
      <c r="E398" s="106">
        <v>1.5898534308938039</v>
      </c>
      <c r="F398" s="106">
        <v>0.18321889104476746</v>
      </c>
      <c r="G398" s="105">
        <v>0.43298563924200667</v>
      </c>
      <c r="H398" s="106">
        <v>4.9822730468973217E-2</v>
      </c>
      <c r="I398" s="89">
        <v>0.45568932569362847</v>
      </c>
    </row>
    <row r="399" spans="2:9" ht="15.75">
      <c r="B399" s="75" t="s">
        <v>397</v>
      </c>
      <c r="C399" s="104">
        <v>35</v>
      </c>
      <c r="D399" s="105">
        <v>0.62855555555555553</v>
      </c>
      <c r="E399" s="106">
        <v>2.909836461947363E-2</v>
      </c>
      <c r="F399" s="106">
        <v>0.22081138648521298</v>
      </c>
      <c r="G399" s="105">
        <v>0.61462020142627216</v>
      </c>
      <c r="H399" s="106">
        <v>1.6381751240805795E-2</v>
      </c>
      <c r="I399" s="89">
        <v>0.6248564442573098</v>
      </c>
    </row>
    <row r="400" spans="2:9" ht="15.75">
      <c r="B400" s="75" t="s">
        <v>404</v>
      </c>
      <c r="C400" s="104">
        <v>135</v>
      </c>
      <c r="D400" s="105">
        <v>0.88797504553734086</v>
      </c>
      <c r="E400" s="106">
        <v>0.67863799370779621</v>
      </c>
      <c r="F400" s="106">
        <v>0.19469267090278367</v>
      </c>
      <c r="G400" s="105">
        <v>0.57417915886327808</v>
      </c>
      <c r="H400" s="106">
        <v>9.8352639720672722E-2</v>
      </c>
      <c r="I400" s="89">
        <v>0.63681122371988019</v>
      </c>
    </row>
    <row r="401" spans="1:9" ht="15.75">
      <c r="B401" s="75" t="s">
        <v>399</v>
      </c>
      <c r="C401" s="104">
        <v>89</v>
      </c>
      <c r="D401" s="105">
        <v>0.74424592592592587</v>
      </c>
      <c r="E401" s="106">
        <v>0.38347537630158179</v>
      </c>
      <c r="F401" s="106">
        <v>0.1620149818444607</v>
      </c>
      <c r="G401" s="105">
        <v>0.5632480641823473</v>
      </c>
      <c r="H401" s="106">
        <v>9.3385539592878458E-2</v>
      </c>
      <c r="I401" s="89">
        <v>0.6212652552766661</v>
      </c>
    </row>
    <row r="402" spans="1:9" ht="15.75">
      <c r="B402" s="75" t="s">
        <v>400</v>
      </c>
      <c r="C402" s="104">
        <v>10</v>
      </c>
      <c r="D402" s="105">
        <v>0.28763456790123448</v>
      </c>
      <c r="E402" s="106">
        <v>2.5108777244138305</v>
      </c>
      <c r="F402" s="106">
        <v>0.1119942028041182</v>
      </c>
      <c r="G402" s="105">
        <v>8.9059939206987779E-2</v>
      </c>
      <c r="H402" s="106">
        <v>7.8067277523724221E-2</v>
      </c>
      <c r="I402" s="89">
        <v>9.6601343065225206E-2</v>
      </c>
    </row>
    <row r="403" spans="1:9" ht="15.75">
      <c r="B403" s="75" t="s">
        <v>401</v>
      </c>
      <c r="C403" s="104">
        <v>55</v>
      </c>
      <c r="D403" s="105">
        <v>0.90725200000000006</v>
      </c>
      <c r="E403" s="106">
        <v>0.33714596839282573</v>
      </c>
      <c r="F403" s="106">
        <v>0.17883107126438505</v>
      </c>
      <c r="G403" s="105">
        <v>0.71053710650474888</v>
      </c>
      <c r="H403" s="106">
        <v>8.046582455971342E-2</v>
      </c>
      <c r="I403" s="89">
        <v>0.77271419103540462</v>
      </c>
    </row>
    <row r="404" spans="1:9" ht="15.75">
      <c r="B404" s="80" t="s">
        <v>402</v>
      </c>
      <c r="C404" s="81">
        <v>19083</v>
      </c>
      <c r="D404" s="102">
        <v>1.0148632415951975</v>
      </c>
      <c r="E404" s="82">
        <v>0.58509568596464157</v>
      </c>
      <c r="F404" s="82">
        <v>0.14276434450845166</v>
      </c>
      <c r="G404" s="102">
        <v>0.67587038861129556</v>
      </c>
      <c r="H404" s="82">
        <v>0.12569557750726706</v>
      </c>
      <c r="I404" s="103">
        <v>0.77303782438194546</v>
      </c>
    </row>
    <row r="406" spans="1:9" ht="29.25" customHeight="1">
      <c r="A406" s="182" t="s">
        <v>282</v>
      </c>
      <c r="B406" s="182"/>
    </row>
    <row r="407" spans="1:9">
      <c r="B407" s="90" t="s">
        <v>304</v>
      </c>
      <c r="C407" s="91" t="s">
        <v>305</v>
      </c>
      <c r="D407" s="92" t="s">
        <v>425</v>
      </c>
      <c r="E407" s="91" t="s">
        <v>426</v>
      </c>
      <c r="F407" s="91" t="s">
        <v>427</v>
      </c>
      <c r="G407" s="91" t="s">
        <v>301</v>
      </c>
      <c r="H407" s="91" t="s">
        <v>428</v>
      </c>
      <c r="I407" s="93" t="s">
        <v>429</v>
      </c>
    </row>
    <row r="408" spans="1:9" ht="15.75">
      <c r="B408" s="75" t="s">
        <v>306</v>
      </c>
      <c r="C408" s="107">
        <v>27</v>
      </c>
      <c r="D408" s="109">
        <v>1.236588888888889</v>
      </c>
      <c r="E408" s="108">
        <v>0.15692507229167771</v>
      </c>
      <c r="F408" s="108">
        <v>0.15741644475740132</v>
      </c>
      <c r="G408" s="109">
        <v>1.0921783526859847</v>
      </c>
      <c r="H408" s="108">
        <v>8.535776824605143E-2</v>
      </c>
      <c r="I408" s="89">
        <v>1.1941044429925207</v>
      </c>
    </row>
    <row r="409" spans="1:9" ht="15.75">
      <c r="B409" s="75" t="s">
        <v>307</v>
      </c>
      <c r="C409" s="107">
        <v>16</v>
      </c>
      <c r="D409" s="109">
        <v>0.97849861111111114</v>
      </c>
      <c r="E409" s="108">
        <v>9.9713360551442115E-2</v>
      </c>
      <c r="F409" s="108">
        <v>0.1301720961015157</v>
      </c>
      <c r="G409" s="109">
        <v>0.90040349733090785</v>
      </c>
      <c r="H409" s="108">
        <v>7.2483496255287591E-2</v>
      </c>
      <c r="I409" s="89">
        <v>0.97076816821658729</v>
      </c>
    </row>
    <row r="410" spans="1:9" ht="15.75">
      <c r="B410" s="75" t="s">
        <v>308</v>
      </c>
      <c r="C410" s="107">
        <v>14</v>
      </c>
      <c r="D410" s="109">
        <v>1.0730920634920635</v>
      </c>
      <c r="E410" s="108">
        <v>1.4806306187390652</v>
      </c>
      <c r="F410" s="108">
        <v>0.20090493581386468</v>
      </c>
      <c r="G410" s="109">
        <v>0.49153053049552248</v>
      </c>
      <c r="H410" s="108">
        <v>0.12105660023675321</v>
      </c>
      <c r="I410" s="89">
        <v>0.5592288771130447</v>
      </c>
    </row>
    <row r="411" spans="1:9" ht="15.75">
      <c r="B411" s="75" t="s">
        <v>309</v>
      </c>
      <c r="C411" s="107">
        <v>191</v>
      </c>
      <c r="D411" s="109">
        <v>0.97228324125230292</v>
      </c>
      <c r="E411" s="108">
        <v>0.21562890476456723</v>
      </c>
      <c r="F411" s="108">
        <v>0.17391992566343972</v>
      </c>
      <c r="G411" s="109">
        <v>0.82527898472815386</v>
      </c>
      <c r="H411" s="108">
        <v>0.12367365782787686</v>
      </c>
      <c r="I411" s="89">
        <v>0.9417484617460663</v>
      </c>
    </row>
    <row r="412" spans="1:9" ht="15.75">
      <c r="B412" s="75" t="s">
        <v>310</v>
      </c>
      <c r="C412" s="107">
        <v>29</v>
      </c>
      <c r="D412" s="109">
        <v>1.2868704980842913</v>
      </c>
      <c r="E412" s="108">
        <v>0.10957712398029691</v>
      </c>
      <c r="F412" s="108">
        <v>0.14477696938592546</v>
      </c>
      <c r="G412" s="109">
        <v>1.1766072445063702</v>
      </c>
      <c r="H412" s="108">
        <v>0.22283848245145788</v>
      </c>
      <c r="I412" s="89">
        <v>1.5139803218999175</v>
      </c>
    </row>
    <row r="413" spans="1:9" ht="15.75">
      <c r="B413" s="75" t="s">
        <v>311</v>
      </c>
      <c r="C413" s="107">
        <v>83</v>
      </c>
      <c r="D413" s="109">
        <v>1.0633971509971509</v>
      </c>
      <c r="E413" s="108">
        <v>0.18390807094200232</v>
      </c>
      <c r="F413" s="108">
        <v>0.15411348457819332</v>
      </c>
      <c r="G413" s="109">
        <v>0.92023972879707183</v>
      </c>
      <c r="H413" s="108">
        <v>0.13783524090444829</v>
      </c>
      <c r="I413" s="89">
        <v>1.0673594798312602</v>
      </c>
    </row>
    <row r="414" spans="1:9" ht="15.75">
      <c r="B414" s="75" t="s">
        <v>312</v>
      </c>
      <c r="C414" s="107">
        <v>20</v>
      </c>
      <c r="D414" s="109">
        <v>1.6102244444444445</v>
      </c>
      <c r="E414" s="108">
        <v>1.2637691127705084</v>
      </c>
      <c r="F414" s="108">
        <v>0.19872019265791535</v>
      </c>
      <c r="G414" s="109">
        <v>0.80005878245028661</v>
      </c>
      <c r="H414" s="108">
        <v>0.34318986433395565</v>
      </c>
      <c r="I414" s="89">
        <v>1.2180974972911764</v>
      </c>
    </row>
    <row r="415" spans="1:9" ht="15.75">
      <c r="B415" s="75" t="s">
        <v>313</v>
      </c>
      <c r="C415" s="107">
        <v>6</v>
      </c>
      <c r="D415" s="109">
        <v>1.4439555555555557</v>
      </c>
      <c r="E415" s="108">
        <v>2.4078979571858072</v>
      </c>
      <c r="F415" s="108">
        <v>0.21948591808966197</v>
      </c>
      <c r="G415" s="109">
        <v>0.50147823380890011</v>
      </c>
      <c r="H415" s="108">
        <v>0.35032675024768434</v>
      </c>
      <c r="I415" s="89">
        <v>0.77189300005823835</v>
      </c>
    </row>
    <row r="416" spans="1:9" ht="15.75">
      <c r="B416" s="75" t="s">
        <v>314</v>
      </c>
      <c r="C416" s="107">
        <v>4</v>
      </c>
      <c r="D416" s="109">
        <v>0.50111111111111117</v>
      </c>
      <c r="E416" s="108">
        <v>1.2079291761484191E-2</v>
      </c>
      <c r="F416" s="108">
        <v>8.6120174839885572E-2</v>
      </c>
      <c r="G416" s="109">
        <v>0.49563973366145408</v>
      </c>
      <c r="H416" s="108">
        <v>0.11299518414065972</v>
      </c>
      <c r="I416" s="89">
        <v>0.55877907853439635</v>
      </c>
    </row>
    <row r="417" spans="2:9" ht="15.75">
      <c r="B417" s="75" t="s">
        <v>315</v>
      </c>
      <c r="C417" s="107">
        <v>34</v>
      </c>
      <c r="D417" s="109">
        <v>0.81030653594771218</v>
      </c>
      <c r="E417" s="108">
        <v>1.9602361085056846E-2</v>
      </c>
      <c r="F417" s="108">
        <v>0.20734933864156413</v>
      </c>
      <c r="G417" s="109">
        <v>0.79790876953698442</v>
      </c>
      <c r="H417" s="108">
        <v>0.1747814224198658</v>
      </c>
      <c r="I417" s="89">
        <v>0.96690597038758763</v>
      </c>
    </row>
    <row r="418" spans="2:9" ht="15.75">
      <c r="B418" s="75" t="s">
        <v>316</v>
      </c>
      <c r="C418" s="107">
        <v>31</v>
      </c>
      <c r="D418" s="109">
        <v>0.96374482758620683</v>
      </c>
      <c r="E418" s="108">
        <v>5.6204186944792275E-2</v>
      </c>
      <c r="F418" s="108">
        <v>0.16254804818145285</v>
      </c>
      <c r="G418" s="109">
        <v>0.9204221176507229</v>
      </c>
      <c r="H418" s="108">
        <v>6.3795577379176335E-2</v>
      </c>
      <c r="I418" s="89">
        <v>0.9831422448038436</v>
      </c>
    </row>
    <row r="419" spans="2:9" ht="15.75">
      <c r="B419" s="75" t="s">
        <v>317</v>
      </c>
      <c r="C419" s="107">
        <v>7</v>
      </c>
      <c r="D419" s="109">
        <v>1.5576444444444444</v>
      </c>
      <c r="E419" s="108">
        <v>8.5215006863671963E-2</v>
      </c>
      <c r="F419" s="108">
        <v>5.64533042989857E-2</v>
      </c>
      <c r="G419" s="109">
        <v>1.4417236116536873</v>
      </c>
      <c r="H419" s="108">
        <v>0.11919924324561616</v>
      </c>
      <c r="I419" s="89">
        <v>1.6368328485164096</v>
      </c>
    </row>
    <row r="420" spans="2:9" ht="15.75">
      <c r="B420" s="75" t="s">
        <v>318</v>
      </c>
      <c r="C420" s="107">
        <v>48</v>
      </c>
      <c r="D420" s="109">
        <v>1.1512178743961361</v>
      </c>
      <c r="E420" s="108">
        <v>0.3713309699161515</v>
      </c>
      <c r="F420" s="108">
        <v>0.11790573674153933</v>
      </c>
      <c r="G420" s="109">
        <v>0.86717548295057323</v>
      </c>
      <c r="H420" s="108">
        <v>0.27043797541025211</v>
      </c>
      <c r="I420" s="89">
        <v>1.1886247552950815</v>
      </c>
    </row>
    <row r="421" spans="2:9" ht="15.75">
      <c r="B421" s="75" t="s">
        <v>319</v>
      </c>
      <c r="C421" s="107">
        <v>40</v>
      </c>
      <c r="D421" s="109">
        <v>1.0425475308641974</v>
      </c>
      <c r="E421" s="108">
        <v>0.29366379200537884</v>
      </c>
      <c r="F421" s="108">
        <v>0.12444243521825753</v>
      </c>
      <c r="G421" s="109">
        <v>0.82931454455172549</v>
      </c>
      <c r="H421" s="108">
        <v>0.10326915498852293</v>
      </c>
      <c r="I421" s="89">
        <v>0.92481991576983313</v>
      </c>
    </row>
    <row r="422" spans="2:9" ht="15.75">
      <c r="B422" s="75" t="s">
        <v>320</v>
      </c>
      <c r="C422" s="107">
        <v>33</v>
      </c>
      <c r="D422" s="109">
        <v>1.1302767676767678</v>
      </c>
      <c r="E422" s="108">
        <v>0.14510056321582832</v>
      </c>
      <c r="F422" s="108">
        <v>0.16089020229500917</v>
      </c>
      <c r="G422" s="109">
        <v>1.0075965439143384</v>
      </c>
      <c r="H422" s="108">
        <v>9.6432836271323694E-2</v>
      </c>
      <c r="I422" s="89">
        <v>1.1151318732703528</v>
      </c>
    </row>
    <row r="423" spans="2:9" ht="15.75">
      <c r="B423" s="75" t="s">
        <v>321</v>
      </c>
      <c r="C423" s="107">
        <v>9</v>
      </c>
      <c r="D423" s="109">
        <v>1.0966095238095239</v>
      </c>
      <c r="E423" s="108">
        <v>0.14059889162257125</v>
      </c>
      <c r="F423" s="108">
        <v>7.0800511587927311E-3</v>
      </c>
      <c r="G423" s="109">
        <v>0.96227291108727198</v>
      </c>
      <c r="H423" s="108">
        <v>9.1531234053847527E-2</v>
      </c>
      <c r="I423" s="89">
        <v>1.059225090787886</v>
      </c>
    </row>
    <row r="424" spans="2:9" ht="15.75">
      <c r="B424" s="75" t="s">
        <v>322</v>
      </c>
      <c r="C424" s="107">
        <v>152</v>
      </c>
      <c r="D424" s="109">
        <v>0.9417921390778532</v>
      </c>
      <c r="E424" s="108">
        <v>0.43574766690215749</v>
      </c>
      <c r="F424" s="108">
        <v>0.12710838119017831</v>
      </c>
      <c r="G424" s="109">
        <v>0.6822798452923563</v>
      </c>
      <c r="H424" s="108">
        <v>8.6854942158162612E-2</v>
      </c>
      <c r="I424" s="89">
        <v>0.74717575201565789</v>
      </c>
    </row>
    <row r="425" spans="2:9" ht="15.75">
      <c r="B425" s="75" t="s">
        <v>323</v>
      </c>
      <c r="C425" s="107">
        <v>10</v>
      </c>
      <c r="D425" s="109">
        <v>1.2580488888888892</v>
      </c>
      <c r="E425" s="108">
        <v>0.27501665378334783</v>
      </c>
      <c r="F425" s="108">
        <v>0.12251576053215392</v>
      </c>
      <c r="G425" s="109">
        <v>1.0134744241239464</v>
      </c>
      <c r="H425" s="108">
        <v>7.5958034236271676E-2</v>
      </c>
      <c r="I425" s="89">
        <v>1.0967839791630041</v>
      </c>
    </row>
    <row r="426" spans="2:9" ht="15.75">
      <c r="B426" s="75" t="s">
        <v>324</v>
      </c>
      <c r="C426" s="107">
        <v>110</v>
      </c>
      <c r="D426" s="109">
        <v>0.88213417190775678</v>
      </c>
      <c r="E426" s="108">
        <v>0.42566156081795908</v>
      </c>
      <c r="F426" s="108">
        <v>0.14767063445397427</v>
      </c>
      <c r="G426" s="109">
        <v>0.64729357284798184</v>
      </c>
      <c r="H426" s="108">
        <v>9.0269304029513608E-2</v>
      </c>
      <c r="I426" s="89">
        <v>0.71152218531821576</v>
      </c>
    </row>
    <row r="427" spans="2:9" ht="15.75">
      <c r="B427" s="75" t="s">
        <v>325</v>
      </c>
      <c r="C427" s="107">
        <v>46</v>
      </c>
      <c r="D427" s="109">
        <v>1.4170222222222228</v>
      </c>
      <c r="E427" s="108">
        <v>0.52226657464994719</v>
      </c>
      <c r="F427" s="108">
        <v>0.19256920940337044</v>
      </c>
      <c r="G427" s="109">
        <v>0.99671385637320675</v>
      </c>
      <c r="H427" s="108">
        <v>0.13323471960237326</v>
      </c>
      <c r="I427" s="89">
        <v>1.1499236055186317</v>
      </c>
    </row>
    <row r="428" spans="2:9" ht="15.75">
      <c r="B428" s="75" t="s">
        <v>326</v>
      </c>
      <c r="C428" s="107">
        <v>90</v>
      </c>
      <c r="D428" s="109">
        <v>1.0643233458177277</v>
      </c>
      <c r="E428" s="108">
        <v>0.16086375724876778</v>
      </c>
      <c r="F428" s="108">
        <v>0.11446153690356076</v>
      </c>
      <c r="G428" s="109">
        <v>0.93161396374065575</v>
      </c>
      <c r="H428" s="108">
        <v>9.7658767612044839E-2</v>
      </c>
      <c r="I428" s="89">
        <v>1.0324408663840321</v>
      </c>
    </row>
    <row r="429" spans="2:9" ht="15.75">
      <c r="B429" s="75" t="s">
        <v>327</v>
      </c>
      <c r="C429" s="107">
        <v>81</v>
      </c>
      <c r="D429" s="109">
        <v>1.1330603174603173</v>
      </c>
      <c r="E429" s="108">
        <v>3.273637202182432E-2</v>
      </c>
      <c r="F429" s="108">
        <v>9.3162099929875952E-2</v>
      </c>
      <c r="G429" s="109">
        <v>1.1003933976812517</v>
      </c>
      <c r="H429" s="108">
        <v>8.5911481868095274E-2</v>
      </c>
      <c r="I429" s="89">
        <v>1.2038149214805725</v>
      </c>
    </row>
    <row r="430" spans="2:9" ht="15.75">
      <c r="B430" s="75" t="s">
        <v>328</v>
      </c>
      <c r="C430" s="107">
        <v>31</v>
      </c>
      <c r="D430" s="109">
        <v>1.0411187739463603</v>
      </c>
      <c r="E430" s="108">
        <v>0.35390156100353432</v>
      </c>
      <c r="F430" s="108">
        <v>0.12867943738438745</v>
      </c>
      <c r="G430" s="109">
        <v>0.79574231512729954</v>
      </c>
      <c r="H430" s="108">
        <v>0.20737788907863933</v>
      </c>
      <c r="I430" s="89">
        <v>1.0039365596328267</v>
      </c>
    </row>
    <row r="431" spans="2:9" ht="15.75">
      <c r="B431" s="75" t="s">
        <v>329</v>
      </c>
      <c r="C431" s="107">
        <v>50</v>
      </c>
      <c r="D431" s="109">
        <v>1.1136917257683221</v>
      </c>
      <c r="E431" s="108">
        <v>1.0045399356931681</v>
      </c>
      <c r="F431" s="108">
        <v>0.20104835275080674</v>
      </c>
      <c r="G431" s="109">
        <v>0.61783246497203059</v>
      </c>
      <c r="H431" s="108">
        <v>8.3868009483297021E-2</v>
      </c>
      <c r="I431" s="89">
        <v>0.67439241437641539</v>
      </c>
    </row>
    <row r="432" spans="2:9" ht="15.75">
      <c r="B432" s="75" t="s">
        <v>330</v>
      </c>
      <c r="C432" s="107">
        <v>30</v>
      </c>
      <c r="D432" s="109">
        <v>0.93881703703703689</v>
      </c>
      <c r="E432" s="108">
        <v>0.73984063338717065</v>
      </c>
      <c r="F432" s="108">
        <v>0.1319170923721282</v>
      </c>
      <c r="G432" s="109">
        <v>0.57166755001696679</v>
      </c>
      <c r="H432" s="108">
        <v>0.14669932077948614</v>
      </c>
      <c r="I432" s="89">
        <v>0.669948546787965</v>
      </c>
    </row>
    <row r="433" spans="2:9" ht="15.75">
      <c r="B433" s="75" t="s">
        <v>331</v>
      </c>
      <c r="C433" s="107">
        <v>10</v>
      </c>
      <c r="D433" s="109">
        <v>1.8901037037037038</v>
      </c>
      <c r="E433" s="108">
        <v>0.16197128069823438</v>
      </c>
      <c r="F433" s="108">
        <v>5.157545605306799E-3</v>
      </c>
      <c r="G433" s="109">
        <v>1.6278057488661095</v>
      </c>
      <c r="H433" s="108">
        <v>0.24462881318468493</v>
      </c>
      <c r="I433" s="89">
        <v>2.1549746366803118</v>
      </c>
    </row>
    <row r="434" spans="2:9" ht="15.75">
      <c r="B434" s="75" t="s">
        <v>332</v>
      </c>
      <c r="C434" s="107">
        <v>187</v>
      </c>
      <c r="D434" s="109">
        <v>0.93824797979797936</v>
      </c>
      <c r="E434" s="108">
        <v>0.20278024945095294</v>
      </c>
      <c r="F434" s="108">
        <v>0.13997932965821583</v>
      </c>
      <c r="G434" s="109">
        <v>0.79892013774632453</v>
      </c>
      <c r="H434" s="108">
        <v>0.14649006384869565</v>
      </c>
      <c r="I434" s="89">
        <v>0.93604081675822171</v>
      </c>
    </row>
    <row r="435" spans="2:9" ht="15.75">
      <c r="B435" s="75" t="s">
        <v>333</v>
      </c>
      <c r="C435" s="107">
        <v>162</v>
      </c>
      <c r="D435" s="109">
        <v>0.8587308176100632</v>
      </c>
      <c r="E435" s="108">
        <v>0.15587892350188076</v>
      </c>
      <c r="F435" s="108">
        <v>0.1170128929569976</v>
      </c>
      <c r="G435" s="109">
        <v>0.75483589912147631</v>
      </c>
      <c r="H435" s="108">
        <v>0.10383376553731019</v>
      </c>
      <c r="I435" s="89">
        <v>0.84229450976140574</v>
      </c>
    </row>
    <row r="436" spans="2:9" ht="15.75">
      <c r="B436" s="75" t="s">
        <v>334</v>
      </c>
      <c r="C436" s="107">
        <v>36</v>
      </c>
      <c r="D436" s="109">
        <v>0.90473602693602695</v>
      </c>
      <c r="E436" s="108">
        <v>0.30547792742793062</v>
      </c>
      <c r="F436" s="108">
        <v>0.12961994672162672</v>
      </c>
      <c r="G436" s="109">
        <v>0.71470808666130747</v>
      </c>
      <c r="H436" s="108">
        <v>0.17415137017495647</v>
      </c>
      <c r="I436" s="89">
        <v>0.86542262207629828</v>
      </c>
    </row>
    <row r="437" spans="2:9" ht="15.75">
      <c r="B437" s="75" t="s">
        <v>335</v>
      </c>
      <c r="C437" s="107">
        <v>100</v>
      </c>
      <c r="D437" s="109">
        <v>1.0950609318996423</v>
      </c>
      <c r="E437" s="108">
        <v>1.3021316976990669</v>
      </c>
      <c r="F437" s="108">
        <v>0.18248813614787085</v>
      </c>
      <c r="G437" s="109">
        <v>0.53042219886493536</v>
      </c>
      <c r="H437" s="108">
        <v>0.29064727556656156</v>
      </c>
      <c r="I437" s="89">
        <v>0.74775521485250473</v>
      </c>
    </row>
    <row r="438" spans="2:9" ht="15.75">
      <c r="B438" s="75" t="s">
        <v>336</v>
      </c>
      <c r="C438" s="107">
        <v>28</v>
      </c>
      <c r="D438" s="109">
        <v>0.98175213675213668</v>
      </c>
      <c r="E438" s="108">
        <v>0.14830166649026344</v>
      </c>
      <c r="F438" s="108">
        <v>0.10169412133714831</v>
      </c>
      <c r="G438" s="109">
        <v>0.86633832135264632</v>
      </c>
      <c r="H438" s="108">
        <v>8.0239875542500075E-2</v>
      </c>
      <c r="I438" s="89">
        <v>0.94191767865957088</v>
      </c>
    </row>
    <row r="439" spans="2:9" ht="15.75">
      <c r="B439" s="75" t="s">
        <v>337</v>
      </c>
      <c r="C439" s="107">
        <v>29</v>
      </c>
      <c r="D439" s="109">
        <v>0.95586767676767681</v>
      </c>
      <c r="E439" s="108">
        <v>0.15053904311659166</v>
      </c>
      <c r="F439" s="108">
        <v>0.11271450077657665</v>
      </c>
      <c r="G439" s="109">
        <v>0.84323574261447787</v>
      </c>
      <c r="H439" s="108">
        <v>6.5909116872862591E-2</v>
      </c>
      <c r="I439" s="89">
        <v>0.90273415343858632</v>
      </c>
    </row>
    <row r="440" spans="2:9" ht="15.75">
      <c r="B440" s="75" t="s">
        <v>338</v>
      </c>
      <c r="C440" s="107">
        <v>44</v>
      </c>
      <c r="D440" s="109">
        <v>1.1952972222222222</v>
      </c>
      <c r="E440" s="108">
        <v>0.33413493512373293</v>
      </c>
      <c r="F440" s="108">
        <v>9.8152566714932735E-2</v>
      </c>
      <c r="G440" s="109">
        <v>0.91851352099876216</v>
      </c>
      <c r="H440" s="108">
        <v>0.11324884870431927</v>
      </c>
      <c r="I440" s="89">
        <v>1.0358188085312003</v>
      </c>
    </row>
    <row r="441" spans="2:9" ht="15.75">
      <c r="B441" s="75" t="s">
        <v>339</v>
      </c>
      <c r="C441" s="107">
        <v>29</v>
      </c>
      <c r="D441" s="109">
        <v>1.3450929292929292</v>
      </c>
      <c r="E441" s="108">
        <v>0.48301299870695291</v>
      </c>
      <c r="F441" s="108">
        <v>0.17637971946277967</v>
      </c>
      <c r="G441" s="109">
        <v>0.96227955061952242</v>
      </c>
      <c r="H441" s="108">
        <v>9.1026447060426022E-2</v>
      </c>
      <c r="I441" s="89">
        <v>1.0586441679271741</v>
      </c>
    </row>
    <row r="442" spans="2:9" ht="15.75">
      <c r="B442" s="75" t="s">
        <v>340</v>
      </c>
      <c r="C442" s="107">
        <v>9</v>
      </c>
      <c r="D442" s="109">
        <v>1.3275888888888889</v>
      </c>
      <c r="E442" s="108">
        <v>0.7799938571567856</v>
      </c>
      <c r="F442" s="108">
        <v>6.4529661207285885E-2</v>
      </c>
      <c r="G442" s="109">
        <v>0.76754277194441112</v>
      </c>
      <c r="H442" s="108">
        <v>0.34905874705559525</v>
      </c>
      <c r="I442" s="89">
        <v>1.1791275610088965</v>
      </c>
    </row>
    <row r="443" spans="2:9" ht="15.75">
      <c r="B443" s="75" t="s">
        <v>341</v>
      </c>
      <c r="C443" s="107">
        <v>133</v>
      </c>
      <c r="D443" s="109">
        <v>0.95605666666666655</v>
      </c>
      <c r="E443" s="108">
        <v>0.16732111844768557</v>
      </c>
      <c r="F443" s="108">
        <v>0.13138041347891341</v>
      </c>
      <c r="G443" s="109">
        <v>0.83473728468700359</v>
      </c>
      <c r="H443" s="108">
        <v>9.2311106524771758E-2</v>
      </c>
      <c r="I443" s="89">
        <v>0.91962928122991772</v>
      </c>
    </row>
    <row r="444" spans="2:9" ht="15.75">
      <c r="B444" s="75" t="s">
        <v>342</v>
      </c>
      <c r="C444" s="107">
        <v>8</v>
      </c>
      <c r="D444" s="109">
        <v>2.2728317460317462</v>
      </c>
      <c r="E444" s="108">
        <v>0.23892382407533663</v>
      </c>
      <c r="F444" s="108">
        <v>2.1422686265179562E-2</v>
      </c>
      <c r="G444" s="109">
        <v>1.8421314118820833</v>
      </c>
      <c r="H444" s="108">
        <v>0.19386600088940015</v>
      </c>
      <c r="I444" s="89">
        <v>2.285142933947073</v>
      </c>
    </row>
    <row r="445" spans="2:9" ht="15.75">
      <c r="B445" s="75" t="s">
        <v>343</v>
      </c>
      <c r="C445" s="107">
        <v>66</v>
      </c>
      <c r="D445" s="109">
        <v>0.87667925925925927</v>
      </c>
      <c r="E445" s="108">
        <v>0.11572121701913796</v>
      </c>
      <c r="F445" s="108">
        <v>0.15699301035977681</v>
      </c>
      <c r="G445" s="109">
        <v>0.79875743987706926</v>
      </c>
      <c r="H445" s="108">
        <v>0.20701094326733985</v>
      </c>
      <c r="I445" s="89">
        <v>1.0072742279296723</v>
      </c>
    </row>
    <row r="446" spans="2:9" ht="15.75">
      <c r="B446" s="75" t="s">
        <v>344</v>
      </c>
      <c r="C446" s="107">
        <v>22</v>
      </c>
      <c r="D446" s="109">
        <v>0.97404000000000013</v>
      </c>
      <c r="E446" s="108">
        <v>2.5331194220856185E-2</v>
      </c>
      <c r="F446" s="108">
        <v>0.13226493241681661</v>
      </c>
      <c r="G446" s="109">
        <v>0.95309034460705055</v>
      </c>
      <c r="H446" s="108">
        <v>0.10268490714944759</v>
      </c>
      <c r="I446" s="89">
        <v>1.062157933373564</v>
      </c>
    </row>
    <row r="447" spans="2:9" ht="15.75">
      <c r="B447" s="75" t="s">
        <v>345</v>
      </c>
      <c r="C447" s="107">
        <v>3</v>
      </c>
      <c r="D447" s="109">
        <v>0.68428888888888895</v>
      </c>
      <c r="E447" s="108">
        <v>1.3925184762193609E-2</v>
      </c>
      <c r="F447" s="108">
        <v>0.1847979002624672</v>
      </c>
      <c r="G447" s="109">
        <v>0.67660814161903471</v>
      </c>
      <c r="H447" s="108">
        <v>3.5734478061705842E-2</v>
      </c>
      <c r="I447" s="89">
        <v>0.70168239579796221</v>
      </c>
    </row>
    <row r="448" spans="2:9" ht="15.75">
      <c r="B448" s="75" t="s">
        <v>346</v>
      </c>
      <c r="C448" s="107">
        <v>6</v>
      </c>
      <c r="D448" s="109">
        <v>0.41099111111111108</v>
      </c>
      <c r="E448" s="108">
        <v>2.4441500545877848E-2</v>
      </c>
      <c r="F448" s="108">
        <v>0.22223909575438081</v>
      </c>
      <c r="G448" s="109">
        <v>0.40332406440530422</v>
      </c>
      <c r="H448" s="108">
        <v>1.2434605310052435E-2</v>
      </c>
      <c r="I448" s="89">
        <v>0.40840238689401465</v>
      </c>
    </row>
    <row r="449" spans="2:9" ht="15.75">
      <c r="B449" s="75" t="s">
        <v>347</v>
      </c>
      <c r="C449" s="107">
        <v>36</v>
      </c>
      <c r="D449" s="109">
        <v>1.0630007936507937</v>
      </c>
      <c r="E449" s="108">
        <v>0.21013444611800736</v>
      </c>
      <c r="F449" s="108">
        <v>0.18816087325893716</v>
      </c>
      <c r="G449" s="109">
        <v>0.90808559919225584</v>
      </c>
      <c r="H449" s="108">
        <v>0.1504845969943886</v>
      </c>
      <c r="I449" s="89">
        <v>1.0689454199175452</v>
      </c>
    </row>
    <row r="450" spans="2:9" ht="15.75">
      <c r="B450" s="75" t="s">
        <v>348</v>
      </c>
      <c r="C450" s="107">
        <v>5</v>
      </c>
      <c r="D450" s="109">
        <v>0.46265777777777772</v>
      </c>
      <c r="E450" s="108">
        <v>9.604383663801546E-3</v>
      </c>
      <c r="F450" s="108">
        <v>0.12119307062910907</v>
      </c>
      <c r="G450" s="109">
        <v>0.4587854456000196</v>
      </c>
      <c r="H450" s="108">
        <v>6.0561593905545032E-2</v>
      </c>
      <c r="I450" s="89">
        <v>0.48836138976618704</v>
      </c>
    </row>
    <row r="451" spans="2:9" ht="15.75">
      <c r="B451" s="75" t="s">
        <v>349</v>
      </c>
      <c r="C451" s="107">
        <v>64</v>
      </c>
      <c r="D451" s="109">
        <v>1.0707927083333333</v>
      </c>
      <c r="E451" s="108">
        <v>0.54768198698742421</v>
      </c>
      <c r="F451" s="108">
        <v>0.14450833527915666</v>
      </c>
      <c r="G451" s="109">
        <v>0.7291559116701023</v>
      </c>
      <c r="H451" s="108">
        <v>0.20420957118393335</v>
      </c>
      <c r="I451" s="89">
        <v>0.9162662495889784</v>
      </c>
    </row>
    <row r="452" spans="2:9" ht="15.75">
      <c r="B452" s="75" t="s">
        <v>350</v>
      </c>
      <c r="C452" s="107">
        <v>2</v>
      </c>
      <c r="D452" s="109">
        <v>0.94115555555555563</v>
      </c>
      <c r="E452" s="108">
        <v>0.18999999999999997</v>
      </c>
      <c r="F452" s="108">
        <v>0</v>
      </c>
      <c r="G452" s="109">
        <v>0.79088702147525691</v>
      </c>
      <c r="H452" s="108">
        <v>9.0944326700258135E-2</v>
      </c>
      <c r="I452" s="89">
        <v>0.87000944464099794</v>
      </c>
    </row>
    <row r="453" spans="2:9" ht="15.75">
      <c r="B453" s="75" t="s">
        <v>351</v>
      </c>
      <c r="C453" s="107">
        <v>84</v>
      </c>
      <c r="D453" s="109">
        <v>1.0965208672086724</v>
      </c>
      <c r="E453" s="108">
        <v>0.19326800988734041</v>
      </c>
      <c r="F453" s="108">
        <v>0.11872149019472406</v>
      </c>
      <c r="G453" s="109">
        <v>0.93693870830079407</v>
      </c>
      <c r="H453" s="108">
        <v>9.870177304844184E-2</v>
      </c>
      <c r="I453" s="89">
        <v>1.0395434943545623</v>
      </c>
    </row>
    <row r="454" spans="2:9" ht="15.75">
      <c r="B454" s="75" t="s">
        <v>352</v>
      </c>
      <c r="C454" s="107">
        <v>49</v>
      </c>
      <c r="D454" s="109">
        <v>0.80313693693693711</v>
      </c>
      <c r="E454" s="108">
        <v>0.15185885326738927</v>
      </c>
      <c r="F454" s="108">
        <v>0.14624196900993375</v>
      </c>
      <c r="G454" s="109">
        <v>0.71096041092939277</v>
      </c>
      <c r="H454" s="108">
        <v>0.13479698092577228</v>
      </c>
      <c r="I454" s="89">
        <v>0.8217266875584005</v>
      </c>
    </row>
    <row r="455" spans="2:9" ht="15.75">
      <c r="B455" s="75" t="s">
        <v>353</v>
      </c>
      <c r="C455" s="107">
        <v>5</v>
      </c>
      <c r="D455" s="109">
        <v>1.0170133333333333</v>
      </c>
      <c r="E455" s="108">
        <v>9.8305036326870477E-3</v>
      </c>
      <c r="F455" s="108">
        <v>4.8533500278433991E-2</v>
      </c>
      <c r="G455" s="109">
        <v>1.0075889559497015</v>
      </c>
      <c r="H455" s="108">
        <v>0.10999238930943316</v>
      </c>
      <c r="I455" s="89">
        <v>1.1321127413370118</v>
      </c>
    </row>
    <row r="456" spans="2:9" ht="15.75">
      <c r="B456" s="75" t="s">
        <v>354</v>
      </c>
      <c r="C456" s="107">
        <v>4</v>
      </c>
      <c r="D456" s="109">
        <v>0.99299259259259254</v>
      </c>
      <c r="E456" s="108">
        <v>0.37460993315353519</v>
      </c>
      <c r="F456" s="108">
        <v>0.19471240905965642</v>
      </c>
      <c r="G456" s="109">
        <v>0.76286121748202196</v>
      </c>
      <c r="H456" s="108">
        <v>7.9156772616579371E-2</v>
      </c>
      <c r="I456" s="89">
        <v>0.82843766973200739</v>
      </c>
    </row>
    <row r="457" spans="2:9" ht="15.75">
      <c r="B457" s="75" t="s">
        <v>355</v>
      </c>
      <c r="C457" s="107">
        <v>5</v>
      </c>
      <c r="D457" s="109">
        <v>1.7887777777777778</v>
      </c>
      <c r="E457" s="108">
        <v>0.6321622134014443</v>
      </c>
      <c r="F457" s="108">
        <v>0.13629626722873181</v>
      </c>
      <c r="G457" s="109">
        <v>1.1570354325722001</v>
      </c>
      <c r="H457" s="108">
        <v>0.13683746599895819</v>
      </c>
      <c r="I457" s="89">
        <v>1.3404606745486982</v>
      </c>
    </row>
    <row r="458" spans="2:9" ht="15.75">
      <c r="B458" s="75" t="s">
        <v>356</v>
      </c>
      <c r="C458" s="107">
        <v>2</v>
      </c>
      <c r="D458" s="109">
        <v>1.6121555555555558</v>
      </c>
      <c r="E458" s="108">
        <v>0.45180430099428259</v>
      </c>
      <c r="F458" s="108">
        <v>0.19766228799956523</v>
      </c>
      <c r="G458" s="109">
        <v>1.1832337573427067</v>
      </c>
      <c r="H458" s="108">
        <v>0.19010717041542277</v>
      </c>
      <c r="I458" s="89">
        <v>1.4609757169348312</v>
      </c>
    </row>
    <row r="459" spans="2:9" ht="15.75">
      <c r="B459" s="75" t="s">
        <v>357</v>
      </c>
      <c r="C459" s="107">
        <v>37</v>
      </c>
      <c r="D459" s="109">
        <v>1.4393139784946238</v>
      </c>
      <c r="E459" s="108">
        <v>2.5518472312822869E-2</v>
      </c>
      <c r="F459" s="108">
        <v>0.13432805270224774</v>
      </c>
      <c r="G459" s="109">
        <v>1.4082058306941192</v>
      </c>
      <c r="H459" s="108">
        <v>4.4791221938857817E-2</v>
      </c>
      <c r="I459" s="89">
        <v>1.4742387874119609</v>
      </c>
    </row>
    <row r="460" spans="2:9" ht="15.75">
      <c r="B460" s="75" t="s">
        <v>358</v>
      </c>
      <c r="C460" s="107">
        <v>17</v>
      </c>
      <c r="D460" s="109">
        <v>1.8337986111111113</v>
      </c>
      <c r="E460" s="108">
        <v>1.1127187978680648</v>
      </c>
      <c r="F460" s="108">
        <v>4.9664214541421503E-2</v>
      </c>
      <c r="G460" s="109">
        <v>0.89129399214919525</v>
      </c>
      <c r="H460" s="108">
        <v>0.12195056269158019</v>
      </c>
      <c r="I460" s="89">
        <v>1.0150840650628687</v>
      </c>
    </row>
    <row r="461" spans="2:9" ht="15.75">
      <c r="B461" s="75" t="s">
        <v>359</v>
      </c>
      <c r="C461" s="107">
        <v>203</v>
      </c>
      <c r="D461" s="109">
        <v>0.96234536082474198</v>
      </c>
      <c r="E461" s="108">
        <v>0.17713449492234334</v>
      </c>
      <c r="F461" s="108">
        <v>0.14452870209530952</v>
      </c>
      <c r="G461" s="109">
        <v>0.83570767211894625</v>
      </c>
      <c r="H461" s="108">
        <v>0.11414805449113199</v>
      </c>
      <c r="I461" s="89">
        <v>0.94339429557710464</v>
      </c>
    </row>
    <row r="462" spans="2:9" ht="15.75">
      <c r="B462" s="75" t="s">
        <v>360</v>
      </c>
      <c r="C462" s="107">
        <v>112</v>
      </c>
      <c r="D462" s="109">
        <v>1.2382622222222228</v>
      </c>
      <c r="E462" s="108">
        <v>0.69182843725623677</v>
      </c>
      <c r="F462" s="108">
        <v>0.1194900148354122</v>
      </c>
      <c r="G462" s="109">
        <v>0.76950756973983836</v>
      </c>
      <c r="H462" s="108">
        <v>0.11689649784149869</v>
      </c>
      <c r="I462" s="89">
        <v>0.8713673627824946</v>
      </c>
    </row>
    <row r="463" spans="2:9" ht="15.75">
      <c r="B463" s="75" t="s">
        <v>361</v>
      </c>
      <c r="C463" s="107">
        <v>8</v>
      </c>
      <c r="D463" s="109">
        <v>0.81878333333333342</v>
      </c>
      <c r="E463" s="108">
        <v>0.12127539116773306</v>
      </c>
      <c r="F463" s="108">
        <v>0.21491675522765405</v>
      </c>
      <c r="G463" s="109">
        <v>0.74760308816473564</v>
      </c>
      <c r="H463" s="108">
        <v>0.24878058596985964</v>
      </c>
      <c r="I463" s="89">
        <v>0.9951860590955659</v>
      </c>
    </row>
    <row r="464" spans="2:9" ht="15.75">
      <c r="B464" s="75" t="s">
        <v>362</v>
      </c>
      <c r="C464" s="107">
        <v>3</v>
      </c>
      <c r="D464" s="109">
        <v>1.2682814814814816</v>
      </c>
      <c r="E464" s="108">
        <v>0.63410401180253306</v>
      </c>
      <c r="F464" s="108">
        <v>0.24762888813520009</v>
      </c>
      <c r="G464" s="109">
        <v>0.85864012703043657</v>
      </c>
      <c r="H464" s="108">
        <v>5.2630074445729771E-2</v>
      </c>
      <c r="I464" s="89">
        <v>0.906340916963433</v>
      </c>
    </row>
    <row r="465" spans="2:9" ht="15.75">
      <c r="B465" s="75" t="s">
        <v>363</v>
      </c>
      <c r="C465" s="107">
        <v>15</v>
      </c>
      <c r="D465" s="109">
        <v>1.3527079365079364</v>
      </c>
      <c r="E465" s="108">
        <v>0.28091117497444357</v>
      </c>
      <c r="F465" s="108">
        <v>0.1062388421957506</v>
      </c>
      <c r="G465" s="109">
        <v>1.0812429703173874</v>
      </c>
      <c r="H465" s="108">
        <v>5.2447786252325525E-2</v>
      </c>
      <c r="I465" s="89">
        <v>1.1410906487579731</v>
      </c>
    </row>
    <row r="466" spans="2:9" ht="15.75">
      <c r="B466" s="75" t="s">
        <v>364</v>
      </c>
      <c r="C466" s="107">
        <v>11</v>
      </c>
      <c r="D466" s="109">
        <v>1.0502181818181819</v>
      </c>
      <c r="E466" s="108">
        <v>0.67641263671066387</v>
      </c>
      <c r="F466" s="108">
        <v>0.14022017272742124</v>
      </c>
      <c r="G466" s="109">
        <v>0.66403692396622027</v>
      </c>
      <c r="H466" s="108">
        <v>8.4980390923691987E-2</v>
      </c>
      <c r="I466" s="89">
        <v>0.72570786175451563</v>
      </c>
    </row>
    <row r="467" spans="2:9" ht="15.75">
      <c r="B467" s="75" t="s">
        <v>365</v>
      </c>
      <c r="C467" s="107">
        <v>50</v>
      </c>
      <c r="D467" s="109">
        <v>1.0826703703703706</v>
      </c>
      <c r="E467" s="108">
        <v>0.14104644026237481</v>
      </c>
      <c r="F467" s="108">
        <v>0.14496160861408061</v>
      </c>
      <c r="G467" s="109">
        <v>0.9661522872448538</v>
      </c>
      <c r="H467" s="108">
        <v>8.8780775042841903E-2</v>
      </c>
      <c r="I467" s="89">
        <v>1.0602852318993581</v>
      </c>
    </row>
    <row r="468" spans="2:9" ht="15.75">
      <c r="B468" s="75" t="s">
        <v>366</v>
      </c>
      <c r="C468" s="107">
        <v>49</v>
      </c>
      <c r="D468" s="109">
        <v>1.1369086419753085</v>
      </c>
      <c r="E468" s="108">
        <v>0.35411473234005969</v>
      </c>
      <c r="F468" s="108">
        <v>0.17491001905523987</v>
      </c>
      <c r="G468" s="109">
        <v>0.8798400422469197</v>
      </c>
      <c r="H468" s="108">
        <v>0.10181767529442401</v>
      </c>
      <c r="I468" s="89">
        <v>0.97957844197761412</v>
      </c>
    </row>
    <row r="469" spans="2:9" ht="15.75">
      <c r="B469" s="75" t="s">
        <v>367</v>
      </c>
      <c r="C469" s="107">
        <v>45</v>
      </c>
      <c r="D469" s="109">
        <v>0.94140793650793664</v>
      </c>
      <c r="E469" s="108">
        <v>0.77725794077598775</v>
      </c>
      <c r="F469" s="108">
        <v>0.12134034488421448</v>
      </c>
      <c r="G469" s="109">
        <v>0.55938122035377191</v>
      </c>
      <c r="H469" s="108">
        <v>7.4143363808531051E-2</v>
      </c>
      <c r="I469" s="89">
        <v>0.60417693030186459</v>
      </c>
    </row>
    <row r="470" spans="2:9" ht="15.75">
      <c r="B470" s="75" t="s">
        <v>368</v>
      </c>
      <c r="C470" s="107">
        <v>170</v>
      </c>
      <c r="D470" s="109">
        <v>0.76500054533060646</v>
      </c>
      <c r="E470" s="108">
        <v>7.6763146658971493E-2</v>
      </c>
      <c r="F470" s="108">
        <v>0.15178007806214355</v>
      </c>
      <c r="G470" s="109">
        <v>0.71823481811485856</v>
      </c>
      <c r="H470" s="108">
        <v>7.8199818909724744E-2</v>
      </c>
      <c r="I470" s="89">
        <v>0.77916541225382896</v>
      </c>
    </row>
    <row r="471" spans="2:9" ht="15.75">
      <c r="B471" s="75" t="s">
        <v>369</v>
      </c>
      <c r="C471" s="107">
        <v>89</v>
      </c>
      <c r="D471" s="109">
        <v>0.93429612403100792</v>
      </c>
      <c r="E471" s="108">
        <v>0.98424366108524086</v>
      </c>
      <c r="F471" s="108">
        <v>0.16742273132808233</v>
      </c>
      <c r="G471" s="109">
        <v>0.51350218711551099</v>
      </c>
      <c r="H471" s="108">
        <v>5.6346448437465252E-2</v>
      </c>
      <c r="I471" s="89">
        <v>0.54416388966611318</v>
      </c>
    </row>
    <row r="472" spans="2:9" ht="15.75">
      <c r="B472" s="75" t="s">
        <v>370</v>
      </c>
      <c r="C472" s="107">
        <v>21</v>
      </c>
      <c r="D472" s="109">
        <v>1.5714506172839506</v>
      </c>
      <c r="E472" s="108">
        <v>0.34595531464735524</v>
      </c>
      <c r="F472" s="108">
        <v>0.16612062044027423</v>
      </c>
      <c r="G472" s="109">
        <v>1.2196111040968789</v>
      </c>
      <c r="H472" s="108">
        <v>5.9307473446673212E-2</v>
      </c>
      <c r="I472" s="89">
        <v>1.2965034479071527</v>
      </c>
    </row>
    <row r="473" spans="2:9" ht="15.75">
      <c r="B473" s="75" t="s">
        <v>371</v>
      </c>
      <c r="C473" s="107">
        <v>43</v>
      </c>
      <c r="D473" s="109">
        <v>0.86937277777777777</v>
      </c>
      <c r="E473" s="108">
        <v>5.8532563308084248E-2</v>
      </c>
      <c r="F473" s="108">
        <v>0.11958625649827336</v>
      </c>
      <c r="G473" s="109">
        <v>0.82676709397551418</v>
      </c>
      <c r="H473" s="108">
        <v>0.15830378161944961</v>
      </c>
      <c r="I473" s="89">
        <v>0.98226304921060437</v>
      </c>
    </row>
    <row r="474" spans="2:9" ht="15.75">
      <c r="B474" s="75" t="s">
        <v>373</v>
      </c>
      <c r="C474" s="107">
        <v>5</v>
      </c>
      <c r="D474" s="109">
        <v>0.68535555555555561</v>
      </c>
      <c r="E474" s="108">
        <v>0.14424769069866414</v>
      </c>
      <c r="F474" s="108">
        <v>0.21288219095578659</v>
      </c>
      <c r="G474" s="109">
        <v>0.61547461334048548</v>
      </c>
      <c r="H474" s="108">
        <v>5.3627614257250787E-2</v>
      </c>
      <c r="I474" s="89">
        <v>0.65035140776792377</v>
      </c>
    </row>
    <row r="475" spans="2:9" ht="15.75">
      <c r="B475" s="75" t="s">
        <v>403</v>
      </c>
      <c r="C475" s="107">
        <v>87</v>
      </c>
      <c r="D475" s="109">
        <v>1.126431524547804</v>
      </c>
      <c r="E475" s="108">
        <v>0.67928990034076808</v>
      </c>
      <c r="F475" s="108">
        <v>0.20674316456469566</v>
      </c>
      <c r="G475" s="109">
        <v>0.73199501670684519</v>
      </c>
      <c r="H475" s="108">
        <v>0.13833020161553378</v>
      </c>
      <c r="I475" s="89">
        <v>0.84950757016116074</v>
      </c>
    </row>
    <row r="476" spans="2:9" ht="15.75">
      <c r="B476" s="75" t="s">
        <v>374</v>
      </c>
      <c r="C476" s="107">
        <v>175</v>
      </c>
      <c r="D476" s="109">
        <v>1.2575955823293172</v>
      </c>
      <c r="E476" s="108">
        <v>0.91229856927993691</v>
      </c>
      <c r="F476" s="108">
        <v>0.26238905045947208</v>
      </c>
      <c r="G476" s="109">
        <v>0.75173619743391173</v>
      </c>
      <c r="H476" s="108">
        <v>0.19019933211398524</v>
      </c>
      <c r="I476" s="89">
        <v>0.92829782345860445</v>
      </c>
    </row>
    <row r="477" spans="2:9" ht="15.75">
      <c r="B477" s="75" t="s">
        <v>376</v>
      </c>
      <c r="C477" s="107">
        <v>49</v>
      </c>
      <c r="D477" s="109">
        <v>1.0077309692671397</v>
      </c>
      <c r="E477" s="108">
        <v>0.32947962330230973</v>
      </c>
      <c r="F477" s="108">
        <v>0.12509117584704621</v>
      </c>
      <c r="G477" s="109">
        <v>0.78223910363747595</v>
      </c>
      <c r="H477" s="108">
        <v>8.7582803905153064E-2</v>
      </c>
      <c r="I477" s="89">
        <v>0.85732612996057689</v>
      </c>
    </row>
    <row r="478" spans="2:9" ht="15.75">
      <c r="B478" s="75" t="s">
        <v>377</v>
      </c>
      <c r="C478" s="107">
        <v>38</v>
      </c>
      <c r="D478" s="109">
        <v>1.384571171171171</v>
      </c>
      <c r="E478" s="108">
        <v>0.20320692786933706</v>
      </c>
      <c r="F478" s="108">
        <v>0.19637320550220752</v>
      </c>
      <c r="G478" s="109">
        <v>1.1902073046426898</v>
      </c>
      <c r="H478" s="108">
        <v>0.12289858581515831</v>
      </c>
      <c r="I478" s="89">
        <v>1.3569779792783045</v>
      </c>
    </row>
    <row r="479" spans="2:9" ht="15.75">
      <c r="B479" s="75" t="s">
        <v>379</v>
      </c>
      <c r="C479" s="107">
        <v>22</v>
      </c>
      <c r="D479" s="109">
        <v>1.1992962962962963</v>
      </c>
      <c r="E479" s="108">
        <v>0.1395515776107521</v>
      </c>
      <c r="F479" s="108">
        <v>0.14596591242218032</v>
      </c>
      <c r="G479" s="109">
        <v>1.0715830901975687</v>
      </c>
      <c r="H479" s="108">
        <v>9.3137272899737805E-2</v>
      </c>
      <c r="I479" s="89">
        <v>1.1816375931823859</v>
      </c>
    </row>
    <row r="480" spans="2:9" ht="15.75">
      <c r="B480" s="75" t="s">
        <v>380</v>
      </c>
      <c r="C480" s="107">
        <v>17</v>
      </c>
      <c r="D480" s="109">
        <v>1.367952380952381</v>
      </c>
      <c r="E480" s="108">
        <v>0.77611211503843847</v>
      </c>
      <c r="F480" s="108">
        <v>0.25863721676889828</v>
      </c>
      <c r="G480" s="109">
        <v>0.86833134051071748</v>
      </c>
      <c r="H480" s="108">
        <v>0.22844933681973403</v>
      </c>
      <c r="I480" s="89">
        <v>1.1254365810944025</v>
      </c>
    </row>
    <row r="481" spans="2:9" ht="15.75">
      <c r="B481" s="75" t="s">
        <v>381</v>
      </c>
      <c r="C481" s="107">
        <v>2</v>
      </c>
      <c r="D481" s="109">
        <v>2.7655555555555558</v>
      </c>
      <c r="E481" s="108">
        <v>7.9697518506997689</v>
      </c>
      <c r="F481" s="108">
        <v>0</v>
      </c>
      <c r="G481" s="109">
        <v>0.30832018561804503</v>
      </c>
      <c r="H481" s="108">
        <v>6.006227696106551E-2</v>
      </c>
      <c r="I481" s="89">
        <v>0.328021929603174</v>
      </c>
    </row>
    <row r="482" spans="2:9" ht="15.75">
      <c r="B482" s="75" t="s">
        <v>382</v>
      </c>
      <c r="C482" s="107">
        <v>106</v>
      </c>
      <c r="D482" s="109">
        <v>1.0847879818594104</v>
      </c>
      <c r="E482" s="108">
        <v>0.60316057316494398</v>
      </c>
      <c r="F482" s="108">
        <v>0.14961684067115685</v>
      </c>
      <c r="G482" s="109">
        <v>0.71701722969688264</v>
      </c>
      <c r="H482" s="108">
        <v>0.12839460221566318</v>
      </c>
      <c r="I482" s="89">
        <v>0.82263973068498109</v>
      </c>
    </row>
    <row r="483" spans="2:9" ht="15.75">
      <c r="B483" s="75" t="s">
        <v>383</v>
      </c>
      <c r="C483" s="107">
        <v>68</v>
      </c>
      <c r="D483" s="109">
        <v>1.0013343283582092</v>
      </c>
      <c r="E483" s="108">
        <v>0.38520262851301024</v>
      </c>
      <c r="F483" s="108">
        <v>0.24316787254723393</v>
      </c>
      <c r="G483" s="109">
        <v>0.77530637342349473</v>
      </c>
      <c r="H483" s="108">
        <v>0.21038744434450352</v>
      </c>
      <c r="I483" s="89">
        <v>0.98188202286104043</v>
      </c>
    </row>
    <row r="484" spans="2:9" ht="15.75">
      <c r="B484" s="75" t="s">
        <v>384</v>
      </c>
      <c r="C484" s="107">
        <v>13</v>
      </c>
      <c r="D484" s="109">
        <v>1.0345709401709402</v>
      </c>
      <c r="E484" s="108">
        <v>0.36663947080604892</v>
      </c>
      <c r="F484" s="108">
        <v>0.27742054808380129</v>
      </c>
      <c r="G484" s="109">
        <v>0.81789038981952933</v>
      </c>
      <c r="H484" s="108">
        <v>0.1276520122469853</v>
      </c>
      <c r="I484" s="89">
        <v>0.9375735386588594</v>
      </c>
    </row>
    <row r="485" spans="2:9" ht="15.75">
      <c r="B485" s="75" t="s">
        <v>385</v>
      </c>
      <c r="C485" s="107">
        <v>4</v>
      </c>
      <c r="D485" s="109">
        <v>6.4631888888888893</v>
      </c>
      <c r="E485" s="108">
        <v>0.10263412947262625</v>
      </c>
      <c r="F485" s="108">
        <v>0</v>
      </c>
      <c r="G485" s="109">
        <v>5.86158972965959</v>
      </c>
      <c r="H485" s="108">
        <v>1.7901325912411812E-2</v>
      </c>
      <c r="I485" s="89">
        <v>5.9684325865781851</v>
      </c>
    </row>
    <row r="486" spans="2:9" ht="15.75">
      <c r="B486" s="75" t="s">
        <v>386</v>
      </c>
      <c r="C486" s="107">
        <v>50</v>
      </c>
      <c r="D486" s="109">
        <v>1.2940096618357484</v>
      </c>
      <c r="E486" s="108">
        <v>0.19395053776682133</v>
      </c>
      <c r="F486" s="108">
        <v>0.16418497547709351</v>
      </c>
      <c r="G486" s="109">
        <v>1.1135032437346288</v>
      </c>
      <c r="H486" s="108">
        <v>0.12285285431348618</v>
      </c>
      <c r="I486" s="89">
        <v>1.269460032117105</v>
      </c>
    </row>
    <row r="487" spans="2:9" ht="15.75">
      <c r="B487" s="75" t="s">
        <v>387</v>
      </c>
      <c r="C487" s="107">
        <v>11</v>
      </c>
      <c r="D487" s="109">
        <v>0.71903111111111107</v>
      </c>
      <c r="E487" s="108">
        <v>0.46338827737757537</v>
      </c>
      <c r="F487" s="108">
        <v>0.17178648477819902</v>
      </c>
      <c r="G487" s="109">
        <v>0.51961208218724619</v>
      </c>
      <c r="H487" s="108">
        <v>7.2883453758212438E-2</v>
      </c>
      <c r="I487" s="89">
        <v>0.560460369619737</v>
      </c>
    </row>
    <row r="488" spans="2:9" ht="15.75">
      <c r="B488" s="75" t="s">
        <v>388</v>
      </c>
      <c r="C488" s="107">
        <v>53</v>
      </c>
      <c r="D488" s="109">
        <v>1.0745338061465723</v>
      </c>
      <c r="E488" s="108">
        <v>0.21498219377375555</v>
      </c>
      <c r="F488" s="108">
        <v>7.7623810260894113E-2</v>
      </c>
      <c r="G488" s="109">
        <v>0.89671933312335783</v>
      </c>
      <c r="H488" s="108">
        <v>0.10101800800200621</v>
      </c>
      <c r="I488" s="89">
        <v>0.9974830876538392</v>
      </c>
    </row>
    <row r="489" spans="2:9" ht="15.75">
      <c r="B489" s="75" t="s">
        <v>389</v>
      </c>
      <c r="C489" s="107">
        <v>11</v>
      </c>
      <c r="D489" s="109">
        <v>1.3278000000000003</v>
      </c>
      <c r="E489" s="108">
        <v>0.40059882339062741</v>
      </c>
      <c r="F489" s="108">
        <v>0.10361278954584018</v>
      </c>
      <c r="G489" s="109">
        <v>0.97697604753997114</v>
      </c>
      <c r="H489" s="108">
        <v>5.902197912404631E-2</v>
      </c>
      <c r="I489" s="89">
        <v>1.0382559697095868</v>
      </c>
    </row>
    <row r="490" spans="2:9" ht="15.75">
      <c r="B490" s="75" t="s">
        <v>390</v>
      </c>
      <c r="C490" s="107">
        <v>49</v>
      </c>
      <c r="D490" s="109">
        <v>0.86705827160493842</v>
      </c>
      <c r="E490" s="108">
        <v>0.82851834441771544</v>
      </c>
      <c r="F490" s="108">
        <v>0.13110843928769061</v>
      </c>
      <c r="G490" s="109">
        <v>0.5041351261909679</v>
      </c>
      <c r="H490" s="108">
        <v>0.14137053288549103</v>
      </c>
      <c r="I490" s="89">
        <v>0.58713932551738901</v>
      </c>
    </row>
    <row r="491" spans="2:9" ht="15.75">
      <c r="B491" s="75" t="s">
        <v>391</v>
      </c>
      <c r="C491" s="107">
        <v>28</v>
      </c>
      <c r="D491" s="109">
        <v>1.0556971193415638</v>
      </c>
      <c r="E491" s="108">
        <v>0.14390433456280152</v>
      </c>
      <c r="F491" s="108">
        <v>0.20495940288603934</v>
      </c>
      <c r="G491" s="109">
        <v>0.94731500982435857</v>
      </c>
      <c r="H491" s="108">
        <v>0.15013882764122133</v>
      </c>
      <c r="I491" s="89">
        <v>1.1146703022037094</v>
      </c>
    </row>
    <row r="492" spans="2:9" ht="15.75">
      <c r="B492" s="75" t="s">
        <v>392</v>
      </c>
      <c r="C492" s="107">
        <v>75</v>
      </c>
      <c r="D492" s="109">
        <v>1.2377009259259255</v>
      </c>
      <c r="E492" s="108">
        <v>1.3398516775793465</v>
      </c>
      <c r="F492" s="108">
        <v>0.1324545912820447</v>
      </c>
      <c r="G492" s="109">
        <v>0.57237843632985685</v>
      </c>
      <c r="H492" s="108">
        <v>0.11969139064932446</v>
      </c>
      <c r="I492" s="89">
        <v>0.65020202034835139</v>
      </c>
    </row>
    <row r="493" spans="2:9" ht="15.75">
      <c r="B493" s="75" t="s">
        <v>393</v>
      </c>
      <c r="C493" s="107">
        <v>8</v>
      </c>
      <c r="D493" s="109">
        <v>0.92188055555555559</v>
      </c>
      <c r="E493" s="108">
        <v>0.14686761227708611</v>
      </c>
      <c r="F493" s="108">
        <v>0.16212336304943301</v>
      </c>
      <c r="G493" s="109">
        <v>0.82086715451156222</v>
      </c>
      <c r="H493" s="108">
        <v>5.4990784555072413E-2</v>
      </c>
      <c r="I493" s="89">
        <v>0.86863402080696428</v>
      </c>
    </row>
    <row r="494" spans="2:9" ht="15.75">
      <c r="B494" s="75" t="s">
        <v>394</v>
      </c>
      <c r="C494" s="107">
        <v>92</v>
      </c>
      <c r="D494" s="109">
        <v>0.99798062015503897</v>
      </c>
      <c r="E494" s="108">
        <v>0.19301944925845385</v>
      </c>
      <c r="F494" s="108">
        <v>0.11834287605921073</v>
      </c>
      <c r="G494" s="109">
        <v>0.85284588879301171</v>
      </c>
      <c r="H494" s="108">
        <v>0.11452041054660403</v>
      </c>
      <c r="I494" s="89">
        <v>0.96314573362382194</v>
      </c>
    </row>
    <row r="495" spans="2:9" ht="15.75">
      <c r="B495" s="75" t="s">
        <v>395</v>
      </c>
      <c r="C495" s="107">
        <v>16</v>
      </c>
      <c r="D495" s="109">
        <v>1.0299555555555555</v>
      </c>
      <c r="E495" s="108">
        <v>0.53699517504821759</v>
      </c>
      <c r="F495" s="108">
        <v>0.10011485834661119</v>
      </c>
      <c r="G495" s="109">
        <v>0.69439857097601332</v>
      </c>
      <c r="H495" s="108">
        <v>4.1384612054399784E-2</v>
      </c>
      <c r="I495" s="89">
        <v>0.72437661621953775</v>
      </c>
    </row>
    <row r="496" spans="2:9" ht="15.75">
      <c r="B496" s="75" t="s">
        <v>396</v>
      </c>
      <c r="C496" s="107">
        <v>2</v>
      </c>
      <c r="D496" s="109">
        <v>-0.21317777777777769</v>
      </c>
      <c r="E496" s="108">
        <v>0.33546052604089704</v>
      </c>
      <c r="F496" s="108">
        <v>0.11382783882783883</v>
      </c>
      <c r="G496" s="109">
        <v>-0.1643272626924818</v>
      </c>
      <c r="H496" s="108">
        <v>7.7441842062852444E-3</v>
      </c>
      <c r="I496" s="89">
        <v>-0.16560977529875687</v>
      </c>
    </row>
    <row r="497" spans="1:9" ht="15.75">
      <c r="B497" s="75" t="s">
        <v>404</v>
      </c>
      <c r="C497" s="107">
        <v>45</v>
      </c>
      <c r="D497" s="109">
        <v>0.96292169312169329</v>
      </c>
      <c r="E497" s="108">
        <v>0.75535461330654829</v>
      </c>
      <c r="F497" s="108">
        <v>0.21840211939878387</v>
      </c>
      <c r="G497" s="109">
        <v>0.60546506792202281</v>
      </c>
      <c r="H497" s="108">
        <v>0.14737059860074259</v>
      </c>
      <c r="I497" s="89">
        <v>0.71011516483995141</v>
      </c>
    </row>
    <row r="498" spans="1:9" ht="15.75">
      <c r="B498" s="75" t="s">
        <v>399</v>
      </c>
      <c r="C498" s="107">
        <v>17</v>
      </c>
      <c r="D498" s="109">
        <v>0.77832679738562094</v>
      </c>
      <c r="E498" s="108">
        <v>0.16908187907809138</v>
      </c>
      <c r="F498" s="108">
        <v>0.18201645570543459</v>
      </c>
      <c r="G498" s="109">
        <v>0.68375872941124183</v>
      </c>
      <c r="H498" s="108">
        <v>0.12962167821406489</v>
      </c>
      <c r="I498" s="89">
        <v>0.78558795904777678</v>
      </c>
    </row>
    <row r="499" spans="1:9" ht="15.75">
      <c r="B499" s="75" t="s">
        <v>400</v>
      </c>
      <c r="C499" s="107">
        <v>3</v>
      </c>
      <c r="D499" s="109">
        <v>0.63510370370370361</v>
      </c>
      <c r="E499" s="108">
        <v>0.3872646184340931</v>
      </c>
      <c r="F499" s="108">
        <v>4.5121951219512207E-2</v>
      </c>
      <c r="G499" s="109">
        <v>0.46365025271195343</v>
      </c>
      <c r="H499" s="108">
        <v>7.9916056438649755E-2</v>
      </c>
      <c r="I499" s="89">
        <v>0.50392168666405779</v>
      </c>
    </row>
    <row r="500" spans="1:9" ht="15.75">
      <c r="B500" s="75" t="s">
        <v>401</v>
      </c>
      <c r="C500" s="107">
        <v>29</v>
      </c>
      <c r="D500" s="109">
        <v>1.0287611111111115</v>
      </c>
      <c r="E500" s="108">
        <v>0.27929066939230957</v>
      </c>
      <c r="F500" s="108">
        <v>0.1886840497282076</v>
      </c>
      <c r="G500" s="109">
        <v>0.83871433492047343</v>
      </c>
      <c r="H500" s="108">
        <v>0.10219284798650288</v>
      </c>
      <c r="I500" s="89">
        <v>0.93418094636415261</v>
      </c>
    </row>
    <row r="501" spans="1:9" ht="15.75">
      <c r="B501" s="76" t="s">
        <v>402</v>
      </c>
      <c r="C501" s="77">
        <v>4268</v>
      </c>
      <c r="D501" s="94">
        <v>1.0477398961995648</v>
      </c>
      <c r="E501" s="78">
        <v>0.5847628693643151</v>
      </c>
      <c r="F501" s="78">
        <v>0.1510752250882702</v>
      </c>
      <c r="G501" s="94">
        <v>0.70016446931657905</v>
      </c>
      <c r="H501" s="78">
        <v>0.17359180963077431</v>
      </c>
      <c r="I501" s="95">
        <v>0.84723805678130681</v>
      </c>
    </row>
    <row r="503" spans="1:9" ht="28.5" customHeight="1">
      <c r="A503" s="182" t="s">
        <v>283</v>
      </c>
      <c r="B503" s="182"/>
    </row>
    <row r="504" spans="1:9">
      <c r="B504" s="90" t="s">
        <v>304</v>
      </c>
      <c r="C504" s="91" t="s">
        <v>305</v>
      </c>
      <c r="D504" s="92" t="s">
        <v>425</v>
      </c>
      <c r="E504" s="91" t="s">
        <v>426</v>
      </c>
      <c r="F504" s="91" t="s">
        <v>427</v>
      </c>
      <c r="G504" s="91" t="s">
        <v>301</v>
      </c>
      <c r="H504" s="91" t="s">
        <v>428</v>
      </c>
      <c r="I504" s="93" t="s">
        <v>429</v>
      </c>
    </row>
    <row r="505" spans="1:9" ht="15.75">
      <c r="B505" s="75" t="s">
        <v>306</v>
      </c>
      <c r="C505" s="110">
        <v>3</v>
      </c>
      <c r="D505" s="111">
        <v>1.1052444444444445</v>
      </c>
      <c r="E505" s="112">
        <v>7.9391333112801838E-4</v>
      </c>
      <c r="F505" s="112">
        <v>0</v>
      </c>
      <c r="G505" s="111">
        <v>1.1043676722269966</v>
      </c>
      <c r="H505" s="112">
        <v>3.3053480531499965E-2</v>
      </c>
      <c r="I505" s="89">
        <v>1.1421186694317207</v>
      </c>
    </row>
    <row r="506" spans="1:9" ht="15.75">
      <c r="B506" s="75" t="s">
        <v>307</v>
      </c>
      <c r="C506" s="110">
        <v>4</v>
      </c>
      <c r="D506" s="111">
        <v>1.179961111111111</v>
      </c>
      <c r="E506" s="112">
        <v>3.6591818635743727E-3</v>
      </c>
      <c r="F506" s="112">
        <v>0.12305232140929702</v>
      </c>
      <c r="G506" s="111">
        <v>1.1761868321992202</v>
      </c>
      <c r="H506" s="112">
        <v>2.7250991282652931E-4</v>
      </c>
      <c r="I506" s="89">
        <v>1.1765074421397175</v>
      </c>
    </row>
    <row r="507" spans="1:9" ht="15.75">
      <c r="B507" s="75" t="s">
        <v>308</v>
      </c>
      <c r="C507" s="110">
        <v>5</v>
      </c>
      <c r="D507" s="111">
        <v>2.6949644444444445</v>
      </c>
      <c r="E507" s="112">
        <v>4.9314721031031521</v>
      </c>
      <c r="F507" s="112">
        <v>0</v>
      </c>
      <c r="G507" s="111">
        <v>0.45435001591502511</v>
      </c>
      <c r="H507" s="112">
        <v>4.3131642974258101E-3</v>
      </c>
      <c r="I507" s="89">
        <v>0.45631819124577228</v>
      </c>
    </row>
    <row r="508" spans="1:9" ht="15.75">
      <c r="B508" s="75" t="s">
        <v>309</v>
      </c>
      <c r="C508" s="110">
        <v>293</v>
      </c>
      <c r="D508" s="111">
        <v>1.0761710707070702</v>
      </c>
      <c r="E508" s="112">
        <v>0.91718175759806075</v>
      </c>
      <c r="F508" s="112">
        <v>0.17098379273779882</v>
      </c>
      <c r="G508" s="111">
        <v>0.6113362959862545</v>
      </c>
      <c r="H508" s="112">
        <v>3.2760749023515355E-2</v>
      </c>
      <c r="I508" s="89">
        <v>0.63204248108115413</v>
      </c>
    </row>
    <row r="509" spans="1:9" ht="15.75">
      <c r="B509" s="75" t="s">
        <v>310</v>
      </c>
      <c r="C509" s="110">
        <v>12</v>
      </c>
      <c r="D509" s="111">
        <v>1.7454648148148149</v>
      </c>
      <c r="E509" s="112">
        <v>0.27199264936454154</v>
      </c>
      <c r="F509" s="112">
        <v>0.16065637615923023</v>
      </c>
      <c r="G509" s="111">
        <v>1.4210465679821069</v>
      </c>
      <c r="H509" s="112">
        <v>7.8682053385300307E-2</v>
      </c>
      <c r="I509" s="89">
        <v>1.5424062596453432</v>
      </c>
    </row>
    <row r="510" spans="1:9" ht="15.75">
      <c r="B510" s="75" t="s">
        <v>311</v>
      </c>
      <c r="C510" s="110">
        <v>89</v>
      </c>
      <c r="D510" s="111">
        <v>1.1484325581395345</v>
      </c>
      <c r="E510" s="112">
        <v>0.2983055990334556</v>
      </c>
      <c r="F510" s="112">
        <v>0.2031284992546403</v>
      </c>
      <c r="G510" s="111">
        <v>0.92786793070027662</v>
      </c>
      <c r="H510" s="112">
        <v>2.4397233298784154E-2</v>
      </c>
      <c r="I510" s="89">
        <v>0.95107144256842979</v>
      </c>
    </row>
    <row r="511" spans="1:9" ht="15.75">
      <c r="B511" s="75" t="s">
        <v>312</v>
      </c>
      <c r="C511" s="110">
        <v>38</v>
      </c>
      <c r="D511" s="111">
        <v>2.2654421052631575</v>
      </c>
      <c r="E511" s="112">
        <v>0.59628668586975153</v>
      </c>
      <c r="F511" s="112">
        <v>0.16351042135496999</v>
      </c>
      <c r="G511" s="111">
        <v>1.5115164465978135</v>
      </c>
      <c r="H511" s="112">
        <v>0.16109022178638432</v>
      </c>
      <c r="I511" s="89">
        <v>1.8017628186626389</v>
      </c>
    </row>
    <row r="512" spans="1:9" ht="15.75">
      <c r="B512" s="75" t="s">
        <v>313</v>
      </c>
      <c r="C512" s="110">
        <v>1</v>
      </c>
      <c r="D512" s="111">
        <v>3.0562222222222224</v>
      </c>
      <c r="E512" s="112">
        <v>2.1514887172168526</v>
      </c>
      <c r="F512" s="112">
        <v>0</v>
      </c>
      <c r="G512" s="111">
        <v>0.96977095476363873</v>
      </c>
      <c r="H512" s="112">
        <v>0.66358864729756217</v>
      </c>
      <c r="I512" s="89">
        <v>2.8826939013007071</v>
      </c>
    </row>
    <row r="513" spans="2:9" ht="15.75">
      <c r="B513" s="75" t="s">
        <v>314</v>
      </c>
      <c r="C513" s="110">
        <v>1</v>
      </c>
      <c r="D513" s="111">
        <v>2.4813333333333332</v>
      </c>
      <c r="E513" s="112">
        <v>0</v>
      </c>
      <c r="F513" s="112">
        <v>0</v>
      </c>
      <c r="G513" s="111">
        <v>2.4813333333333332</v>
      </c>
      <c r="H513" s="112">
        <v>5.1805337519623235E-4</v>
      </c>
      <c r="I513" s="89">
        <v>2.4826194627253262</v>
      </c>
    </row>
    <row r="514" spans="2:9" ht="15.75">
      <c r="B514" s="75" t="s">
        <v>315</v>
      </c>
      <c r="C514" s="110">
        <v>18</v>
      </c>
      <c r="D514" s="111">
        <v>1.6330456790123458</v>
      </c>
      <c r="E514" s="112">
        <v>0.15104584860316506</v>
      </c>
      <c r="F514" s="112">
        <v>0.21437431324713371</v>
      </c>
      <c r="G514" s="111">
        <v>1.4598158977313878</v>
      </c>
      <c r="H514" s="112">
        <v>4.7703859954772564E-3</v>
      </c>
      <c r="I514" s="89">
        <v>1.466813162700717</v>
      </c>
    </row>
    <row r="515" spans="2:9" ht="15.75">
      <c r="B515" s="75" t="s">
        <v>316</v>
      </c>
      <c r="C515" s="110">
        <v>13</v>
      </c>
      <c r="D515" s="111">
        <v>1.3156092592592594</v>
      </c>
      <c r="E515" s="112">
        <v>4.1205250563987002E-2</v>
      </c>
      <c r="F515" s="112">
        <v>0.10037798762682068</v>
      </c>
      <c r="G515" s="111">
        <v>1.2685839306957729</v>
      </c>
      <c r="H515" s="112">
        <v>6.2262782356630832E-2</v>
      </c>
      <c r="I515" s="89">
        <v>1.3528138873317366</v>
      </c>
    </row>
    <row r="516" spans="2:9" ht="15.75">
      <c r="B516" s="75" t="s">
        <v>317</v>
      </c>
      <c r="C516" s="110">
        <v>12</v>
      </c>
      <c r="D516" s="111">
        <v>2.0050425925925928</v>
      </c>
      <c r="E516" s="112">
        <v>2.0881222028860058E-2</v>
      </c>
      <c r="F516" s="112">
        <v>0.25182591048779152</v>
      </c>
      <c r="G516" s="111">
        <v>1.9742000807359894</v>
      </c>
      <c r="H516" s="112">
        <v>9.2687109195012177E-3</v>
      </c>
      <c r="I516" s="89">
        <v>1.9926695588349204</v>
      </c>
    </row>
    <row r="517" spans="2:9" ht="15.75">
      <c r="B517" s="75" t="s">
        <v>318</v>
      </c>
      <c r="C517" s="110">
        <v>135</v>
      </c>
      <c r="D517" s="111">
        <v>1.047665546218487</v>
      </c>
      <c r="E517" s="112">
        <v>1.5508346688084982</v>
      </c>
      <c r="F517" s="112">
        <v>0.11067806403612367</v>
      </c>
      <c r="G517" s="111">
        <v>0.440345234370635</v>
      </c>
      <c r="H517" s="112">
        <v>0.1274860236788225</v>
      </c>
      <c r="I517" s="89">
        <v>0.50468559395149604</v>
      </c>
    </row>
    <row r="518" spans="2:9" ht="15.75">
      <c r="B518" s="75" t="s">
        <v>319</v>
      </c>
      <c r="C518" s="110">
        <v>36</v>
      </c>
      <c r="D518" s="111">
        <v>1.1928154320987656</v>
      </c>
      <c r="E518" s="112">
        <v>0.54615390437170552</v>
      </c>
      <c r="F518" s="112">
        <v>0.23445193714793477</v>
      </c>
      <c r="G518" s="111">
        <v>0.84113214212873022</v>
      </c>
      <c r="H518" s="112">
        <v>6.8608857906105769E-2</v>
      </c>
      <c r="I518" s="89">
        <v>0.90309227145724247</v>
      </c>
    </row>
    <row r="519" spans="2:9" ht="15.75">
      <c r="B519" s="75" t="s">
        <v>320</v>
      </c>
      <c r="C519" s="110">
        <v>9</v>
      </c>
      <c r="D519" s="111">
        <v>1.3192444444444444</v>
      </c>
      <c r="E519" s="112">
        <v>0.57555673974218324</v>
      </c>
      <c r="F519" s="112">
        <v>0.13507491267235189</v>
      </c>
      <c r="G519" s="111">
        <v>0.88078020173774063</v>
      </c>
      <c r="H519" s="112">
        <v>7.8831450866333461E-2</v>
      </c>
      <c r="I519" s="89">
        <v>0.95615531225647032</v>
      </c>
    </row>
    <row r="520" spans="2:9" ht="15.75">
      <c r="B520" s="75" t="s">
        <v>321</v>
      </c>
      <c r="C520" s="110">
        <v>7</v>
      </c>
      <c r="D520" s="111">
        <v>1.6156190476190475</v>
      </c>
      <c r="E520" s="112">
        <v>0.15649623664825185</v>
      </c>
      <c r="F520" s="112">
        <v>0.12981542820643216</v>
      </c>
      <c r="G520" s="111">
        <v>1.4219737887087551</v>
      </c>
      <c r="H520" s="112">
        <v>6.4360652272083971E-2</v>
      </c>
      <c r="I520" s="89">
        <v>1.5197883587964123</v>
      </c>
    </row>
    <row r="521" spans="2:9" ht="15.75">
      <c r="B521" s="75" t="s">
        <v>322</v>
      </c>
      <c r="C521" s="110">
        <v>126</v>
      </c>
      <c r="D521" s="111">
        <v>0.95016242095754344</v>
      </c>
      <c r="E521" s="112">
        <v>0.19841580299059083</v>
      </c>
      <c r="F521" s="112">
        <v>0.17752430850038634</v>
      </c>
      <c r="G521" s="111">
        <v>0.81685764533803307</v>
      </c>
      <c r="H521" s="112">
        <v>3.6137053762799673E-2</v>
      </c>
      <c r="I521" s="89">
        <v>0.84748319097330438</v>
      </c>
    </row>
    <row r="522" spans="2:9" ht="15.75">
      <c r="B522" s="75" t="s">
        <v>323</v>
      </c>
      <c r="C522" s="110">
        <v>11</v>
      </c>
      <c r="D522" s="111">
        <v>1.2697414141414141</v>
      </c>
      <c r="E522" s="112">
        <v>0.33930877189897812</v>
      </c>
      <c r="F522" s="112">
        <v>0.19517609879124628</v>
      </c>
      <c r="G522" s="111">
        <v>0.99737456768541555</v>
      </c>
      <c r="H522" s="112">
        <v>5.4754388938472322E-2</v>
      </c>
      <c r="I522" s="89">
        <v>1.0551485836208709</v>
      </c>
    </row>
    <row r="523" spans="2:9" ht="15.75">
      <c r="B523" s="75" t="s">
        <v>324</v>
      </c>
      <c r="C523" s="110">
        <v>126</v>
      </c>
      <c r="D523" s="111">
        <v>1.0297661111111112</v>
      </c>
      <c r="E523" s="112">
        <v>0.30581616631080394</v>
      </c>
      <c r="F523" s="112">
        <v>0.2204076781100045</v>
      </c>
      <c r="G523" s="111">
        <v>0.83152146864064069</v>
      </c>
      <c r="H523" s="112">
        <v>2.882866660515301E-2</v>
      </c>
      <c r="I523" s="89">
        <v>0.85620470873451004</v>
      </c>
    </row>
    <row r="524" spans="2:9" ht="15.75">
      <c r="B524" s="75" t="s">
        <v>325</v>
      </c>
      <c r="C524" s="110">
        <v>5</v>
      </c>
      <c r="D524" s="111">
        <v>0.67456444444444441</v>
      </c>
      <c r="E524" s="112">
        <v>5.745305257476665E-3</v>
      </c>
      <c r="F524" s="112">
        <v>0.13023551223893381</v>
      </c>
      <c r="G524" s="111">
        <v>0.67121036431385828</v>
      </c>
      <c r="H524" s="112">
        <v>0.33823077333089741</v>
      </c>
      <c r="I524" s="89">
        <v>1.0142665105361213</v>
      </c>
    </row>
    <row r="525" spans="2:9" ht="15.75">
      <c r="B525" s="75" t="s">
        <v>326</v>
      </c>
      <c r="C525" s="110">
        <v>109</v>
      </c>
      <c r="D525" s="111">
        <v>1.0830580000000003</v>
      </c>
      <c r="E525" s="112">
        <v>3.3384592723664563E-2</v>
      </c>
      <c r="F525" s="112">
        <v>0.13570553841863306</v>
      </c>
      <c r="G525" s="111">
        <v>1.0526837385662626</v>
      </c>
      <c r="H525" s="112">
        <v>4.4106654383467558E-2</v>
      </c>
      <c r="I525" s="89">
        <v>1.1012564774026148</v>
      </c>
    </row>
    <row r="526" spans="2:9" ht="15.75">
      <c r="B526" s="75" t="s">
        <v>327</v>
      </c>
      <c r="C526" s="110">
        <v>82</v>
      </c>
      <c r="D526" s="111">
        <v>1.3018318713450292</v>
      </c>
      <c r="E526" s="112">
        <v>0.12962206136723167</v>
      </c>
      <c r="F526" s="112">
        <v>0.12862085660981043</v>
      </c>
      <c r="G526" s="111">
        <v>1.1697128507114907</v>
      </c>
      <c r="H526" s="112">
        <v>3.4298823939123028E-2</v>
      </c>
      <c r="I526" s="89">
        <v>1.2112575605248646</v>
      </c>
    </row>
    <row r="527" spans="2:9" ht="15.75">
      <c r="B527" s="75" t="s">
        <v>328</v>
      </c>
      <c r="C527" s="110">
        <v>9</v>
      </c>
      <c r="D527" s="111">
        <v>1.0731037037037037</v>
      </c>
      <c r="E527" s="112">
        <v>1.101429908640106</v>
      </c>
      <c r="F527" s="112">
        <v>9.082924635182274E-2</v>
      </c>
      <c r="G527" s="111">
        <v>0.53617978058213733</v>
      </c>
      <c r="H527" s="112">
        <v>6.8617591452680315E-2</v>
      </c>
      <c r="I527" s="89">
        <v>0.57568167023727534</v>
      </c>
    </row>
    <row r="528" spans="2:9" ht="15.75">
      <c r="B528" s="75" t="s">
        <v>329</v>
      </c>
      <c r="C528" s="110">
        <v>61</v>
      </c>
      <c r="D528" s="111">
        <v>1.1877436507936516</v>
      </c>
      <c r="E528" s="112">
        <v>0.22434804660947769</v>
      </c>
      <c r="F528" s="112">
        <v>0.1589257899726208</v>
      </c>
      <c r="G528" s="111">
        <v>0.99920105107448598</v>
      </c>
      <c r="H528" s="112">
        <v>1.9206251061903913E-2</v>
      </c>
      <c r="I528" s="89">
        <v>1.0187677604555692</v>
      </c>
    </row>
    <row r="529" spans="2:9" ht="15.75">
      <c r="B529" s="75" t="s">
        <v>330</v>
      </c>
      <c r="C529" s="110">
        <v>16</v>
      </c>
      <c r="D529" s="111">
        <v>1.4982638888888893</v>
      </c>
      <c r="E529" s="112">
        <v>0.26095487976227993</v>
      </c>
      <c r="F529" s="112">
        <v>0.20634503079092567</v>
      </c>
      <c r="G529" s="111">
        <v>1.2412010514109213</v>
      </c>
      <c r="H529" s="112">
        <v>2.0986635631665921E-2</v>
      </c>
      <c r="I529" s="89">
        <v>1.2678080775861036</v>
      </c>
    </row>
    <row r="530" spans="2:9" ht="15.75">
      <c r="B530" s="75" t="s">
        <v>331</v>
      </c>
      <c r="C530" s="110">
        <v>18</v>
      </c>
      <c r="D530" s="111">
        <v>1.5103032679738559</v>
      </c>
      <c r="E530" s="112">
        <v>0.69524327943592956</v>
      </c>
      <c r="F530" s="112">
        <v>0.16065307606476184</v>
      </c>
      <c r="G530" s="111">
        <v>0.95374505019627809</v>
      </c>
      <c r="H530" s="112">
        <v>4.2480048956562766E-2</v>
      </c>
      <c r="I530" s="89">
        <v>0.99605762695279032</v>
      </c>
    </row>
    <row r="531" spans="2:9" ht="15.75">
      <c r="B531" s="75" t="s">
        <v>332</v>
      </c>
      <c r="C531" s="110">
        <v>89</v>
      </c>
      <c r="D531" s="111">
        <v>1.4339015503875965</v>
      </c>
      <c r="E531" s="112">
        <v>0.25075347838619622</v>
      </c>
      <c r="F531" s="112">
        <v>0.15666632411139952</v>
      </c>
      <c r="G531" s="111">
        <v>1.183605791620822</v>
      </c>
      <c r="H531" s="112">
        <v>3.6077494744041268E-2</v>
      </c>
      <c r="I531" s="89">
        <v>1.2279055475590632</v>
      </c>
    </row>
    <row r="532" spans="2:9" ht="15.75">
      <c r="B532" s="75" t="s">
        <v>333</v>
      </c>
      <c r="C532" s="110">
        <v>25</v>
      </c>
      <c r="D532" s="111">
        <v>1.0855062801932365</v>
      </c>
      <c r="E532" s="112">
        <v>0.29356909138336645</v>
      </c>
      <c r="F532" s="112">
        <v>0.11455799573841681</v>
      </c>
      <c r="G532" s="111">
        <v>0.86155503806786737</v>
      </c>
      <c r="H532" s="112">
        <v>1.9054866318694512E-2</v>
      </c>
      <c r="I532" s="89">
        <v>0.87829075091550812</v>
      </c>
    </row>
    <row r="533" spans="2:9" ht="15.75">
      <c r="B533" s="75" t="s">
        <v>334</v>
      </c>
      <c r="C533" s="110">
        <v>8</v>
      </c>
      <c r="D533" s="111">
        <v>1.6509944444444447</v>
      </c>
      <c r="E533" s="112">
        <v>0.12722557175900051</v>
      </c>
      <c r="F533" s="112">
        <v>6.25E-2</v>
      </c>
      <c r="G533" s="111">
        <v>1.4750583713174765</v>
      </c>
      <c r="H533" s="112">
        <v>2.6525804121972545E-3</v>
      </c>
      <c r="I533" s="89">
        <v>1.4789814886442567</v>
      </c>
    </row>
    <row r="534" spans="2:9" ht="15.75">
      <c r="B534" s="75" t="s">
        <v>335</v>
      </c>
      <c r="C534" s="110">
        <v>109</v>
      </c>
      <c r="D534" s="111">
        <v>1.7965646666666664</v>
      </c>
      <c r="E534" s="112">
        <v>0.85096909990823211</v>
      </c>
      <c r="F534" s="112">
        <v>0.18721878505827308</v>
      </c>
      <c r="G534" s="111">
        <v>1.0620180666230088</v>
      </c>
      <c r="H534" s="112">
        <v>3.6595958797706225E-2</v>
      </c>
      <c r="I534" s="89">
        <v>1.1023599872984218</v>
      </c>
    </row>
    <row r="535" spans="2:9" ht="15.75">
      <c r="B535" s="75" t="s">
        <v>336</v>
      </c>
      <c r="C535" s="110">
        <v>64</v>
      </c>
      <c r="D535" s="111">
        <v>1.2283670940170937</v>
      </c>
      <c r="E535" s="112">
        <v>0.42688906034976237</v>
      </c>
      <c r="F535" s="112">
        <v>7.3996683518704781E-2</v>
      </c>
      <c r="G535" s="111">
        <v>0.88036013072107833</v>
      </c>
      <c r="H535" s="112">
        <v>2.7079346262872478E-2</v>
      </c>
      <c r="I535" s="89">
        <v>0.90486323559839021</v>
      </c>
    </row>
    <row r="536" spans="2:9" ht="15.75">
      <c r="B536" s="75" t="s">
        <v>337</v>
      </c>
      <c r="C536" s="110">
        <v>6</v>
      </c>
      <c r="D536" s="111">
        <v>1.2497703703703704</v>
      </c>
      <c r="E536" s="112">
        <v>0.274673873304486</v>
      </c>
      <c r="F536" s="112">
        <v>0.26574377618660872</v>
      </c>
      <c r="G536" s="111">
        <v>1.0400184153181189</v>
      </c>
      <c r="H536" s="112">
        <v>2.1175465524833476E-2</v>
      </c>
      <c r="I536" s="89">
        <v>1.0625177227252112</v>
      </c>
    </row>
    <row r="537" spans="2:9" ht="15.75">
      <c r="B537" s="75" t="s">
        <v>338</v>
      </c>
      <c r="C537" s="110">
        <v>27</v>
      </c>
      <c r="D537" s="111">
        <v>1.1827838383838385</v>
      </c>
      <c r="E537" s="112">
        <v>0.37312911642924695</v>
      </c>
      <c r="F537" s="112">
        <v>0.109606261621379</v>
      </c>
      <c r="G537" s="111">
        <v>0.88782133315515188</v>
      </c>
      <c r="H537" s="112">
        <v>1.4310914206502112E-2</v>
      </c>
      <c r="I537" s="89">
        <v>0.90071133580670559</v>
      </c>
    </row>
    <row r="538" spans="2:9" ht="15.75">
      <c r="B538" s="75" t="s">
        <v>339</v>
      </c>
      <c r="C538" s="110">
        <v>108</v>
      </c>
      <c r="D538" s="111">
        <v>1.0576722222222226</v>
      </c>
      <c r="E538" s="112">
        <v>1.2587281136162909</v>
      </c>
      <c r="F538" s="112">
        <v>0.18268426990684475</v>
      </c>
      <c r="G538" s="111">
        <v>0.52133455336712997</v>
      </c>
      <c r="H538" s="112">
        <v>4.5715879627561261E-2</v>
      </c>
      <c r="I538" s="89">
        <v>0.5463095761916934</v>
      </c>
    </row>
    <row r="539" spans="2:9" ht="15.75">
      <c r="B539" s="75" t="s">
        <v>340</v>
      </c>
      <c r="C539" s="110">
        <v>43</v>
      </c>
      <c r="D539" s="111">
        <v>0.95656611111111123</v>
      </c>
      <c r="E539" s="112">
        <v>1.1509801254637047</v>
      </c>
      <c r="F539" s="112">
        <v>0.14855476573964668</v>
      </c>
      <c r="G539" s="111">
        <v>0.48311504113891812</v>
      </c>
      <c r="H539" s="112">
        <v>3.3258090498485243E-2</v>
      </c>
      <c r="I539" s="89">
        <v>0.49973528238579085</v>
      </c>
    </row>
    <row r="540" spans="2:9" ht="15.75">
      <c r="B540" s="75" t="s">
        <v>341</v>
      </c>
      <c r="C540" s="110">
        <v>144</v>
      </c>
      <c r="D540" s="111">
        <v>0.89503266998341635</v>
      </c>
      <c r="E540" s="112">
        <v>0.13483461152701681</v>
      </c>
      <c r="F540" s="112">
        <v>0.17687586271749092</v>
      </c>
      <c r="G540" s="111">
        <v>0.80562038897833121</v>
      </c>
      <c r="H540" s="112">
        <v>3.0175385561479692E-2</v>
      </c>
      <c r="I540" s="89">
        <v>0.83068667982276867</v>
      </c>
    </row>
    <row r="541" spans="2:9" ht="15.75">
      <c r="B541" s="75" t="s">
        <v>342</v>
      </c>
      <c r="C541" s="110">
        <v>9</v>
      </c>
      <c r="D541" s="111">
        <v>0.62570370370370376</v>
      </c>
      <c r="E541" s="112">
        <v>0.56547629550782919</v>
      </c>
      <c r="F541" s="112">
        <v>0.14041858216908365</v>
      </c>
      <c r="G541" s="111">
        <v>0.42104508939860325</v>
      </c>
      <c r="H541" s="112">
        <v>0.16438283491448036</v>
      </c>
      <c r="I541" s="89">
        <v>0.50387319336063685</v>
      </c>
    </row>
    <row r="542" spans="2:9" ht="15.75">
      <c r="B542" s="75" t="s">
        <v>343</v>
      </c>
      <c r="C542" s="110">
        <v>29</v>
      </c>
      <c r="D542" s="111">
        <v>1.1461976190476191</v>
      </c>
      <c r="E542" s="112">
        <v>0.15872536563917611</v>
      </c>
      <c r="F542" s="112">
        <v>0.15477688791884833</v>
      </c>
      <c r="G542" s="111">
        <v>1.0106151593049322</v>
      </c>
      <c r="H542" s="112">
        <v>3.391824677837052E-2</v>
      </c>
      <c r="I542" s="89">
        <v>1.0460969332406864</v>
      </c>
    </row>
    <row r="543" spans="2:9" ht="15.75">
      <c r="B543" s="75" t="s">
        <v>344</v>
      </c>
      <c r="C543" s="110">
        <v>5</v>
      </c>
      <c r="D543" s="111">
        <v>0.55760444444444446</v>
      </c>
      <c r="E543" s="112">
        <v>1.7223131757563355</v>
      </c>
      <c r="F543" s="112">
        <v>7.0833333333333331E-2</v>
      </c>
      <c r="G543" s="111">
        <v>0.21443718611829699</v>
      </c>
      <c r="H543" s="112">
        <v>9.7725379155677791E-3</v>
      </c>
      <c r="I543" s="89">
        <v>0.21655346304666806</v>
      </c>
    </row>
    <row r="544" spans="2:9" ht="15.75">
      <c r="B544" s="75" t="s">
        <v>345</v>
      </c>
      <c r="C544" s="110">
        <v>15</v>
      </c>
      <c r="D544" s="111">
        <v>0.64862564102564113</v>
      </c>
      <c r="E544" s="112">
        <v>0.18631236659981207</v>
      </c>
      <c r="F544" s="112">
        <v>0.1787309939729145</v>
      </c>
      <c r="G544" s="111">
        <v>0.56254862844083997</v>
      </c>
      <c r="H544" s="112">
        <v>1.4902864764728565E-2</v>
      </c>
      <c r="I544" s="89">
        <v>0.57105904414845965</v>
      </c>
    </row>
    <row r="545" spans="2:9" ht="15.75">
      <c r="B545" s="75" t="s">
        <v>346</v>
      </c>
      <c r="C545" s="110">
        <v>4</v>
      </c>
      <c r="D545" s="111">
        <v>0.87501666666666666</v>
      </c>
      <c r="E545" s="112">
        <v>1.2390897755610975E-2</v>
      </c>
      <c r="F545" s="112">
        <v>0.16811451942740285</v>
      </c>
      <c r="G545" s="111">
        <v>0.86608918568676119</v>
      </c>
      <c r="H545" s="112">
        <v>2.3708721422523284E-3</v>
      </c>
      <c r="I545" s="89">
        <v>0.86814745229677892</v>
      </c>
    </row>
    <row r="546" spans="2:9" ht="15.75">
      <c r="B546" s="75" t="s">
        <v>347</v>
      </c>
      <c r="C546" s="110">
        <v>8</v>
      </c>
      <c r="D546" s="111">
        <v>0.92793333333333339</v>
      </c>
      <c r="E546" s="112">
        <v>5.2392528147389969E-2</v>
      </c>
      <c r="F546" s="112">
        <v>0.10184857728088023</v>
      </c>
      <c r="G546" s="111">
        <v>0.88623049563874579</v>
      </c>
      <c r="H546" s="112">
        <v>2.6235487204425263E-2</v>
      </c>
      <c r="I546" s="89">
        <v>0.91010761225470405</v>
      </c>
    </row>
    <row r="547" spans="2:9" ht="15.75">
      <c r="B547" s="75" t="s">
        <v>348</v>
      </c>
      <c r="C547" s="110">
        <v>10</v>
      </c>
      <c r="D547" s="111">
        <v>1.6595133333333336</v>
      </c>
      <c r="E547" s="112">
        <v>0.21461001737768001</v>
      </c>
      <c r="F547" s="112">
        <v>0.10288999931282297</v>
      </c>
      <c r="G547" s="111">
        <v>1.3915918368605233</v>
      </c>
      <c r="H547" s="112">
        <v>1.0181066027027031E-2</v>
      </c>
      <c r="I547" s="89">
        <v>1.4059054531063566</v>
      </c>
    </row>
    <row r="548" spans="2:9" ht="15.75">
      <c r="B548" s="75" t="s">
        <v>349</v>
      </c>
      <c r="C548" s="110">
        <v>30</v>
      </c>
      <c r="D548" s="111">
        <v>1.5174510288065848</v>
      </c>
      <c r="E548" s="112">
        <v>0.30219747602510899</v>
      </c>
      <c r="F548" s="112">
        <v>0.2456428483823245</v>
      </c>
      <c r="G548" s="111">
        <v>1.235744701431559</v>
      </c>
      <c r="H548" s="112">
        <v>1.603750069754355E-2</v>
      </c>
      <c r="I548" s="89">
        <v>1.2558859736093542</v>
      </c>
    </row>
    <row r="549" spans="2:9" ht="15.75">
      <c r="B549" s="75" t="s">
        <v>351</v>
      </c>
      <c r="C549" s="110">
        <v>50</v>
      </c>
      <c r="D549" s="111">
        <v>0.8199886524822696</v>
      </c>
      <c r="E549" s="112">
        <v>0.35519807230682798</v>
      </c>
      <c r="F549" s="112">
        <v>0.17842275729549978</v>
      </c>
      <c r="G549" s="111">
        <v>0.63475326947317712</v>
      </c>
      <c r="H549" s="112">
        <v>3.5309197182831834E-2</v>
      </c>
      <c r="I549" s="89">
        <v>0.65798623519527633</v>
      </c>
    </row>
    <row r="550" spans="2:9" ht="15.75">
      <c r="B550" s="75" t="s">
        <v>352</v>
      </c>
      <c r="C550" s="110">
        <v>34</v>
      </c>
      <c r="D550" s="111">
        <v>1.0247274509803923</v>
      </c>
      <c r="E550" s="112">
        <v>1.597547291550552E-2</v>
      </c>
      <c r="F550" s="112">
        <v>0.15062548564303271</v>
      </c>
      <c r="G550" s="111">
        <v>1.0110089097779222</v>
      </c>
      <c r="H550" s="112">
        <v>7.7375227065243852E-3</v>
      </c>
      <c r="I550" s="89">
        <v>1.0188926145182673</v>
      </c>
    </row>
    <row r="551" spans="2:9" ht="15.75">
      <c r="B551" s="75" t="s">
        <v>353</v>
      </c>
      <c r="C551" s="110">
        <v>15</v>
      </c>
      <c r="D551" s="111">
        <v>0.75434358974358973</v>
      </c>
      <c r="E551" s="112">
        <v>0.2800269095711414</v>
      </c>
      <c r="F551" s="112">
        <v>0.19582763623917263</v>
      </c>
      <c r="G551" s="111">
        <v>0.61569523927978198</v>
      </c>
      <c r="H551" s="112">
        <v>7.2012571047166837E-2</v>
      </c>
      <c r="I551" s="89">
        <v>0.66347368517109073</v>
      </c>
    </row>
    <row r="552" spans="2:9" ht="15.75">
      <c r="B552" s="75" t="s">
        <v>354</v>
      </c>
      <c r="C552" s="110">
        <v>1</v>
      </c>
      <c r="D552" s="111">
        <v>1.8238000000000001</v>
      </c>
      <c r="E552" s="112">
        <v>1.3848973607038124</v>
      </c>
      <c r="F552" s="112">
        <v>0.19298245614035089</v>
      </c>
      <c r="G552" s="111">
        <v>0.8612431967541696</v>
      </c>
      <c r="H552" s="112">
        <v>3.3068376443722278E-2</v>
      </c>
      <c r="I552" s="89">
        <v>0.89069710388269585</v>
      </c>
    </row>
    <row r="553" spans="2:9" ht="15.75">
      <c r="B553" s="75" t="s">
        <v>357</v>
      </c>
      <c r="C553" s="110">
        <v>11</v>
      </c>
      <c r="D553" s="111">
        <v>0.81682222222222234</v>
      </c>
      <c r="E553" s="112">
        <v>7.5166289384873434E-3</v>
      </c>
      <c r="F553" s="112">
        <v>8.1486371237958308E-2</v>
      </c>
      <c r="G553" s="111">
        <v>0.81122144703871368</v>
      </c>
      <c r="H553" s="112">
        <v>2.2716826328294994E-3</v>
      </c>
      <c r="I553" s="89">
        <v>0.81306848058536052</v>
      </c>
    </row>
    <row r="554" spans="2:9" ht="15.75">
      <c r="B554" s="75" t="s">
        <v>358</v>
      </c>
      <c r="C554" s="110">
        <v>53</v>
      </c>
      <c r="D554" s="111">
        <v>0.8432964444444444</v>
      </c>
      <c r="E554" s="112">
        <v>1.9459971796332967</v>
      </c>
      <c r="F554" s="112">
        <v>0.12638130306944967</v>
      </c>
      <c r="G554" s="111">
        <v>0.31232513139199064</v>
      </c>
      <c r="H554" s="112">
        <v>0.16036300628020186</v>
      </c>
      <c r="I554" s="89">
        <v>0.37197638232721686</v>
      </c>
    </row>
    <row r="555" spans="2:9" ht="15.75">
      <c r="B555" s="75" t="s">
        <v>359</v>
      </c>
      <c r="C555" s="110">
        <v>125</v>
      </c>
      <c r="D555" s="111">
        <v>1.0819116531165314</v>
      </c>
      <c r="E555" s="112">
        <v>6.4582415735482901E-2</v>
      </c>
      <c r="F555" s="112">
        <v>0.22196624905081827</v>
      </c>
      <c r="G555" s="111">
        <v>1.0301494266939022</v>
      </c>
      <c r="H555" s="112">
        <v>2.5190425051288868E-2</v>
      </c>
      <c r="I555" s="89">
        <v>1.0567699099058425</v>
      </c>
    </row>
    <row r="556" spans="2:9" ht="15.75">
      <c r="B556" s="75" t="s">
        <v>360</v>
      </c>
      <c r="C556" s="110">
        <v>29</v>
      </c>
      <c r="D556" s="111">
        <v>1.6247404761904765</v>
      </c>
      <c r="E556" s="112">
        <v>0.52880893709860555</v>
      </c>
      <c r="F556" s="112">
        <v>0.17413903695879726</v>
      </c>
      <c r="G556" s="111">
        <v>1.1308657708424346</v>
      </c>
      <c r="H556" s="112">
        <v>2.7878181081624605E-2</v>
      </c>
      <c r="I556" s="89">
        <v>1.1632963573440669</v>
      </c>
    </row>
    <row r="557" spans="2:9" ht="15.75">
      <c r="B557" s="75" t="s">
        <v>361</v>
      </c>
      <c r="C557" s="110">
        <v>9</v>
      </c>
      <c r="D557" s="111">
        <v>0.44140987654320996</v>
      </c>
      <c r="E557" s="112">
        <v>9.716936292755092E-2</v>
      </c>
      <c r="F557" s="112">
        <v>9.1875841085951676E-2</v>
      </c>
      <c r="G557" s="111">
        <v>0.40561744448025883</v>
      </c>
      <c r="H557" s="112">
        <v>1.6783560347441502E-2</v>
      </c>
      <c r="I557" s="89">
        <v>0.41254135724540247</v>
      </c>
    </row>
    <row r="558" spans="2:9" ht="15.75">
      <c r="B558" s="75" t="s">
        <v>363</v>
      </c>
      <c r="C558" s="110">
        <v>12</v>
      </c>
      <c r="D558" s="111">
        <v>1.6882111111111111</v>
      </c>
      <c r="E558" s="112">
        <v>4.8126387099562497E-2</v>
      </c>
      <c r="F558" s="112">
        <v>0.20587471825582884</v>
      </c>
      <c r="G558" s="111">
        <v>1.6260655200005703</v>
      </c>
      <c r="H558" s="112">
        <v>1.3124737739957435E-2</v>
      </c>
      <c r="I558" s="89">
        <v>1.6476910326809879</v>
      </c>
    </row>
    <row r="559" spans="2:9" ht="15.75">
      <c r="B559" s="75" t="s">
        <v>364</v>
      </c>
      <c r="C559" s="110">
        <v>10</v>
      </c>
      <c r="D559" s="111">
        <v>1.306677777777778</v>
      </c>
      <c r="E559" s="112">
        <v>0.98808861271840576</v>
      </c>
      <c r="F559" s="112">
        <v>0.22037783073889897</v>
      </c>
      <c r="G559" s="111">
        <v>0.73809600804475162</v>
      </c>
      <c r="H559" s="112">
        <v>9.8063797938778507E-2</v>
      </c>
      <c r="I559" s="89">
        <v>0.81834613840530956</v>
      </c>
    </row>
    <row r="560" spans="2:9" ht="15.75">
      <c r="B560" s="75" t="s">
        <v>365</v>
      </c>
      <c r="C560" s="110">
        <v>28</v>
      </c>
      <c r="D560" s="111">
        <v>1.4690324786324784</v>
      </c>
      <c r="E560" s="112">
        <v>0.11430604651008691</v>
      </c>
      <c r="F560" s="112">
        <v>0.15578884035597246</v>
      </c>
      <c r="G560" s="111">
        <v>1.3397488085137339</v>
      </c>
      <c r="H560" s="112">
        <v>1.6322004517672649E-2</v>
      </c>
      <c r="I560" s="89">
        <v>1.36197903650047</v>
      </c>
    </row>
    <row r="561" spans="2:9" ht="15.75">
      <c r="B561" s="75" t="s">
        <v>366</v>
      </c>
      <c r="C561" s="110">
        <v>69</v>
      </c>
      <c r="D561" s="111">
        <v>0.9841659932659933</v>
      </c>
      <c r="E561" s="112">
        <v>0.71492973370452351</v>
      </c>
      <c r="F561" s="112">
        <v>0.167331578648278</v>
      </c>
      <c r="G561" s="111">
        <v>0.61691616345230893</v>
      </c>
      <c r="H561" s="112">
        <v>2.9071597491319125E-2</v>
      </c>
      <c r="I561" s="89">
        <v>0.63538790487364827</v>
      </c>
    </row>
    <row r="562" spans="2:9" ht="15.75">
      <c r="B562" s="75" t="s">
        <v>367</v>
      </c>
      <c r="C562" s="110">
        <v>51</v>
      </c>
      <c r="D562" s="111">
        <v>0.89180399999999993</v>
      </c>
      <c r="E562" s="112">
        <v>1.9207374526065015</v>
      </c>
      <c r="F562" s="112">
        <v>0.11772384303817431</v>
      </c>
      <c r="G562" s="111">
        <v>0.33095713531649218</v>
      </c>
      <c r="H562" s="112">
        <v>1.4524551232549986E-2</v>
      </c>
      <c r="I562" s="89">
        <v>0.33583498780251259</v>
      </c>
    </row>
    <row r="563" spans="2:9" ht="15.75">
      <c r="B563" s="75" t="s">
        <v>368</v>
      </c>
      <c r="C563" s="110">
        <v>133</v>
      </c>
      <c r="D563" s="111">
        <v>1.0873888013998243</v>
      </c>
      <c r="E563" s="112">
        <v>0.12253857506328478</v>
      </c>
      <c r="F563" s="112">
        <v>0.17817278835352046</v>
      </c>
      <c r="G563" s="111">
        <v>0.98790163796354347</v>
      </c>
      <c r="H563" s="112">
        <v>3.2346743643019774E-2</v>
      </c>
      <c r="I563" s="89">
        <v>1.0209252451470006</v>
      </c>
    </row>
    <row r="564" spans="2:9" ht="15.75">
      <c r="B564" s="75" t="s">
        <v>369</v>
      </c>
      <c r="C564" s="110">
        <v>49</v>
      </c>
      <c r="D564" s="111">
        <v>1.5885615740740739</v>
      </c>
      <c r="E564" s="112">
        <v>0.60424938290129115</v>
      </c>
      <c r="F564" s="112">
        <v>0.13646224791774322</v>
      </c>
      <c r="G564" s="111">
        <v>1.0438755188080964</v>
      </c>
      <c r="H564" s="112">
        <v>2.561426903417582E-2</v>
      </c>
      <c r="I564" s="89">
        <v>1.0713165080664646</v>
      </c>
    </row>
    <row r="565" spans="2:9" ht="15.75">
      <c r="B565" s="75" t="s">
        <v>370</v>
      </c>
      <c r="C565" s="110">
        <v>4</v>
      </c>
      <c r="D565" s="111">
        <v>1.7261</v>
      </c>
      <c r="E565" s="112">
        <v>1.2778264509471797</v>
      </c>
      <c r="F565" s="112">
        <v>3.117206982543641E-2</v>
      </c>
      <c r="G565" s="111">
        <v>0.77127107322426969</v>
      </c>
      <c r="H565" s="112">
        <v>8.9977435125987229E-2</v>
      </c>
      <c r="I565" s="89">
        <v>0.84752961409374239</v>
      </c>
    </row>
    <row r="566" spans="2:9" ht="15.75">
      <c r="B566" s="75" t="s">
        <v>371</v>
      </c>
      <c r="C566" s="110">
        <v>15</v>
      </c>
      <c r="D566" s="111">
        <v>1.0733794871794873</v>
      </c>
      <c r="E566" s="112">
        <v>0.42122729839517487</v>
      </c>
      <c r="F566" s="112">
        <v>0.18434882185107301</v>
      </c>
      <c r="G566" s="111">
        <v>0.79889835171951429</v>
      </c>
      <c r="H566" s="112">
        <v>2.6741835618203005E-2</v>
      </c>
      <c r="I566" s="89">
        <v>0.8208493706569272</v>
      </c>
    </row>
    <row r="567" spans="2:9" ht="15.75">
      <c r="B567" s="75" t="s">
        <v>373</v>
      </c>
      <c r="C567" s="110">
        <v>2</v>
      </c>
      <c r="D567" s="111">
        <v>0.97075555555555559</v>
      </c>
      <c r="E567" s="112">
        <v>2.9116801850177189E-3</v>
      </c>
      <c r="F567" s="112">
        <v>0.11309255079006772</v>
      </c>
      <c r="G567" s="111">
        <v>0.96825514233957022</v>
      </c>
      <c r="H567" s="112">
        <v>4.3497883908272798E-7</v>
      </c>
      <c r="I567" s="89">
        <v>0.9682555635102511</v>
      </c>
    </row>
    <row r="568" spans="2:9" ht="15.75">
      <c r="B568" s="75" t="s">
        <v>403</v>
      </c>
      <c r="C568" s="110">
        <v>25</v>
      </c>
      <c r="D568" s="111">
        <v>1.7816546296296292</v>
      </c>
      <c r="E568" s="112">
        <v>0.53626771745833068</v>
      </c>
      <c r="F568" s="112">
        <v>0.24322485039859859</v>
      </c>
      <c r="G568" s="111">
        <v>1.2673292334474651</v>
      </c>
      <c r="H568" s="112">
        <v>4.1242537122698784E-2</v>
      </c>
      <c r="I568" s="89">
        <v>1.3218454953603358</v>
      </c>
    </row>
    <row r="569" spans="2:9" ht="15.75">
      <c r="B569" s="75" t="s">
        <v>374</v>
      </c>
      <c r="C569" s="110">
        <v>93</v>
      </c>
      <c r="D569" s="111">
        <v>1.2959344585091424</v>
      </c>
      <c r="E569" s="112">
        <v>186.82747749283419</v>
      </c>
      <c r="F569" s="112">
        <v>0.17700034176419846</v>
      </c>
      <c r="G569" s="111">
        <v>8.3738902173792467E-3</v>
      </c>
      <c r="H569" s="112">
        <v>3.3947986556882746E-3</v>
      </c>
      <c r="I569" s="89">
        <v>8.4024147235874161E-3</v>
      </c>
    </row>
    <row r="570" spans="2:9" ht="15.75">
      <c r="B570" s="75" t="s">
        <v>376</v>
      </c>
      <c r="C570" s="110">
        <v>12</v>
      </c>
      <c r="D570" s="111">
        <v>0.86332592592592594</v>
      </c>
      <c r="E570" s="112">
        <v>2.0406726922507032</v>
      </c>
      <c r="F570" s="112">
        <v>0.10847043428614368</v>
      </c>
      <c r="G570" s="111">
        <v>0.30621778086807339</v>
      </c>
      <c r="H570" s="112">
        <v>6.7774447936716775E-3</v>
      </c>
      <c r="I570" s="89">
        <v>0.30830731668640055</v>
      </c>
    </row>
    <row r="571" spans="2:9" ht="15.75">
      <c r="B571" s="75" t="s">
        <v>377</v>
      </c>
      <c r="C571" s="110">
        <v>13</v>
      </c>
      <c r="D571" s="111">
        <v>1.3170905982905983</v>
      </c>
      <c r="E571" s="112">
        <v>0.3308253078260005</v>
      </c>
      <c r="F571" s="112">
        <v>0.17783082672427034</v>
      </c>
      <c r="G571" s="111">
        <v>1.0354531667168401</v>
      </c>
      <c r="H571" s="112">
        <v>2.5624672119171462E-2</v>
      </c>
      <c r="I571" s="89">
        <v>1.0626840983020884</v>
      </c>
    </row>
    <row r="572" spans="2:9" ht="15.75">
      <c r="B572" s="75" t="s">
        <v>379</v>
      </c>
      <c r="C572" s="110">
        <v>4</v>
      </c>
      <c r="D572" s="111">
        <v>0.94259444444444451</v>
      </c>
      <c r="E572" s="112">
        <v>1.6743924089098001E-3</v>
      </c>
      <c r="F572" s="112">
        <v>0.2280935213131452</v>
      </c>
      <c r="G572" s="111">
        <v>0.94137773786619028</v>
      </c>
      <c r="H572" s="112">
        <v>8.9510174346004736E-4</v>
      </c>
      <c r="I572" s="89">
        <v>0.94222112163489058</v>
      </c>
    </row>
    <row r="573" spans="2:9" ht="15.75">
      <c r="B573" s="75" t="s">
        <v>380</v>
      </c>
      <c r="C573" s="110">
        <v>1</v>
      </c>
      <c r="D573" s="111">
        <v>0.88277777777777788</v>
      </c>
      <c r="E573" s="112">
        <v>1.3378378378378379</v>
      </c>
      <c r="F573" s="112">
        <v>0.32397959183673469</v>
      </c>
      <c r="G573" s="111">
        <v>0.46354502430674982</v>
      </c>
      <c r="H573" s="112">
        <v>6.8042939719240303E-2</v>
      </c>
      <c r="I573" s="89">
        <v>0.49738882193467487</v>
      </c>
    </row>
    <row r="574" spans="2:9" ht="15.75">
      <c r="B574" s="75" t="s">
        <v>382</v>
      </c>
      <c r="C574" s="110">
        <v>91</v>
      </c>
      <c r="D574" s="111">
        <v>0.8674438957475995</v>
      </c>
      <c r="E574" s="112">
        <v>1.6211863863462908</v>
      </c>
      <c r="F574" s="112">
        <v>0.14928547158282351</v>
      </c>
      <c r="G574" s="111">
        <v>0.36459986383572435</v>
      </c>
      <c r="H574" s="112">
        <v>6.0812709140445141E-2</v>
      </c>
      <c r="I574" s="89">
        <v>0.38820783392632841</v>
      </c>
    </row>
    <row r="575" spans="2:9" ht="15.75">
      <c r="B575" s="75" t="s">
        <v>383</v>
      </c>
      <c r="C575" s="110">
        <v>8</v>
      </c>
      <c r="D575" s="111">
        <v>2.2646755555555553</v>
      </c>
      <c r="E575" s="112">
        <v>4.5801590896212128E-2</v>
      </c>
      <c r="F575" s="112">
        <v>0.1437937145425974</v>
      </c>
      <c r="G575" s="111">
        <v>2.1792162605557097</v>
      </c>
      <c r="H575" s="112">
        <v>2.2338040682897868E-3</v>
      </c>
      <c r="I575" s="89">
        <v>2.1840951010780296</v>
      </c>
    </row>
    <row r="576" spans="2:9" ht="15.75">
      <c r="B576" s="75" t="s">
        <v>384</v>
      </c>
      <c r="C576" s="110">
        <v>3</v>
      </c>
      <c r="D576" s="111">
        <v>1.7764814814814818</v>
      </c>
      <c r="E576" s="112">
        <v>8.1667574084156487E-3</v>
      </c>
      <c r="F576" s="112">
        <v>0.15392464678178966</v>
      </c>
      <c r="G576" s="111">
        <v>1.7642907753449331</v>
      </c>
      <c r="H576" s="112">
        <v>8.5634932880728262E-3</v>
      </c>
      <c r="I576" s="89">
        <v>1.7795297665567678</v>
      </c>
    </row>
    <row r="577" spans="2:9" ht="15.75">
      <c r="B577" s="75" t="s">
        <v>385</v>
      </c>
      <c r="C577" s="110">
        <v>2</v>
      </c>
      <c r="D577" s="111">
        <v>3.4331111111111112</v>
      </c>
      <c r="E577" s="112">
        <v>1.2359921893823832E-2</v>
      </c>
      <c r="F577" s="112">
        <v>0.15789473684210528</v>
      </c>
      <c r="G577" s="111">
        <v>3.3977461619100602</v>
      </c>
      <c r="H577" s="112">
        <v>3.916795590450526E-2</v>
      </c>
      <c r="I577" s="89">
        <v>3.5362540027571838</v>
      </c>
    </row>
    <row r="578" spans="2:9" ht="15.75">
      <c r="B578" s="75" t="s">
        <v>386</v>
      </c>
      <c r="C578" s="110">
        <v>14</v>
      </c>
      <c r="D578" s="111">
        <v>1.2880222222222222</v>
      </c>
      <c r="E578" s="112">
        <v>0.47756365172800724</v>
      </c>
      <c r="F578" s="112">
        <v>9.6400363526125007E-2</v>
      </c>
      <c r="G578" s="111">
        <v>0.8997544679042575</v>
      </c>
      <c r="H578" s="112">
        <v>5.4030664416829438E-2</v>
      </c>
      <c r="I578" s="89">
        <v>0.95114549072521204</v>
      </c>
    </row>
    <row r="579" spans="2:9" ht="15.75">
      <c r="B579" s="75" t="s">
        <v>387</v>
      </c>
      <c r="C579" s="110">
        <v>17</v>
      </c>
      <c r="D579" s="111">
        <v>1.4637527777777777</v>
      </c>
      <c r="E579" s="112">
        <v>0.49241178940503899</v>
      </c>
      <c r="F579" s="112">
        <v>0.22687436199659311</v>
      </c>
      <c r="G579" s="111">
        <v>1.0601555941171195</v>
      </c>
      <c r="H579" s="112">
        <v>3.824923798287877E-2</v>
      </c>
      <c r="I579" s="89">
        <v>1.1023184342413304</v>
      </c>
    </row>
    <row r="580" spans="2:9" ht="15.75">
      <c r="B580" s="75" t="s">
        <v>388</v>
      </c>
      <c r="C580" s="110">
        <v>9</v>
      </c>
      <c r="D580" s="111">
        <v>1.6028222222222221</v>
      </c>
      <c r="E580" s="112">
        <v>5.1923816083188061</v>
      </c>
      <c r="F580" s="112">
        <v>0.15168924006234383</v>
      </c>
      <c r="G580" s="111">
        <v>0.29655789384967313</v>
      </c>
      <c r="H580" s="112">
        <v>6.354643818753258E-3</v>
      </c>
      <c r="I580" s="89">
        <v>0.29845446567515505</v>
      </c>
    </row>
    <row r="581" spans="2:9" ht="15.75">
      <c r="B581" s="75" t="s">
        <v>390</v>
      </c>
      <c r="C581" s="110">
        <v>16</v>
      </c>
      <c r="D581" s="111">
        <v>1.284971851851852</v>
      </c>
      <c r="E581" s="112">
        <v>0.63128170666625183</v>
      </c>
      <c r="F581" s="112">
        <v>8.1580631951174765E-2</v>
      </c>
      <c r="G581" s="111">
        <v>0.81338588724720162</v>
      </c>
      <c r="H581" s="112">
        <v>2.9289560555980927E-2</v>
      </c>
      <c r="I581" s="89">
        <v>0.83792844312365067</v>
      </c>
    </row>
    <row r="582" spans="2:9" ht="15.75">
      <c r="B582" s="75" t="s">
        <v>391</v>
      </c>
      <c r="C582" s="110">
        <v>13</v>
      </c>
      <c r="D582" s="111">
        <v>1.1622141414141416</v>
      </c>
      <c r="E582" s="112">
        <v>4.6610421692402398E-2</v>
      </c>
      <c r="F582" s="112">
        <v>0.20535906686372124</v>
      </c>
      <c r="G582" s="111">
        <v>1.1207048595723139</v>
      </c>
      <c r="H582" s="112">
        <v>3.2198095216374942E-3</v>
      </c>
      <c r="I582" s="89">
        <v>1.1243249718220012</v>
      </c>
    </row>
    <row r="583" spans="2:9" ht="15.75">
      <c r="B583" s="75" t="s">
        <v>392</v>
      </c>
      <c r="C583" s="110">
        <v>150</v>
      </c>
      <c r="D583" s="111">
        <v>1.2843698084291184</v>
      </c>
      <c r="E583" s="112">
        <v>0.81545249574236378</v>
      </c>
      <c r="F583" s="112">
        <v>0.15603484090928496</v>
      </c>
      <c r="G583" s="111">
        <v>0.7607863649975074</v>
      </c>
      <c r="H583" s="112">
        <v>0.10424826946707656</v>
      </c>
      <c r="I583" s="89">
        <v>0.84932726230389866</v>
      </c>
    </row>
    <row r="584" spans="2:9" ht="15.75">
      <c r="B584" s="75" t="s">
        <v>393</v>
      </c>
      <c r="C584" s="110">
        <v>6</v>
      </c>
      <c r="D584" s="111">
        <v>1.8348518518518517</v>
      </c>
      <c r="E584" s="112">
        <v>0.69584198653250029</v>
      </c>
      <c r="F584" s="112">
        <v>0.21596968909978778</v>
      </c>
      <c r="G584" s="111">
        <v>1.1871751446151548</v>
      </c>
      <c r="H584" s="112">
        <v>1.640047943245064E-2</v>
      </c>
      <c r="I584" s="89">
        <v>1.2069700317972296</v>
      </c>
    </row>
    <row r="585" spans="2:9" ht="15.75">
      <c r="B585" s="75" t="s">
        <v>394</v>
      </c>
      <c r="C585" s="110">
        <v>20</v>
      </c>
      <c r="D585" s="111">
        <v>1.2825461988304092</v>
      </c>
      <c r="E585" s="112">
        <v>0.39967484446747542</v>
      </c>
      <c r="F585" s="112">
        <v>0.11958536400709832</v>
      </c>
      <c r="G585" s="111">
        <v>0.94871334343396785</v>
      </c>
      <c r="H585" s="112">
        <v>6.0271631798935722E-2</v>
      </c>
      <c r="I585" s="89">
        <v>1.0095612472039166</v>
      </c>
    </row>
    <row r="586" spans="2:9" ht="15.75">
      <c r="B586" s="75" t="s">
        <v>395</v>
      </c>
      <c r="C586" s="110">
        <v>8</v>
      </c>
      <c r="D586" s="111">
        <v>1.3221944444444447</v>
      </c>
      <c r="E586" s="112">
        <v>1.4675855860113565</v>
      </c>
      <c r="F586" s="112">
        <v>0.21027607361963191</v>
      </c>
      <c r="G586" s="111">
        <v>0.61241414055372589</v>
      </c>
      <c r="H586" s="112">
        <v>2.978064216429872E-2</v>
      </c>
      <c r="I586" s="89">
        <v>0.63121204046047619</v>
      </c>
    </row>
    <row r="587" spans="2:9" ht="15.75">
      <c r="B587" s="75" t="s">
        <v>396</v>
      </c>
      <c r="C587" s="110">
        <v>12</v>
      </c>
      <c r="D587" s="111">
        <v>1.5275977777777778</v>
      </c>
      <c r="E587" s="112">
        <v>1.7283753327973868</v>
      </c>
      <c r="F587" s="112">
        <v>0.25695843676959268</v>
      </c>
      <c r="G587" s="111">
        <v>0.6687510686403092</v>
      </c>
      <c r="H587" s="112">
        <v>2.3966568165675783E-2</v>
      </c>
      <c r="I587" s="89">
        <v>0.68517229720654249</v>
      </c>
    </row>
    <row r="588" spans="2:9" ht="15.75">
      <c r="B588" s="75" t="s">
        <v>397</v>
      </c>
      <c r="C588" s="110">
        <v>5</v>
      </c>
      <c r="D588" s="111">
        <v>1.322208888888889</v>
      </c>
      <c r="E588" s="112">
        <v>1.8594432939840667E-4</v>
      </c>
      <c r="F588" s="112">
        <v>0.1972897059434921</v>
      </c>
      <c r="G588" s="111">
        <v>1.322011566199595</v>
      </c>
      <c r="H588" s="112">
        <v>6.5264415724794193E-5</v>
      </c>
      <c r="I588" s="89">
        <v>1.3220978521434461</v>
      </c>
    </row>
    <row r="589" spans="2:9" ht="15.75">
      <c r="B589" s="75" t="s">
        <v>404</v>
      </c>
      <c r="C589" s="110">
        <v>16</v>
      </c>
      <c r="D589" s="111">
        <v>1.1023350427350427</v>
      </c>
      <c r="E589" s="112">
        <v>1.5043520791198015</v>
      </c>
      <c r="F589" s="112">
        <v>0.20902649672713991</v>
      </c>
      <c r="G589" s="111">
        <v>0.50337171412610171</v>
      </c>
      <c r="H589" s="112">
        <v>2.9027257969996875E-2</v>
      </c>
      <c r="I589" s="89">
        <v>0.51842002595634906</v>
      </c>
    </row>
    <row r="590" spans="2:9" ht="15.75">
      <c r="B590" s="75" t="s">
        <v>399</v>
      </c>
      <c r="C590" s="110">
        <v>4</v>
      </c>
      <c r="D590" s="111">
        <v>0.63650000000000007</v>
      </c>
      <c r="E590" s="112">
        <v>0.18916030337758663</v>
      </c>
      <c r="F590" s="112">
        <v>0.13083916083916083</v>
      </c>
      <c r="G590" s="111">
        <v>0.54662842301577963</v>
      </c>
      <c r="H590" s="112">
        <v>1.811605972993752E-2</v>
      </c>
      <c r="I590" s="89">
        <v>0.55671388500908991</v>
      </c>
    </row>
    <row r="591" spans="2:9" ht="15.75">
      <c r="B591" s="75" t="s">
        <v>401</v>
      </c>
      <c r="C591" s="110">
        <v>1</v>
      </c>
      <c r="D591" s="111">
        <v>0.66926666666666679</v>
      </c>
      <c r="E591" s="112">
        <v>0.1244709932274039</v>
      </c>
      <c r="F591" s="112">
        <v>0.34253393665158371</v>
      </c>
      <c r="G591" s="111">
        <v>0.61863998285751942</v>
      </c>
      <c r="H591" s="112">
        <v>0.12555361596363029</v>
      </c>
      <c r="I591" s="89">
        <v>0.70746473900655893</v>
      </c>
    </row>
    <row r="592" spans="2:9" ht="15.75">
      <c r="B592" s="76" t="s">
        <v>402</v>
      </c>
      <c r="C592" s="77">
        <v>3215</v>
      </c>
      <c r="D592" s="94">
        <v>1.1806591705477953</v>
      </c>
      <c r="E592" s="78">
        <v>1.3892364409295408</v>
      </c>
      <c r="F592" s="78">
        <v>0.16539038985734628</v>
      </c>
      <c r="G592" s="94">
        <v>0.54673559920956816</v>
      </c>
      <c r="H592" s="78">
        <v>3.3549679864199544E-2</v>
      </c>
      <c r="I592" s="95">
        <v>0.56571516178166692</v>
      </c>
    </row>
    <row r="594" spans="1:16" ht="34.5" customHeight="1">
      <c r="A594" s="182" t="s">
        <v>431</v>
      </c>
      <c r="B594" s="182"/>
      <c r="C594" s="182"/>
    </row>
    <row r="595" spans="1:16" ht="15.75" thickBot="1">
      <c r="B595" s="172" t="s">
        <v>435</v>
      </c>
      <c r="C595" s="172"/>
      <c r="D595" s="172"/>
      <c r="F595" t="s">
        <v>282</v>
      </c>
      <c r="J595" t="s">
        <v>415</v>
      </c>
      <c r="N595" t="s">
        <v>283</v>
      </c>
    </row>
    <row r="596" spans="1:16" ht="16.5" thickBot="1">
      <c r="B596" t="s">
        <v>432</v>
      </c>
      <c r="C596" t="s">
        <v>433</v>
      </c>
      <c r="D596" t="s">
        <v>434</v>
      </c>
      <c r="F596" s="140" t="s">
        <v>432</v>
      </c>
      <c r="G596" s="141" t="s">
        <v>433</v>
      </c>
      <c r="H596" s="141" t="s">
        <v>434</v>
      </c>
      <c r="J596" s="140" t="s">
        <v>432</v>
      </c>
      <c r="K596" s="141" t="s">
        <v>433</v>
      </c>
      <c r="L596" s="141" t="s">
        <v>434</v>
      </c>
      <c r="N596" s="140" t="s">
        <v>432</v>
      </c>
      <c r="O596" s="141" t="s">
        <v>433</v>
      </c>
      <c r="P596" s="141" t="s">
        <v>434</v>
      </c>
    </row>
    <row r="597" spans="1:16">
      <c r="B597" t="s">
        <v>306</v>
      </c>
      <c r="C597">
        <v>481.81231361513943</v>
      </c>
      <c r="D597">
        <v>2.7299037462598532</v>
      </c>
      <c r="F597" s="142" t="s">
        <v>306</v>
      </c>
      <c r="G597" s="4" t="e">
        <f t="array" ref="G597">AVERAGEIF([1]!Company_Data_China[Industry Group],F597,[1]!Company_Data_China[EV/Sales])</f>
        <v>#REF!</v>
      </c>
      <c r="H597" t="e">
        <f t="array" ref="H597">MEDIAN(IF([1]!Company_Data_China[Industry Group]=F597,[1]!Company_Data_China[EV/Sales],""))</f>
        <v>#REF!</v>
      </c>
      <c r="J597" s="142" t="s">
        <v>306</v>
      </c>
      <c r="K597" s="4" t="e">
        <f>AVERAGEIF([2]!Company_Data_Europe[Industry Group],J597,[2]!Company_Data_Europe[EV/Sales])</f>
        <v>#REF!</v>
      </c>
      <c r="L597" t="e">
        <f t="array" ref="L597">MEDIAN(IF([2]!Company_Data_Europe[Industry Group]=J597,[2]!Company_Data_Europe[EV/Sales],""))</f>
        <v>#REF!</v>
      </c>
      <c r="N597" s="142" t="s">
        <v>306</v>
      </c>
      <c r="O597" s="4" t="e">
        <f>AVERAGEIF([3]!Company_Data_India[Industry Group],N597,[3]!Company_Data_India[EV/Sales])</f>
        <v>#REF!</v>
      </c>
      <c r="P597" t="e">
        <f t="array" ref="P597">MEDIAN(IF([3]!Company_Data_India[Industry Group]=N597,[3]!Company_Data_India[EV/Sales],""))</f>
        <v>#REF!</v>
      </c>
    </row>
    <row r="598" spans="1:16">
      <c r="B598" t="s">
        <v>307</v>
      </c>
      <c r="C598">
        <v>6.4412038273186019</v>
      </c>
      <c r="D598">
        <v>1.42096100418286</v>
      </c>
      <c r="F598" s="143" t="s">
        <v>307</v>
      </c>
      <c r="G598" s="4" t="e">
        <f t="array" ref="G598">AVERAGEIF([1]!Company_Data_China[Industry Group],F598,[1]!Company_Data_China[EV/Sales])</f>
        <v>#REF!</v>
      </c>
      <c r="H598" t="e">
        <f t="array" ref="H598">MEDIAN(IF([1]!Company_Data_China[Industry Group]=F598,[1]!Company_Data_China[EV/Sales],""))</f>
        <v>#REF!</v>
      </c>
      <c r="J598" s="143" t="s">
        <v>307</v>
      </c>
      <c r="K598" s="4" t="e">
        <f>AVERAGEIF([2]!Company_Data_Europe[Industry Group],J598,[2]!Company_Data_Europe[EV/Sales])</f>
        <v>#REF!</v>
      </c>
      <c r="L598" t="e">
        <f t="array" ref="L598">MEDIAN(IF([2]!Company_Data_Europe[Industry Group]=J598,[2]!Company_Data_Europe[EV/Sales],""))</f>
        <v>#REF!</v>
      </c>
      <c r="N598" s="143" t="s">
        <v>307</v>
      </c>
      <c r="O598" s="4" t="e">
        <f>AVERAGEIF([3]!Company_Data_India[Industry Group],N598,[3]!Company_Data_India[EV/Sales])</f>
        <v>#REF!</v>
      </c>
      <c r="P598" t="e">
        <f t="array" ref="P598">MEDIAN(IF([3]!Company_Data_India[Industry Group]=N598,[3]!Company_Data_India[EV/Sales],""))</f>
        <v>#REF!</v>
      </c>
    </row>
    <row r="599" spans="1:16">
      <c r="B599" t="s">
        <v>308</v>
      </c>
      <c r="C599">
        <v>1.4221207685980279</v>
      </c>
      <c r="D599">
        <v>1.1440280065253376</v>
      </c>
      <c r="F599" s="142" t="s">
        <v>308</v>
      </c>
      <c r="G599" s="4" t="e">
        <f t="array" ref="G599">AVERAGEIF([1]!Company_Data_China[Industry Group],F599,[1]!Company_Data_China[EV/Sales])</f>
        <v>#REF!</v>
      </c>
      <c r="H599" t="e">
        <f t="array" ref="H599">MEDIAN(IF([1]!Company_Data_China[Industry Group]=F599,[1]!Company_Data_China[EV/Sales],""))</f>
        <v>#REF!</v>
      </c>
      <c r="J599" s="142" t="s">
        <v>308</v>
      </c>
      <c r="K599" s="4" t="e">
        <f>AVERAGEIF([2]!Company_Data_Europe[Industry Group],J599,[2]!Company_Data_Europe[EV/Sales])</f>
        <v>#REF!</v>
      </c>
      <c r="L599" t="e">
        <f t="array" ref="L599">MEDIAN(IF([2]!Company_Data_Europe[Industry Group]=J599,[2]!Company_Data_Europe[EV/Sales],""))</f>
        <v>#REF!</v>
      </c>
      <c r="N599" s="142" t="s">
        <v>308</v>
      </c>
      <c r="O599" s="4" t="e">
        <f>AVERAGEIF([3]!Company_Data_India[Industry Group],N599,[3]!Company_Data_India[EV/Sales])</f>
        <v>#REF!</v>
      </c>
      <c r="P599" t="e">
        <f t="array" ref="P599">MEDIAN(IF([3]!Company_Data_India[Industry Group]=N599,[3]!Company_Data_India[EV/Sales],""))</f>
        <v>#REF!</v>
      </c>
    </row>
    <row r="600" spans="1:16">
      <c r="B600" t="s">
        <v>309</v>
      </c>
      <c r="C600">
        <v>2.5545225651862813</v>
      </c>
      <c r="D600">
        <v>1.4258524604571448</v>
      </c>
      <c r="F600" s="143" t="s">
        <v>309</v>
      </c>
      <c r="G600" s="4" t="e">
        <f t="array" ref="G600">AVERAGEIF([1]!Company_Data_China[Industry Group],F600,[1]!Company_Data_China[EV/Sales])</f>
        <v>#REF!</v>
      </c>
      <c r="H600" t="e">
        <f t="array" ref="H600">MEDIAN(IF([1]!Company_Data_China[Industry Group]=F600,[1]!Company_Data_China[EV/Sales],""))</f>
        <v>#REF!</v>
      </c>
      <c r="J600" s="143" t="s">
        <v>309</v>
      </c>
      <c r="K600" s="4" t="e">
        <f>AVERAGEIF([2]!Company_Data_Europe[Industry Group],J600,[2]!Company_Data_Europe[EV/Sales])</f>
        <v>#REF!</v>
      </c>
      <c r="L600" t="e">
        <f t="array" ref="L600">MEDIAN(IF([2]!Company_Data_Europe[Industry Group]=J600,[2]!Company_Data_Europe[EV/Sales],""))</f>
        <v>#REF!</v>
      </c>
      <c r="N600" s="143" t="s">
        <v>309</v>
      </c>
      <c r="O600" s="4" t="e">
        <f>AVERAGEIF([3]!Company_Data_India[Industry Group],N600,[3]!Company_Data_India[EV/Sales])</f>
        <v>#REF!</v>
      </c>
      <c r="P600" t="e">
        <f t="array" ref="P600">MEDIAN(IF([3]!Company_Data_India[Industry Group]=N600,[3]!Company_Data_India[EV/Sales],""))</f>
        <v>#REF!</v>
      </c>
    </row>
    <row r="601" spans="1:16">
      <c r="B601" t="s">
        <v>310</v>
      </c>
      <c r="C601">
        <v>36.349928575933909</v>
      </c>
      <c r="D601">
        <v>1.5719026548672568</v>
      </c>
      <c r="F601" s="142" t="s">
        <v>310</v>
      </c>
      <c r="G601" s="4" t="e">
        <f t="array" ref="G601">AVERAGEIF([1]!Company_Data_China[Industry Group],F601,[1]!Company_Data_China[EV/Sales])</f>
        <v>#REF!</v>
      </c>
      <c r="H601" t="e">
        <f t="array" ref="H601">MEDIAN(IF([1]!Company_Data_China[Industry Group]=F601,[1]!Company_Data_China[EV/Sales],""))</f>
        <v>#REF!</v>
      </c>
      <c r="J601" s="142" t="s">
        <v>310</v>
      </c>
      <c r="K601" s="4" t="e">
        <f>AVERAGEIF([2]!Company_Data_Europe[Industry Group],J601,[2]!Company_Data_Europe[EV/Sales])</f>
        <v>#REF!</v>
      </c>
      <c r="L601" t="e">
        <f t="array" ref="L601">MEDIAN(IF([2]!Company_Data_Europe[Industry Group]=J601,[2]!Company_Data_Europe[EV/Sales],""))</f>
        <v>#REF!</v>
      </c>
      <c r="N601" s="142" t="s">
        <v>310</v>
      </c>
      <c r="O601" s="4" t="e">
        <f>AVERAGEIF([3]!Company_Data_India[Industry Group],N601,[3]!Company_Data_India[EV/Sales])</f>
        <v>#REF!</v>
      </c>
      <c r="P601" t="e">
        <f t="array" ref="P601">MEDIAN(IF([3]!Company_Data_India[Industry Group]=N601,[3]!Company_Data_India[EV/Sales],""))</f>
        <v>#REF!</v>
      </c>
    </row>
    <row r="602" spans="1:16">
      <c r="B602" t="s">
        <v>311</v>
      </c>
      <c r="C602">
        <v>101.83157464208008</v>
      </c>
      <c r="D602">
        <v>1.0860825786413579</v>
      </c>
      <c r="F602" s="143" t="s">
        <v>311</v>
      </c>
      <c r="G602" s="4" t="e">
        <f t="array" ref="G602">AVERAGEIF([1]!Company_Data_China[Industry Group],F602,[1]!Company_Data_China[EV/Sales])</f>
        <v>#REF!</v>
      </c>
      <c r="H602" t="e">
        <f t="array" ref="H602">MEDIAN(IF([1]!Company_Data_China[Industry Group]=F602,[1]!Company_Data_China[EV/Sales],""))</f>
        <v>#REF!</v>
      </c>
      <c r="J602" s="143" t="s">
        <v>311</v>
      </c>
      <c r="K602" s="4" t="e">
        <f>AVERAGEIF([2]!Company_Data_Europe[Industry Group],J602,[2]!Company_Data_Europe[EV/Sales])</f>
        <v>#REF!</v>
      </c>
      <c r="L602" t="e">
        <f t="array" ref="L602">MEDIAN(IF([2]!Company_Data_Europe[Industry Group]=J602,[2]!Company_Data_Europe[EV/Sales],""))</f>
        <v>#REF!</v>
      </c>
      <c r="N602" s="143" t="s">
        <v>311</v>
      </c>
      <c r="O602" s="4" t="e">
        <f>AVERAGEIF([3]!Company_Data_India[Industry Group],N602,[3]!Company_Data_India[EV/Sales])</f>
        <v>#REF!</v>
      </c>
      <c r="P602" t="e">
        <f t="array" ref="P602">MEDIAN(IF([3]!Company_Data_India[Industry Group]=N602,[3]!Company_Data_India[EV/Sales],""))</f>
        <v>#REF!</v>
      </c>
    </row>
    <row r="603" spans="1:16">
      <c r="B603" t="s">
        <v>312</v>
      </c>
      <c r="C603">
        <v>4.34525583956228</v>
      </c>
      <c r="D603">
        <v>4.7268551186359788</v>
      </c>
      <c r="F603" s="142" t="s">
        <v>312</v>
      </c>
      <c r="G603" s="4" t="e">
        <f t="array" ref="G603">AVERAGEIF([1]!Company_Data_China[Industry Group],F603,[1]!Company_Data_China[EV/Sales])</f>
        <v>#REF!</v>
      </c>
      <c r="H603" t="e">
        <f t="array" ref="H603">MEDIAN(IF([1]!Company_Data_China[Industry Group]=F603,[1]!Company_Data_China[EV/Sales],""))</f>
        <v>#REF!</v>
      </c>
      <c r="J603" s="142" t="s">
        <v>312</v>
      </c>
      <c r="K603" s="4" t="e">
        <f>AVERAGEIF([2]!Company_Data_Europe[Industry Group],J603,[2]!Company_Data_Europe[EV/Sales])</f>
        <v>#REF!</v>
      </c>
      <c r="L603" t="e">
        <f t="array" ref="L603">MEDIAN(IF([2]!Company_Data_Europe[Industry Group]=J603,[2]!Company_Data_Europe[EV/Sales],""))</f>
        <v>#REF!</v>
      </c>
      <c r="N603" s="142" t="s">
        <v>312</v>
      </c>
      <c r="O603" s="4" t="e">
        <f>AVERAGEIF([3]!Company_Data_India[Industry Group],N603,[3]!Company_Data_India[EV/Sales])</f>
        <v>#REF!</v>
      </c>
      <c r="P603" t="e">
        <f t="array" ref="P603">MEDIAN(IF([3]!Company_Data_India[Industry Group]=N603,[3]!Company_Data_India[EV/Sales],""))</f>
        <v>#REF!</v>
      </c>
    </row>
    <row r="604" spans="1:16">
      <c r="B604" t="s">
        <v>313</v>
      </c>
      <c r="C604">
        <v>3.2739917488002832</v>
      </c>
      <c r="D604">
        <v>3.0903302466181697</v>
      </c>
      <c r="F604" s="143" t="s">
        <v>313</v>
      </c>
      <c r="G604" s="4" t="e">
        <f t="array" ref="G604">AVERAGEIF([1]!Company_Data_China[Industry Group],F604,[1]!Company_Data_China[EV/Sales])</f>
        <v>#REF!</v>
      </c>
      <c r="H604" t="e">
        <f t="array" ref="H604">MEDIAN(IF([1]!Company_Data_China[Industry Group]=F604,[1]!Company_Data_China[EV/Sales],""))</f>
        <v>#REF!</v>
      </c>
      <c r="J604" s="143" t="s">
        <v>313</v>
      </c>
      <c r="K604" s="4" t="e">
        <f>AVERAGEIF([2]!Company_Data_Europe[Industry Group],J604,[2]!Company_Data_Europe[EV/Sales])</f>
        <v>#REF!</v>
      </c>
      <c r="L604" t="e">
        <f t="array" ref="L604">MEDIAN(IF([2]!Company_Data_Europe[Industry Group]=J604,[2]!Company_Data_Europe[EV/Sales],""))</f>
        <v>#REF!</v>
      </c>
      <c r="N604" s="143" t="s">
        <v>313</v>
      </c>
      <c r="O604" s="4" t="e">
        <f>AVERAGEIF([3]!Company_Data_India[Industry Group],N604,[3]!Company_Data_India[EV/Sales])</f>
        <v>#REF!</v>
      </c>
      <c r="P604" t="e">
        <f t="array" ref="P604">MEDIAN(IF([3]!Company_Data_India[Industry Group]=N604,[3]!Company_Data_India[EV/Sales],""))</f>
        <v>#REF!</v>
      </c>
    </row>
    <row r="605" spans="1:16">
      <c r="B605" t="s">
        <v>314</v>
      </c>
      <c r="C605">
        <v>74.58113982134573</v>
      </c>
      <c r="D605">
        <v>3.2038281318840411</v>
      </c>
      <c r="F605" s="142" t="s">
        <v>314</v>
      </c>
      <c r="G605" s="4" t="e">
        <f t="array" ref="G605">AVERAGEIF([1]!Company_Data_China[Industry Group],F605,[1]!Company_Data_China[EV/Sales])</f>
        <v>#REF!</v>
      </c>
      <c r="H605" t="e">
        <f t="array" ref="H605">MEDIAN(IF([1]!Company_Data_China[Industry Group]=F605,[1]!Company_Data_China[EV/Sales],""))</f>
        <v>#REF!</v>
      </c>
      <c r="J605" s="142" t="s">
        <v>314</v>
      </c>
      <c r="K605" s="4" t="e">
        <f>AVERAGEIF([2]!Company_Data_Europe[Industry Group],J605,[2]!Company_Data_Europe[EV/Sales])</f>
        <v>#REF!</v>
      </c>
      <c r="L605" t="e">
        <f t="array" ref="L605">MEDIAN(IF([2]!Company_Data_Europe[Industry Group]=J605,[2]!Company_Data_Europe[EV/Sales],""))</f>
        <v>#REF!</v>
      </c>
      <c r="N605" s="142" t="s">
        <v>314</v>
      </c>
      <c r="O605" s="4" t="e">
        <f>AVERAGEIF([3]!Company_Data_India[Industry Group],N605,[3]!Company_Data_India[EV/Sales])</f>
        <v>#REF!</v>
      </c>
      <c r="P605" t="e">
        <f t="array" ref="P605">MEDIAN(IF([3]!Company_Data_India[Industry Group]=N605,[3]!Company_Data_India[EV/Sales],""))</f>
        <v>#REF!</v>
      </c>
    </row>
    <row r="606" spans="1:16">
      <c r="B606" t="s">
        <v>315</v>
      </c>
      <c r="C606">
        <v>29.483205031880761</v>
      </c>
      <c r="D606">
        <v>3.2536609971319503</v>
      </c>
      <c r="F606" s="143" t="s">
        <v>315</v>
      </c>
      <c r="G606" s="4" t="e">
        <f t="array" ref="G606">AVERAGEIF([1]!Company_Data_China[Industry Group],F606,[1]!Company_Data_China[EV/Sales])</f>
        <v>#REF!</v>
      </c>
      <c r="H606" t="e">
        <f t="array" ref="H606">MEDIAN(IF([1]!Company_Data_China[Industry Group]=F606,[1]!Company_Data_China[EV/Sales],""))</f>
        <v>#REF!</v>
      </c>
      <c r="J606" s="143" t="s">
        <v>315</v>
      </c>
      <c r="K606" s="4" t="e">
        <f>AVERAGEIF([2]!Company_Data_Europe[Industry Group],J606,[2]!Company_Data_Europe[EV/Sales])</f>
        <v>#REF!</v>
      </c>
      <c r="L606" t="e">
        <f t="array" ref="L606">MEDIAN(IF([2]!Company_Data_Europe[Industry Group]=J606,[2]!Company_Data_Europe[EV/Sales],""))</f>
        <v>#REF!</v>
      </c>
      <c r="N606" s="143" t="s">
        <v>315</v>
      </c>
      <c r="O606" s="4" t="e">
        <f>AVERAGEIF([3]!Company_Data_India[Industry Group],N606,[3]!Company_Data_India[EV/Sales])</f>
        <v>#REF!</v>
      </c>
      <c r="P606" t="e">
        <f t="array" ref="P606">MEDIAN(IF([3]!Company_Data_India[Industry Group]=N606,[3]!Company_Data_India[EV/Sales],""))</f>
        <v>#REF!</v>
      </c>
    </row>
    <row r="607" spans="1:16">
      <c r="B607" t="s">
        <v>316</v>
      </c>
      <c r="C607">
        <v>644.34519469609211</v>
      </c>
      <c r="D607">
        <v>23.056086975453255</v>
      </c>
      <c r="F607" s="142" t="s">
        <v>316</v>
      </c>
      <c r="G607" s="4" t="e">
        <f t="array" ref="G607">AVERAGEIF([1]!Company_Data_China[Industry Group],F607,[1]!Company_Data_China[EV/Sales])</f>
        <v>#REF!</v>
      </c>
      <c r="H607" t="e">
        <f t="array" ref="H607">MEDIAN(IF([1]!Company_Data_China[Industry Group]=F607,[1]!Company_Data_China[EV/Sales],""))</f>
        <v>#REF!</v>
      </c>
      <c r="J607" s="142" t="s">
        <v>316</v>
      </c>
      <c r="K607" s="4" t="e">
        <f>AVERAGEIF([2]!Company_Data_Europe[Industry Group],J607,[2]!Company_Data_Europe[EV/Sales])</f>
        <v>#REF!</v>
      </c>
      <c r="L607" t="e">
        <f t="array" ref="L607">MEDIAN(IF([2]!Company_Data_Europe[Industry Group]=J607,[2]!Company_Data_Europe[EV/Sales],""))</f>
        <v>#REF!</v>
      </c>
      <c r="N607" s="142" t="s">
        <v>316</v>
      </c>
      <c r="O607" s="4" t="e">
        <f>AVERAGEIF([3]!Company_Data_India[Industry Group],N607,[3]!Company_Data_India[EV/Sales])</f>
        <v>#REF!</v>
      </c>
      <c r="P607" t="e">
        <f t="array" ref="P607">MEDIAN(IF([3]!Company_Data_India[Industry Group]=N607,[3]!Company_Data_India[EV/Sales],""))</f>
        <v>#REF!</v>
      </c>
    </row>
    <row r="608" spans="1:16">
      <c r="B608" t="s">
        <v>317</v>
      </c>
      <c r="C608">
        <v>6.1152175312609245</v>
      </c>
      <c r="D608">
        <v>4.0267661826385623</v>
      </c>
      <c r="F608" s="143" t="s">
        <v>317</v>
      </c>
      <c r="G608" s="4" t="e">
        <f t="array" ref="G608">AVERAGEIF([1]!Company_Data_China[Industry Group],F608,[1]!Company_Data_China[EV/Sales])</f>
        <v>#REF!</v>
      </c>
      <c r="H608" t="e">
        <f t="array" ref="H608">MEDIAN(IF([1]!Company_Data_China[Industry Group]=F608,[1]!Company_Data_China[EV/Sales],""))</f>
        <v>#REF!</v>
      </c>
      <c r="J608" s="143" t="s">
        <v>317</v>
      </c>
      <c r="K608" s="4" t="e">
        <f>AVERAGEIF([2]!Company_Data_Europe[Industry Group],J608,[2]!Company_Data_Europe[EV/Sales])</f>
        <v>#REF!</v>
      </c>
      <c r="L608" t="e">
        <f t="array" ref="L608">MEDIAN(IF([2]!Company_Data_Europe[Industry Group]=J608,[2]!Company_Data_Europe[EV/Sales],""))</f>
        <v>#REF!</v>
      </c>
      <c r="N608" s="143" t="s">
        <v>317</v>
      </c>
      <c r="O608" s="4" t="e">
        <f>AVERAGEIF([3]!Company_Data_India[Industry Group],N608,[3]!Company_Data_India[EV/Sales])</f>
        <v>#REF!</v>
      </c>
      <c r="P608" t="e">
        <f t="array" ref="P608">MEDIAN(IF([3]!Company_Data_India[Industry Group]=N608,[3]!Company_Data_India[EV/Sales],""))</f>
        <v>#REF!</v>
      </c>
    </row>
    <row r="609" spans="2:16">
      <c r="B609" t="s">
        <v>318</v>
      </c>
      <c r="C609">
        <v>2.9498440528353647</v>
      </c>
      <c r="D609">
        <v>1.5920906758805624</v>
      </c>
      <c r="F609" s="142" t="s">
        <v>318</v>
      </c>
      <c r="G609" s="4" t="e">
        <f t="array" ref="G609">AVERAGEIF([1]!Company_Data_China[Industry Group],F609,[1]!Company_Data_China[EV/Sales])</f>
        <v>#REF!</v>
      </c>
      <c r="H609" t="e">
        <f t="array" ref="H609">MEDIAN(IF([1]!Company_Data_China[Industry Group]=F609,[1]!Company_Data_China[EV/Sales],""))</f>
        <v>#REF!</v>
      </c>
      <c r="J609" s="142" t="s">
        <v>318</v>
      </c>
      <c r="K609" s="4" t="e">
        <f>AVERAGEIF([2]!Company_Data_Europe[Industry Group],J609,[2]!Company_Data_Europe[EV/Sales])</f>
        <v>#REF!</v>
      </c>
      <c r="L609" t="e">
        <f t="array" ref="L609">MEDIAN(IF([2]!Company_Data_Europe[Industry Group]=J609,[2]!Company_Data_Europe[EV/Sales],""))</f>
        <v>#REF!</v>
      </c>
      <c r="N609" s="142" t="s">
        <v>318</v>
      </c>
      <c r="O609" s="4" t="e">
        <f>AVERAGEIF([3]!Company_Data_India[Industry Group],N609,[3]!Company_Data_India[EV/Sales])</f>
        <v>#REF!</v>
      </c>
      <c r="P609" t="e">
        <f t="array" ref="P609">MEDIAN(IF([3]!Company_Data_India[Industry Group]=N609,[3]!Company_Data_India[EV/Sales],""))</f>
        <v>#REF!</v>
      </c>
    </row>
    <row r="610" spans="2:16">
      <c r="B610" t="s">
        <v>319</v>
      </c>
      <c r="C610">
        <v>26.329247080563775</v>
      </c>
      <c r="D610">
        <v>1.4058629124977187</v>
      </c>
      <c r="F610" s="143" t="s">
        <v>319</v>
      </c>
      <c r="G610" s="4" t="e">
        <f t="array" ref="G610">AVERAGEIF([1]!Company_Data_China[Industry Group],F610,[1]!Company_Data_China[EV/Sales])</f>
        <v>#REF!</v>
      </c>
      <c r="H610" t="e">
        <f t="array" ref="H610">MEDIAN(IF([1]!Company_Data_China[Industry Group]=F610,[1]!Company_Data_China[EV/Sales],""))</f>
        <v>#REF!</v>
      </c>
      <c r="J610" s="143" t="s">
        <v>319</v>
      </c>
      <c r="K610" s="4" t="e">
        <f>AVERAGEIF([2]!Company_Data_Europe[Industry Group],J610,[2]!Company_Data_Europe[EV/Sales])</f>
        <v>#REF!</v>
      </c>
      <c r="L610" t="e">
        <f t="array" ref="L610">MEDIAN(IF([2]!Company_Data_Europe[Industry Group]=J610,[2]!Company_Data_Europe[EV/Sales],""))</f>
        <v>#REF!</v>
      </c>
      <c r="N610" s="143" t="s">
        <v>319</v>
      </c>
      <c r="O610" s="4" t="e">
        <f>AVERAGEIF([3]!Company_Data_India[Industry Group],N610,[3]!Company_Data_India[EV/Sales])</f>
        <v>#REF!</v>
      </c>
      <c r="P610" t="e">
        <f t="array" ref="P610">MEDIAN(IF([3]!Company_Data_India[Industry Group]=N610,[3]!Company_Data_India[EV/Sales],""))</f>
        <v>#REF!</v>
      </c>
    </row>
    <row r="611" spans="2:16">
      <c r="B611" t="s">
        <v>320</v>
      </c>
      <c r="C611">
        <v>147.64205558709878</v>
      </c>
      <c r="D611">
        <v>1.5510835913312695</v>
      </c>
      <c r="F611" s="142" t="s">
        <v>320</v>
      </c>
      <c r="G611" s="4" t="e">
        <f t="array" ref="G611">AVERAGEIF([1]!Company_Data_China[Industry Group],F611,[1]!Company_Data_China[EV/Sales])</f>
        <v>#REF!</v>
      </c>
      <c r="H611" t="e">
        <f t="array" ref="H611">MEDIAN(IF([1]!Company_Data_China[Industry Group]=F611,[1]!Company_Data_China[EV/Sales],""))</f>
        <v>#REF!</v>
      </c>
      <c r="J611" s="142" t="s">
        <v>320</v>
      </c>
      <c r="K611" s="4" t="e">
        <f>AVERAGEIF([2]!Company_Data_Europe[Industry Group],J611,[2]!Company_Data_Europe[EV/Sales])</f>
        <v>#REF!</v>
      </c>
      <c r="L611" t="e">
        <f t="array" ref="L611">MEDIAN(IF([2]!Company_Data_Europe[Industry Group]=J611,[2]!Company_Data_Europe[EV/Sales],""))</f>
        <v>#REF!</v>
      </c>
      <c r="N611" s="142" t="s">
        <v>320</v>
      </c>
      <c r="O611" s="4" t="e">
        <f>AVERAGEIF([3]!Company_Data_India[Industry Group],N611,[3]!Company_Data_India[EV/Sales])</f>
        <v>#REF!</v>
      </c>
      <c r="P611" t="e">
        <f t="array" ref="P611">MEDIAN(IF([3]!Company_Data_India[Industry Group]=N611,[3]!Company_Data_India[EV/Sales],""))</f>
        <v>#REF!</v>
      </c>
    </row>
    <row r="612" spans="2:16">
      <c r="B612" t="s">
        <v>321</v>
      </c>
      <c r="C612">
        <v>5.1489840641498779</v>
      </c>
      <c r="D612">
        <v>2.9345334907645269</v>
      </c>
      <c r="F612" s="143" t="s">
        <v>321</v>
      </c>
      <c r="G612" s="4" t="e">
        <f t="array" ref="G612">AVERAGEIF([1]!Company_Data_China[Industry Group],F612,[1]!Company_Data_China[EV/Sales])</f>
        <v>#REF!</v>
      </c>
      <c r="H612" t="e">
        <f t="array" ref="H612">MEDIAN(IF([1]!Company_Data_China[Industry Group]=F612,[1]!Company_Data_China[EV/Sales],""))</f>
        <v>#REF!</v>
      </c>
      <c r="J612" s="143" t="s">
        <v>321</v>
      </c>
      <c r="K612" s="4" t="e">
        <f>AVERAGEIF([2]!Company_Data_Europe[Industry Group],J612,[2]!Company_Data_Europe[EV/Sales])</f>
        <v>#REF!</v>
      </c>
      <c r="L612" t="e">
        <f t="array" ref="L612">MEDIAN(IF([2]!Company_Data_Europe[Industry Group]=J612,[2]!Company_Data_Europe[EV/Sales],""))</f>
        <v>#REF!</v>
      </c>
      <c r="N612" s="143" t="s">
        <v>321</v>
      </c>
      <c r="O612" s="4" t="e">
        <f>AVERAGEIF([3]!Company_Data_India[Industry Group],N612,[3]!Company_Data_India[EV/Sales])</f>
        <v>#REF!</v>
      </c>
      <c r="P612" t="e">
        <f t="array" ref="P612">MEDIAN(IF([3]!Company_Data_India[Industry Group]=N612,[3]!Company_Data_India[EV/Sales],""))</f>
        <v>#REF!</v>
      </c>
    </row>
    <row r="613" spans="2:16">
      <c r="B613" t="s">
        <v>322</v>
      </c>
      <c r="C613">
        <v>17.050190670256239</v>
      </c>
      <c r="D613">
        <v>1.9424400406532811</v>
      </c>
      <c r="F613" s="142" t="s">
        <v>322</v>
      </c>
      <c r="G613" s="4" t="e">
        <f t="array" ref="G613">AVERAGEIF([1]!Company_Data_China[Industry Group],F613,[1]!Company_Data_China[EV/Sales])</f>
        <v>#REF!</v>
      </c>
      <c r="H613" t="e">
        <f t="array" ref="H613">MEDIAN(IF([1]!Company_Data_China[Industry Group]=F613,[1]!Company_Data_China[EV/Sales],""))</f>
        <v>#REF!</v>
      </c>
      <c r="J613" s="142" t="s">
        <v>322</v>
      </c>
      <c r="K613" s="4" t="e">
        <f>AVERAGEIF([2]!Company_Data_Europe[Industry Group],J613,[2]!Company_Data_Europe[EV/Sales])</f>
        <v>#REF!</v>
      </c>
      <c r="L613" t="e">
        <f t="array" ref="L613">MEDIAN(IF([2]!Company_Data_Europe[Industry Group]=J613,[2]!Company_Data_Europe[EV/Sales],""))</f>
        <v>#REF!</v>
      </c>
      <c r="N613" s="142" t="s">
        <v>322</v>
      </c>
      <c r="O613" s="4" t="e">
        <f>AVERAGEIF([3]!Company_Data_India[Industry Group],N613,[3]!Company_Data_India[EV/Sales])</f>
        <v>#REF!</v>
      </c>
      <c r="P613" t="e">
        <f t="array" ref="P613">MEDIAN(IF([3]!Company_Data_India[Industry Group]=N613,[3]!Company_Data_India[EV/Sales],""))</f>
        <v>#REF!</v>
      </c>
    </row>
    <row r="614" spans="2:16">
      <c r="B614" t="s">
        <v>323</v>
      </c>
      <c r="C614">
        <v>2.530138395607592</v>
      </c>
      <c r="D614">
        <v>1.6650619259181105</v>
      </c>
      <c r="F614" s="143" t="s">
        <v>323</v>
      </c>
      <c r="G614" s="4" t="e">
        <f t="array" ref="G614">AVERAGEIF([1]!Company_Data_China[Industry Group],F614,[1]!Company_Data_China[EV/Sales])</f>
        <v>#REF!</v>
      </c>
      <c r="H614" t="e">
        <f t="array" ref="H614">MEDIAN(IF([1]!Company_Data_China[Industry Group]=F614,[1]!Company_Data_China[EV/Sales],""))</f>
        <v>#REF!</v>
      </c>
      <c r="J614" s="143" t="s">
        <v>323</v>
      </c>
      <c r="K614" s="4" t="e">
        <f>AVERAGEIF([2]!Company_Data_Europe[Industry Group],J614,[2]!Company_Data_Europe[EV/Sales])</f>
        <v>#REF!</v>
      </c>
      <c r="L614" t="e">
        <f t="array" ref="L614">MEDIAN(IF([2]!Company_Data_Europe[Industry Group]=J614,[2]!Company_Data_Europe[EV/Sales],""))</f>
        <v>#REF!</v>
      </c>
      <c r="N614" s="143" t="s">
        <v>323</v>
      </c>
      <c r="O614" s="4" t="e">
        <f>AVERAGEIF([3]!Company_Data_India[Industry Group],N614,[3]!Company_Data_India[EV/Sales])</f>
        <v>#REF!</v>
      </c>
      <c r="P614" t="e">
        <f t="array" ref="P614">MEDIAN(IF([3]!Company_Data_India[Industry Group]=N614,[3]!Company_Data_India[EV/Sales],""))</f>
        <v>#REF!</v>
      </c>
    </row>
    <row r="615" spans="2:16">
      <c r="B615" t="s">
        <v>324</v>
      </c>
      <c r="C615">
        <v>52.305304278613356</v>
      </c>
      <c r="D615">
        <v>1.9591328430641646</v>
      </c>
      <c r="F615" s="142" t="s">
        <v>324</v>
      </c>
      <c r="G615" s="4" t="e">
        <f t="array" ref="G615">AVERAGEIF([1]!Company_Data_China[Industry Group],F615,[1]!Company_Data_China[EV/Sales])</f>
        <v>#REF!</v>
      </c>
      <c r="H615" t="e">
        <f t="array" ref="H615">MEDIAN(IF([1]!Company_Data_China[Industry Group]=F615,[1]!Company_Data_China[EV/Sales],""))</f>
        <v>#REF!</v>
      </c>
      <c r="J615" s="142" t="s">
        <v>324</v>
      </c>
      <c r="K615" s="4" t="e">
        <f>AVERAGEIF([2]!Company_Data_Europe[Industry Group],J615,[2]!Company_Data_Europe[EV/Sales])</f>
        <v>#REF!</v>
      </c>
      <c r="L615" t="e">
        <f t="array" ref="L615">MEDIAN(IF([2]!Company_Data_Europe[Industry Group]=J615,[2]!Company_Data_Europe[EV/Sales],""))</f>
        <v>#REF!</v>
      </c>
      <c r="N615" s="142" t="s">
        <v>324</v>
      </c>
      <c r="O615" s="4" t="e">
        <f>AVERAGEIF([3]!Company_Data_India[Industry Group],N615,[3]!Company_Data_India[EV/Sales])</f>
        <v>#REF!</v>
      </c>
      <c r="P615" t="e">
        <f t="array" ref="P615">MEDIAN(IF([3]!Company_Data_India[Industry Group]=N615,[3]!Company_Data_India[EV/Sales],""))</f>
        <v>#REF!</v>
      </c>
    </row>
    <row r="616" spans="2:16">
      <c r="B616" t="s">
        <v>325</v>
      </c>
      <c r="C616">
        <v>207.70937332143131</v>
      </c>
      <c r="D616">
        <v>1.7382039573820396</v>
      </c>
      <c r="F616" s="143" t="s">
        <v>325</v>
      </c>
      <c r="G616" s="4" t="e">
        <f t="array" ref="G616">AVERAGEIF([1]!Company_Data_China[Industry Group],F616,[1]!Company_Data_China[EV/Sales])</f>
        <v>#REF!</v>
      </c>
      <c r="H616" t="e">
        <f t="array" ref="H616">MEDIAN(IF([1]!Company_Data_China[Industry Group]=F616,[1]!Company_Data_China[EV/Sales],""))</f>
        <v>#REF!</v>
      </c>
      <c r="J616" s="143" t="s">
        <v>325</v>
      </c>
      <c r="K616" s="4" t="e">
        <f>AVERAGEIF([2]!Company_Data_Europe[Industry Group],J616,[2]!Company_Data_Europe[EV/Sales])</f>
        <v>#REF!</v>
      </c>
      <c r="L616" t="e">
        <f t="array" ref="L616">MEDIAN(IF([2]!Company_Data_Europe[Industry Group]=J616,[2]!Company_Data_Europe[EV/Sales],""))</f>
        <v>#REF!</v>
      </c>
      <c r="N616" s="143" t="s">
        <v>325</v>
      </c>
      <c r="O616" s="4" t="e">
        <f>AVERAGEIF([3]!Company_Data_India[Industry Group],N616,[3]!Company_Data_India[EV/Sales])</f>
        <v>#REF!</v>
      </c>
      <c r="P616" t="e">
        <f t="array" ref="P616">MEDIAN(IF([3]!Company_Data_India[Industry Group]=N616,[3]!Company_Data_India[EV/Sales],""))</f>
        <v>#REF!</v>
      </c>
    </row>
    <row r="617" spans="2:16">
      <c r="B617" t="s">
        <v>326</v>
      </c>
      <c r="C617">
        <v>5.0644213019731827</v>
      </c>
      <c r="D617">
        <v>0.68179800006495628</v>
      </c>
      <c r="F617" s="142" t="s">
        <v>326</v>
      </c>
      <c r="G617" s="4" t="e">
        <f t="array" ref="G617">AVERAGEIF([1]!Company_Data_China[Industry Group],F617,[1]!Company_Data_China[EV/Sales])</f>
        <v>#REF!</v>
      </c>
      <c r="H617" t="e">
        <f t="array" ref="H617">MEDIAN(IF([1]!Company_Data_China[Industry Group]=F617,[1]!Company_Data_China[EV/Sales],""))</f>
        <v>#REF!</v>
      </c>
      <c r="J617" s="142" t="s">
        <v>326</v>
      </c>
      <c r="K617" s="4" t="e">
        <f>AVERAGEIF([2]!Company_Data_Europe[Industry Group],J617,[2]!Company_Data_Europe[EV/Sales])</f>
        <v>#REF!</v>
      </c>
      <c r="L617" t="e">
        <f t="array" ref="L617">MEDIAN(IF([2]!Company_Data_Europe[Industry Group]=J617,[2]!Company_Data_Europe[EV/Sales],""))</f>
        <v>#REF!</v>
      </c>
      <c r="N617" s="142" t="s">
        <v>326</v>
      </c>
      <c r="O617" s="4" t="e">
        <f>AVERAGEIF([3]!Company_Data_India[Industry Group],N617,[3]!Company_Data_India[EV/Sales])</f>
        <v>#REF!</v>
      </c>
      <c r="P617" t="e">
        <f t="array" ref="P617">MEDIAN(IF([3]!Company_Data_India[Industry Group]=N617,[3]!Company_Data_India[EV/Sales],""))</f>
        <v>#REF!</v>
      </c>
    </row>
    <row r="618" spans="2:16">
      <c r="B618" t="s">
        <v>327</v>
      </c>
      <c r="C618">
        <v>133.55169652090237</v>
      </c>
      <c r="D618">
        <v>3.9350197118915724</v>
      </c>
      <c r="F618" s="143" t="s">
        <v>327</v>
      </c>
      <c r="G618" s="4" t="e">
        <f t="array" ref="G618">AVERAGEIF([1]!Company_Data_China[Industry Group],F618,[1]!Company_Data_China[EV/Sales])</f>
        <v>#REF!</v>
      </c>
      <c r="H618" t="e">
        <f t="array" ref="H618">MEDIAN(IF([1]!Company_Data_China[Industry Group]=F618,[1]!Company_Data_China[EV/Sales],""))</f>
        <v>#REF!</v>
      </c>
      <c r="J618" s="143" t="s">
        <v>327</v>
      </c>
      <c r="K618" s="4" t="e">
        <f>AVERAGEIF([2]!Company_Data_Europe[Industry Group],J618,[2]!Company_Data_Europe[EV/Sales])</f>
        <v>#REF!</v>
      </c>
      <c r="L618" t="e">
        <f t="array" ref="L618">MEDIAN(IF([2]!Company_Data_Europe[Industry Group]=J618,[2]!Company_Data_Europe[EV/Sales],""))</f>
        <v>#REF!</v>
      </c>
      <c r="N618" s="143" t="s">
        <v>327</v>
      </c>
      <c r="O618" s="4" t="e">
        <f>AVERAGEIF([3]!Company_Data_India[Industry Group],N618,[3]!Company_Data_India[EV/Sales])</f>
        <v>#REF!</v>
      </c>
      <c r="P618" t="e">
        <f t="array" ref="P618">MEDIAN(IF([3]!Company_Data_India[Industry Group]=N618,[3]!Company_Data_India[EV/Sales],""))</f>
        <v>#REF!</v>
      </c>
    </row>
    <row r="619" spans="2:16">
      <c r="B619" t="s">
        <v>328</v>
      </c>
      <c r="C619">
        <v>4.8161353385176646</v>
      </c>
      <c r="D619">
        <v>1.2469978112871971</v>
      </c>
      <c r="F619" s="142" t="s">
        <v>328</v>
      </c>
      <c r="G619" s="4" t="e">
        <f t="array" ref="G619">AVERAGEIF([1]!Company_Data_China[Industry Group],F619,[1]!Company_Data_China[EV/Sales])</f>
        <v>#REF!</v>
      </c>
      <c r="H619" t="e">
        <f t="array" ref="H619">MEDIAN(IF([1]!Company_Data_China[Industry Group]=F619,[1]!Company_Data_China[EV/Sales],""))</f>
        <v>#REF!</v>
      </c>
      <c r="J619" s="142" t="s">
        <v>328</v>
      </c>
      <c r="K619" s="4" t="e">
        <f>AVERAGEIF([2]!Company_Data_Europe[Industry Group],J619,[2]!Company_Data_Europe[EV/Sales])</f>
        <v>#REF!</v>
      </c>
      <c r="L619" t="e">
        <f t="array" ref="L619">MEDIAN(IF([2]!Company_Data_Europe[Industry Group]=J619,[2]!Company_Data_Europe[EV/Sales],""))</f>
        <v>#REF!</v>
      </c>
      <c r="N619" s="142" t="s">
        <v>328</v>
      </c>
      <c r="O619" s="4" t="e">
        <f>AVERAGEIF([3]!Company_Data_India[Industry Group],N619,[3]!Company_Data_India[EV/Sales])</f>
        <v>#REF!</v>
      </c>
      <c r="P619" t="e">
        <f t="array" ref="P619">MEDIAN(IF([3]!Company_Data_India[Industry Group]=N619,[3]!Company_Data_India[EV/Sales],""))</f>
        <v>#REF!</v>
      </c>
    </row>
    <row r="620" spans="2:16">
      <c r="B620" t="s">
        <v>329</v>
      </c>
      <c r="C620">
        <v>2.8236580245581937</v>
      </c>
      <c r="D620">
        <v>2.6344176389052558</v>
      </c>
      <c r="F620" s="143" t="s">
        <v>329</v>
      </c>
      <c r="G620" s="4" t="e">
        <f t="array" ref="G620">AVERAGEIF([1]!Company_Data_China[Industry Group],F620,[1]!Company_Data_China[EV/Sales])</f>
        <v>#REF!</v>
      </c>
      <c r="H620" t="e">
        <f t="array" ref="H620">MEDIAN(IF([1]!Company_Data_China[Industry Group]=F620,[1]!Company_Data_China[EV/Sales],""))</f>
        <v>#REF!</v>
      </c>
      <c r="J620" s="143" t="s">
        <v>329</v>
      </c>
      <c r="K620" s="4" t="e">
        <f>AVERAGEIF([2]!Company_Data_Europe[Industry Group],J620,[2]!Company_Data_Europe[EV/Sales])</f>
        <v>#REF!</v>
      </c>
      <c r="L620" t="e">
        <f t="array" ref="L620">MEDIAN(IF([2]!Company_Data_Europe[Industry Group]=J620,[2]!Company_Data_Europe[EV/Sales],""))</f>
        <v>#REF!</v>
      </c>
      <c r="N620" s="143" t="s">
        <v>329</v>
      </c>
      <c r="O620" s="4" t="e">
        <f>AVERAGEIF([3]!Company_Data_India[Industry Group],N620,[3]!Company_Data_India[EV/Sales])</f>
        <v>#REF!</v>
      </c>
      <c r="P620" t="e">
        <f t="array" ref="P620">MEDIAN(IF([3]!Company_Data_India[Industry Group]=N620,[3]!Company_Data_India[EV/Sales],""))</f>
        <v>#REF!</v>
      </c>
    </row>
    <row r="621" spans="2:16">
      <c r="B621" t="s">
        <v>330</v>
      </c>
      <c r="C621">
        <v>30.510409625330016</v>
      </c>
      <c r="D621">
        <v>3.2565952418136135</v>
      </c>
      <c r="F621" s="142" t="s">
        <v>330</v>
      </c>
      <c r="G621" s="4" t="e">
        <f t="array" ref="G621">AVERAGEIF([1]!Company_Data_China[Industry Group],F621,[1]!Company_Data_China[EV/Sales])</f>
        <v>#REF!</v>
      </c>
      <c r="H621" t="e">
        <f t="array" ref="H621">MEDIAN(IF([1]!Company_Data_China[Industry Group]=F621,[1]!Company_Data_China[EV/Sales],""))</f>
        <v>#REF!</v>
      </c>
      <c r="J621" s="142" t="s">
        <v>330</v>
      </c>
      <c r="K621" s="4" t="e">
        <f>AVERAGEIF([2]!Company_Data_Europe[Industry Group],J621,[2]!Company_Data_Europe[EV/Sales])</f>
        <v>#REF!</v>
      </c>
      <c r="L621" t="e">
        <f t="array" ref="L621">MEDIAN(IF([2]!Company_Data_Europe[Industry Group]=J621,[2]!Company_Data_Europe[EV/Sales],""))</f>
        <v>#REF!</v>
      </c>
      <c r="N621" s="142" t="s">
        <v>330</v>
      </c>
      <c r="O621" s="4" t="e">
        <f>AVERAGEIF([3]!Company_Data_India[Industry Group],N621,[3]!Company_Data_India[EV/Sales])</f>
        <v>#REF!</v>
      </c>
      <c r="P621" t="e">
        <f t="array" ref="P621">MEDIAN(IF([3]!Company_Data_India[Industry Group]=N621,[3]!Company_Data_India[EV/Sales],""))</f>
        <v>#REF!</v>
      </c>
    </row>
    <row r="622" spans="2:16">
      <c r="B622" t="s">
        <v>331</v>
      </c>
      <c r="C622">
        <v>1.5916357118355478</v>
      </c>
      <c r="D622">
        <v>1.1993755113049236</v>
      </c>
      <c r="F622" s="143" t="s">
        <v>331</v>
      </c>
      <c r="G622" s="4" t="e">
        <f t="array" ref="G622">AVERAGEIF([1]!Company_Data_China[Industry Group],F622,[1]!Company_Data_China[EV/Sales])</f>
        <v>#REF!</v>
      </c>
      <c r="H622" t="e">
        <f t="array" ref="H622">MEDIAN(IF([1]!Company_Data_China[Industry Group]=F622,[1]!Company_Data_China[EV/Sales],""))</f>
        <v>#REF!</v>
      </c>
      <c r="J622" s="143" t="s">
        <v>331</v>
      </c>
      <c r="K622" s="4" t="e">
        <f>AVERAGEIF([2]!Company_Data_Europe[Industry Group],J622,[2]!Company_Data_Europe[EV/Sales])</f>
        <v>#REF!</v>
      </c>
      <c r="L622" t="e">
        <f t="array" ref="L622">MEDIAN(IF([2]!Company_Data_Europe[Industry Group]=J622,[2]!Company_Data_Europe[EV/Sales],""))</f>
        <v>#REF!</v>
      </c>
      <c r="N622" s="143" t="s">
        <v>331</v>
      </c>
      <c r="O622" s="4" t="e">
        <f>AVERAGEIF([3]!Company_Data_India[Industry Group],N622,[3]!Company_Data_India[EV/Sales])</f>
        <v>#REF!</v>
      </c>
      <c r="P622" t="e">
        <f t="array" ref="P622">MEDIAN(IF([3]!Company_Data_India[Industry Group]=N622,[3]!Company_Data_India[EV/Sales],""))</f>
        <v>#REF!</v>
      </c>
    </row>
    <row r="623" spans="2:16">
      <c r="B623" t="s">
        <v>332</v>
      </c>
      <c r="C623">
        <v>66.918038771296168</v>
      </c>
      <c r="D623">
        <v>1.9008746355685133</v>
      </c>
      <c r="F623" s="142" t="s">
        <v>332</v>
      </c>
      <c r="G623" s="4" t="e">
        <f t="array" ref="G623">AVERAGEIF([1]!Company_Data_China[Industry Group],F623,[1]!Company_Data_China[EV/Sales])</f>
        <v>#REF!</v>
      </c>
      <c r="H623" t="e">
        <f t="array" ref="H623">MEDIAN(IF([1]!Company_Data_China[Industry Group]=F623,[1]!Company_Data_China[EV/Sales],""))</f>
        <v>#REF!</v>
      </c>
      <c r="J623" s="142" t="s">
        <v>332</v>
      </c>
      <c r="K623" s="4" t="e">
        <f>AVERAGEIF([2]!Company_Data_Europe[Industry Group],J623,[2]!Company_Data_Europe[EV/Sales])</f>
        <v>#REF!</v>
      </c>
      <c r="L623" t="e">
        <f t="array" ref="L623">MEDIAN(IF([2]!Company_Data_Europe[Industry Group]=J623,[2]!Company_Data_Europe[EV/Sales],""))</f>
        <v>#REF!</v>
      </c>
      <c r="N623" s="142" t="s">
        <v>332</v>
      </c>
      <c r="O623" s="4" t="e">
        <f>AVERAGEIF([3]!Company_Data_India[Industry Group],N623,[3]!Company_Data_India[EV/Sales])</f>
        <v>#REF!</v>
      </c>
      <c r="P623" t="e">
        <f t="array" ref="P623">MEDIAN(IF([3]!Company_Data_India[Industry Group]=N623,[3]!Company_Data_India[EV/Sales],""))</f>
        <v>#REF!</v>
      </c>
    </row>
    <row r="624" spans="2:16">
      <c r="B624" t="s">
        <v>333</v>
      </c>
      <c r="C624">
        <v>24.137629932528899</v>
      </c>
      <c r="D624">
        <v>1.4801553154133087</v>
      </c>
      <c r="F624" s="143" t="s">
        <v>333</v>
      </c>
      <c r="G624" s="4" t="e">
        <f t="array" ref="G624">AVERAGEIF([1]!Company_Data_China[Industry Group],F624,[1]!Company_Data_China[EV/Sales])</f>
        <v>#REF!</v>
      </c>
      <c r="H624" t="e">
        <f t="array" ref="H624">MEDIAN(IF([1]!Company_Data_China[Industry Group]=F624,[1]!Company_Data_China[EV/Sales],""))</f>
        <v>#REF!</v>
      </c>
      <c r="J624" s="143" t="s">
        <v>333</v>
      </c>
      <c r="K624" s="4" t="e">
        <f>AVERAGEIF([2]!Company_Data_Europe[Industry Group],J624,[2]!Company_Data_Europe[EV/Sales])</f>
        <v>#REF!</v>
      </c>
      <c r="L624" t="e">
        <f t="array" ref="L624">MEDIAN(IF([2]!Company_Data_Europe[Industry Group]=J624,[2]!Company_Data_Europe[EV/Sales],""))</f>
        <v>#REF!</v>
      </c>
      <c r="N624" s="143" t="s">
        <v>333</v>
      </c>
      <c r="O624" s="4" t="e">
        <f>AVERAGEIF([3]!Company_Data_India[Industry Group],N624,[3]!Company_Data_India[EV/Sales])</f>
        <v>#REF!</v>
      </c>
      <c r="P624" t="e">
        <f t="array" ref="P624">MEDIAN(IF([3]!Company_Data_India[Industry Group]=N624,[3]!Company_Data_India[EV/Sales],""))</f>
        <v>#REF!</v>
      </c>
    </row>
    <row r="625" spans="2:16">
      <c r="B625" t="s">
        <v>334</v>
      </c>
      <c r="C625">
        <v>2.8525613721876377</v>
      </c>
      <c r="D625">
        <v>0.97503724406601255</v>
      </c>
      <c r="F625" s="142" t="s">
        <v>334</v>
      </c>
      <c r="G625" s="4" t="e">
        <f t="array" ref="G625">AVERAGEIF([1]!Company_Data_China[Industry Group],F625,[1]!Company_Data_China[EV/Sales])</f>
        <v>#REF!</v>
      </c>
      <c r="H625" t="e">
        <f t="array" ref="H625">MEDIAN(IF([1]!Company_Data_China[Industry Group]=F625,[1]!Company_Data_China[EV/Sales],""))</f>
        <v>#REF!</v>
      </c>
      <c r="J625" s="142" t="s">
        <v>334</v>
      </c>
      <c r="K625" s="4" t="e">
        <f>AVERAGEIF([2]!Company_Data_Europe[Industry Group],J625,[2]!Company_Data_Europe[EV/Sales])</f>
        <v>#REF!</v>
      </c>
      <c r="L625" t="e">
        <f t="array" ref="L625">MEDIAN(IF([2]!Company_Data_Europe[Industry Group]=J625,[2]!Company_Data_Europe[EV/Sales],""))</f>
        <v>#REF!</v>
      </c>
      <c r="N625" s="142" t="s">
        <v>334</v>
      </c>
      <c r="O625" s="4" t="e">
        <f>AVERAGEIF([3]!Company_Data_India[Industry Group],N625,[3]!Company_Data_India[EV/Sales])</f>
        <v>#REF!</v>
      </c>
      <c r="P625" t="e">
        <f t="array" ref="P625">MEDIAN(IF([3]!Company_Data_India[Industry Group]=N625,[3]!Company_Data_India[EV/Sales],""))</f>
        <v>#REF!</v>
      </c>
    </row>
    <row r="626" spans="2:16">
      <c r="B626" t="s">
        <v>335</v>
      </c>
      <c r="C626">
        <v>2.6236857765849768</v>
      </c>
      <c r="D626">
        <v>0.69802700409408369</v>
      </c>
      <c r="F626" s="143" t="s">
        <v>335</v>
      </c>
      <c r="G626" s="4" t="e">
        <f t="array" ref="G626">AVERAGEIF([1]!Company_Data_China[Industry Group],F626,[1]!Company_Data_China[EV/Sales])</f>
        <v>#REF!</v>
      </c>
      <c r="H626" t="e">
        <f t="array" ref="H626">MEDIAN(IF([1]!Company_Data_China[Industry Group]=F626,[1]!Company_Data_China[EV/Sales],""))</f>
        <v>#REF!</v>
      </c>
      <c r="J626" s="143" t="s">
        <v>335</v>
      </c>
      <c r="K626" s="4" t="e">
        <f>AVERAGEIF([2]!Company_Data_Europe[Industry Group],J626,[2]!Company_Data_Europe[EV/Sales])</f>
        <v>#REF!</v>
      </c>
      <c r="L626" t="e">
        <f t="array" ref="L626">MEDIAN(IF([2]!Company_Data_Europe[Industry Group]=J626,[2]!Company_Data_Europe[EV/Sales],""))</f>
        <v>#REF!</v>
      </c>
      <c r="N626" s="143" t="s">
        <v>335</v>
      </c>
      <c r="O626" s="4" t="e">
        <f>AVERAGEIF([3]!Company_Data_India[Industry Group],N626,[3]!Company_Data_India[EV/Sales])</f>
        <v>#REF!</v>
      </c>
      <c r="P626" t="e">
        <f t="array" ref="P626">MEDIAN(IF([3]!Company_Data_India[Industry Group]=N626,[3]!Company_Data_India[EV/Sales],""))</f>
        <v>#REF!</v>
      </c>
    </row>
    <row r="627" spans="2:16">
      <c r="B627" t="s">
        <v>336</v>
      </c>
      <c r="C627">
        <v>48.620912380377654</v>
      </c>
      <c r="D627">
        <v>2.960708568111162</v>
      </c>
      <c r="F627" s="142" t="s">
        <v>336</v>
      </c>
      <c r="G627" s="4" t="e">
        <f t="array" ref="G627">AVERAGEIF([1]!Company_Data_China[Industry Group],F627,[1]!Company_Data_China[EV/Sales])</f>
        <v>#REF!</v>
      </c>
      <c r="H627" t="e">
        <f t="array" ref="H627">MEDIAN(IF([1]!Company_Data_China[Industry Group]=F627,[1]!Company_Data_China[EV/Sales],""))</f>
        <v>#REF!</v>
      </c>
      <c r="J627" s="142" t="s">
        <v>336</v>
      </c>
      <c r="K627" s="4" t="e">
        <f>AVERAGEIF([2]!Company_Data_Europe[Industry Group],J627,[2]!Company_Data_Europe[EV/Sales])</f>
        <v>#REF!</v>
      </c>
      <c r="L627" t="e">
        <f t="array" ref="L627">MEDIAN(IF([2]!Company_Data_Europe[Industry Group]=J627,[2]!Company_Data_Europe[EV/Sales],""))</f>
        <v>#REF!</v>
      </c>
      <c r="N627" s="142" t="s">
        <v>336</v>
      </c>
      <c r="O627" s="4" t="e">
        <f>AVERAGEIF([3]!Company_Data_India[Industry Group],N627,[3]!Company_Data_India[EV/Sales])</f>
        <v>#REF!</v>
      </c>
      <c r="P627" t="e">
        <f t="array" ref="P627">MEDIAN(IF([3]!Company_Data_India[Industry Group]=N627,[3]!Company_Data_India[EV/Sales],""))</f>
        <v>#REF!</v>
      </c>
    </row>
    <row r="628" spans="2:16">
      <c r="B628" t="s">
        <v>337</v>
      </c>
      <c r="C628">
        <v>24.02951822728815</v>
      </c>
      <c r="D628">
        <v>2.3456088397531962</v>
      </c>
      <c r="F628" s="143" t="s">
        <v>337</v>
      </c>
      <c r="G628" s="4" t="e">
        <f t="array" ref="G628">AVERAGEIF([1]!Company_Data_China[Industry Group],F628,[1]!Company_Data_China[EV/Sales])</f>
        <v>#REF!</v>
      </c>
      <c r="H628" t="e">
        <f t="array" ref="H628">MEDIAN(IF([1]!Company_Data_China[Industry Group]=F628,[1]!Company_Data_China[EV/Sales],""))</f>
        <v>#REF!</v>
      </c>
      <c r="J628" s="143" t="s">
        <v>337</v>
      </c>
      <c r="K628" s="4" t="e">
        <f>AVERAGEIF([2]!Company_Data_Europe[Industry Group],J628,[2]!Company_Data_Europe[EV/Sales])</f>
        <v>#REF!</v>
      </c>
      <c r="L628" t="e">
        <f t="array" ref="L628">MEDIAN(IF([2]!Company_Data_Europe[Industry Group]=J628,[2]!Company_Data_Europe[EV/Sales],""))</f>
        <v>#REF!</v>
      </c>
      <c r="N628" s="143" t="s">
        <v>337</v>
      </c>
      <c r="O628" s="4" t="e">
        <f>AVERAGEIF([3]!Company_Data_India[Industry Group],N628,[3]!Company_Data_India[EV/Sales])</f>
        <v>#REF!</v>
      </c>
      <c r="P628" t="e">
        <f t="array" ref="P628">MEDIAN(IF([3]!Company_Data_India[Industry Group]=N628,[3]!Company_Data_India[EV/Sales],""))</f>
        <v>#REF!</v>
      </c>
    </row>
    <row r="629" spans="2:16">
      <c r="B629" t="s">
        <v>338</v>
      </c>
      <c r="C629">
        <v>6.1260264886681837</v>
      </c>
      <c r="D629">
        <v>3.3230186945233755</v>
      </c>
      <c r="F629" s="142" t="s">
        <v>338</v>
      </c>
      <c r="G629" s="4" t="e">
        <f t="array" ref="G629">AVERAGEIF([1]!Company_Data_China[Industry Group],F629,[1]!Company_Data_China[EV/Sales])</f>
        <v>#REF!</v>
      </c>
      <c r="H629" t="e">
        <f t="array" ref="H629">MEDIAN(IF([1]!Company_Data_China[Industry Group]=F629,[1]!Company_Data_China[EV/Sales],""))</f>
        <v>#REF!</v>
      </c>
      <c r="J629" s="142" t="s">
        <v>338</v>
      </c>
      <c r="K629" s="4" t="e">
        <f>AVERAGEIF([2]!Company_Data_Europe[Industry Group],J629,[2]!Company_Data_Europe[EV/Sales])</f>
        <v>#REF!</v>
      </c>
      <c r="L629" t="e">
        <f t="array" ref="L629">MEDIAN(IF([2]!Company_Data_Europe[Industry Group]=J629,[2]!Company_Data_Europe[EV/Sales],""))</f>
        <v>#REF!</v>
      </c>
      <c r="N629" s="142" t="s">
        <v>338</v>
      </c>
      <c r="O629" s="4" t="e">
        <f>AVERAGEIF([3]!Company_Data_India[Industry Group],N629,[3]!Company_Data_India[EV/Sales])</f>
        <v>#REF!</v>
      </c>
      <c r="P629" t="e">
        <f t="array" ref="P629">MEDIAN(IF([3]!Company_Data_India[Industry Group]=N629,[3]!Company_Data_India[EV/Sales],""))</f>
        <v>#REF!</v>
      </c>
    </row>
    <row r="630" spans="2:16">
      <c r="B630" t="s">
        <v>339</v>
      </c>
      <c r="C630">
        <v>7.9795847189383666</v>
      </c>
      <c r="D630">
        <v>4.273016236964633</v>
      </c>
      <c r="F630" s="143" t="s">
        <v>339</v>
      </c>
      <c r="G630" s="4" t="e">
        <f t="array" ref="G630">AVERAGEIF([1]!Company_Data_China[Industry Group],F630,[1]!Company_Data_China[EV/Sales])</f>
        <v>#REF!</v>
      </c>
      <c r="H630" t="e">
        <f t="array" ref="H630">MEDIAN(IF([1]!Company_Data_China[Industry Group]=F630,[1]!Company_Data_China[EV/Sales],""))</f>
        <v>#REF!</v>
      </c>
      <c r="J630" s="143" t="s">
        <v>339</v>
      </c>
      <c r="K630" s="4" t="e">
        <f>AVERAGEIF([2]!Company_Data_Europe[Industry Group],J630,[2]!Company_Data_Europe[EV/Sales])</f>
        <v>#REF!</v>
      </c>
      <c r="L630" t="e">
        <f t="array" ref="L630">MEDIAN(IF([2]!Company_Data_Europe[Industry Group]=J630,[2]!Company_Data_Europe[EV/Sales],""))</f>
        <v>#REF!</v>
      </c>
      <c r="N630" s="143" t="s">
        <v>339</v>
      </c>
      <c r="O630" s="4" t="e">
        <f>AVERAGEIF([3]!Company_Data_India[Industry Group],N630,[3]!Company_Data_India[EV/Sales])</f>
        <v>#REF!</v>
      </c>
      <c r="P630" t="e">
        <f t="array" ref="P630">MEDIAN(IF([3]!Company_Data_India[Industry Group]=N630,[3]!Company_Data_India[EV/Sales],""))</f>
        <v>#REF!</v>
      </c>
    </row>
    <row r="631" spans="2:16">
      <c r="B631" t="s">
        <v>340</v>
      </c>
      <c r="C631">
        <v>8.4651463231618056</v>
      </c>
      <c r="D631">
        <v>8.8359591339144643</v>
      </c>
      <c r="F631" s="142" t="s">
        <v>340</v>
      </c>
      <c r="G631" s="4" t="e">
        <f t="array" ref="G631">AVERAGEIF([1]!Company_Data_China[Industry Group],F631,[1]!Company_Data_China[EV/Sales])</f>
        <v>#REF!</v>
      </c>
      <c r="H631" t="e">
        <f t="array" ref="H631">MEDIAN(IF([1]!Company_Data_China[Industry Group]=F631,[1]!Company_Data_China[EV/Sales],""))</f>
        <v>#REF!</v>
      </c>
      <c r="J631" s="142" t="s">
        <v>340</v>
      </c>
      <c r="K631" s="4" t="e">
        <f>AVERAGEIF([2]!Company_Data_Europe[Industry Group],J631,[2]!Company_Data_Europe[EV/Sales])</f>
        <v>#REF!</v>
      </c>
      <c r="L631" t="e">
        <f t="array" ref="L631">MEDIAN(IF([2]!Company_Data_Europe[Industry Group]=J631,[2]!Company_Data_Europe[EV/Sales],""))</f>
        <v>#REF!</v>
      </c>
      <c r="N631" s="142" t="s">
        <v>340</v>
      </c>
      <c r="O631" s="4" t="e">
        <f>AVERAGEIF([3]!Company_Data_India[Industry Group],N631,[3]!Company_Data_India[EV/Sales])</f>
        <v>#REF!</v>
      </c>
      <c r="P631" t="e">
        <f t="array" ref="P631">MEDIAN(IF([3]!Company_Data_India[Industry Group]=N631,[3]!Company_Data_India[EV/Sales],""))</f>
        <v>#REF!</v>
      </c>
    </row>
    <row r="632" spans="2:16">
      <c r="B632" t="s">
        <v>341</v>
      </c>
      <c r="C632">
        <v>71.875363769330988</v>
      </c>
      <c r="D632">
        <v>1.8882504987153279</v>
      </c>
      <c r="F632" s="143" t="s">
        <v>341</v>
      </c>
      <c r="G632" s="4" t="e">
        <f t="array" ref="G632">AVERAGEIF([1]!Company_Data_China[Industry Group],F632,[1]!Company_Data_China[EV/Sales])</f>
        <v>#REF!</v>
      </c>
      <c r="H632" t="e">
        <f t="array" ref="H632">MEDIAN(IF([1]!Company_Data_China[Industry Group]=F632,[1]!Company_Data_China[EV/Sales],""))</f>
        <v>#REF!</v>
      </c>
      <c r="J632" s="143" t="s">
        <v>341</v>
      </c>
      <c r="K632" s="4" t="e">
        <f>AVERAGEIF([2]!Company_Data_Europe[Industry Group],J632,[2]!Company_Data_Europe[EV/Sales])</f>
        <v>#REF!</v>
      </c>
      <c r="L632" t="e">
        <f t="array" ref="L632">MEDIAN(IF([2]!Company_Data_Europe[Industry Group]=J632,[2]!Company_Data_Europe[EV/Sales],""))</f>
        <v>#REF!</v>
      </c>
      <c r="N632" s="143" t="s">
        <v>341</v>
      </c>
      <c r="O632" s="4" t="e">
        <f>AVERAGEIF([3]!Company_Data_India[Industry Group],N632,[3]!Company_Data_India[EV/Sales])</f>
        <v>#REF!</v>
      </c>
      <c r="P632" t="e">
        <f t="array" ref="P632">MEDIAN(IF([3]!Company_Data_India[Industry Group]=N632,[3]!Company_Data_India[EV/Sales],""))</f>
        <v>#REF!</v>
      </c>
    </row>
    <row r="633" spans="2:16">
      <c r="B633" t="s">
        <v>342</v>
      </c>
      <c r="C633">
        <v>3.0632403916678408</v>
      </c>
      <c r="D633">
        <v>0.62088616683944942</v>
      </c>
      <c r="F633" s="142" t="s">
        <v>342</v>
      </c>
      <c r="G633" s="4" t="e">
        <f t="array" ref="G633">AVERAGEIF([1]!Company_Data_China[Industry Group],F633,[1]!Company_Data_China[EV/Sales])</f>
        <v>#REF!</v>
      </c>
      <c r="H633" t="e">
        <f t="array" ref="H633">MEDIAN(IF([1]!Company_Data_China[Industry Group]=F633,[1]!Company_Data_China[EV/Sales],""))</f>
        <v>#REF!</v>
      </c>
      <c r="J633" s="142" t="s">
        <v>342</v>
      </c>
      <c r="K633" s="4" t="e">
        <f>AVERAGEIF([2]!Company_Data_Europe[Industry Group],J633,[2]!Company_Data_Europe[EV/Sales])</f>
        <v>#REF!</v>
      </c>
      <c r="L633" t="e">
        <f t="array" ref="L633">MEDIAN(IF([2]!Company_Data_Europe[Industry Group]=J633,[2]!Company_Data_Europe[EV/Sales],""))</f>
        <v>#REF!</v>
      </c>
      <c r="N633" s="142" t="s">
        <v>342</v>
      </c>
      <c r="O633" s="4" t="e">
        <f>AVERAGEIF([3]!Company_Data_India[Industry Group],N633,[3]!Company_Data_India[EV/Sales])</f>
        <v>#REF!</v>
      </c>
      <c r="P633" t="e">
        <f t="array" ref="P633">MEDIAN(IF([3]!Company_Data_India[Industry Group]=N633,[3]!Company_Data_India[EV/Sales],""))</f>
        <v>#REF!</v>
      </c>
    </row>
    <row r="634" spans="2:16">
      <c r="B634" t="s">
        <v>343</v>
      </c>
      <c r="C634">
        <v>6.1585747045555834</v>
      </c>
      <c r="D634">
        <v>0.93642943333808626</v>
      </c>
      <c r="F634" s="143" t="s">
        <v>343</v>
      </c>
      <c r="G634" s="4" t="e">
        <f t="array" ref="G634">AVERAGEIF([1]!Company_Data_China[Industry Group],F634,[1]!Company_Data_China[EV/Sales])</f>
        <v>#REF!</v>
      </c>
      <c r="H634" t="e">
        <f t="array" ref="H634">MEDIAN(IF([1]!Company_Data_China[Industry Group]=F634,[1]!Company_Data_China[EV/Sales],""))</f>
        <v>#REF!</v>
      </c>
      <c r="J634" s="143" t="s">
        <v>343</v>
      </c>
      <c r="K634" s="4" t="e">
        <f>AVERAGEIF([2]!Company_Data_Europe[Industry Group],J634,[2]!Company_Data_Europe[EV/Sales])</f>
        <v>#REF!</v>
      </c>
      <c r="L634" t="e">
        <f t="array" ref="L634">MEDIAN(IF([2]!Company_Data_Europe[Industry Group]=J634,[2]!Company_Data_Europe[EV/Sales],""))</f>
        <v>#REF!</v>
      </c>
      <c r="N634" s="143" t="s">
        <v>343</v>
      </c>
      <c r="O634" s="4" t="e">
        <f>AVERAGEIF([3]!Company_Data_India[Industry Group],N634,[3]!Company_Data_India[EV/Sales])</f>
        <v>#REF!</v>
      </c>
      <c r="P634" t="e">
        <f t="array" ref="P634">MEDIAN(IF([3]!Company_Data_India[Industry Group]=N634,[3]!Company_Data_India[EV/Sales],""))</f>
        <v>#REF!</v>
      </c>
    </row>
    <row r="635" spans="2:16">
      <c r="B635" t="s">
        <v>344</v>
      </c>
      <c r="C635">
        <v>58.338386880257808</v>
      </c>
      <c r="D635">
        <v>3.4048132992600189</v>
      </c>
      <c r="F635" s="142" t="s">
        <v>344</v>
      </c>
      <c r="G635" s="4" t="e">
        <f t="array" ref="G635">AVERAGEIF([1]!Company_Data_China[Industry Group],F635,[1]!Company_Data_China[EV/Sales])</f>
        <v>#REF!</v>
      </c>
      <c r="H635" t="e">
        <f t="array" ref="H635">MEDIAN(IF([1]!Company_Data_China[Industry Group]=F635,[1]!Company_Data_China[EV/Sales],""))</f>
        <v>#REF!</v>
      </c>
      <c r="J635" s="142" t="s">
        <v>344</v>
      </c>
      <c r="K635" s="4" t="e">
        <f>AVERAGEIF([2]!Company_Data_Europe[Industry Group],J635,[2]!Company_Data_Europe[EV/Sales])</f>
        <v>#REF!</v>
      </c>
      <c r="L635" t="e">
        <f t="array" ref="L635">MEDIAN(IF([2]!Company_Data_Europe[Industry Group]=J635,[2]!Company_Data_Europe[EV/Sales],""))</f>
        <v>#REF!</v>
      </c>
      <c r="N635" s="142" t="s">
        <v>344</v>
      </c>
      <c r="O635" s="4" t="e">
        <f>AVERAGEIF([3]!Company_Data_India[Industry Group],N635,[3]!Company_Data_India[EV/Sales])</f>
        <v>#REF!</v>
      </c>
      <c r="P635" t="e">
        <f t="array" ref="P635">MEDIAN(IF([3]!Company_Data_India[Industry Group]=N635,[3]!Company_Data_India[EV/Sales],""))</f>
        <v>#REF!</v>
      </c>
    </row>
    <row r="636" spans="2:16">
      <c r="B636" t="s">
        <v>345</v>
      </c>
      <c r="C636">
        <v>2.0965410782341944</v>
      </c>
      <c r="D636">
        <v>1.4753199713995655</v>
      </c>
      <c r="F636" s="143" t="s">
        <v>345</v>
      </c>
      <c r="G636" s="4" t="e">
        <f t="array" ref="G636">AVERAGEIF([1]!Company_Data_China[Industry Group],F636,[1]!Company_Data_China[EV/Sales])</f>
        <v>#REF!</v>
      </c>
      <c r="H636" t="e">
        <f t="array" ref="H636">MEDIAN(IF([1]!Company_Data_China[Industry Group]=F636,[1]!Company_Data_China[EV/Sales],""))</f>
        <v>#REF!</v>
      </c>
      <c r="J636" s="143" t="s">
        <v>345</v>
      </c>
      <c r="K636" s="4" t="e">
        <f>AVERAGEIF([2]!Company_Data_Europe[Industry Group],J636,[2]!Company_Data_Europe[EV/Sales])</f>
        <v>#REF!</v>
      </c>
      <c r="L636" t="e">
        <f t="array" ref="L636">MEDIAN(IF([2]!Company_Data_Europe[Industry Group]=J636,[2]!Company_Data_Europe[EV/Sales],""))</f>
        <v>#REF!</v>
      </c>
      <c r="N636" s="143" t="s">
        <v>345</v>
      </c>
      <c r="O636" s="4" t="e">
        <f>AVERAGEIF([3]!Company_Data_India[Industry Group],N636,[3]!Company_Data_India[EV/Sales])</f>
        <v>#REF!</v>
      </c>
      <c r="P636" t="e">
        <f t="array" ref="P636">MEDIAN(IF([3]!Company_Data_India[Industry Group]=N636,[3]!Company_Data_India[EV/Sales],""))</f>
        <v>#REF!</v>
      </c>
    </row>
    <row r="637" spans="2:16">
      <c r="B637" t="s">
        <v>346</v>
      </c>
      <c r="C637">
        <v>79.133026512004676</v>
      </c>
      <c r="D637">
        <v>3.8571114165852336</v>
      </c>
      <c r="F637" s="142" t="s">
        <v>346</v>
      </c>
      <c r="G637" s="4" t="e">
        <f t="array" ref="G637">AVERAGEIF([1]!Company_Data_China[Industry Group],F637,[1]!Company_Data_China[EV/Sales])</f>
        <v>#REF!</v>
      </c>
      <c r="H637" t="e">
        <f t="array" ref="H637">MEDIAN(IF([1]!Company_Data_China[Industry Group]=F637,[1]!Company_Data_China[EV/Sales],""))</f>
        <v>#REF!</v>
      </c>
      <c r="J637" s="142" t="s">
        <v>346</v>
      </c>
      <c r="K637" s="4" t="e">
        <f>AVERAGEIF([2]!Company_Data_Europe[Industry Group],J637,[2]!Company_Data_Europe[EV/Sales])</f>
        <v>#REF!</v>
      </c>
      <c r="L637" t="e">
        <f t="array" ref="L637">MEDIAN(IF([2]!Company_Data_Europe[Industry Group]=J637,[2]!Company_Data_Europe[EV/Sales],""))</f>
        <v>#REF!</v>
      </c>
      <c r="N637" s="142" t="s">
        <v>346</v>
      </c>
      <c r="O637" s="4" t="e">
        <f>AVERAGEIF([3]!Company_Data_India[Industry Group],N637,[3]!Company_Data_India[EV/Sales])</f>
        <v>#REF!</v>
      </c>
      <c r="P637" t="e">
        <f t="array" ref="P637">MEDIAN(IF([3]!Company_Data_India[Industry Group]=N637,[3]!Company_Data_India[EV/Sales],""))</f>
        <v>#REF!</v>
      </c>
    </row>
    <row r="638" spans="2:16">
      <c r="B638" t="s">
        <v>347</v>
      </c>
      <c r="C638">
        <v>6.8307058192874957</v>
      </c>
      <c r="D638">
        <v>1.0581334257269004</v>
      </c>
      <c r="F638" s="143" t="s">
        <v>347</v>
      </c>
      <c r="G638" s="4" t="e">
        <f t="array" ref="G638">AVERAGEIF([1]!Company_Data_China[Industry Group],F638,[1]!Company_Data_China[EV/Sales])</f>
        <v>#REF!</v>
      </c>
      <c r="H638" t="e">
        <f t="array" ref="H638">MEDIAN(IF([1]!Company_Data_China[Industry Group]=F638,[1]!Company_Data_China[EV/Sales],""))</f>
        <v>#REF!</v>
      </c>
      <c r="J638" s="143" t="s">
        <v>347</v>
      </c>
      <c r="K638" s="4" t="e">
        <f>AVERAGEIF([2]!Company_Data_Europe[Industry Group],J638,[2]!Company_Data_Europe[EV/Sales])</f>
        <v>#REF!</v>
      </c>
      <c r="L638" t="e">
        <f t="array" ref="L638">MEDIAN(IF([2]!Company_Data_Europe[Industry Group]=J638,[2]!Company_Data_Europe[EV/Sales],""))</f>
        <v>#REF!</v>
      </c>
      <c r="N638" s="143" t="s">
        <v>347</v>
      </c>
      <c r="O638" s="4" t="e">
        <f>AVERAGEIF([3]!Company_Data_India[Industry Group],N638,[3]!Company_Data_India[EV/Sales])</f>
        <v>#REF!</v>
      </c>
      <c r="P638" t="e">
        <f t="array" ref="P638">MEDIAN(IF([3]!Company_Data_India[Industry Group]=N638,[3]!Company_Data_India[EV/Sales],""))</f>
        <v>#REF!</v>
      </c>
    </row>
    <row r="639" spans="2:16">
      <c r="B639" t="s">
        <v>348</v>
      </c>
      <c r="C639">
        <v>132.78778079276276</v>
      </c>
      <c r="D639">
        <v>3.6887234255871792</v>
      </c>
      <c r="F639" s="142" t="s">
        <v>348</v>
      </c>
      <c r="G639" s="4" t="e">
        <f t="array" ref="G639">AVERAGEIF([1]!Company_Data_China[Industry Group],F639,[1]!Company_Data_China[EV/Sales])</f>
        <v>#REF!</v>
      </c>
      <c r="H639" t="e">
        <f t="array" ref="H639">MEDIAN(IF([1]!Company_Data_China[Industry Group]=F639,[1]!Company_Data_China[EV/Sales],""))</f>
        <v>#REF!</v>
      </c>
      <c r="J639" s="142" t="s">
        <v>348</v>
      </c>
      <c r="K639" s="4" t="e">
        <f>AVERAGEIF([2]!Company_Data_Europe[Industry Group],J639,[2]!Company_Data_Europe[EV/Sales])</f>
        <v>#REF!</v>
      </c>
      <c r="L639" t="e">
        <f t="array" ref="L639">MEDIAN(IF([2]!Company_Data_Europe[Industry Group]=J639,[2]!Company_Data_Europe[EV/Sales],""))</f>
        <v>#REF!</v>
      </c>
      <c r="N639" s="142" t="s">
        <v>348</v>
      </c>
      <c r="O639" s="4" t="e">
        <f>AVERAGEIF([3]!Company_Data_India[Industry Group],N639,[3]!Company_Data_India[EV/Sales])</f>
        <v>#REF!</v>
      </c>
      <c r="P639" t="e">
        <f t="array" ref="P639">MEDIAN(IF([3]!Company_Data_India[Industry Group]=N639,[3]!Company_Data_India[EV/Sales],""))</f>
        <v>#REF!</v>
      </c>
    </row>
    <row r="640" spans="2:16">
      <c r="B640" t="s">
        <v>349</v>
      </c>
      <c r="C640">
        <v>9.0475025665360373</v>
      </c>
      <c r="D640">
        <v>1.3179828386986481</v>
      </c>
      <c r="F640" s="143" t="s">
        <v>349</v>
      </c>
      <c r="G640" s="4" t="e">
        <f t="array" ref="G640">AVERAGEIF([1]!Company_Data_China[Industry Group],F640,[1]!Company_Data_China[EV/Sales])</f>
        <v>#REF!</v>
      </c>
      <c r="H640" t="e">
        <f t="array" ref="H640">MEDIAN(IF([1]!Company_Data_China[Industry Group]=F640,[1]!Company_Data_China[EV/Sales],""))</f>
        <v>#REF!</v>
      </c>
      <c r="J640" s="143" t="s">
        <v>349</v>
      </c>
      <c r="K640" s="4" t="e">
        <f>AVERAGEIF([2]!Company_Data_Europe[Industry Group],J640,[2]!Company_Data_Europe[EV/Sales])</f>
        <v>#REF!</v>
      </c>
      <c r="L640" t="e">
        <f t="array" ref="L640">MEDIAN(IF([2]!Company_Data_Europe[Industry Group]=J640,[2]!Company_Data_Europe[EV/Sales],""))</f>
        <v>#REF!</v>
      </c>
      <c r="N640" s="143" t="s">
        <v>349</v>
      </c>
      <c r="O640" s="4" t="e">
        <f>AVERAGEIF([3]!Company_Data_India[Industry Group],N640,[3]!Company_Data_India[EV/Sales])</f>
        <v>#REF!</v>
      </c>
      <c r="P640" t="e">
        <f t="array" ref="P640">MEDIAN(IF([3]!Company_Data_India[Industry Group]=N640,[3]!Company_Data_India[EV/Sales],""))</f>
        <v>#REF!</v>
      </c>
    </row>
    <row r="641" spans="2:16">
      <c r="B641" t="s">
        <v>350</v>
      </c>
      <c r="C641">
        <v>2.320535769400029</v>
      </c>
      <c r="D641">
        <v>1.8172170557215792</v>
      </c>
      <c r="F641" s="142" t="s">
        <v>350</v>
      </c>
      <c r="G641" s="4" t="e">
        <f t="array" ref="G641">AVERAGEIF([1]!Company_Data_China[Industry Group],F641,[1]!Company_Data_China[EV/Sales])</f>
        <v>#REF!</v>
      </c>
      <c r="H641" t="e">
        <f t="array" ref="H641">MEDIAN(IF([1]!Company_Data_China[Industry Group]=F641,[1]!Company_Data_China[EV/Sales],""))</f>
        <v>#REF!</v>
      </c>
      <c r="J641" s="142" t="s">
        <v>350</v>
      </c>
      <c r="K641" s="4" t="e">
        <f>AVERAGEIF([2]!Company_Data_Europe[Industry Group],J641,[2]!Company_Data_Europe[EV/Sales])</f>
        <v>#REF!</v>
      </c>
      <c r="L641" t="e">
        <f t="array" ref="L641">MEDIAN(IF([2]!Company_Data_Europe[Industry Group]=J641,[2]!Company_Data_Europe[EV/Sales],""))</f>
        <v>#REF!</v>
      </c>
      <c r="N641" s="142" t="s">
        <v>350</v>
      </c>
      <c r="O641" s="4" t="e">
        <f>AVERAGEIF([3]!Company_Data_India[Industry Group],N641,[3]!Company_Data_India[EV/Sales])</f>
        <v>#REF!</v>
      </c>
      <c r="P641" t="e">
        <f t="array" ref="P641">MEDIAN(IF([3]!Company_Data_India[Industry Group]=N641,[3]!Company_Data_India[EV/Sales],""))</f>
        <v>#REF!</v>
      </c>
    </row>
    <row r="642" spans="2:16">
      <c r="B642" t="s">
        <v>351</v>
      </c>
      <c r="C642">
        <v>5.4781739181206683</v>
      </c>
      <c r="D642">
        <v>2.5689472557492286</v>
      </c>
      <c r="F642" s="143" t="s">
        <v>351</v>
      </c>
      <c r="G642" s="4" t="e">
        <f t="array" ref="G642">AVERAGEIF([1]!Company_Data_China[Industry Group],F642,[1]!Company_Data_China[EV/Sales])</f>
        <v>#REF!</v>
      </c>
      <c r="H642" t="e">
        <f t="array" ref="H642">MEDIAN(IF([1]!Company_Data_China[Industry Group]=F642,[1]!Company_Data_China[EV/Sales],""))</f>
        <v>#REF!</v>
      </c>
      <c r="J642" s="143" t="s">
        <v>351</v>
      </c>
      <c r="K642" s="4" t="e">
        <f>AVERAGEIF([2]!Company_Data_Europe[Industry Group],J642,[2]!Company_Data_Europe[EV/Sales])</f>
        <v>#REF!</v>
      </c>
      <c r="L642" t="e">
        <f t="array" ref="L642">MEDIAN(IF([2]!Company_Data_Europe[Industry Group]=J642,[2]!Company_Data_Europe[EV/Sales],""))</f>
        <v>#REF!</v>
      </c>
      <c r="N642" s="143" t="s">
        <v>351</v>
      </c>
      <c r="O642" s="4" t="e">
        <f>AVERAGEIF([3]!Company_Data_India[Industry Group],N642,[3]!Company_Data_India[EV/Sales])</f>
        <v>#REF!</v>
      </c>
      <c r="P642" t="e">
        <f t="array" ref="P642">MEDIAN(IF([3]!Company_Data_India[Industry Group]=N642,[3]!Company_Data_India[EV/Sales],""))</f>
        <v>#REF!</v>
      </c>
    </row>
    <row r="643" spans="2:16">
      <c r="B643" t="s">
        <v>352</v>
      </c>
      <c r="C643">
        <v>147.53139692582391</v>
      </c>
      <c r="D643">
        <v>1.7298837957260764</v>
      </c>
      <c r="F643" s="142" t="s">
        <v>352</v>
      </c>
      <c r="G643" s="4" t="e">
        <f t="array" ref="G643">AVERAGEIF([1]!Company_Data_China[Industry Group],F643,[1]!Company_Data_China[EV/Sales])</f>
        <v>#REF!</v>
      </c>
      <c r="H643" t="e">
        <f t="array" ref="H643">MEDIAN(IF([1]!Company_Data_China[Industry Group]=F643,[1]!Company_Data_China[EV/Sales],""))</f>
        <v>#REF!</v>
      </c>
      <c r="J643" s="142" t="s">
        <v>352</v>
      </c>
      <c r="K643" s="4" t="e">
        <f>AVERAGEIF([2]!Company_Data_Europe[Industry Group],J643,[2]!Company_Data_Europe[EV/Sales])</f>
        <v>#REF!</v>
      </c>
      <c r="L643" t="e">
        <f t="array" ref="L643">MEDIAN(IF([2]!Company_Data_Europe[Industry Group]=J643,[2]!Company_Data_Europe[EV/Sales],""))</f>
        <v>#REF!</v>
      </c>
      <c r="N643" s="142" t="s">
        <v>352</v>
      </c>
      <c r="O643" s="4" t="e">
        <f>AVERAGEIF([3]!Company_Data_India[Industry Group],N643,[3]!Company_Data_India[EV/Sales])</f>
        <v>#REF!</v>
      </c>
      <c r="P643" t="e">
        <f t="array" ref="P643">MEDIAN(IF([3]!Company_Data_India[Industry Group]=N643,[3]!Company_Data_India[EV/Sales],""))</f>
        <v>#REF!</v>
      </c>
    </row>
    <row r="644" spans="2:16">
      <c r="B644" t="s">
        <v>353</v>
      </c>
      <c r="C644">
        <v>78.922262056378344</v>
      </c>
      <c r="D644">
        <v>2.4239576173388406</v>
      </c>
      <c r="F644" s="143" t="s">
        <v>353</v>
      </c>
      <c r="G644" s="4" t="e">
        <f t="array" ref="G644">AVERAGEIF([1]!Company_Data_China[Industry Group],F644,[1]!Company_Data_China[EV/Sales])</f>
        <v>#REF!</v>
      </c>
      <c r="H644" t="e">
        <f t="array" ref="H644">MEDIAN(IF([1]!Company_Data_China[Industry Group]=F644,[1]!Company_Data_China[EV/Sales],""))</f>
        <v>#REF!</v>
      </c>
      <c r="J644" s="143" t="s">
        <v>353</v>
      </c>
      <c r="K644" s="4" t="e">
        <f>AVERAGEIF([2]!Company_Data_Europe[Industry Group],J644,[2]!Company_Data_Europe[EV/Sales])</f>
        <v>#REF!</v>
      </c>
      <c r="L644" t="e">
        <f t="array" ref="L644">MEDIAN(IF([2]!Company_Data_Europe[Industry Group]=J644,[2]!Company_Data_Europe[EV/Sales],""))</f>
        <v>#REF!</v>
      </c>
      <c r="N644" s="143" t="s">
        <v>353</v>
      </c>
      <c r="O644" s="4" t="e">
        <f>AVERAGEIF([3]!Company_Data_India[Industry Group],N644,[3]!Company_Data_India[EV/Sales])</f>
        <v>#REF!</v>
      </c>
      <c r="P644" t="e">
        <f t="array" ref="P644">MEDIAN(IF([3]!Company_Data_India[Industry Group]=N644,[3]!Company_Data_India[EV/Sales],""))</f>
        <v>#REF!</v>
      </c>
    </row>
    <row r="645" spans="2:16">
      <c r="B645" t="s">
        <v>354</v>
      </c>
      <c r="C645">
        <v>1.5958136210687919</v>
      </c>
      <c r="D645">
        <v>1.0525689636186792</v>
      </c>
      <c r="F645" s="142" t="s">
        <v>354</v>
      </c>
      <c r="G645" s="4" t="e">
        <f t="array" ref="G645">AVERAGEIF([1]!Company_Data_China[Industry Group],F645,[1]!Company_Data_China[EV/Sales])</f>
        <v>#REF!</v>
      </c>
      <c r="H645" t="e">
        <f t="array" ref="H645">MEDIAN(IF([1]!Company_Data_China[Industry Group]=F645,[1]!Company_Data_China[EV/Sales],""))</f>
        <v>#REF!</v>
      </c>
      <c r="J645" s="142" t="s">
        <v>354</v>
      </c>
      <c r="K645" s="4" t="e">
        <f>AVERAGEIF([2]!Company_Data_Europe[Industry Group],J645,[2]!Company_Data_Europe[EV/Sales])</f>
        <v>#REF!</v>
      </c>
      <c r="L645" t="e">
        <f t="array" ref="L645">MEDIAN(IF([2]!Company_Data_Europe[Industry Group]=J645,[2]!Company_Data_Europe[EV/Sales],""))</f>
        <v>#REF!</v>
      </c>
      <c r="N645" s="142" t="s">
        <v>354</v>
      </c>
      <c r="O645" s="4" t="e">
        <f>AVERAGEIF([3]!Company_Data_India[Industry Group],N645,[3]!Company_Data_India[EV/Sales])</f>
        <v>#REF!</v>
      </c>
      <c r="P645" t="e">
        <f t="array" ref="P645">MEDIAN(IF([3]!Company_Data_India[Industry Group]=N645,[3]!Company_Data_India[EV/Sales],""))</f>
        <v>#REF!</v>
      </c>
    </row>
    <row r="646" spans="2:16">
      <c r="B646" t="s">
        <v>355</v>
      </c>
      <c r="C646">
        <v>1.298775790838492</v>
      </c>
      <c r="D646">
        <v>1.2311786268537448</v>
      </c>
      <c r="F646" s="143" t="s">
        <v>355</v>
      </c>
      <c r="G646" s="4" t="e">
        <f t="array" ref="G646">AVERAGEIF([1]!Company_Data_China[Industry Group],F646,[1]!Company_Data_China[EV/Sales])</f>
        <v>#REF!</v>
      </c>
      <c r="H646" t="e">
        <f t="array" ref="H646">MEDIAN(IF([1]!Company_Data_China[Industry Group]=F646,[1]!Company_Data_China[EV/Sales],""))</f>
        <v>#REF!</v>
      </c>
      <c r="J646" s="143" t="s">
        <v>355</v>
      </c>
      <c r="K646" s="4" t="e">
        <f>AVERAGEIF([2]!Company_Data_Europe[Industry Group],J646,[2]!Company_Data_Europe[EV/Sales])</f>
        <v>#REF!</v>
      </c>
      <c r="L646" t="e">
        <f t="array" ref="L646">MEDIAN(IF([2]!Company_Data_Europe[Industry Group]=J646,[2]!Company_Data_Europe[EV/Sales],""))</f>
        <v>#REF!</v>
      </c>
      <c r="N646" s="143" t="s">
        <v>355</v>
      </c>
      <c r="O646" s="4" t="e">
        <f>AVERAGEIF([3]!Company_Data_India[Industry Group],N646,[3]!Company_Data_India[EV/Sales])</f>
        <v>#REF!</v>
      </c>
      <c r="P646" t="e">
        <f t="array" ref="P646">MEDIAN(IF([3]!Company_Data_India[Industry Group]=N646,[3]!Company_Data_India[EV/Sales],""))</f>
        <v>#REF!</v>
      </c>
    </row>
    <row r="647" spans="2:16">
      <c r="B647" t="s">
        <v>356</v>
      </c>
      <c r="C647">
        <v>4.6570062611346748</v>
      </c>
      <c r="D647">
        <v>1.2810812866596222</v>
      </c>
      <c r="F647" s="142" t="s">
        <v>356</v>
      </c>
      <c r="G647" s="4" t="e">
        <f t="array" ref="G647">AVERAGEIF([1]!Company_Data_China[Industry Group],F647,[1]!Company_Data_China[EV/Sales])</f>
        <v>#REF!</v>
      </c>
      <c r="H647" t="e">
        <f t="array" ref="H647">MEDIAN(IF([1]!Company_Data_China[Industry Group]=F647,[1]!Company_Data_China[EV/Sales],""))</f>
        <v>#REF!</v>
      </c>
      <c r="J647" s="142" t="s">
        <v>356</v>
      </c>
      <c r="K647" s="4" t="e">
        <f>AVERAGEIF([2]!Company_Data_Europe[Industry Group],J647,[2]!Company_Data_Europe[EV/Sales])</f>
        <v>#REF!</v>
      </c>
      <c r="L647" t="e">
        <f t="array" ref="L647">MEDIAN(IF([2]!Company_Data_Europe[Industry Group]=J647,[2]!Company_Data_Europe[EV/Sales],""))</f>
        <v>#REF!</v>
      </c>
      <c r="N647" s="142" t="s">
        <v>356</v>
      </c>
      <c r="O647" s="4" t="e">
        <f>AVERAGEIF([3]!Company_Data_India[Industry Group],N647,[3]!Company_Data_India[EV/Sales])</f>
        <v>#REF!</v>
      </c>
      <c r="P647" t="e">
        <f t="array" ref="P647">MEDIAN(IF([3]!Company_Data_India[Industry Group]=N647,[3]!Company_Data_India[EV/Sales],""))</f>
        <v>#REF!</v>
      </c>
    </row>
    <row r="648" spans="2:16">
      <c r="B648" t="s">
        <v>357</v>
      </c>
      <c r="C648">
        <v>2283.3959542093485</v>
      </c>
      <c r="D648">
        <v>4.7269032437861664</v>
      </c>
      <c r="F648" s="143" t="s">
        <v>357</v>
      </c>
      <c r="G648" s="4" t="e">
        <f t="array" ref="G648">AVERAGEIF([1]!Company_Data_China[Industry Group],F648,[1]!Company_Data_China[EV/Sales])</f>
        <v>#REF!</v>
      </c>
      <c r="H648" t="e">
        <f t="array" ref="H648">MEDIAN(IF([1]!Company_Data_China[Industry Group]=F648,[1]!Company_Data_China[EV/Sales],""))</f>
        <v>#REF!</v>
      </c>
      <c r="J648" s="143" t="s">
        <v>357</v>
      </c>
      <c r="K648" s="4" t="e">
        <f>AVERAGEIF([2]!Company_Data_Europe[Industry Group],J648,[2]!Company_Data_Europe[EV/Sales])</f>
        <v>#REF!</v>
      </c>
      <c r="L648" t="e">
        <f t="array" ref="L648">MEDIAN(IF([2]!Company_Data_Europe[Industry Group]=J648,[2]!Company_Data_Europe[EV/Sales],""))</f>
        <v>#REF!</v>
      </c>
      <c r="N648" s="143" t="s">
        <v>357</v>
      </c>
      <c r="O648" s="4" t="e">
        <f>AVERAGEIF([3]!Company_Data_India[Industry Group],N648,[3]!Company_Data_India[EV/Sales])</f>
        <v>#REF!</v>
      </c>
      <c r="P648" t="e">
        <f t="array" ref="P648">MEDIAN(IF([3]!Company_Data_India[Industry Group]=N648,[3]!Company_Data_India[EV/Sales],""))</f>
        <v>#REF!</v>
      </c>
    </row>
    <row r="649" spans="2:16">
      <c r="B649" t="s">
        <v>358</v>
      </c>
      <c r="C649">
        <v>25.364016033922184</v>
      </c>
      <c r="D649">
        <v>6.6465116916792448</v>
      </c>
      <c r="F649" s="142" t="s">
        <v>358</v>
      </c>
      <c r="G649" s="4" t="e">
        <f t="array" ref="G649">AVERAGEIF([1]!Company_Data_China[Industry Group],F649,[1]!Company_Data_China[EV/Sales])</f>
        <v>#REF!</v>
      </c>
      <c r="H649" t="e">
        <f t="array" ref="H649">MEDIAN(IF([1]!Company_Data_China[Industry Group]=F649,[1]!Company_Data_China[EV/Sales],""))</f>
        <v>#REF!</v>
      </c>
      <c r="J649" s="142" t="s">
        <v>358</v>
      </c>
      <c r="K649" s="4" t="e">
        <f>AVERAGEIF([2]!Company_Data_Europe[Industry Group],J649,[2]!Company_Data_Europe[EV/Sales])</f>
        <v>#REF!</v>
      </c>
      <c r="L649" t="e">
        <f t="array" ref="L649">MEDIAN(IF([2]!Company_Data_Europe[Industry Group]=J649,[2]!Company_Data_Europe[EV/Sales],""))</f>
        <v>#REF!</v>
      </c>
      <c r="N649" s="142" t="s">
        <v>358</v>
      </c>
      <c r="O649" s="4" t="e">
        <f>AVERAGEIF([3]!Company_Data_India[Industry Group],N649,[3]!Company_Data_India[EV/Sales])</f>
        <v>#REF!</v>
      </c>
      <c r="P649" t="e">
        <f t="array" ref="P649">MEDIAN(IF([3]!Company_Data_India[Industry Group]=N649,[3]!Company_Data_India[EV/Sales],""))</f>
        <v>#REF!</v>
      </c>
    </row>
    <row r="650" spans="2:16">
      <c r="B650" t="s">
        <v>359</v>
      </c>
      <c r="C650">
        <v>10.39509647679006</v>
      </c>
      <c r="D650">
        <v>1.6362864495815819</v>
      </c>
      <c r="F650" s="143" t="s">
        <v>359</v>
      </c>
      <c r="G650" s="4" t="e">
        <f t="array" ref="G650">AVERAGEIF([1]!Company_Data_China[Industry Group],F650,[1]!Company_Data_China[EV/Sales])</f>
        <v>#REF!</v>
      </c>
      <c r="H650" t="e">
        <f t="array" ref="H650">MEDIAN(IF([1]!Company_Data_China[Industry Group]=F650,[1]!Company_Data_China[EV/Sales],""))</f>
        <v>#REF!</v>
      </c>
      <c r="J650" s="143" t="s">
        <v>359</v>
      </c>
      <c r="K650" s="4" t="e">
        <f>AVERAGEIF([2]!Company_Data_Europe[Industry Group],J650,[2]!Company_Data_Europe[EV/Sales])</f>
        <v>#REF!</v>
      </c>
      <c r="L650" t="e">
        <f t="array" ref="L650">MEDIAN(IF([2]!Company_Data_Europe[Industry Group]=J650,[2]!Company_Data_Europe[EV/Sales],""))</f>
        <v>#REF!</v>
      </c>
      <c r="N650" s="143" t="s">
        <v>359</v>
      </c>
      <c r="O650" s="4" t="e">
        <f>AVERAGEIF([3]!Company_Data_India[Industry Group],N650,[3]!Company_Data_India[EV/Sales])</f>
        <v>#REF!</v>
      </c>
      <c r="P650" t="e">
        <f t="array" ref="P650">MEDIAN(IF([3]!Company_Data_India[Industry Group]=N650,[3]!Company_Data_India[EV/Sales],""))</f>
        <v>#REF!</v>
      </c>
    </row>
    <row r="651" spans="2:16">
      <c r="B651" t="s">
        <v>360</v>
      </c>
      <c r="C651">
        <v>54.842568179754437</v>
      </c>
      <c r="D651">
        <v>3.6008672528701777</v>
      </c>
      <c r="F651" s="142" t="s">
        <v>360</v>
      </c>
      <c r="G651" s="4" t="e">
        <f t="array" ref="G651">AVERAGEIF([1]!Company_Data_China[Industry Group],F651,[1]!Company_Data_China[EV/Sales])</f>
        <v>#REF!</v>
      </c>
      <c r="H651" t="e">
        <f t="array" ref="H651">MEDIAN(IF([1]!Company_Data_China[Industry Group]=F651,[1]!Company_Data_China[EV/Sales],""))</f>
        <v>#REF!</v>
      </c>
      <c r="J651" s="142" t="s">
        <v>360</v>
      </c>
      <c r="K651" s="4" t="e">
        <f>AVERAGEIF([2]!Company_Data_Europe[Industry Group],J651,[2]!Company_Data_Europe[EV/Sales])</f>
        <v>#REF!</v>
      </c>
      <c r="L651" t="e">
        <f t="array" ref="L651">MEDIAN(IF([2]!Company_Data_Europe[Industry Group]=J651,[2]!Company_Data_Europe[EV/Sales],""))</f>
        <v>#REF!</v>
      </c>
      <c r="N651" s="142" t="s">
        <v>360</v>
      </c>
      <c r="O651" s="4" t="e">
        <f>AVERAGEIF([3]!Company_Data_India[Industry Group],N651,[3]!Company_Data_India[EV/Sales])</f>
        <v>#REF!</v>
      </c>
      <c r="P651" t="e">
        <f t="array" ref="P651">MEDIAN(IF([3]!Company_Data_India[Industry Group]=N651,[3]!Company_Data_India[EV/Sales],""))</f>
        <v>#REF!</v>
      </c>
    </row>
    <row r="652" spans="2:16">
      <c r="B652" t="s">
        <v>361</v>
      </c>
      <c r="C652">
        <v>4.5942471952277462</v>
      </c>
      <c r="D652">
        <v>1.0657439700944069</v>
      </c>
      <c r="F652" s="143" t="s">
        <v>361</v>
      </c>
      <c r="G652" s="4" t="e">
        <f t="array" ref="G652">AVERAGEIF([1]!Company_Data_China[Industry Group],F652,[1]!Company_Data_China[EV/Sales])</f>
        <v>#REF!</v>
      </c>
      <c r="H652" t="e">
        <f t="array" ref="H652">MEDIAN(IF([1]!Company_Data_China[Industry Group]=F652,[1]!Company_Data_China[EV/Sales],""))</f>
        <v>#REF!</v>
      </c>
      <c r="J652" s="143" t="s">
        <v>361</v>
      </c>
      <c r="K652" s="4" t="e">
        <f>AVERAGEIF([2]!Company_Data_Europe[Industry Group],J652,[2]!Company_Data_Europe[EV/Sales])</f>
        <v>#REF!</v>
      </c>
      <c r="L652" t="e">
        <f t="array" ref="L652">MEDIAN(IF([2]!Company_Data_Europe[Industry Group]=J652,[2]!Company_Data_Europe[EV/Sales],""))</f>
        <v>#REF!</v>
      </c>
      <c r="N652" s="143" t="s">
        <v>361</v>
      </c>
      <c r="O652" s="4" t="e">
        <f>AVERAGEIF([3]!Company_Data_India[Industry Group],N652,[3]!Company_Data_India[EV/Sales])</f>
        <v>#REF!</v>
      </c>
      <c r="P652" t="e">
        <f t="array" ref="P652">MEDIAN(IF([3]!Company_Data_India[Industry Group]=N652,[3]!Company_Data_India[EV/Sales],""))</f>
        <v>#REF!</v>
      </c>
    </row>
    <row r="653" spans="2:16">
      <c r="B653" t="s">
        <v>362</v>
      </c>
      <c r="C653">
        <v>1.3728257213132065</v>
      </c>
      <c r="D653">
        <v>1.0932213182887467</v>
      </c>
      <c r="F653" s="142" t="s">
        <v>362</v>
      </c>
      <c r="G653" s="4" t="e">
        <f t="array" ref="G653">AVERAGEIF([1]!Company_Data_China[Industry Group],F653,[1]!Company_Data_China[EV/Sales])</f>
        <v>#REF!</v>
      </c>
      <c r="H653" t="e">
        <f t="array" ref="H653">MEDIAN(IF([1]!Company_Data_China[Industry Group]=F653,[1]!Company_Data_China[EV/Sales],""))</f>
        <v>#REF!</v>
      </c>
      <c r="J653" s="142" t="s">
        <v>362</v>
      </c>
      <c r="K653" s="4" t="e">
        <f>AVERAGEIF([2]!Company_Data_Europe[Industry Group],J653,[2]!Company_Data_Europe[EV/Sales])</f>
        <v>#REF!</v>
      </c>
      <c r="L653" t="e">
        <f t="array" ref="L653">MEDIAN(IF([2]!Company_Data_Europe[Industry Group]=J653,[2]!Company_Data_Europe[EV/Sales],""))</f>
        <v>#REF!</v>
      </c>
      <c r="N653" s="142" t="s">
        <v>362</v>
      </c>
      <c r="O653" s="4" t="e">
        <f>AVERAGEIF([3]!Company_Data_India[Industry Group],N653,[3]!Company_Data_India[EV/Sales])</f>
        <v>#REF!</v>
      </c>
      <c r="P653" t="e">
        <f t="array" ref="P653">MEDIAN(IF([3]!Company_Data_India[Industry Group]=N653,[3]!Company_Data_India[EV/Sales],""))</f>
        <v>#REF!</v>
      </c>
    </row>
    <row r="654" spans="2:16">
      <c r="B654" t="s">
        <v>363</v>
      </c>
      <c r="C654">
        <v>116.41914364150163</v>
      </c>
      <c r="D654">
        <v>7.143792902123562</v>
      </c>
      <c r="F654" s="143" t="s">
        <v>363</v>
      </c>
      <c r="G654" s="4" t="e">
        <f t="array" ref="G654">AVERAGEIF([1]!Company_Data_China[Industry Group],F654,[1]!Company_Data_China[EV/Sales])</f>
        <v>#REF!</v>
      </c>
      <c r="H654" t="e">
        <f t="array" ref="H654">MEDIAN(IF([1]!Company_Data_China[Industry Group]=F654,[1]!Company_Data_China[EV/Sales],""))</f>
        <v>#REF!</v>
      </c>
      <c r="J654" s="143" t="s">
        <v>363</v>
      </c>
      <c r="K654" s="4" t="e">
        <f>AVERAGEIF([2]!Company_Data_Europe[Industry Group],J654,[2]!Company_Data_Europe[EV/Sales])</f>
        <v>#REF!</v>
      </c>
      <c r="L654" t="e">
        <f t="array" ref="L654">MEDIAN(IF([2]!Company_Data_Europe[Industry Group]=J654,[2]!Company_Data_Europe[EV/Sales],""))</f>
        <v>#REF!</v>
      </c>
      <c r="N654" s="143" t="s">
        <v>363</v>
      </c>
      <c r="O654" s="4" t="e">
        <f>AVERAGEIF([3]!Company_Data_India[Industry Group],N654,[3]!Company_Data_India[EV/Sales])</f>
        <v>#REF!</v>
      </c>
      <c r="P654" t="e">
        <f t="array" ref="P654">MEDIAN(IF([3]!Company_Data_India[Industry Group]=N654,[3]!Company_Data_India[EV/Sales],""))</f>
        <v>#REF!</v>
      </c>
    </row>
    <row r="655" spans="2:16">
      <c r="B655" t="s">
        <v>364</v>
      </c>
      <c r="C655">
        <v>19.980619953977566</v>
      </c>
      <c r="D655">
        <v>4.8122308514632852</v>
      </c>
      <c r="F655" s="142" t="s">
        <v>364</v>
      </c>
      <c r="G655" s="4" t="e">
        <f t="array" ref="G655">AVERAGEIF([1]!Company_Data_China[Industry Group],F655,[1]!Company_Data_China[EV/Sales])</f>
        <v>#REF!</v>
      </c>
      <c r="H655" t="e">
        <f t="array" ref="H655">MEDIAN(IF([1]!Company_Data_China[Industry Group]=F655,[1]!Company_Data_China[EV/Sales],""))</f>
        <v>#REF!</v>
      </c>
      <c r="J655" s="142" t="s">
        <v>364</v>
      </c>
      <c r="K655" s="4" t="e">
        <f>AVERAGEIF([2]!Company_Data_Europe[Industry Group],J655,[2]!Company_Data_Europe[EV/Sales])</f>
        <v>#REF!</v>
      </c>
      <c r="L655" t="e">
        <f t="array" ref="L655">MEDIAN(IF([2]!Company_Data_Europe[Industry Group]=J655,[2]!Company_Data_Europe[EV/Sales],""))</f>
        <v>#REF!</v>
      </c>
      <c r="N655" s="142" t="s">
        <v>364</v>
      </c>
      <c r="O655" s="4" t="e">
        <f>AVERAGEIF([3]!Company_Data_India[Industry Group],N655,[3]!Company_Data_India[EV/Sales])</f>
        <v>#REF!</v>
      </c>
      <c r="P655" t="e">
        <f t="array" ref="P655">MEDIAN(IF([3]!Company_Data_India[Industry Group]=N655,[3]!Company_Data_India[EV/Sales],""))</f>
        <v>#REF!</v>
      </c>
    </row>
    <row r="656" spans="2:16">
      <c r="B656" t="s">
        <v>365</v>
      </c>
      <c r="C656">
        <v>27.708392719700367</v>
      </c>
      <c r="D656">
        <v>1.3447364071653527</v>
      </c>
      <c r="F656" s="143" t="s">
        <v>365</v>
      </c>
      <c r="G656" s="4" t="e">
        <f t="array" ref="G656">AVERAGEIF([1]!Company_Data_China[Industry Group],F656,[1]!Company_Data_China[EV/Sales])</f>
        <v>#REF!</v>
      </c>
      <c r="H656" t="e">
        <f t="array" ref="H656">MEDIAN(IF([1]!Company_Data_China[Industry Group]=F656,[1]!Company_Data_China[EV/Sales],""))</f>
        <v>#REF!</v>
      </c>
      <c r="J656" s="143" t="s">
        <v>365</v>
      </c>
      <c r="K656" s="4" t="e">
        <f>AVERAGEIF([2]!Company_Data_Europe[Industry Group],J656,[2]!Company_Data_Europe[EV/Sales])</f>
        <v>#REF!</v>
      </c>
      <c r="L656" t="e">
        <f t="array" ref="L656">MEDIAN(IF([2]!Company_Data_Europe[Industry Group]=J656,[2]!Company_Data_Europe[EV/Sales],""))</f>
        <v>#REF!</v>
      </c>
      <c r="N656" s="143" t="s">
        <v>365</v>
      </c>
      <c r="O656" s="4" t="e">
        <f>AVERAGEIF([3]!Company_Data_India[Industry Group],N656,[3]!Company_Data_India[EV/Sales])</f>
        <v>#REF!</v>
      </c>
      <c r="P656" t="e">
        <f t="array" ref="P656">MEDIAN(IF([3]!Company_Data_India[Industry Group]=N656,[3]!Company_Data_India[EV/Sales],""))</f>
        <v>#REF!</v>
      </c>
    </row>
    <row r="657" spans="2:16">
      <c r="B657" t="s">
        <v>366</v>
      </c>
      <c r="C657">
        <v>1.6555592560677435</v>
      </c>
      <c r="D657">
        <v>1.2453018704204504</v>
      </c>
      <c r="F657" s="142" t="s">
        <v>366</v>
      </c>
      <c r="G657" s="4" t="e">
        <f t="array" ref="G657">AVERAGEIF([1]!Company_Data_China[Industry Group],F657,[1]!Company_Data_China[EV/Sales])</f>
        <v>#REF!</v>
      </c>
      <c r="H657" t="e">
        <f t="array" ref="H657">MEDIAN(IF([1]!Company_Data_China[Industry Group]=F657,[1]!Company_Data_China[EV/Sales],""))</f>
        <v>#REF!</v>
      </c>
      <c r="J657" s="142" t="s">
        <v>366</v>
      </c>
      <c r="K657" s="4" t="e">
        <f>AVERAGEIF([2]!Company_Data_Europe[Industry Group],J657,[2]!Company_Data_Europe[EV/Sales])</f>
        <v>#REF!</v>
      </c>
      <c r="L657" t="e">
        <f t="array" ref="L657">MEDIAN(IF([2]!Company_Data_Europe[Industry Group]=J657,[2]!Company_Data_Europe[EV/Sales],""))</f>
        <v>#REF!</v>
      </c>
      <c r="N657" s="142" t="s">
        <v>366</v>
      </c>
      <c r="O657" s="4" t="e">
        <f>AVERAGEIF([3]!Company_Data_India[Industry Group],N657,[3]!Company_Data_India[EV/Sales])</f>
        <v>#REF!</v>
      </c>
      <c r="P657" t="e">
        <f t="array" ref="P657">MEDIAN(IF([3]!Company_Data_India[Industry Group]=N657,[3]!Company_Data_India[EV/Sales],""))</f>
        <v>#REF!</v>
      </c>
    </row>
    <row r="658" spans="2:16">
      <c r="B658" t="s">
        <v>367</v>
      </c>
      <c r="C658">
        <v>5.9661351775575451</v>
      </c>
      <c r="D658">
        <v>1.5259782664645303</v>
      </c>
      <c r="F658" s="143" t="s">
        <v>367</v>
      </c>
      <c r="G658" s="4" t="e">
        <f t="array" ref="G658">AVERAGEIF([1]!Company_Data_China[Industry Group],F658,[1]!Company_Data_China[EV/Sales])</f>
        <v>#REF!</v>
      </c>
      <c r="H658" t="e">
        <f t="array" ref="H658">MEDIAN(IF([1]!Company_Data_China[Industry Group]=F658,[1]!Company_Data_China[EV/Sales],""))</f>
        <v>#REF!</v>
      </c>
      <c r="J658" s="143" t="s">
        <v>367</v>
      </c>
      <c r="K658" s="4" t="e">
        <f>AVERAGEIF([2]!Company_Data_Europe[Industry Group],J658,[2]!Company_Data_Europe[EV/Sales])</f>
        <v>#REF!</v>
      </c>
      <c r="L658" t="e">
        <f t="array" ref="L658">MEDIAN(IF([2]!Company_Data_Europe[Industry Group]=J658,[2]!Company_Data_Europe[EV/Sales],""))</f>
        <v>#REF!</v>
      </c>
      <c r="N658" s="143" t="s">
        <v>367</v>
      </c>
      <c r="O658" s="4" t="e">
        <f>AVERAGEIF([3]!Company_Data_India[Industry Group],N658,[3]!Company_Data_India[EV/Sales])</f>
        <v>#REF!</v>
      </c>
      <c r="P658" t="e">
        <f t="array" ref="P658">MEDIAN(IF([3]!Company_Data_India[Industry Group]=N658,[3]!Company_Data_India[EV/Sales],""))</f>
        <v>#REF!</v>
      </c>
    </row>
    <row r="659" spans="2:16">
      <c r="B659" t="s">
        <v>368</v>
      </c>
      <c r="C659">
        <v>142.34814949373782</v>
      </c>
      <c r="D659">
        <v>5.9113873452454264</v>
      </c>
      <c r="F659" s="142" t="s">
        <v>368</v>
      </c>
      <c r="G659" s="4" t="e">
        <f t="array" ref="G659">AVERAGEIF([1]!Company_Data_China[Industry Group],F659,[1]!Company_Data_China[EV/Sales])</f>
        <v>#REF!</v>
      </c>
      <c r="H659" t="e">
        <f t="array" ref="H659">MEDIAN(IF([1]!Company_Data_China[Industry Group]=F659,[1]!Company_Data_China[EV/Sales],""))</f>
        <v>#REF!</v>
      </c>
      <c r="J659" s="142" t="s">
        <v>368</v>
      </c>
      <c r="K659" s="4" t="e">
        <f>AVERAGEIF([2]!Company_Data_Europe[Industry Group],J659,[2]!Company_Data_Europe[EV/Sales])</f>
        <v>#REF!</v>
      </c>
      <c r="L659" t="e">
        <f t="array" ref="L659">MEDIAN(IF([2]!Company_Data_Europe[Industry Group]=J659,[2]!Company_Data_Europe[EV/Sales],""))</f>
        <v>#REF!</v>
      </c>
      <c r="N659" s="142" t="s">
        <v>368</v>
      </c>
      <c r="O659" s="4" t="e">
        <f>AVERAGEIF([3]!Company_Data_India[Industry Group],N659,[3]!Company_Data_India[EV/Sales])</f>
        <v>#REF!</v>
      </c>
      <c r="P659" t="e">
        <f t="array" ref="P659">MEDIAN(IF([3]!Company_Data_India[Industry Group]=N659,[3]!Company_Data_India[EV/Sales],""))</f>
        <v>#REF!</v>
      </c>
    </row>
    <row r="660" spans="2:16">
      <c r="B660" t="s">
        <v>369</v>
      </c>
      <c r="C660">
        <v>11.798222967704397</v>
      </c>
      <c r="D660">
        <v>2.9169112587935366</v>
      </c>
      <c r="F660" s="143" t="s">
        <v>369</v>
      </c>
      <c r="G660" s="4" t="e">
        <f t="array" ref="G660">AVERAGEIF([1]!Company_Data_China[Industry Group],F660,[1]!Company_Data_China[EV/Sales])</f>
        <v>#REF!</v>
      </c>
      <c r="H660" t="e">
        <f t="array" ref="H660">MEDIAN(IF([1]!Company_Data_China[Industry Group]=F660,[1]!Company_Data_China[EV/Sales],""))</f>
        <v>#REF!</v>
      </c>
      <c r="J660" s="143" t="s">
        <v>369</v>
      </c>
      <c r="K660" s="4" t="e">
        <f>AVERAGEIF([2]!Company_Data_Europe[Industry Group],J660,[2]!Company_Data_Europe[EV/Sales])</f>
        <v>#REF!</v>
      </c>
      <c r="L660" t="e">
        <f t="array" ref="L660">MEDIAN(IF([2]!Company_Data_Europe[Industry Group]=J660,[2]!Company_Data_Europe[EV/Sales],""))</f>
        <v>#REF!</v>
      </c>
      <c r="N660" s="143" t="s">
        <v>369</v>
      </c>
      <c r="O660" s="4" t="e">
        <f>AVERAGEIF([3]!Company_Data_India[Industry Group],N660,[3]!Company_Data_India[EV/Sales])</f>
        <v>#REF!</v>
      </c>
      <c r="P660" t="e">
        <f t="array" ref="P660">MEDIAN(IF([3]!Company_Data_India[Industry Group]=N660,[3]!Company_Data_India[EV/Sales],""))</f>
        <v>#REF!</v>
      </c>
    </row>
    <row r="661" spans="2:16">
      <c r="B661" t="s">
        <v>370</v>
      </c>
      <c r="C661">
        <v>348.97432152517757</v>
      </c>
      <c r="D661">
        <v>4.0675800644305475</v>
      </c>
      <c r="F661" s="142" t="s">
        <v>370</v>
      </c>
      <c r="G661" s="4" t="e">
        <f t="array" ref="G661">AVERAGEIF([1]!Company_Data_China[Industry Group],F661,[1]!Company_Data_China[EV/Sales])</f>
        <v>#REF!</v>
      </c>
      <c r="H661" t="e">
        <f t="array" ref="H661">MEDIAN(IF([1]!Company_Data_China[Industry Group]=F661,[1]!Company_Data_China[EV/Sales],""))</f>
        <v>#REF!</v>
      </c>
      <c r="J661" s="142" t="s">
        <v>370</v>
      </c>
      <c r="K661" s="4" t="e">
        <f>AVERAGEIF([2]!Company_Data_Europe[Industry Group],J661,[2]!Company_Data_Europe[EV/Sales])</f>
        <v>#REF!</v>
      </c>
      <c r="L661" t="e">
        <f t="array" ref="L661">MEDIAN(IF([2]!Company_Data_Europe[Industry Group]=J661,[2]!Company_Data_Europe[EV/Sales],""))</f>
        <v>#REF!</v>
      </c>
      <c r="N661" s="142" t="s">
        <v>370</v>
      </c>
      <c r="O661" s="4" t="e">
        <f>AVERAGEIF([3]!Company_Data_India[Industry Group],N661,[3]!Company_Data_India[EV/Sales])</f>
        <v>#REF!</v>
      </c>
      <c r="P661" t="e">
        <f t="array" ref="P661">MEDIAN(IF([3]!Company_Data_India[Industry Group]=N661,[3]!Company_Data_India[EV/Sales],""))</f>
        <v>#REF!</v>
      </c>
    </row>
    <row r="662" spans="2:16">
      <c r="B662" t="s">
        <v>371</v>
      </c>
      <c r="C662">
        <v>41.178948395744591</v>
      </c>
      <c r="D662">
        <v>1.427109913958754</v>
      </c>
      <c r="F662" s="143" t="s">
        <v>371</v>
      </c>
      <c r="G662" s="4" t="e">
        <f t="array" ref="G662">AVERAGEIF([1]!Company_Data_China[Industry Group],F662,[1]!Company_Data_China[EV/Sales])</f>
        <v>#REF!</v>
      </c>
      <c r="H662" t="e">
        <f t="array" ref="H662">MEDIAN(IF([1]!Company_Data_China[Industry Group]=F662,[1]!Company_Data_China[EV/Sales],""))</f>
        <v>#REF!</v>
      </c>
      <c r="J662" s="143" t="s">
        <v>371</v>
      </c>
      <c r="K662" s="4" t="e">
        <f>AVERAGEIF([2]!Company_Data_Europe[Industry Group],J662,[2]!Company_Data_Europe[EV/Sales])</f>
        <v>#REF!</v>
      </c>
      <c r="L662" t="e">
        <f t="array" ref="L662">MEDIAN(IF([2]!Company_Data_Europe[Industry Group]=J662,[2]!Company_Data_Europe[EV/Sales],""))</f>
        <v>#REF!</v>
      </c>
      <c r="N662" s="143" t="s">
        <v>371</v>
      </c>
      <c r="O662" s="4" t="e">
        <f>AVERAGEIF([3]!Company_Data_India[Industry Group],N662,[3]!Company_Data_India[EV/Sales])</f>
        <v>#REF!</v>
      </c>
      <c r="P662" t="e">
        <f t="array" ref="P662">MEDIAN(IF([3]!Company_Data_India[Industry Group]=N662,[3]!Company_Data_India[EV/Sales],""))</f>
        <v>#REF!</v>
      </c>
    </row>
    <row r="663" spans="2:16">
      <c r="B663" t="s">
        <v>372</v>
      </c>
      <c r="C663">
        <v>83.377276625912998</v>
      </c>
      <c r="D663">
        <v>37.847368421052629</v>
      </c>
      <c r="F663" s="142" t="s">
        <v>372</v>
      </c>
      <c r="G663" s="4" t="e">
        <f t="array" ref="G663">AVERAGEIF([1]!Company_Data_China[Industry Group],F663,[1]!Company_Data_China[EV/Sales])</f>
        <v>#REF!</v>
      </c>
      <c r="H663" t="e">
        <f t="array" ref="H663">MEDIAN(IF([1]!Company_Data_China[Industry Group]=F663,[1]!Company_Data_China[EV/Sales],""))</f>
        <v>#REF!</v>
      </c>
      <c r="J663" s="142" t="s">
        <v>372</v>
      </c>
      <c r="K663" s="4" t="e">
        <f>AVERAGEIF([2]!Company_Data_Europe[Industry Group],J663,[2]!Company_Data_Europe[EV/Sales])</f>
        <v>#REF!</v>
      </c>
      <c r="L663" t="e">
        <f t="array" ref="L663">MEDIAN(IF([2]!Company_Data_Europe[Industry Group]=J663,[2]!Company_Data_Europe[EV/Sales],""))</f>
        <v>#REF!</v>
      </c>
      <c r="N663" s="142" t="s">
        <v>372</v>
      </c>
      <c r="O663" s="4" t="e">
        <f>AVERAGEIF([3]!Company_Data_India[Industry Group],N663,[3]!Company_Data_India[EV/Sales])</f>
        <v>#REF!</v>
      </c>
      <c r="P663" t="e">
        <f t="array" ref="P663">MEDIAN(IF([3]!Company_Data_India[Industry Group]=N663,[3]!Company_Data_India[EV/Sales],""))</f>
        <v>#REF!</v>
      </c>
    </row>
    <row r="664" spans="2:16">
      <c r="B664" t="s">
        <v>373</v>
      </c>
      <c r="C664">
        <v>4.8585849955454448</v>
      </c>
      <c r="D664">
        <v>3.8174049559294647</v>
      </c>
      <c r="F664" s="143" t="s">
        <v>373</v>
      </c>
      <c r="G664" s="4" t="e">
        <f t="array" ref="G664">AVERAGEIF([1]!Company_Data_China[Industry Group],F664,[1]!Company_Data_China[EV/Sales])</f>
        <v>#REF!</v>
      </c>
      <c r="H664" t="e">
        <f t="array" ref="H664">MEDIAN(IF([1]!Company_Data_China[Industry Group]=F664,[1]!Company_Data_China[EV/Sales],""))</f>
        <v>#REF!</v>
      </c>
      <c r="J664" s="143" t="s">
        <v>373</v>
      </c>
      <c r="K664" s="4" t="e">
        <f>AVERAGEIF([2]!Company_Data_Europe[Industry Group],J664,[2]!Company_Data_Europe[EV/Sales])</f>
        <v>#REF!</v>
      </c>
      <c r="L664" t="e">
        <f t="array" ref="L664">MEDIAN(IF([2]!Company_Data_Europe[Industry Group]=J664,[2]!Company_Data_Europe[EV/Sales],""))</f>
        <v>#REF!</v>
      </c>
      <c r="N664" s="143" t="s">
        <v>373</v>
      </c>
      <c r="O664" s="4" t="e">
        <f>AVERAGEIF([3]!Company_Data_India[Industry Group],N664,[3]!Company_Data_India[EV/Sales])</f>
        <v>#REF!</v>
      </c>
      <c r="P664" t="e">
        <f t="array" ref="P664">MEDIAN(IF([3]!Company_Data_India[Industry Group]=N664,[3]!Company_Data_India[EV/Sales],""))</f>
        <v>#REF!</v>
      </c>
    </row>
    <row r="665" spans="2:16">
      <c r="B665" t="s">
        <v>403</v>
      </c>
      <c r="C665" t="e">
        <v>#DIV/0!</v>
      </c>
      <c r="D665" t="e">
        <v>#NUM!</v>
      </c>
      <c r="F665" s="142" t="s">
        <v>403</v>
      </c>
      <c r="G665" s="4" t="e">
        <f t="array" ref="G665">AVERAGEIF([1]!Company_Data_China[Industry Group],F665,[1]!Company_Data_China[EV/Sales])</f>
        <v>#REF!</v>
      </c>
      <c r="H665" t="e">
        <f t="array" ref="H665">MEDIAN(IF([1]!Company_Data_China[Industry Group]=F665,[1]!Company_Data_China[EV/Sales],""))</f>
        <v>#REF!</v>
      </c>
      <c r="J665" s="142" t="s">
        <v>403</v>
      </c>
      <c r="K665" s="4" t="e">
        <f>AVERAGEIF([2]!Company_Data_Europe[Industry Group],J665,[2]!Company_Data_Europe[EV/Sales])</f>
        <v>#REF!</v>
      </c>
      <c r="L665" t="e">
        <f t="array" ref="L665">MEDIAN(IF([2]!Company_Data_Europe[Industry Group]=J665,[2]!Company_Data_Europe[EV/Sales],""))</f>
        <v>#REF!</v>
      </c>
      <c r="N665" s="142" t="s">
        <v>403</v>
      </c>
      <c r="O665" s="4" t="e">
        <f>AVERAGEIF([3]!Company_Data_India[Industry Group],N665,[3]!Company_Data_India[EV/Sales])</f>
        <v>#REF!</v>
      </c>
      <c r="P665" t="e">
        <f t="array" ref="P665">MEDIAN(IF([3]!Company_Data_India[Industry Group]=N665,[3]!Company_Data_India[EV/Sales],""))</f>
        <v>#REF!</v>
      </c>
    </row>
    <row r="666" spans="2:16">
      <c r="B666" t="s">
        <v>374</v>
      </c>
      <c r="C666">
        <v>6.5847114667958744</v>
      </c>
      <c r="D666">
        <v>5.9867084044079917</v>
      </c>
      <c r="F666" s="143" t="s">
        <v>374</v>
      </c>
      <c r="G666" s="4" t="e">
        <f t="array" ref="G666">AVERAGEIF([1]!Company_Data_China[Industry Group],F666,[1]!Company_Data_China[EV/Sales])</f>
        <v>#REF!</v>
      </c>
      <c r="H666" t="e">
        <f t="array" ref="H666">MEDIAN(IF([1]!Company_Data_China[Industry Group]=F666,[1]!Company_Data_China[EV/Sales],""))</f>
        <v>#REF!</v>
      </c>
      <c r="J666" s="143" t="s">
        <v>374</v>
      </c>
      <c r="K666" s="4" t="e">
        <f>AVERAGEIF([2]!Company_Data_Europe[Industry Group],J666,[2]!Company_Data_Europe[EV/Sales])</f>
        <v>#REF!</v>
      </c>
      <c r="L666" t="e">
        <f t="array" ref="L666">MEDIAN(IF([2]!Company_Data_Europe[Industry Group]=J666,[2]!Company_Data_Europe[EV/Sales],""))</f>
        <v>#REF!</v>
      </c>
      <c r="N666" s="143" t="s">
        <v>374</v>
      </c>
      <c r="O666" s="4" t="e">
        <f>AVERAGEIF([3]!Company_Data_India[Industry Group],N666,[3]!Company_Data_India[EV/Sales])</f>
        <v>#REF!</v>
      </c>
      <c r="P666" t="e">
        <f t="array" ref="P666">MEDIAN(IF([3]!Company_Data_India[Industry Group]=N666,[3]!Company_Data_India[EV/Sales],""))</f>
        <v>#REF!</v>
      </c>
    </row>
    <row r="667" spans="2:16">
      <c r="B667" t="s">
        <v>376</v>
      </c>
      <c r="C667">
        <v>210.51501488382388</v>
      </c>
      <c r="D667">
        <v>6.5887889465503768</v>
      </c>
      <c r="F667" s="142" t="s">
        <v>376</v>
      </c>
      <c r="G667" s="4" t="e">
        <f t="array" ref="G667">AVERAGEIF([1]!Company_Data_China[Industry Group],F667,[1]!Company_Data_China[EV/Sales])</f>
        <v>#REF!</v>
      </c>
      <c r="H667" t="e">
        <f t="array" ref="H667">MEDIAN(IF([1]!Company_Data_China[Industry Group]=F667,[1]!Company_Data_China[EV/Sales],""))</f>
        <v>#REF!</v>
      </c>
      <c r="J667" s="142" t="s">
        <v>376</v>
      </c>
      <c r="K667" s="4" t="e">
        <f>AVERAGEIF([2]!Company_Data_Europe[Industry Group],J667,[2]!Company_Data_Europe[EV/Sales])</f>
        <v>#REF!</v>
      </c>
      <c r="L667" t="e">
        <f t="array" ref="L667">MEDIAN(IF([2]!Company_Data_Europe[Industry Group]=J667,[2]!Company_Data_Europe[EV/Sales],""))</f>
        <v>#REF!</v>
      </c>
      <c r="N667" s="142" t="s">
        <v>376</v>
      </c>
      <c r="O667" s="4" t="e">
        <f>AVERAGEIF([3]!Company_Data_India[Industry Group],N667,[3]!Company_Data_India[EV/Sales])</f>
        <v>#REF!</v>
      </c>
      <c r="P667" t="e">
        <f t="array" ref="P667">MEDIAN(IF([3]!Company_Data_India[Industry Group]=N667,[3]!Company_Data_India[EV/Sales],""))</f>
        <v>#REF!</v>
      </c>
    </row>
    <row r="668" spans="2:16">
      <c r="B668" t="s">
        <v>377</v>
      </c>
      <c r="C668">
        <v>9.5565571577308113</v>
      </c>
      <c r="D668">
        <v>2.6866018905088596</v>
      </c>
      <c r="F668" s="143" t="s">
        <v>377</v>
      </c>
      <c r="G668" s="4" t="e">
        <f t="array" ref="G668">AVERAGEIF([1]!Company_Data_China[Industry Group],F668,[1]!Company_Data_China[EV/Sales])</f>
        <v>#REF!</v>
      </c>
      <c r="H668" t="e">
        <f t="array" ref="H668">MEDIAN(IF([1]!Company_Data_China[Industry Group]=F668,[1]!Company_Data_China[EV/Sales],""))</f>
        <v>#REF!</v>
      </c>
      <c r="J668" s="143" t="s">
        <v>377</v>
      </c>
      <c r="K668" s="4" t="e">
        <f>AVERAGEIF([2]!Company_Data_Europe[Industry Group],J668,[2]!Company_Data_Europe[EV/Sales])</f>
        <v>#REF!</v>
      </c>
      <c r="L668" t="e">
        <f t="array" ref="L668">MEDIAN(IF([2]!Company_Data_Europe[Industry Group]=J668,[2]!Company_Data_Europe[EV/Sales],""))</f>
        <v>#REF!</v>
      </c>
      <c r="N668" s="143" t="s">
        <v>377</v>
      </c>
      <c r="O668" s="4" t="e">
        <f>AVERAGEIF([3]!Company_Data_India[Industry Group],N668,[3]!Company_Data_India[EV/Sales])</f>
        <v>#REF!</v>
      </c>
      <c r="P668" t="e">
        <f t="array" ref="P668">MEDIAN(IF([3]!Company_Data_India[Industry Group]=N668,[3]!Company_Data_India[EV/Sales],""))</f>
        <v>#REF!</v>
      </c>
    </row>
    <row r="669" spans="2:16">
      <c r="B669" t="s">
        <v>378</v>
      </c>
      <c r="C669">
        <v>8.1087761024581795</v>
      </c>
      <c r="D669">
        <v>1.964783484113978</v>
      </c>
      <c r="F669" s="142" t="s">
        <v>378</v>
      </c>
      <c r="G669" s="4" t="e">
        <f t="array" ref="G669">AVERAGEIF([1]!Company_Data_China[Industry Group],F669,[1]!Company_Data_China[EV/Sales])</f>
        <v>#REF!</v>
      </c>
      <c r="H669" t="e">
        <f t="array" ref="H669">MEDIAN(IF([1]!Company_Data_China[Industry Group]=F669,[1]!Company_Data_China[EV/Sales],""))</f>
        <v>#REF!</v>
      </c>
      <c r="J669" s="142" t="s">
        <v>378</v>
      </c>
      <c r="K669" s="4" t="e">
        <f>AVERAGEIF([2]!Company_Data_Europe[Industry Group],J669,[2]!Company_Data_Europe[EV/Sales])</f>
        <v>#REF!</v>
      </c>
      <c r="L669" t="e">
        <f t="array" ref="L669">MEDIAN(IF([2]!Company_Data_Europe[Industry Group]=J669,[2]!Company_Data_Europe[EV/Sales],""))</f>
        <v>#REF!</v>
      </c>
      <c r="N669" s="142" t="s">
        <v>378</v>
      </c>
      <c r="O669" s="4" t="e">
        <f>AVERAGEIF([3]!Company_Data_India[Industry Group],N669,[3]!Company_Data_India[EV/Sales])</f>
        <v>#REF!</v>
      </c>
      <c r="P669" t="e">
        <f t="array" ref="P669">MEDIAN(IF([3]!Company_Data_India[Industry Group]=N669,[3]!Company_Data_India[EV/Sales],""))</f>
        <v>#REF!</v>
      </c>
    </row>
    <row r="670" spans="2:16">
      <c r="B670" t="s">
        <v>379</v>
      </c>
      <c r="C670">
        <v>4.1644048846168191</v>
      </c>
      <c r="D670">
        <v>2.0773053013096057</v>
      </c>
      <c r="F670" s="143" t="s">
        <v>379</v>
      </c>
      <c r="G670" s="4" t="e">
        <f t="array" ref="G670">AVERAGEIF([1]!Company_Data_China[Industry Group],F670,[1]!Company_Data_China[EV/Sales])</f>
        <v>#REF!</v>
      </c>
      <c r="H670" t="e">
        <f t="array" ref="H670">MEDIAN(IF([1]!Company_Data_China[Industry Group]=F670,[1]!Company_Data_China[EV/Sales],""))</f>
        <v>#REF!</v>
      </c>
      <c r="J670" s="143" t="s">
        <v>379</v>
      </c>
      <c r="K670" s="4" t="e">
        <f>AVERAGEIF([2]!Company_Data_Europe[Industry Group],J670,[2]!Company_Data_Europe[EV/Sales])</f>
        <v>#REF!</v>
      </c>
      <c r="L670" t="e">
        <f t="array" ref="L670">MEDIAN(IF([2]!Company_Data_Europe[Industry Group]=J670,[2]!Company_Data_Europe[EV/Sales],""))</f>
        <v>#REF!</v>
      </c>
      <c r="N670" s="143" t="s">
        <v>379</v>
      </c>
      <c r="O670" s="4" t="e">
        <f>AVERAGEIF([3]!Company_Data_India[Industry Group],N670,[3]!Company_Data_India[EV/Sales])</f>
        <v>#REF!</v>
      </c>
      <c r="P670" t="e">
        <f t="array" ref="P670">MEDIAN(IF([3]!Company_Data_India[Industry Group]=N670,[3]!Company_Data_India[EV/Sales],""))</f>
        <v>#REF!</v>
      </c>
    </row>
    <row r="671" spans="2:16">
      <c r="B671" t="s">
        <v>380</v>
      </c>
      <c r="C671">
        <v>738.20753799356578</v>
      </c>
      <c r="D671">
        <v>1.1106381499353717</v>
      </c>
      <c r="F671" s="142" t="s">
        <v>380</v>
      </c>
      <c r="G671" s="4" t="e">
        <f t="array" ref="G671">AVERAGEIF([1]!Company_Data_China[Industry Group],F671,[1]!Company_Data_China[EV/Sales])</f>
        <v>#REF!</v>
      </c>
      <c r="H671" t="e">
        <f t="array" ref="H671">MEDIAN(IF([1]!Company_Data_China[Industry Group]=F671,[1]!Company_Data_China[EV/Sales],""))</f>
        <v>#REF!</v>
      </c>
      <c r="J671" s="142" t="s">
        <v>380</v>
      </c>
      <c r="K671" s="4" t="e">
        <f>AVERAGEIF([2]!Company_Data_Europe[Industry Group],J671,[2]!Company_Data_Europe[EV/Sales])</f>
        <v>#REF!</v>
      </c>
      <c r="L671" t="e">
        <f t="array" ref="L671">MEDIAN(IF([2]!Company_Data_Europe[Industry Group]=J671,[2]!Company_Data_Europe[EV/Sales],""))</f>
        <v>#REF!</v>
      </c>
      <c r="N671" s="142" t="s">
        <v>380</v>
      </c>
      <c r="O671" s="4" t="e">
        <f>AVERAGEIF([3]!Company_Data_India[Industry Group],N671,[3]!Company_Data_India[EV/Sales])</f>
        <v>#REF!</v>
      </c>
      <c r="P671" t="e">
        <f t="array" ref="P671">MEDIAN(IF([3]!Company_Data_India[Industry Group]=N671,[3]!Company_Data_India[EV/Sales],""))</f>
        <v>#REF!</v>
      </c>
    </row>
    <row r="672" spans="2:16">
      <c r="B672" t="s">
        <v>381</v>
      </c>
      <c r="C672">
        <v>2.3662105620979212</v>
      </c>
      <c r="D672">
        <v>1.5394607965481111</v>
      </c>
      <c r="F672" s="143" t="s">
        <v>381</v>
      </c>
      <c r="G672" s="4" t="e">
        <f t="array" ref="G672">AVERAGEIF([1]!Company_Data_China[Industry Group],F672,[1]!Company_Data_China[EV/Sales])</f>
        <v>#REF!</v>
      </c>
      <c r="H672" t="e">
        <f t="array" ref="H672">MEDIAN(IF([1]!Company_Data_China[Industry Group]=F672,[1]!Company_Data_China[EV/Sales],""))</f>
        <v>#REF!</v>
      </c>
      <c r="J672" s="143" t="s">
        <v>381</v>
      </c>
      <c r="K672" s="4" t="e">
        <f>AVERAGEIF([2]!Company_Data_Europe[Industry Group],J672,[2]!Company_Data_Europe[EV/Sales])</f>
        <v>#REF!</v>
      </c>
      <c r="L672" t="e">
        <f t="array" ref="L672">MEDIAN(IF([2]!Company_Data_Europe[Industry Group]=J672,[2]!Company_Data_Europe[EV/Sales],""))</f>
        <v>#REF!</v>
      </c>
      <c r="N672" s="143" t="s">
        <v>381</v>
      </c>
      <c r="O672" s="4" t="e">
        <f>AVERAGEIF([3]!Company_Data_India[Industry Group],N672,[3]!Company_Data_India[EV/Sales])</f>
        <v>#REF!</v>
      </c>
      <c r="P672" t="e">
        <f t="array" ref="P672">MEDIAN(IF([3]!Company_Data_India[Industry Group]=N672,[3]!Company_Data_India[EV/Sales],""))</f>
        <v>#REF!</v>
      </c>
    </row>
    <row r="673" spans="2:16">
      <c r="B673" t="s">
        <v>382</v>
      </c>
      <c r="C673">
        <v>695.51140367106677</v>
      </c>
      <c r="D673">
        <v>1.0216462166734321</v>
      </c>
      <c r="F673" s="142" t="s">
        <v>382</v>
      </c>
      <c r="G673" s="4" t="e">
        <f t="array" ref="G673">AVERAGEIF([1]!Company_Data_China[Industry Group],F673,[1]!Company_Data_China[EV/Sales])</f>
        <v>#REF!</v>
      </c>
      <c r="H673" t="e">
        <f t="array" ref="H673">MEDIAN(IF([1]!Company_Data_China[Industry Group]=F673,[1]!Company_Data_China[EV/Sales],""))</f>
        <v>#REF!</v>
      </c>
      <c r="J673" s="142" t="s">
        <v>382</v>
      </c>
      <c r="K673" s="4" t="e">
        <f>AVERAGEIF([2]!Company_Data_Europe[Industry Group],J673,[2]!Company_Data_Europe[EV/Sales])</f>
        <v>#REF!</v>
      </c>
      <c r="L673" t="e">
        <f t="array" ref="L673">MEDIAN(IF([2]!Company_Data_Europe[Industry Group]=J673,[2]!Company_Data_Europe[EV/Sales],""))</f>
        <v>#REF!</v>
      </c>
      <c r="N673" s="142" t="s">
        <v>382</v>
      </c>
      <c r="O673" s="4" t="e">
        <f>AVERAGEIF([3]!Company_Data_India[Industry Group],N673,[3]!Company_Data_India[EV/Sales])</f>
        <v>#REF!</v>
      </c>
      <c r="P673" t="e">
        <f t="array" ref="P673">MEDIAN(IF([3]!Company_Data_India[Industry Group]=N673,[3]!Company_Data_India[EV/Sales],""))</f>
        <v>#REF!</v>
      </c>
    </row>
    <row r="674" spans="2:16">
      <c r="B674" t="s">
        <v>383</v>
      </c>
      <c r="C674">
        <v>0.91565074346422326</v>
      </c>
      <c r="D674">
        <v>0.77768218883179363</v>
      </c>
      <c r="F674" s="143" t="s">
        <v>383</v>
      </c>
      <c r="G674" s="4" t="e">
        <f t="array" ref="G674">AVERAGEIF([1]!Company_Data_China[Industry Group],F674,[1]!Company_Data_China[EV/Sales])</f>
        <v>#REF!</v>
      </c>
      <c r="H674" t="e">
        <f t="array" ref="H674">MEDIAN(IF([1]!Company_Data_China[Industry Group]=F674,[1]!Company_Data_China[EV/Sales],""))</f>
        <v>#REF!</v>
      </c>
      <c r="J674" s="143" t="s">
        <v>383</v>
      </c>
      <c r="K674" s="4" t="e">
        <f>AVERAGEIF([2]!Company_Data_Europe[Industry Group],J674,[2]!Company_Data_Europe[EV/Sales])</f>
        <v>#REF!</v>
      </c>
      <c r="L674" t="e">
        <f t="array" ref="L674">MEDIAN(IF([2]!Company_Data_Europe[Industry Group]=J674,[2]!Company_Data_Europe[EV/Sales],""))</f>
        <v>#REF!</v>
      </c>
      <c r="N674" s="143" t="s">
        <v>383</v>
      </c>
      <c r="O674" s="4" t="e">
        <f>AVERAGEIF([3]!Company_Data_India[Industry Group],N674,[3]!Company_Data_India[EV/Sales])</f>
        <v>#REF!</v>
      </c>
      <c r="P674" t="e">
        <f t="array" ref="P674">MEDIAN(IF([3]!Company_Data_India[Industry Group]=N674,[3]!Company_Data_India[EV/Sales],""))</f>
        <v>#REF!</v>
      </c>
    </row>
    <row r="675" spans="2:16">
      <c r="B675" t="s">
        <v>384</v>
      </c>
      <c r="C675">
        <v>1.4615898735670683</v>
      </c>
      <c r="D675">
        <v>0.7048876462883662</v>
      </c>
      <c r="F675" s="142" t="s">
        <v>384</v>
      </c>
      <c r="G675" s="4" t="e">
        <f t="array" ref="G675">AVERAGEIF([1]!Company_Data_China[Industry Group],F675,[1]!Company_Data_China[EV/Sales])</f>
        <v>#REF!</v>
      </c>
      <c r="H675" t="e">
        <f t="array" ref="H675">MEDIAN(IF([1]!Company_Data_China[Industry Group]=F675,[1]!Company_Data_China[EV/Sales],""))</f>
        <v>#REF!</v>
      </c>
      <c r="J675" s="142" t="s">
        <v>384</v>
      </c>
      <c r="K675" s="4" t="e">
        <f>AVERAGEIF([2]!Company_Data_Europe[Industry Group],J675,[2]!Company_Data_Europe[EV/Sales])</f>
        <v>#REF!</v>
      </c>
      <c r="L675" t="e">
        <f t="array" ref="L675">MEDIAN(IF([2]!Company_Data_Europe[Industry Group]=J675,[2]!Company_Data_Europe[EV/Sales],""))</f>
        <v>#REF!</v>
      </c>
      <c r="N675" s="142" t="s">
        <v>384</v>
      </c>
      <c r="O675" s="4" t="e">
        <f>AVERAGEIF([3]!Company_Data_India[Industry Group],N675,[3]!Company_Data_India[EV/Sales])</f>
        <v>#REF!</v>
      </c>
      <c r="P675" t="e">
        <f t="array" ref="P675">MEDIAN(IF([3]!Company_Data_India[Industry Group]=N675,[3]!Company_Data_India[EV/Sales],""))</f>
        <v>#REF!</v>
      </c>
    </row>
    <row r="676" spans="2:16">
      <c r="B676" t="s">
        <v>385</v>
      </c>
      <c r="C676">
        <v>145.68928557770477</v>
      </c>
      <c r="D676">
        <v>2.5903947967477725</v>
      </c>
      <c r="F676" s="143" t="s">
        <v>385</v>
      </c>
      <c r="G676" s="4" t="e">
        <f t="array" ref="G676">AVERAGEIF([1]!Company_Data_China[Industry Group],F676,[1]!Company_Data_China[EV/Sales])</f>
        <v>#REF!</v>
      </c>
      <c r="H676" t="e">
        <f t="array" ref="H676">MEDIAN(IF([1]!Company_Data_China[Industry Group]=F676,[1]!Company_Data_China[EV/Sales],""))</f>
        <v>#REF!</v>
      </c>
      <c r="J676" s="143" t="s">
        <v>385</v>
      </c>
      <c r="K676" s="4" t="e">
        <f>AVERAGEIF([2]!Company_Data_Europe[Industry Group],J676,[2]!Company_Data_Europe[EV/Sales])</f>
        <v>#REF!</v>
      </c>
      <c r="L676" t="e">
        <f t="array" ref="L676">MEDIAN(IF([2]!Company_Data_Europe[Industry Group]=J676,[2]!Company_Data_Europe[EV/Sales],""))</f>
        <v>#REF!</v>
      </c>
      <c r="N676" s="143" t="s">
        <v>385</v>
      </c>
      <c r="O676" s="4" t="e">
        <f>AVERAGEIF([3]!Company_Data_India[Industry Group],N676,[3]!Company_Data_India[EV/Sales])</f>
        <v>#REF!</v>
      </c>
      <c r="P676" t="e">
        <f t="array" ref="P676">MEDIAN(IF([3]!Company_Data_India[Industry Group]=N676,[3]!Company_Data_India[EV/Sales],""))</f>
        <v>#REF!</v>
      </c>
    </row>
    <row r="677" spans="2:16">
      <c r="B677" t="s">
        <v>386</v>
      </c>
      <c r="C677">
        <v>1.489124010348408</v>
      </c>
      <c r="D677">
        <v>1.080586406934595</v>
      </c>
      <c r="F677" s="142" t="s">
        <v>386</v>
      </c>
      <c r="G677" s="4" t="e">
        <f t="array" ref="G677">AVERAGEIF([1]!Company_Data_China[Industry Group],F677,[1]!Company_Data_China[EV/Sales])</f>
        <v>#REF!</v>
      </c>
      <c r="H677" t="e">
        <f t="array" ref="H677">MEDIAN(IF([1]!Company_Data_China[Industry Group]=F677,[1]!Company_Data_China[EV/Sales],""))</f>
        <v>#REF!</v>
      </c>
      <c r="J677" s="142" t="s">
        <v>386</v>
      </c>
      <c r="K677" s="4" t="e">
        <f>AVERAGEIF([2]!Company_Data_Europe[Industry Group],J677,[2]!Company_Data_Europe[EV/Sales])</f>
        <v>#REF!</v>
      </c>
      <c r="L677" t="e">
        <f t="array" ref="L677">MEDIAN(IF([2]!Company_Data_Europe[Industry Group]=J677,[2]!Company_Data_Europe[EV/Sales],""))</f>
        <v>#REF!</v>
      </c>
      <c r="N677" s="142" t="s">
        <v>386</v>
      </c>
      <c r="O677" s="4" t="e">
        <f>AVERAGEIF([3]!Company_Data_India[Industry Group],N677,[3]!Company_Data_India[EV/Sales])</f>
        <v>#REF!</v>
      </c>
      <c r="P677" t="e">
        <f t="array" ref="P677">MEDIAN(IF([3]!Company_Data_India[Industry Group]=N677,[3]!Company_Data_India[EV/Sales],""))</f>
        <v>#REF!</v>
      </c>
    </row>
    <row r="678" spans="2:16">
      <c r="B678" t="s">
        <v>387</v>
      </c>
      <c r="C678">
        <v>0.49382958420702883</v>
      </c>
      <c r="D678">
        <v>0.47961653302254337</v>
      </c>
      <c r="F678" s="143" t="s">
        <v>387</v>
      </c>
      <c r="G678" s="4" t="e">
        <f t="array" ref="G678">AVERAGEIF([1]!Company_Data_China[Industry Group],F678,[1]!Company_Data_China[EV/Sales])</f>
        <v>#REF!</v>
      </c>
      <c r="H678" t="e">
        <f t="array" ref="H678">MEDIAN(IF([1]!Company_Data_China[Industry Group]=F678,[1]!Company_Data_China[EV/Sales],""))</f>
        <v>#REF!</v>
      </c>
      <c r="J678" s="143" t="s">
        <v>387</v>
      </c>
      <c r="K678" s="4" t="e">
        <f>AVERAGEIF([2]!Company_Data_Europe[Industry Group],J678,[2]!Company_Data_Europe[EV/Sales])</f>
        <v>#REF!</v>
      </c>
      <c r="L678" t="e">
        <f t="array" ref="L678">MEDIAN(IF([2]!Company_Data_Europe[Industry Group]=J678,[2]!Company_Data_Europe[EV/Sales],""))</f>
        <v>#REF!</v>
      </c>
      <c r="N678" s="143" t="s">
        <v>387</v>
      </c>
      <c r="O678" s="4" t="e">
        <f>AVERAGEIF([3]!Company_Data_India[Industry Group],N678,[3]!Company_Data_India[EV/Sales])</f>
        <v>#REF!</v>
      </c>
      <c r="P678" t="e">
        <f t="array" ref="P678">MEDIAN(IF([3]!Company_Data_India[Industry Group]=N678,[3]!Company_Data_India[EV/Sales],""))</f>
        <v>#REF!</v>
      </c>
    </row>
    <row r="679" spans="2:16">
      <c r="B679" t="s">
        <v>388</v>
      </c>
      <c r="C679">
        <v>4.5968245647010066</v>
      </c>
      <c r="D679">
        <v>2.2361718303820952</v>
      </c>
      <c r="F679" s="142" t="s">
        <v>388</v>
      </c>
      <c r="G679" s="4" t="e">
        <f t="array" ref="G679">AVERAGEIF([1]!Company_Data_China[Industry Group],F679,[1]!Company_Data_China[EV/Sales])</f>
        <v>#REF!</v>
      </c>
      <c r="H679" t="e">
        <f t="array" ref="H679">MEDIAN(IF([1]!Company_Data_China[Industry Group]=F679,[1]!Company_Data_China[EV/Sales],""))</f>
        <v>#REF!</v>
      </c>
      <c r="J679" s="142" t="s">
        <v>388</v>
      </c>
      <c r="K679" s="4" t="e">
        <f>AVERAGEIF([2]!Company_Data_Europe[Industry Group],J679,[2]!Company_Data_Europe[EV/Sales])</f>
        <v>#REF!</v>
      </c>
      <c r="L679" t="e">
        <f t="array" ref="L679">MEDIAN(IF([2]!Company_Data_Europe[Industry Group]=J679,[2]!Company_Data_Europe[EV/Sales],""))</f>
        <v>#REF!</v>
      </c>
      <c r="N679" s="142" t="s">
        <v>388</v>
      </c>
      <c r="O679" s="4" t="e">
        <f>AVERAGEIF([3]!Company_Data_India[Industry Group],N679,[3]!Company_Data_India[EV/Sales])</f>
        <v>#REF!</v>
      </c>
      <c r="P679" t="e">
        <f t="array" ref="P679">MEDIAN(IF([3]!Company_Data_India[Industry Group]=N679,[3]!Company_Data_India[EV/Sales],""))</f>
        <v>#REF!</v>
      </c>
    </row>
    <row r="680" spans="2:16">
      <c r="B680" t="s">
        <v>389</v>
      </c>
      <c r="C680">
        <v>2.9377884301408055</v>
      </c>
      <c r="D680">
        <v>1.6473992406538933</v>
      </c>
      <c r="F680" s="143" t="s">
        <v>389</v>
      </c>
      <c r="G680" s="4" t="e">
        <f t="array" ref="G680">AVERAGEIF([1]!Company_Data_China[Industry Group],F680,[1]!Company_Data_China[EV/Sales])</f>
        <v>#REF!</v>
      </c>
      <c r="H680" t="e">
        <f t="array" ref="H680">MEDIAN(IF([1]!Company_Data_China[Industry Group]=F680,[1]!Company_Data_China[EV/Sales],""))</f>
        <v>#REF!</v>
      </c>
      <c r="J680" s="143" t="s">
        <v>389</v>
      </c>
      <c r="K680" s="4" t="e">
        <f>AVERAGEIF([2]!Company_Data_Europe[Industry Group],J680,[2]!Company_Data_Europe[EV/Sales])</f>
        <v>#REF!</v>
      </c>
      <c r="L680" t="e">
        <f t="array" ref="L680">MEDIAN(IF([2]!Company_Data_Europe[Industry Group]=J680,[2]!Company_Data_Europe[EV/Sales],""))</f>
        <v>#REF!</v>
      </c>
      <c r="N680" s="143" t="s">
        <v>389</v>
      </c>
      <c r="O680" s="4" t="e">
        <f>AVERAGEIF([3]!Company_Data_India[Industry Group],N680,[3]!Company_Data_India[EV/Sales])</f>
        <v>#REF!</v>
      </c>
      <c r="P680" t="e">
        <f t="array" ref="P680">MEDIAN(IF([3]!Company_Data_India[Industry Group]=N680,[3]!Company_Data_India[EV/Sales],""))</f>
        <v>#REF!</v>
      </c>
    </row>
    <row r="681" spans="2:16">
      <c r="B681" t="s">
        <v>390</v>
      </c>
      <c r="C681">
        <v>6.56237465689785</v>
      </c>
      <c r="D681">
        <v>2.6459653821718652</v>
      </c>
      <c r="F681" s="142" t="s">
        <v>390</v>
      </c>
      <c r="G681" s="4" t="e">
        <f t="array" ref="G681">AVERAGEIF([1]!Company_Data_China[Industry Group],F681,[1]!Company_Data_China[EV/Sales])</f>
        <v>#REF!</v>
      </c>
      <c r="H681" t="e">
        <f t="array" ref="H681">MEDIAN(IF([1]!Company_Data_China[Industry Group]=F681,[1]!Company_Data_China[EV/Sales],""))</f>
        <v>#REF!</v>
      </c>
      <c r="J681" s="142" t="s">
        <v>390</v>
      </c>
      <c r="K681" s="4" t="e">
        <f>AVERAGEIF([2]!Company_Data_Europe[Industry Group],J681,[2]!Company_Data_Europe[EV/Sales])</f>
        <v>#REF!</v>
      </c>
      <c r="L681" t="e">
        <f t="array" ref="L681">MEDIAN(IF([2]!Company_Data_Europe[Industry Group]=J681,[2]!Company_Data_Europe[EV/Sales],""))</f>
        <v>#REF!</v>
      </c>
      <c r="N681" s="142" t="s">
        <v>390</v>
      </c>
      <c r="O681" s="4" t="e">
        <f>AVERAGEIF([3]!Company_Data_India[Industry Group],N681,[3]!Company_Data_India[EV/Sales])</f>
        <v>#REF!</v>
      </c>
      <c r="P681" t="e">
        <f t="array" ref="P681">MEDIAN(IF([3]!Company_Data_India[Industry Group]=N681,[3]!Company_Data_India[EV/Sales],""))</f>
        <v>#REF!</v>
      </c>
    </row>
    <row r="682" spans="2:16">
      <c r="B682" t="s">
        <v>391</v>
      </c>
      <c r="C682">
        <v>1.5812207778623681</v>
      </c>
      <c r="D682">
        <v>1.3339655336879876</v>
      </c>
      <c r="F682" s="143" t="s">
        <v>391</v>
      </c>
      <c r="G682" s="4" t="e">
        <f t="array" ref="G682">AVERAGEIF([1]!Company_Data_China[Industry Group],F682,[1]!Company_Data_China[EV/Sales])</f>
        <v>#REF!</v>
      </c>
      <c r="H682" t="e">
        <f t="array" ref="H682">MEDIAN(IF([1]!Company_Data_China[Industry Group]=F682,[1]!Company_Data_China[EV/Sales],""))</f>
        <v>#REF!</v>
      </c>
      <c r="J682" s="143" t="s">
        <v>391</v>
      </c>
      <c r="K682" s="4" t="e">
        <f>AVERAGEIF([2]!Company_Data_Europe[Industry Group],J682,[2]!Company_Data_Europe[EV/Sales])</f>
        <v>#REF!</v>
      </c>
      <c r="L682" t="e">
        <f t="array" ref="L682">MEDIAN(IF([2]!Company_Data_Europe[Industry Group]=J682,[2]!Company_Data_Europe[EV/Sales],""))</f>
        <v>#REF!</v>
      </c>
      <c r="N682" s="143" t="s">
        <v>391</v>
      </c>
      <c r="O682" s="4" t="e">
        <f>AVERAGEIF([3]!Company_Data_India[Industry Group],N682,[3]!Company_Data_India[EV/Sales])</f>
        <v>#REF!</v>
      </c>
      <c r="P682" t="e">
        <f t="array" ref="P682">MEDIAN(IF([3]!Company_Data_India[Industry Group]=N682,[3]!Company_Data_India[EV/Sales],""))</f>
        <v>#REF!</v>
      </c>
    </row>
    <row r="683" spans="2:16">
      <c r="B683" t="s">
        <v>392</v>
      </c>
      <c r="C683">
        <v>1.2685295201491611</v>
      </c>
      <c r="D683">
        <v>0.94414282254864057</v>
      </c>
      <c r="F683" s="142" t="s">
        <v>392</v>
      </c>
      <c r="G683" s="4" t="e">
        <f t="array" ref="G683">AVERAGEIF([1]!Company_Data_China[Industry Group],F683,[1]!Company_Data_China[EV/Sales])</f>
        <v>#REF!</v>
      </c>
      <c r="H683" t="e">
        <f t="array" ref="H683">MEDIAN(IF([1]!Company_Data_China[Industry Group]=F683,[1]!Company_Data_China[EV/Sales],""))</f>
        <v>#REF!</v>
      </c>
      <c r="J683" s="142" t="s">
        <v>392</v>
      </c>
      <c r="K683" s="4" t="e">
        <f>AVERAGEIF([2]!Company_Data_Europe[Industry Group],J683,[2]!Company_Data_Europe[EV/Sales])</f>
        <v>#REF!</v>
      </c>
      <c r="L683" t="e">
        <f t="array" ref="L683">MEDIAN(IF([2]!Company_Data_Europe[Industry Group]=J683,[2]!Company_Data_Europe[EV/Sales],""))</f>
        <v>#REF!</v>
      </c>
      <c r="N683" s="142" t="s">
        <v>392</v>
      </c>
      <c r="O683" s="4" t="e">
        <f>AVERAGEIF([3]!Company_Data_India[Industry Group],N683,[3]!Company_Data_India[EV/Sales])</f>
        <v>#REF!</v>
      </c>
      <c r="P683" t="e">
        <f t="array" ref="P683">MEDIAN(IF([3]!Company_Data_India[Industry Group]=N683,[3]!Company_Data_India[EV/Sales],""))</f>
        <v>#REF!</v>
      </c>
    </row>
    <row r="684" spans="2:16">
      <c r="B684" t="s">
        <v>393</v>
      </c>
      <c r="C684">
        <v>6.574468295027434</v>
      </c>
      <c r="D684">
        <v>2.2988216215142963</v>
      </c>
      <c r="F684" s="143" t="s">
        <v>393</v>
      </c>
      <c r="G684" s="4" t="e">
        <f t="array" ref="G684">AVERAGEIF([1]!Company_Data_China[Industry Group],F684,[1]!Company_Data_China[EV/Sales])</f>
        <v>#REF!</v>
      </c>
      <c r="H684" t="e">
        <f t="array" ref="H684">MEDIAN(IF([1]!Company_Data_China[Industry Group]=F684,[1]!Company_Data_China[EV/Sales],""))</f>
        <v>#REF!</v>
      </c>
      <c r="J684" s="143" t="s">
        <v>393</v>
      </c>
      <c r="K684" s="4" t="e">
        <f>AVERAGEIF([2]!Company_Data_Europe[Industry Group],J684,[2]!Company_Data_Europe[EV/Sales])</f>
        <v>#REF!</v>
      </c>
      <c r="L684" t="e">
        <f t="array" ref="L684">MEDIAN(IF([2]!Company_Data_Europe[Industry Group]=J684,[2]!Company_Data_Europe[EV/Sales],""))</f>
        <v>#REF!</v>
      </c>
      <c r="N684" s="143" t="s">
        <v>393</v>
      </c>
      <c r="O684" s="4" t="e">
        <f>AVERAGEIF([3]!Company_Data_India[Industry Group],N684,[3]!Company_Data_India[EV/Sales])</f>
        <v>#REF!</v>
      </c>
      <c r="P684" t="e">
        <f t="array" ref="P684">MEDIAN(IF([3]!Company_Data_India[Industry Group]=N684,[3]!Company_Data_India[EV/Sales],""))</f>
        <v>#REF!</v>
      </c>
    </row>
    <row r="685" spans="2:16">
      <c r="B685" t="s">
        <v>394</v>
      </c>
      <c r="C685">
        <v>13.945519691231727</v>
      </c>
      <c r="D685">
        <v>1.6662395331631823</v>
      </c>
      <c r="F685" s="142" t="s">
        <v>394</v>
      </c>
      <c r="G685" s="4" t="e">
        <f t="array" ref="G685">AVERAGEIF([1]!Company_Data_China[Industry Group],F685,[1]!Company_Data_China[EV/Sales])</f>
        <v>#REF!</v>
      </c>
      <c r="H685" t="e">
        <f t="array" ref="H685">MEDIAN(IF([1]!Company_Data_China[Industry Group]=F685,[1]!Company_Data_China[EV/Sales],""))</f>
        <v>#REF!</v>
      </c>
      <c r="J685" s="142" t="s">
        <v>394</v>
      </c>
      <c r="K685" s="4" t="e">
        <f>AVERAGEIF([2]!Company_Data_Europe[Industry Group],J685,[2]!Company_Data_Europe[EV/Sales])</f>
        <v>#REF!</v>
      </c>
      <c r="L685" t="e">
        <f t="array" ref="L685">MEDIAN(IF([2]!Company_Data_Europe[Industry Group]=J685,[2]!Company_Data_Europe[EV/Sales],""))</f>
        <v>#REF!</v>
      </c>
      <c r="N685" s="142" t="s">
        <v>394</v>
      </c>
      <c r="O685" s="4" t="e">
        <f>AVERAGEIF([3]!Company_Data_India[Industry Group],N685,[3]!Company_Data_India[EV/Sales])</f>
        <v>#REF!</v>
      </c>
      <c r="P685" t="e">
        <f t="array" ref="P685">MEDIAN(IF([3]!Company_Data_India[Industry Group]=N685,[3]!Company_Data_India[EV/Sales],""))</f>
        <v>#REF!</v>
      </c>
    </row>
    <row r="686" spans="2:16">
      <c r="B686" t="s">
        <v>395</v>
      </c>
      <c r="C686">
        <v>1048.0127949987861</v>
      </c>
      <c r="D686">
        <v>2.0241156745088529</v>
      </c>
      <c r="F686" s="143" t="s">
        <v>395</v>
      </c>
      <c r="G686" s="4" t="e">
        <f t="array" ref="G686">AVERAGEIF([1]!Company_Data_China[Industry Group],F686,[1]!Company_Data_China[EV/Sales])</f>
        <v>#REF!</v>
      </c>
      <c r="H686" t="e">
        <f t="array" ref="H686">MEDIAN(IF([1]!Company_Data_China[Industry Group]=F686,[1]!Company_Data_China[EV/Sales],""))</f>
        <v>#REF!</v>
      </c>
      <c r="J686" s="143" t="s">
        <v>395</v>
      </c>
      <c r="K686" s="4" t="e">
        <f>AVERAGEIF([2]!Company_Data_Europe[Industry Group],J686,[2]!Company_Data_Europe[EV/Sales])</f>
        <v>#REF!</v>
      </c>
      <c r="L686" t="e">
        <f t="array" ref="L686">MEDIAN(IF([2]!Company_Data_Europe[Industry Group]=J686,[2]!Company_Data_Europe[EV/Sales],""))</f>
        <v>#REF!</v>
      </c>
      <c r="N686" s="143" t="s">
        <v>395</v>
      </c>
      <c r="O686" s="4" t="e">
        <f>AVERAGEIF([3]!Company_Data_India[Industry Group],N686,[3]!Company_Data_India[EV/Sales])</f>
        <v>#REF!</v>
      </c>
      <c r="P686" t="e">
        <f t="array" ref="P686">MEDIAN(IF([3]!Company_Data_India[Industry Group]=N686,[3]!Company_Data_India[EV/Sales],""))</f>
        <v>#REF!</v>
      </c>
    </row>
    <row r="687" spans="2:16">
      <c r="B687" t="s">
        <v>396</v>
      </c>
      <c r="C687">
        <v>649.17004408653588</v>
      </c>
      <c r="D687">
        <v>4.3667804683200675</v>
      </c>
      <c r="F687" s="142" t="s">
        <v>396</v>
      </c>
      <c r="G687" s="4" t="e">
        <f t="array" ref="G687">AVERAGEIF([1]!Company_Data_China[Industry Group],F687,[1]!Company_Data_China[EV/Sales])</f>
        <v>#REF!</v>
      </c>
      <c r="H687" t="e">
        <f t="array" ref="H687">MEDIAN(IF([1]!Company_Data_China[Industry Group]=F687,[1]!Company_Data_China[EV/Sales],""))</f>
        <v>#REF!</v>
      </c>
      <c r="J687" s="142" t="s">
        <v>396</v>
      </c>
      <c r="K687" s="4" t="e">
        <f>AVERAGEIF([2]!Company_Data_Europe[Industry Group],J687,[2]!Company_Data_Europe[EV/Sales])</f>
        <v>#REF!</v>
      </c>
      <c r="L687" t="e">
        <f t="array" ref="L687">MEDIAN(IF([2]!Company_Data_Europe[Industry Group]=J687,[2]!Company_Data_Europe[EV/Sales],""))</f>
        <v>#REF!</v>
      </c>
      <c r="N687" s="142" t="s">
        <v>396</v>
      </c>
      <c r="O687" s="4" t="e">
        <f>AVERAGEIF([3]!Company_Data_India[Industry Group],N687,[3]!Company_Data_India[EV/Sales])</f>
        <v>#REF!</v>
      </c>
      <c r="P687" t="e">
        <f t="array" ref="P687">MEDIAN(IF([3]!Company_Data_India[Industry Group]=N687,[3]!Company_Data_India[EV/Sales],""))</f>
        <v>#REF!</v>
      </c>
    </row>
    <row r="688" spans="2:16">
      <c r="B688" t="s">
        <v>397</v>
      </c>
      <c r="C688">
        <v>210.7564456350421</v>
      </c>
      <c r="D688">
        <v>4.4765819992974194</v>
      </c>
      <c r="F688" s="143" t="s">
        <v>397</v>
      </c>
      <c r="G688" s="4" t="e">
        <f t="array" ref="G688">AVERAGEIF([1]!Company_Data_China[Industry Group],F688,[1]!Company_Data_China[EV/Sales])</f>
        <v>#REF!</v>
      </c>
      <c r="H688" t="e">
        <f t="array" ref="H688">MEDIAN(IF([1]!Company_Data_China[Industry Group]=F688,[1]!Company_Data_China[EV/Sales],""))</f>
        <v>#REF!</v>
      </c>
      <c r="J688" s="143" t="s">
        <v>397</v>
      </c>
      <c r="K688" s="4" t="e">
        <f>AVERAGEIF([2]!Company_Data_Europe[Industry Group],J688,[2]!Company_Data_Europe[EV/Sales])</f>
        <v>#REF!</v>
      </c>
      <c r="L688" t="e">
        <f t="array" ref="L688">MEDIAN(IF([2]!Company_Data_Europe[Industry Group]=J688,[2]!Company_Data_Europe[EV/Sales],""))</f>
        <v>#REF!</v>
      </c>
      <c r="N688" s="143" t="s">
        <v>397</v>
      </c>
      <c r="O688" s="4" t="e">
        <f>AVERAGEIF([3]!Company_Data_India[Industry Group],N688,[3]!Company_Data_India[EV/Sales])</f>
        <v>#REF!</v>
      </c>
      <c r="P688" t="e">
        <f t="array" ref="P688">MEDIAN(IF([3]!Company_Data_India[Industry Group]=N688,[3]!Company_Data_India[EV/Sales],""))</f>
        <v>#REF!</v>
      </c>
    </row>
    <row r="689" spans="2:16" ht="15.75">
      <c r="B689" t="s">
        <v>402</v>
      </c>
      <c r="C689" t="e">
        <v>#DIV/0!</v>
      </c>
      <c r="D689" t="e">
        <v>#NUM!</v>
      </c>
      <c r="F689" s="123" t="s">
        <v>402</v>
      </c>
      <c r="G689" s="4" t="e">
        <f t="array" ref="G689">AVERAGEIF([1]!Company_Data_China[Industry Group],F689,[1]!Company_Data_China[EV/Sales])</f>
        <v>#REF!</v>
      </c>
      <c r="H689" t="e">
        <f t="array" ref="H689">MEDIAN(IF([1]!Company_Data_China[Industry Group]=F689,[1]!Company_Data_China[EV/Sales],""))</f>
        <v>#REF!</v>
      </c>
      <c r="J689" s="123" t="s">
        <v>402</v>
      </c>
      <c r="K689" s="4" t="e">
        <f>AVERAGEIF([2]!Company_Data_Europe[Industry Group],J689,[2]!Company_Data_Europe[EV/Sales])</f>
        <v>#REF!</v>
      </c>
      <c r="L689" t="e">
        <f t="array" ref="L689">MEDIAN(IF([2]!Company_Data_Europe[Industry Group]=J689,[2]!Company_Data_Europe[EV/Sales],""))</f>
        <v>#REF!</v>
      </c>
      <c r="N689" s="123" t="s">
        <v>402</v>
      </c>
      <c r="O689" s="4" t="e">
        <f>AVERAGEIF([3]!Company_Data_India[Industry Group],N689,[3]!Company_Data_India[EV/Sales])</f>
        <v>#REF!</v>
      </c>
      <c r="P689" t="e">
        <f t="array" ref="P689">MEDIAN(IF([3]!Company_Data_India[Industry Group]=N689,[3]!Company_Data_India[EV/Sales],""))</f>
        <v>#REF!</v>
      </c>
    </row>
    <row r="690" spans="2:16">
      <c r="B690" t="s">
        <v>404</v>
      </c>
      <c r="C690" t="e">
        <v>#DIV/0!</v>
      </c>
      <c r="D690" t="e">
        <v>#NUM!</v>
      </c>
      <c r="F690" s="143" t="s">
        <v>404</v>
      </c>
      <c r="G690" s="4" t="e">
        <f t="array" ref="G690">AVERAGEIF([1]!Company_Data_China[Industry Group],F690,[1]!Company_Data_China[EV/Sales])</f>
        <v>#REF!</v>
      </c>
      <c r="H690" t="e">
        <f t="array" ref="H690">MEDIAN(IF([1]!Company_Data_China[Industry Group]=F690,[1]!Company_Data_China[EV/Sales],""))</f>
        <v>#REF!</v>
      </c>
      <c r="J690" s="143" t="s">
        <v>404</v>
      </c>
      <c r="K690" s="4" t="e">
        <f>AVERAGEIF([2]!Company_Data_Europe[Industry Group],J690,[2]!Company_Data_Europe[EV/Sales])</f>
        <v>#REF!</v>
      </c>
      <c r="L690" t="e">
        <f t="array" ref="L690">MEDIAN(IF([2]!Company_Data_Europe[Industry Group]=J690,[2]!Company_Data_Europe[EV/Sales],""))</f>
        <v>#REF!</v>
      </c>
      <c r="N690" s="143" t="s">
        <v>404</v>
      </c>
      <c r="O690" s="4" t="e">
        <f>AVERAGEIF([3]!Company_Data_India[Industry Group],N690,[3]!Company_Data_India[EV/Sales])</f>
        <v>#REF!</v>
      </c>
      <c r="P690" t="e">
        <f t="array" ref="P690">MEDIAN(IF([3]!Company_Data_India[Industry Group]=N690,[3]!Company_Data_India[EV/Sales],""))</f>
        <v>#REF!</v>
      </c>
    </row>
    <row r="691" spans="2:16">
      <c r="B691" t="s">
        <v>399</v>
      </c>
      <c r="C691">
        <v>55.613114099740841</v>
      </c>
      <c r="D691">
        <v>1.2196399563239018</v>
      </c>
      <c r="F691" s="142" t="s">
        <v>399</v>
      </c>
      <c r="G691" s="4" t="e">
        <f t="array" ref="G691">AVERAGEIF([1]!Company_Data_China[Industry Group],F691,[1]!Company_Data_China[EV/Sales])</f>
        <v>#REF!</v>
      </c>
      <c r="H691" t="e">
        <f t="array" ref="H691">MEDIAN(IF([1]!Company_Data_China[Industry Group]=F691,[1]!Company_Data_China[EV/Sales],""))</f>
        <v>#REF!</v>
      </c>
      <c r="J691" s="142" t="s">
        <v>399</v>
      </c>
      <c r="K691" s="4" t="e">
        <f>AVERAGEIF([2]!Company_Data_Europe[Industry Group],J691,[2]!Company_Data_Europe[EV/Sales])</f>
        <v>#REF!</v>
      </c>
      <c r="L691" t="e">
        <f t="array" ref="L691">MEDIAN(IF([2]!Company_Data_Europe[Industry Group]=J691,[2]!Company_Data_Europe[EV/Sales],""))</f>
        <v>#REF!</v>
      </c>
      <c r="N691" s="142" t="s">
        <v>399</v>
      </c>
      <c r="O691" s="4" t="e">
        <f>AVERAGEIF([3]!Company_Data_India[Industry Group],N691,[3]!Company_Data_India[EV/Sales])</f>
        <v>#REF!</v>
      </c>
      <c r="P691" t="e">
        <f t="array" ref="P691">MEDIAN(IF([3]!Company_Data_India[Industry Group]=N691,[3]!Company_Data_India[EV/Sales],""))</f>
        <v>#REF!</v>
      </c>
    </row>
    <row r="692" spans="2:16">
      <c r="B692" t="s">
        <v>400</v>
      </c>
      <c r="C692">
        <v>2.6753086469257354</v>
      </c>
      <c r="D692">
        <v>2.3983425846432551</v>
      </c>
      <c r="F692" s="143" t="s">
        <v>400</v>
      </c>
      <c r="G692" s="4" t="e">
        <f t="array" ref="G692">AVERAGEIF([1]!Company_Data_China[Industry Group],F692,[1]!Company_Data_China[EV/Sales])</f>
        <v>#REF!</v>
      </c>
      <c r="H692" t="e">
        <f t="array" ref="H692">MEDIAN(IF([1]!Company_Data_China[Industry Group]=F692,[1]!Company_Data_China[EV/Sales],""))</f>
        <v>#REF!</v>
      </c>
      <c r="J692" s="143" t="s">
        <v>400</v>
      </c>
      <c r="K692" s="4" t="e">
        <f>AVERAGEIF([2]!Company_Data_Europe[Industry Group],J692,[2]!Company_Data_Europe[EV/Sales])</f>
        <v>#REF!</v>
      </c>
      <c r="L692" t="e">
        <f t="array" ref="L692">MEDIAN(IF([2]!Company_Data_Europe[Industry Group]=J692,[2]!Company_Data_Europe[EV/Sales],""))</f>
        <v>#REF!</v>
      </c>
      <c r="N692" s="143" t="s">
        <v>400</v>
      </c>
      <c r="O692" s="4" t="e">
        <f>AVERAGEIF([3]!Company_Data_India[Industry Group],N692,[3]!Company_Data_India[EV/Sales])</f>
        <v>#REF!</v>
      </c>
      <c r="P692" t="e">
        <f t="array" ref="P692">MEDIAN(IF([3]!Company_Data_India[Industry Group]=N692,[3]!Company_Data_India[EV/Sales],""))</f>
        <v>#REF!</v>
      </c>
    </row>
    <row r="693" spans="2:16">
      <c r="B693" t="s">
        <v>401</v>
      </c>
      <c r="C693">
        <v>722.91466763900507</v>
      </c>
      <c r="D693">
        <v>4.6324313627398626</v>
      </c>
      <c r="F693" s="142" t="s">
        <v>401</v>
      </c>
      <c r="G693" s="4" t="e">
        <f t="array" ref="G693">AVERAGEIF([1]!Company_Data_China[Industry Group],F693,[1]!Company_Data_China[EV/Sales])</f>
        <v>#REF!</v>
      </c>
      <c r="H693" t="e">
        <f t="array" ref="H693">MEDIAN(IF([1]!Company_Data_China[Industry Group]=F693,[1]!Company_Data_China[EV/Sales],""))</f>
        <v>#REF!</v>
      </c>
      <c r="J693" s="142" t="s">
        <v>401</v>
      </c>
      <c r="K693" s="4" t="e">
        <f>AVERAGEIF([2]!Company_Data_Europe[Industry Group],J693,[2]!Company_Data_Europe[EV/Sales])</f>
        <v>#REF!</v>
      </c>
      <c r="L693" t="e">
        <f t="array" ref="L693">MEDIAN(IF([2]!Company_Data_Europe[Industry Group]=J693,[2]!Company_Data_Europe[EV/Sales],""))</f>
        <v>#REF!</v>
      </c>
      <c r="N693" s="142" t="s">
        <v>401</v>
      </c>
      <c r="O693" s="4" t="e">
        <f>AVERAGEIF([3]!Company_Data_India[Industry Group],N693,[3]!Company_Data_India[EV/Sales])</f>
        <v>#REF!</v>
      </c>
      <c r="P693" t="e">
        <f t="array" ref="P693">MEDIAN(IF([3]!Company_Data_India[Industry Group]=N693,[3]!Company_Data_India[EV/Sales],""))</f>
        <v>#REF!</v>
      </c>
    </row>
  </sheetData>
  <mergeCells count="8">
    <mergeCell ref="B2:B4"/>
    <mergeCell ref="B595:D595"/>
    <mergeCell ref="A406:B406"/>
    <mergeCell ref="A208:B208"/>
    <mergeCell ref="A108:B108"/>
    <mergeCell ref="A307:C307"/>
    <mergeCell ref="A503:B503"/>
    <mergeCell ref="A594:C594"/>
  </mergeCells>
  <hyperlinks>
    <hyperlink ref="D3" location="Summary!B3" display="Summary"/>
    <hyperlink ref="F3" location="Investments!B3" display="Investments"/>
    <hyperlink ref="G3" location="'Country &amp; region data'!B3" display="Country &amp; region"/>
    <hyperlink ref="E3" location="'Models &amp; inputs'!B3" display="Models &amp;  inputs"/>
    <hyperlink ref="B7" location="'Industry averages'!B10" display="Global averages"/>
    <hyperlink ref="C7" location="'Industry averages'!B108" display="US averages"/>
    <hyperlink ref="D7" location="'Industry averages'!B208" display="Europe averages"/>
    <hyperlink ref="E7" location="'Industry averages'!B307" display="Emerging markets"/>
    <hyperlink ref="F7" location="'Industry averages'!B406" display="China averages"/>
    <hyperlink ref="G7" location="'Industry averages'!B503" display="India"/>
    <hyperlink ref="H7" location="'Industry averages'!B594" display="EV/Sales per market and sector"/>
  </hyperlinks>
  <pageMargins left="0.7" right="0.7" top="0.75" bottom="0.75" header="0.3" footer="0.3"/>
  <tableParts count="10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4"/>
  <dimension ref="B1:AM271"/>
  <sheetViews>
    <sheetView showGridLines="0" workbookViewId="0">
      <pane xSplit="2" ySplit="7" topLeftCell="C137" activePane="bottomRight" state="frozen"/>
      <selection pane="topRight" activeCell="C1" sqref="C1"/>
      <selection pane="bottomLeft" activeCell="A8" sqref="A8"/>
      <selection pane="bottomRight" activeCell="F141" sqref="F141"/>
    </sheetView>
  </sheetViews>
  <sheetFormatPr defaultRowHeight="15"/>
  <cols>
    <col min="1" max="1" width="2.28515625" customWidth="1"/>
    <col min="2" max="2" width="22.85546875" bestFit="1" customWidth="1"/>
    <col min="3" max="3" width="21.5703125" customWidth="1"/>
    <col min="4" max="9" width="23.5703125" customWidth="1"/>
    <col min="10" max="10" width="9.42578125" customWidth="1"/>
    <col min="11" max="11" width="13.28515625" bestFit="1" customWidth="1"/>
    <col min="12" max="13" width="16.42578125" customWidth="1"/>
    <col min="14" max="14" width="13.85546875" customWidth="1"/>
    <col min="15" max="15" width="16.7109375" bestFit="1" customWidth="1"/>
    <col min="17" max="22" width="11" customWidth="1"/>
    <col min="33" max="33" width="16.7109375" customWidth="1"/>
    <col min="34" max="34" width="10.5703125" customWidth="1"/>
    <col min="37" max="38" width="9.42578125" customWidth="1"/>
  </cols>
  <sheetData>
    <row r="1" spans="2:39" ht="4.5" customHeight="1">
      <c r="B1" s="1"/>
    </row>
    <row r="2" spans="2:39" s="2" customFormat="1" ht="9.75" customHeight="1">
      <c r="B2" s="164" t="s">
        <v>205</v>
      </c>
    </row>
    <row r="3" spans="2:39" s="2" customFormat="1" ht="57" customHeight="1" thickBot="1">
      <c r="B3" s="164"/>
      <c r="C3" s="23"/>
      <c r="D3" s="25" t="s">
        <v>206</v>
      </c>
      <c r="E3" s="25" t="s">
        <v>243</v>
      </c>
      <c r="F3" s="26" t="s">
        <v>207</v>
      </c>
      <c r="G3" s="26" t="s">
        <v>208</v>
      </c>
      <c r="H3" s="24"/>
      <c r="I3" s="22"/>
      <c r="J3" s="22"/>
      <c r="K3" s="22"/>
      <c r="L3" s="22"/>
      <c r="M3" s="22"/>
      <c r="N3" s="22"/>
    </row>
    <row r="4" spans="2:39" s="2" customFormat="1" ht="9.75" customHeight="1" thickTop="1">
      <c r="B4" s="164"/>
    </row>
    <row r="5" spans="2:39" ht="7.5" customHeight="1">
      <c r="B5" s="1"/>
    </row>
    <row r="6" spans="2:39" ht="15.75" thickBot="1">
      <c r="D6" s="27" t="s">
        <v>198</v>
      </c>
      <c r="E6" s="27"/>
      <c r="F6" s="17" t="s">
        <v>214</v>
      </c>
      <c r="G6" s="17"/>
      <c r="H6" s="10" t="s">
        <v>196</v>
      </c>
      <c r="I6" s="10"/>
      <c r="J6" s="18" t="s">
        <v>199</v>
      </c>
      <c r="K6" s="18"/>
      <c r="L6" s="18"/>
      <c r="M6" s="18"/>
      <c r="N6" s="19" t="s">
        <v>228</v>
      </c>
      <c r="O6" s="19"/>
      <c r="P6" s="19"/>
      <c r="Q6" s="19"/>
      <c r="R6" s="19"/>
      <c r="S6" s="19"/>
      <c r="T6" s="19"/>
      <c r="U6" s="19"/>
      <c r="V6" s="15" t="s">
        <v>197</v>
      </c>
      <c r="W6" s="15"/>
    </row>
    <row r="7" spans="2:39" ht="29.25" customHeight="1" thickBot="1">
      <c r="B7" s="11" t="s">
        <v>3</v>
      </c>
      <c r="C7" s="12" t="s">
        <v>202</v>
      </c>
      <c r="D7" s="13" t="s">
        <v>226</v>
      </c>
      <c r="E7" s="13" t="s">
        <v>225</v>
      </c>
      <c r="F7" s="13" t="s">
        <v>220</v>
      </c>
      <c r="G7" s="13" t="s">
        <v>204</v>
      </c>
      <c r="H7" s="14" t="s">
        <v>0</v>
      </c>
      <c r="I7" s="14" t="s">
        <v>2</v>
      </c>
      <c r="J7" s="14" t="s">
        <v>1</v>
      </c>
      <c r="K7" s="14" t="s">
        <v>203</v>
      </c>
      <c r="L7" s="14" t="s">
        <v>200</v>
      </c>
      <c r="M7" s="14" t="s">
        <v>201</v>
      </c>
      <c r="N7" s="14" t="s">
        <v>212</v>
      </c>
      <c r="O7" s="14" t="s">
        <v>215</v>
      </c>
      <c r="P7" s="14" t="s">
        <v>211</v>
      </c>
      <c r="Q7" s="14" t="s">
        <v>213</v>
      </c>
      <c r="R7" s="14" t="s">
        <v>216</v>
      </c>
      <c r="S7" s="14" t="s">
        <v>217</v>
      </c>
      <c r="T7" s="14" t="s">
        <v>218</v>
      </c>
      <c r="U7" s="14" t="s">
        <v>223</v>
      </c>
      <c r="V7" s="14" t="s">
        <v>195</v>
      </c>
      <c r="W7" s="14" t="s">
        <v>222</v>
      </c>
      <c r="X7" s="14" t="s">
        <v>194</v>
      </c>
      <c r="AC7" s="3" t="s">
        <v>43</v>
      </c>
      <c r="AD7" s="14" t="s">
        <v>44</v>
      </c>
      <c r="AE7" s="3" t="s">
        <v>227</v>
      </c>
      <c r="AG7" t="s">
        <v>293</v>
      </c>
      <c r="AH7" t="s">
        <v>294</v>
      </c>
      <c r="AI7" t="s">
        <v>289</v>
      </c>
      <c r="AJ7" t="s">
        <v>290</v>
      </c>
      <c r="AK7" t="s">
        <v>291</v>
      </c>
      <c r="AL7" t="s">
        <v>292</v>
      </c>
    </row>
    <row r="8" spans="2:39">
      <c r="B8" s="4" t="s">
        <v>45</v>
      </c>
      <c r="C8" s="4" t="s">
        <v>239</v>
      </c>
      <c r="D8" s="29" t="str">
        <f>IFERROR(Country_Data[[#This Row],[StD of equity market]]/Country_Data[[#This Row],[StD for bond]]*VLOOKUP(Country_Data[[#This Row],[Moody''s]],Rating_to_spread_Moody[],3,FALSE),"")</f>
        <v/>
      </c>
      <c r="E8" s="31" t="str">
        <f>IF(Country_Data[[#This Row],[10 year $ yield]]="","",IFERROR(Country_Data[[#This Row],[Default spread on $ bonds]]*Country_Data[[#This Row],[StD of equity market]]/Country_Data[[#This Row],[StD for bond]],"Error"))</f>
        <v/>
      </c>
      <c r="F8" s="31" t="str">
        <f>IFERROR(Country_Data[[#This Row],[10 year yield]]-VLOOKUP(Country_Data[[#This Row],[Moody''s local]],Rating_to_spread_Moody[],3,FALSE),"")</f>
        <v/>
      </c>
      <c r="G8" s="31"/>
      <c r="H8" t="str">
        <f>IFERROR(VLOOKUP(Country_Data[[#This Row],[Entity]],Ratings_Raw_SP[],2,FALSE),"")</f>
        <v>AA</v>
      </c>
      <c r="I8" t="str">
        <f>IFERROR(VLOOKUP(Country_Data[[#This Row],[Entity]],Ratings_Raw_Fitch[],2,FALSE),"-")</f>
        <v>-</v>
      </c>
      <c r="J8" t="str">
        <f>IFERROR(VLOOKUP(Country_Data[[#This Row],[Entity]],Ratings_Raw_Moodys[],2,FALSE),"-")</f>
        <v>-</v>
      </c>
      <c r="L8" s="3" t="s">
        <v>5</v>
      </c>
      <c r="M8" s="3" t="s">
        <v>5</v>
      </c>
      <c r="N8" s="28"/>
      <c r="O8" s="28"/>
      <c r="P8" s="28"/>
      <c r="Q8" s="28"/>
      <c r="R8" s="28"/>
      <c r="S8" s="28"/>
      <c r="T8" s="28"/>
      <c r="U8" s="28"/>
      <c r="V8" s="28" t="str">
        <f>IF(Country_Data[[#This Row],[10 year $ yield]]="","",Country_Data[[#This Row],[10 year $ yield]]-VLOOKUP("United States",Country_Data[],15,FALSE))</f>
        <v/>
      </c>
      <c r="W8" s="16"/>
      <c r="X8" s="20"/>
      <c r="AC8" s="3" t="s">
        <v>24</v>
      </c>
      <c r="AD8" s="3">
        <v>0</v>
      </c>
      <c r="AE8" s="28">
        <f>Rating_to_spread_Moody[[#This Row],[Default spread in basis points]]/10000</f>
        <v>0</v>
      </c>
      <c r="AG8" s="69" t="s">
        <v>24</v>
      </c>
      <c r="AH8" t="s">
        <v>10</v>
      </c>
      <c r="AI8" s="21">
        <v>5.0000000000000001E-4</v>
      </c>
      <c r="AJ8" s="21">
        <v>1.8E-3</v>
      </c>
      <c r="AK8" s="21">
        <v>4.1999999999999997E-3</v>
      </c>
      <c r="AL8" s="21">
        <v>6.4999999999999997E-3</v>
      </c>
      <c r="AM8" t="s">
        <v>296</v>
      </c>
    </row>
    <row r="9" spans="2:39">
      <c r="B9" s="5" t="s">
        <v>46</v>
      </c>
      <c r="C9" s="5" t="s">
        <v>242</v>
      </c>
      <c r="D9" s="21" t="str">
        <f>IFERROR(Country_Data[[#This Row],[StD of equity market]]/Country_Data[[#This Row],[StD for bond]]*VLOOKUP(Country_Data[[#This Row],[Moody''s]],Rating_to_spread_Moody[],3,FALSE),"")</f>
        <v/>
      </c>
      <c r="E9" s="32" t="str">
        <f>IF(Country_Data[[#This Row],[10 year $ yield]]="","",IFERROR(Country_Data[[#This Row],[Default spread on $ bonds]]*Country_Data[[#This Row],[StD of equity market]]/Country_Data[[#This Row],[StD for bond]],"Error"))</f>
        <v/>
      </c>
      <c r="F9" s="32" t="str">
        <f>IFERROR(Country_Data[[#This Row],[10 year yield]]-VLOOKUP(Country_Data[[#This Row],[Moody''s local]],Rating_to_spread_Moody[],3,FALSE),"")</f>
        <v/>
      </c>
      <c r="G9" s="32"/>
      <c r="H9" t="str">
        <f>IFERROR(VLOOKUP(Country_Data[[#This Row],[Entity]],Ratings_Raw_SP[],2,FALSE),"")</f>
        <v>B+</v>
      </c>
      <c r="I9" t="str">
        <f>IFERROR(VLOOKUP(Country_Data[[#This Row],[Entity]],Ratings_Raw_Fitch[],2,FALSE),"-")</f>
        <v>-</v>
      </c>
      <c r="J9" t="str">
        <f>IFERROR(VLOOKUP(Country_Data[[#This Row],[Entity]],Ratings_Raw_Moodys[],2,FALSE),"-")</f>
        <v>B1</v>
      </c>
      <c r="L9" s="3" t="s">
        <v>7</v>
      </c>
      <c r="M9" s="3" t="s">
        <v>7</v>
      </c>
      <c r="N9" s="28"/>
      <c r="O9" s="28"/>
      <c r="P9" s="28"/>
      <c r="Q9" s="28"/>
      <c r="R9" s="28"/>
      <c r="S9" s="28"/>
      <c r="T9" s="28"/>
      <c r="U9" s="28"/>
      <c r="V9" s="28" t="str">
        <f>IF(Country_Data[[#This Row],[10 year $ yield]]="","",Country_Data[[#This Row],[10 year $ yield]]-VLOOKUP("United States",Country_Data[],15,FALSE))</f>
        <v/>
      </c>
      <c r="W9" s="16"/>
      <c r="X9" s="20"/>
      <c r="AC9" s="3" t="s">
        <v>25</v>
      </c>
      <c r="AD9" s="3">
        <v>25</v>
      </c>
      <c r="AE9" s="28">
        <f>Rating_to_spread_Moody[[#This Row],[Default spread in basis points]]/10000</f>
        <v>2.5000000000000001E-3</v>
      </c>
      <c r="AG9" s="70" t="s">
        <v>25</v>
      </c>
      <c r="AH9" t="s">
        <v>6</v>
      </c>
      <c r="AI9" s="21">
        <v>1.1000000000000001E-3</v>
      </c>
      <c r="AJ9" s="21">
        <v>3.7000000000000002E-3</v>
      </c>
      <c r="AK9" s="21">
        <v>5.7000000000000002E-3</v>
      </c>
      <c r="AL9" s="21">
        <v>8.2000000000000007E-3</v>
      </c>
    </row>
    <row r="10" spans="2:39">
      <c r="B10" s="4" t="s">
        <v>47</v>
      </c>
      <c r="C10" s="4" t="s">
        <v>240</v>
      </c>
      <c r="D10" s="29" t="str">
        <f>IFERROR(Country_Data[[#This Row],[StD of equity market]]/Country_Data[[#This Row],[StD for bond]]*VLOOKUP(Country_Data[[#This Row],[Moody''s]],Rating_to_spread_Moody[],3,FALSE),"")</f>
        <v/>
      </c>
      <c r="E10" s="31" t="str">
        <f>IF(Country_Data[[#This Row],[10 year $ yield]]="","",IFERROR(Country_Data[[#This Row],[Default spread on $ bonds]]*Country_Data[[#This Row],[StD of equity market]]/Country_Data[[#This Row],[StD for bond]],"Error"))</f>
        <v/>
      </c>
      <c r="F10" s="31" t="str">
        <f>IFERROR(Country_Data[[#This Row],[10 year yield]]-VLOOKUP(Country_Data[[#This Row],[Moody''s local]],Rating_to_spread_Moody[],3,FALSE),"")</f>
        <v/>
      </c>
      <c r="G10" s="31"/>
      <c r="H10" t="str">
        <f>IFERROR(VLOOKUP(Country_Data[[#This Row],[Entity]],Ratings_Raw_SP[],2,FALSE),"")</f>
        <v>A-</v>
      </c>
      <c r="I10" t="str">
        <f>IFERROR(VLOOKUP(Country_Data[[#This Row],[Entity]],Ratings_Raw_Fitch[],2,FALSE),"-")</f>
        <v>-</v>
      </c>
      <c r="J10" t="str">
        <f>IFERROR(VLOOKUP(Country_Data[[#This Row],[Entity]],Ratings_Raw_Moodys[],2,FALSE),"-")</f>
        <v>-</v>
      </c>
      <c r="L10" s="3" t="s">
        <v>9</v>
      </c>
      <c r="M10" s="3" t="s">
        <v>9</v>
      </c>
      <c r="N10" s="28"/>
      <c r="O10" s="28"/>
      <c r="P10" s="28"/>
      <c r="Q10" s="28"/>
      <c r="R10" s="28"/>
      <c r="S10" s="28"/>
      <c r="T10" s="28"/>
      <c r="U10" s="28"/>
      <c r="V10" s="28" t="str">
        <f>IF(Country_Data[[#This Row],[10 year $ yield]]="","",Country_Data[[#This Row],[10 year $ yield]]-VLOOKUP("United States",Country_Data[],15,FALSE))</f>
        <v/>
      </c>
      <c r="W10" s="16"/>
      <c r="X10" s="20"/>
      <c r="AC10" s="3" t="s">
        <v>26</v>
      </c>
      <c r="AD10" s="3">
        <v>50</v>
      </c>
      <c r="AE10" s="28">
        <f>Rating_to_spread_Moody[[#This Row],[Default spread in basis points]]/10000</f>
        <v>5.0000000000000001E-3</v>
      </c>
      <c r="AG10" s="69" t="s">
        <v>26</v>
      </c>
      <c r="AH10" t="s">
        <v>5</v>
      </c>
      <c r="AI10" s="21">
        <v>1.6000000000000001E-3</v>
      </c>
      <c r="AJ10" s="21">
        <v>5.4999999999999997E-3</v>
      </c>
      <c r="AK10" s="21">
        <v>7.1000000000000004E-3</v>
      </c>
      <c r="AL10" s="21">
        <v>9.7999999999999997E-3</v>
      </c>
    </row>
    <row r="11" spans="2:39">
      <c r="B11" s="5" t="s">
        <v>48</v>
      </c>
      <c r="C11" s="5" t="s">
        <v>232</v>
      </c>
      <c r="D11" s="21" t="str">
        <f>IFERROR(Country_Data[[#This Row],[StD of equity market]]/Country_Data[[#This Row],[StD for bond]]*VLOOKUP(Country_Data[[#This Row],[Moody''s]],Rating_to_spread_Moody[],3,FALSE),"")</f>
        <v/>
      </c>
      <c r="E11" s="32" t="str">
        <f>IF(Country_Data[[#This Row],[10 year $ yield]]="","",IFERROR(Country_Data[[#This Row],[Default spread on $ bonds]]*Country_Data[[#This Row],[StD of equity market]]/Country_Data[[#This Row],[StD for bond]],"Error"))</f>
        <v/>
      </c>
      <c r="F11" s="32" t="str">
        <f>IFERROR(Country_Data[[#This Row],[10 year yield]]-VLOOKUP(Country_Data[[#This Row],[Moody''s local]],Rating_to_spread_Moody[],3,FALSE),"")</f>
        <v/>
      </c>
      <c r="G11" s="32"/>
      <c r="H11" t="str">
        <f>IFERROR(VLOOKUP(Country_Data[[#This Row],[Entity]],Ratings_Raw_SP[],2,FALSE),"")</f>
        <v>BB-</v>
      </c>
      <c r="I11" t="str">
        <f>IFERROR(VLOOKUP(Country_Data[[#This Row],[Entity]],Ratings_Raw_Fitch[],2,FALSE),"-")</f>
        <v>BB-</v>
      </c>
      <c r="J11" t="str">
        <f>IFERROR(VLOOKUP(Country_Data[[#This Row],[Entity]],Ratings_Raw_Moodys[],2,FALSE),"-")</f>
        <v>Ba3</v>
      </c>
      <c r="L11" s="3" t="s">
        <v>8</v>
      </c>
      <c r="M11" s="3" t="s">
        <v>8</v>
      </c>
      <c r="N11" s="28"/>
      <c r="O11" s="28"/>
      <c r="P11" s="28"/>
      <c r="Q11" s="28"/>
      <c r="R11" s="28"/>
      <c r="S11" s="28"/>
      <c r="T11" s="28"/>
      <c r="U11" s="28"/>
      <c r="V11" s="28" t="str">
        <f>IF(Country_Data[[#This Row],[10 year $ yield]]="","",Country_Data[[#This Row],[10 year $ yield]]-VLOOKUP("United States",Country_Data[],15,FALSE))</f>
        <v/>
      </c>
      <c r="W11" s="16"/>
      <c r="X11" s="20"/>
      <c r="AC11" s="3" t="s">
        <v>27</v>
      </c>
      <c r="AD11" s="3">
        <v>70</v>
      </c>
      <c r="AE11" s="28">
        <f>Rating_to_spread_Moody[[#This Row],[Default spread in basis points]]/10000</f>
        <v>7.0000000000000001E-3</v>
      </c>
      <c r="AG11" s="70" t="s">
        <v>27</v>
      </c>
      <c r="AH11" t="s">
        <v>17</v>
      </c>
      <c r="AI11" s="21">
        <v>2.2000000000000001E-3</v>
      </c>
      <c r="AJ11" s="21">
        <v>6.0000000000000001E-3</v>
      </c>
      <c r="AK11" s="21">
        <v>7.4999999999999997E-3</v>
      </c>
      <c r="AL11" s="21">
        <v>9.9000000000000008E-3</v>
      </c>
    </row>
    <row r="12" spans="2:39">
      <c r="B12" s="4" t="s">
        <v>49</v>
      </c>
      <c r="C12" t="s">
        <v>237</v>
      </c>
      <c r="D12" s="29" t="str">
        <f>IFERROR(Country_Data[[#This Row],[StD of equity market]]/Country_Data[[#This Row],[StD for bond]]*VLOOKUP(Country_Data[[#This Row],[Moody''s]],Rating_to_spread_Moody[],3,FALSE),"")</f>
        <v/>
      </c>
      <c r="E12" s="31" t="str">
        <f>IF(Country_Data[[#This Row],[10 year $ yield]]="","",IFERROR(Country_Data[[#This Row],[Default spread on $ bonds]]*Country_Data[[#This Row],[StD of equity market]]/Country_Data[[#This Row],[StD for bond]],"Error"))</f>
        <v/>
      </c>
      <c r="F12" s="31" t="str">
        <f>IFERROR(Country_Data[[#This Row],[10 year yield]]-VLOOKUP(Country_Data[[#This Row],[Moody''s local]],Rating_to_spread_Moody[],3,FALSE),"")</f>
        <v/>
      </c>
      <c r="G12" s="31"/>
      <c r="H12" t="str">
        <f>IFERROR(VLOOKUP(Country_Data[[#This Row],[Entity]],Ratings_Raw_SP[],2,FALSE),"")</f>
        <v>SD</v>
      </c>
      <c r="I12" t="str">
        <f>IFERROR(VLOOKUP(Country_Data[[#This Row],[Entity]],Ratings_Raw_Fitch[],2,FALSE),"-")</f>
        <v>RD</v>
      </c>
      <c r="J12" t="str">
        <f>IFERROR(VLOOKUP(Country_Data[[#This Row],[Entity]],Ratings_Raw_Moodys[],2,FALSE),"-")</f>
        <v>Caa1</v>
      </c>
      <c r="L12" s="3" t="s">
        <v>11</v>
      </c>
      <c r="M12" s="3" t="s">
        <v>12</v>
      </c>
      <c r="N12" s="28"/>
      <c r="O12" s="28"/>
      <c r="P12" s="28"/>
      <c r="Q12" s="28"/>
      <c r="R12" s="28"/>
      <c r="S12" s="28"/>
      <c r="T12" s="28"/>
      <c r="U12" s="28"/>
      <c r="V12" s="28" t="str">
        <f>IF(Country_Data[[#This Row],[10 year $ yield]]="","",Country_Data[[#This Row],[10 year $ yield]]-VLOOKUP("United States",Country_Data[],15,FALSE))</f>
        <v/>
      </c>
      <c r="W12" s="16"/>
      <c r="X12" s="20"/>
      <c r="AC12" s="3" t="s">
        <v>28</v>
      </c>
      <c r="AD12" s="3">
        <v>85</v>
      </c>
      <c r="AE12" s="28">
        <f>Rating_to_spread_Moody[[#This Row],[Default spread in basis points]]/10000</f>
        <v>8.5000000000000006E-3</v>
      </c>
      <c r="AG12" s="69" t="s">
        <v>28</v>
      </c>
      <c r="AH12" t="s">
        <v>19</v>
      </c>
      <c r="AI12" s="21">
        <v>2.5999999999999999E-3</v>
      </c>
      <c r="AJ12" s="21">
        <v>6.4999999999999997E-3</v>
      </c>
      <c r="AK12" s="21">
        <v>7.7999999999999996E-3</v>
      </c>
      <c r="AL12" s="21">
        <v>0.01</v>
      </c>
    </row>
    <row r="13" spans="2:39">
      <c r="B13" s="5" t="s">
        <v>50</v>
      </c>
      <c r="C13" t="s">
        <v>236</v>
      </c>
      <c r="D13" s="21" t="str">
        <f>IFERROR(Country_Data[[#This Row],[StD of equity market]]/Country_Data[[#This Row],[StD for bond]]*VLOOKUP(Country_Data[[#This Row],[Moody''s]],Rating_to_spread_Moody[],3,FALSE),"")</f>
        <v/>
      </c>
      <c r="E13" s="32" t="str">
        <f>IF(Country_Data[[#This Row],[10 year $ yield]]="","",IFERROR(Country_Data[[#This Row],[Default spread on $ bonds]]*Country_Data[[#This Row],[StD of equity market]]/Country_Data[[#This Row],[StD for bond]],"Error"))</f>
        <v/>
      </c>
      <c r="F13" s="32" t="str">
        <f>IFERROR(Country_Data[[#This Row],[10 year yield]]-VLOOKUP(Country_Data[[#This Row],[Moody''s local]],Rating_to_spread_Moody[],3,FALSE),"")</f>
        <v/>
      </c>
      <c r="G13" s="32"/>
      <c r="H13" t="str">
        <f>IFERROR(VLOOKUP(Country_Data[[#This Row],[Entity]],Ratings_Raw_SP[],2,FALSE),"")</f>
        <v>A-</v>
      </c>
      <c r="I13" t="str">
        <f>IFERROR(VLOOKUP(Country_Data[[#This Row],[Entity]],Ratings_Raw_Fitch[],2,FALSE),"-")</f>
        <v>BBB</v>
      </c>
      <c r="J13" t="str">
        <f>IFERROR(VLOOKUP(Country_Data[[#This Row],[Entity]],Ratings_Raw_Moodys[],2,FALSE),"-")</f>
        <v>-</v>
      </c>
      <c r="L13" s="3" t="s">
        <v>13</v>
      </c>
      <c r="M13" s="3" t="s">
        <v>13</v>
      </c>
      <c r="N13" s="28"/>
      <c r="O13" s="28"/>
      <c r="P13" s="28"/>
      <c r="Q13" s="28"/>
      <c r="R13" s="28"/>
      <c r="S13" s="28"/>
      <c r="T13" s="28"/>
      <c r="U13" s="28"/>
      <c r="V13" s="28" t="str">
        <f>IF(Country_Data[[#This Row],[10 year $ yield]]="","",Country_Data[[#This Row],[10 year $ yield]]-VLOOKUP("United States",Country_Data[],15,FALSE))</f>
        <v/>
      </c>
      <c r="W13" s="16"/>
      <c r="X13" s="20"/>
      <c r="AC13" s="3" t="s">
        <v>29</v>
      </c>
      <c r="AD13" s="3">
        <v>100</v>
      </c>
      <c r="AE13" s="28">
        <f>Rating_to_spread_Moody[[#This Row],[Default spread in basis points]]/10000</f>
        <v>0.01</v>
      </c>
      <c r="AG13" s="70" t="s">
        <v>29</v>
      </c>
      <c r="AH13" t="s">
        <v>4</v>
      </c>
      <c r="AI13" s="21">
        <v>3.3E-3</v>
      </c>
      <c r="AJ13" s="21">
        <v>6.7000000000000002E-3</v>
      </c>
      <c r="AK13" s="21">
        <v>8.3999999999999995E-3</v>
      </c>
      <c r="AL13" s="21">
        <v>1.12E-2</v>
      </c>
    </row>
    <row r="14" spans="2:39">
      <c r="B14" s="4" t="s">
        <v>51</v>
      </c>
      <c r="C14" t="s">
        <v>235</v>
      </c>
      <c r="D14" s="29" t="str">
        <f>IFERROR(Country_Data[[#This Row],[StD of equity market]]/Country_Data[[#This Row],[StD for bond]]*VLOOKUP(Country_Data[[#This Row],[Moody''s]],Rating_to_spread_Moody[],3,FALSE),"")</f>
        <v/>
      </c>
      <c r="E14" s="31" t="str">
        <f>IF(Country_Data[[#This Row],[10 year $ yield]]="","",IFERROR(Country_Data[[#This Row],[Default spread on $ bonds]]*Country_Data[[#This Row],[StD of equity market]]/Country_Data[[#This Row],[StD for bond]],"Error"))</f>
        <v/>
      </c>
      <c r="F14" s="31" t="str">
        <f>IFERROR(Country_Data[[#This Row],[10 year yield]]-VLOOKUP(Country_Data[[#This Row],[Moody''s local]],Rating_to_spread_Moody[],3,FALSE),"")</f>
        <v/>
      </c>
      <c r="G14" s="31"/>
      <c r="H14" t="str">
        <f>IFERROR(VLOOKUP(Country_Data[[#This Row],[Entity]],Ratings_Raw_SP[],2,FALSE),"")</f>
        <v>AAA</v>
      </c>
      <c r="I14" t="str">
        <f>IFERROR(VLOOKUP(Country_Data[[#This Row],[Entity]],Ratings_Raw_Fitch[],2,FALSE),"-")</f>
        <v>AAA</v>
      </c>
      <c r="J14" t="str">
        <f>IFERROR(VLOOKUP(Country_Data[[#This Row],[Entity]],Ratings_Raw_Moodys[],2,FALSE),"-")</f>
        <v>Aaa</v>
      </c>
      <c r="L14" s="3" t="s">
        <v>10</v>
      </c>
      <c r="M14" s="3" t="s">
        <v>10</v>
      </c>
      <c r="N14" s="28"/>
      <c r="O14" s="28"/>
      <c r="P14" s="28"/>
      <c r="Q14" s="28"/>
      <c r="R14" s="28"/>
      <c r="S14" s="28"/>
      <c r="T14" s="28"/>
      <c r="U14" s="28"/>
      <c r="V14" s="28" t="str">
        <f>IF(Country_Data[[#This Row],[10 year $ yield]]="","",Country_Data[[#This Row],[10 year $ yield]]-VLOOKUP("United States",Country_Data[],15,FALSE))</f>
        <v/>
      </c>
      <c r="W14" s="16"/>
      <c r="X14" s="20"/>
      <c r="AC14" s="3" t="s">
        <v>30</v>
      </c>
      <c r="AD14" s="3">
        <v>115</v>
      </c>
      <c r="AE14" s="28">
        <f>Rating_to_spread_Moody[[#This Row],[Default spread in basis points]]/10000</f>
        <v>1.15E-2</v>
      </c>
      <c r="AG14" s="69" t="s">
        <v>30</v>
      </c>
      <c r="AH14" t="s">
        <v>9</v>
      </c>
      <c r="AI14" s="21">
        <v>4.5999999999999999E-3</v>
      </c>
      <c r="AJ14" s="21">
        <v>8.3999999999999995E-3</v>
      </c>
      <c r="AK14" s="21">
        <v>0.01</v>
      </c>
      <c r="AL14" s="21">
        <v>1.26E-2</v>
      </c>
    </row>
    <row r="15" spans="2:39">
      <c r="B15" s="5" t="s">
        <v>52</v>
      </c>
      <c r="C15" s="5" t="s">
        <v>240</v>
      </c>
      <c r="D15" s="21" t="str">
        <f>IFERROR(Country_Data[[#This Row],[StD of equity market]]/Country_Data[[#This Row],[StD for bond]]*VLOOKUP(Country_Data[[#This Row],[Moody''s]],Rating_to_spread_Moody[],3,FALSE),"")</f>
        <v/>
      </c>
      <c r="E15" s="32" t="str">
        <f>IF(Country_Data[[#This Row],[10 year $ yield]]="","",IFERROR(Country_Data[[#This Row],[Default spread on $ bonds]]*Country_Data[[#This Row],[StD of equity market]]/Country_Data[[#This Row],[StD for bond]],"Error"))</f>
        <v/>
      </c>
      <c r="F15" s="32" t="str">
        <f>IFERROR(Country_Data[[#This Row],[10 year yield]]-VLOOKUP(Country_Data[[#This Row],[Moody''s local]],Rating_to_spread_Moody[],3,FALSE),"")</f>
        <v/>
      </c>
      <c r="G15" s="32"/>
      <c r="H15" t="str">
        <f>IFERROR(VLOOKUP(Country_Data[[#This Row],[Entity]],Ratings_Raw_SP[],2,FALSE),"")</f>
        <v>AA+</v>
      </c>
      <c r="I15" t="str">
        <f>IFERROR(VLOOKUP(Country_Data[[#This Row],[Entity]],Ratings_Raw_Fitch[],2,FALSE),"-")</f>
        <v>AAA</v>
      </c>
      <c r="J15" t="str">
        <f>IFERROR(VLOOKUP(Country_Data[[#This Row],[Entity]],Ratings_Raw_Moodys[],2,FALSE),"-")</f>
        <v>Aaa</v>
      </c>
      <c r="L15" s="3" t="s">
        <v>6</v>
      </c>
      <c r="M15" s="3" t="s">
        <v>6</v>
      </c>
      <c r="N15" s="28"/>
      <c r="O15" s="28"/>
      <c r="P15" s="28"/>
      <c r="Q15" s="28"/>
      <c r="R15" s="28"/>
      <c r="S15" s="28"/>
      <c r="T15" s="28"/>
      <c r="U15" s="28"/>
      <c r="V15" s="28" t="str">
        <f>IF(Country_Data[[#This Row],[10 year $ yield]]="","",Country_Data[[#This Row],[10 year $ yield]]-VLOOKUP("United States",Country_Data[],15,FALSE))</f>
        <v/>
      </c>
      <c r="W15" s="16"/>
      <c r="X15" s="20"/>
      <c r="AC15" s="3" t="s">
        <v>31</v>
      </c>
      <c r="AD15" s="3">
        <v>150</v>
      </c>
      <c r="AE15" s="28">
        <f>Rating_to_spread_Moody[[#This Row],[Default spread in basis points]]/10000</f>
        <v>1.4999999999999999E-2</v>
      </c>
      <c r="AG15" s="70" t="s">
        <v>31</v>
      </c>
      <c r="AH15" t="s">
        <v>13</v>
      </c>
      <c r="AI15" s="21">
        <v>5.7999999999999996E-3</v>
      </c>
      <c r="AJ15" s="21">
        <v>1.09E-2</v>
      </c>
      <c r="AK15" s="21">
        <v>1.32E-2</v>
      </c>
      <c r="AL15" s="21">
        <v>1.67E-2</v>
      </c>
    </row>
    <row r="16" spans="2:39">
      <c r="B16" s="4" t="s">
        <v>53</v>
      </c>
      <c r="C16" s="4" t="s">
        <v>233</v>
      </c>
      <c r="D16" s="29" t="str">
        <f>IFERROR(Country_Data[[#This Row],[StD of equity market]]/Country_Data[[#This Row],[StD for bond]]*VLOOKUP(Country_Data[[#This Row],[Moody''s]],Rating_to_spread_Moody[],3,FALSE),"")</f>
        <v/>
      </c>
      <c r="E16" s="31" t="str">
        <f>IF(Country_Data[[#This Row],[10 year $ yield]]="","",IFERROR(Country_Data[[#This Row],[Default spread on $ bonds]]*Country_Data[[#This Row],[StD of equity market]]/Country_Data[[#This Row],[StD for bond]],"Error"))</f>
        <v/>
      </c>
      <c r="F16" s="31" t="str">
        <f>IFERROR(Country_Data[[#This Row],[10 year yield]]-VLOOKUP(Country_Data[[#This Row],[Moody''s local]],Rating_to_spread_Moody[],3,FALSE),"")</f>
        <v/>
      </c>
      <c r="G16" s="31"/>
      <c r="H16" t="str">
        <f>IFERROR(VLOOKUP(Country_Data[[#This Row],[Entity]],Ratings_Raw_SP[],2,FALSE),"")</f>
        <v>BBB-</v>
      </c>
      <c r="I16" t="str">
        <f>IFERROR(VLOOKUP(Country_Data[[#This Row],[Entity]],Ratings_Raw_Fitch[],2,FALSE),"-")</f>
        <v>BBB-</v>
      </c>
      <c r="J16" t="str">
        <f>IFERROR(VLOOKUP(Country_Data[[#This Row],[Entity]],Ratings_Raw_Moodys[],2,FALSE),"-")</f>
        <v>Baa3</v>
      </c>
      <c r="L16" s="3" t="s">
        <v>14</v>
      </c>
      <c r="M16" s="3" t="s">
        <v>14</v>
      </c>
      <c r="N16" s="28"/>
      <c r="O16" s="28"/>
      <c r="P16" s="28"/>
      <c r="Q16" s="28"/>
      <c r="R16" s="28"/>
      <c r="S16" s="28"/>
      <c r="T16" s="28"/>
      <c r="U16" s="28"/>
      <c r="V16" s="28" t="str">
        <f>IF(Country_Data[[#This Row],[10 year $ yield]]="","",Country_Data[[#This Row],[10 year $ yield]]-VLOOKUP("United States",Country_Data[],15,FALSE))</f>
        <v/>
      </c>
      <c r="W16" s="16"/>
      <c r="X16" s="20"/>
      <c r="AC16" s="3" t="s">
        <v>32</v>
      </c>
      <c r="AD16" s="3">
        <v>175</v>
      </c>
      <c r="AE16" s="28">
        <f>Rating_to_spread_Moody[[#This Row],[Default spread in basis points]]/10000</f>
        <v>1.7500000000000002E-2</v>
      </c>
      <c r="AG16" s="69" t="s">
        <v>32</v>
      </c>
      <c r="AH16" t="s">
        <v>15</v>
      </c>
      <c r="AI16" s="71">
        <v>4.7000000000000002E-3</v>
      </c>
      <c r="AJ16" s="21">
        <v>1.2699999999999999E-2</v>
      </c>
      <c r="AK16" s="21">
        <v>1.52E-2</v>
      </c>
      <c r="AL16" s="21">
        <v>1.9099999999999999E-2</v>
      </c>
    </row>
    <row r="17" spans="2:38">
      <c r="B17" s="5" t="s">
        <v>54</v>
      </c>
      <c r="C17" s="5" t="s">
        <v>236</v>
      </c>
      <c r="D17" s="21" t="str">
        <f>IFERROR(Country_Data[[#This Row],[StD of equity market]]/Country_Data[[#This Row],[StD for bond]]*VLOOKUP(Country_Data[[#This Row],[Moody''s]],Rating_to_spread_Moody[],3,FALSE),"")</f>
        <v/>
      </c>
      <c r="E17" s="32" t="str">
        <f>IF(Country_Data[[#This Row],[10 year $ yield]]="","",IFERROR(Country_Data[[#This Row],[Default spread on $ bonds]]*Country_Data[[#This Row],[StD of equity market]]/Country_Data[[#This Row],[StD for bond]],"Error"))</f>
        <v/>
      </c>
      <c r="F17" s="32" t="str">
        <f>IFERROR(Country_Data[[#This Row],[10 year yield]]-VLOOKUP(Country_Data[[#This Row],[Moody''s local]],Rating_to_spread_Moody[],3,FALSE),"")</f>
        <v/>
      </c>
      <c r="G17" s="32"/>
      <c r="H17" t="str">
        <f>IFERROR(VLOOKUP(Country_Data[[#This Row],[Entity]],Ratings_Raw_SP[],2,FALSE),"")</f>
        <v>BBB</v>
      </c>
      <c r="I17" t="str">
        <f>IFERROR(VLOOKUP(Country_Data[[#This Row],[Entity]],Ratings_Raw_Fitch[],2,FALSE),"-")</f>
        <v>-</v>
      </c>
      <c r="J17" t="str">
        <f>IFERROR(VLOOKUP(Country_Data[[#This Row],[Entity]],Ratings_Raw_Moodys[],2,FALSE),"-")</f>
        <v>A2</v>
      </c>
      <c r="L17" s="3" t="s">
        <v>15</v>
      </c>
      <c r="M17" s="3" t="s">
        <v>15</v>
      </c>
      <c r="N17" s="28"/>
      <c r="O17" s="28"/>
      <c r="P17" s="28"/>
      <c r="Q17" s="28"/>
      <c r="R17" s="28"/>
      <c r="S17" s="28"/>
      <c r="T17" s="28"/>
      <c r="U17" s="28"/>
      <c r="V17" s="28" t="str">
        <f>IF(Country_Data[[#This Row],[10 year $ yield]]="","",Country_Data[[#This Row],[10 year $ yield]]-VLOOKUP("United States",Country_Data[],15,FALSE))</f>
        <v/>
      </c>
      <c r="W17" s="28"/>
      <c r="X17" s="21"/>
      <c r="AC17" s="3" t="s">
        <v>33</v>
      </c>
      <c r="AD17" s="3">
        <v>200</v>
      </c>
      <c r="AE17" s="28">
        <f>Rating_to_spread_Moody[[#This Row],[Default spread in basis points]]/10000</f>
        <v>0.02</v>
      </c>
      <c r="AG17" s="70" t="s">
        <v>33</v>
      </c>
      <c r="AH17" t="s">
        <v>14</v>
      </c>
      <c r="AI17" s="21">
        <v>9.4999999999999998E-3</v>
      </c>
      <c r="AJ17" s="21">
        <v>1.5299999999999999E-2</v>
      </c>
      <c r="AK17" s="21">
        <v>1.78E-2</v>
      </c>
      <c r="AL17" s="21">
        <v>2.18E-2</v>
      </c>
    </row>
    <row r="18" spans="2:38">
      <c r="B18" s="4" t="s">
        <v>55</v>
      </c>
      <c r="C18" s="4" t="s">
        <v>239</v>
      </c>
      <c r="D18" s="29" t="str">
        <f>IFERROR(Country_Data[[#This Row],[StD of equity market]]/Country_Data[[#This Row],[StD for bond]]*VLOOKUP(Country_Data[[#This Row],[Moody''s]],Rating_to_spread_Moody[],3,FALSE),"")</f>
        <v/>
      </c>
      <c r="E18" s="31" t="str">
        <f>IF(Country_Data[[#This Row],[10 year $ yield]]="","",IFERROR(Country_Data[[#This Row],[Default spread on $ bonds]]*Country_Data[[#This Row],[StD of equity market]]/Country_Data[[#This Row],[StD for bond]],"Error"))</f>
        <v/>
      </c>
      <c r="F18" s="31" t="str">
        <f>IFERROR(Country_Data[[#This Row],[10 year yield]]-VLOOKUP(Country_Data[[#This Row],[Moody''s local]],Rating_to_spread_Moody[],3,FALSE),"")</f>
        <v/>
      </c>
      <c r="G18" s="31"/>
      <c r="H18" t="str">
        <f>IFERROR(VLOOKUP(Country_Data[[#This Row],[Entity]],Ratings_Raw_SP[],2,FALSE),"")</f>
        <v>BBB</v>
      </c>
      <c r="I18" t="str">
        <f>IFERROR(VLOOKUP(Country_Data[[#This Row],[Entity]],Ratings_Raw_Fitch[],2,FALSE),"-")</f>
        <v>BBB</v>
      </c>
      <c r="J18" t="str">
        <f>IFERROR(VLOOKUP(Country_Data[[#This Row],[Entity]],Ratings_Raw_Moodys[],2,FALSE),"-")</f>
        <v>Baaa1</v>
      </c>
      <c r="L18" s="3" t="s">
        <v>15</v>
      </c>
      <c r="M18" s="3" t="s">
        <v>15</v>
      </c>
      <c r="N18" s="28"/>
      <c r="O18" s="28"/>
      <c r="P18" s="28"/>
      <c r="Q18" s="28"/>
      <c r="R18" s="28"/>
      <c r="S18" s="28"/>
      <c r="T18" s="28"/>
      <c r="U18" s="28"/>
      <c r="V18" s="28" t="str">
        <f>IF(Country_Data[[#This Row],[10 year $ yield]]="","",Country_Data[[#This Row],[10 year $ yield]]-VLOOKUP("United States",Country_Data[],15,FALSE))</f>
        <v/>
      </c>
      <c r="W18" s="28"/>
      <c r="X18" s="21"/>
      <c r="AC18" s="3" t="s">
        <v>34</v>
      </c>
      <c r="AD18" s="3">
        <v>240</v>
      </c>
      <c r="AE18" s="28">
        <f>Rating_to_spread_Moody[[#This Row],[Default spread in basis points]]/10000</f>
        <v>2.4E-2</v>
      </c>
      <c r="AG18" s="69" t="s">
        <v>34</v>
      </c>
      <c r="AH18" t="s">
        <v>21</v>
      </c>
      <c r="AI18" s="21">
        <v>1.6799999999999999E-2</v>
      </c>
      <c r="AJ18" s="21">
        <v>2.29E-2</v>
      </c>
      <c r="AK18" s="21">
        <v>2.5899999999999999E-2</v>
      </c>
      <c r="AL18" s="21">
        <v>2.9700000000000001E-2</v>
      </c>
    </row>
    <row r="19" spans="2:38">
      <c r="B19" s="5" t="s">
        <v>56</v>
      </c>
      <c r="C19" s="5" t="s">
        <v>233</v>
      </c>
      <c r="D19" s="21" t="str">
        <f>IFERROR(Country_Data[[#This Row],[StD of equity market]]/Country_Data[[#This Row],[StD for bond]]*VLOOKUP(Country_Data[[#This Row],[Moody''s]],Rating_to_spread_Moody[],3,FALSE),"")</f>
        <v/>
      </c>
      <c r="E19" s="32" t="str">
        <f>IF(Country_Data[[#This Row],[10 year $ yield]]="","",IFERROR(Country_Data[[#This Row],[Default spread on $ bonds]]*Country_Data[[#This Row],[StD of equity market]]/Country_Data[[#This Row],[StD for bond]],"Error"))</f>
        <v/>
      </c>
      <c r="F19" s="32" t="str">
        <f>IFERROR(Country_Data[[#This Row],[10 year yield]]-VLOOKUP(Country_Data[[#This Row],[Moody''s local]],Rating_to_spread_Moody[],3,FALSE),"")</f>
        <v/>
      </c>
      <c r="G19" s="32"/>
      <c r="H19" t="str">
        <f>IFERROR(VLOOKUP(Country_Data[[#This Row],[Entity]],Ratings_Raw_SP[],2,FALSE),"")</f>
        <v>BB-</v>
      </c>
      <c r="I19" t="str">
        <f>IFERROR(VLOOKUP(Country_Data[[#This Row],[Entity]],Ratings_Raw_Fitch[],2,FALSE),"-")</f>
        <v>-</v>
      </c>
      <c r="J19" t="str">
        <f>IFERROR(VLOOKUP(Country_Data[[#This Row],[Entity]],Ratings_Raw_Moodys[],2,FALSE),"-")</f>
        <v>Ba3</v>
      </c>
      <c r="L19" s="3" t="s">
        <v>8</v>
      </c>
      <c r="M19" s="3" t="s">
        <v>8</v>
      </c>
      <c r="N19" s="28"/>
      <c r="O19" s="28"/>
      <c r="P19" s="28"/>
      <c r="Q19" s="28"/>
      <c r="R19" s="28"/>
      <c r="S19" s="28"/>
      <c r="T19" s="28"/>
      <c r="U19" s="28"/>
      <c r="V19" s="28" t="str">
        <f>IF(Country_Data[[#This Row],[10 year $ yield]]="","",Country_Data[[#This Row],[10 year $ yield]]-VLOOKUP("United States",Country_Data[],15,FALSE))</f>
        <v/>
      </c>
      <c r="W19" s="28"/>
      <c r="X19" s="21"/>
      <c r="AC19" s="3" t="s">
        <v>35</v>
      </c>
      <c r="AD19" s="3">
        <v>275</v>
      </c>
      <c r="AE19" s="28">
        <f>Rating_to_spread_Moody[[#This Row],[Default spread in basis points]]/10000</f>
        <v>2.75E-2</v>
      </c>
      <c r="AG19" s="70" t="s">
        <v>35</v>
      </c>
      <c r="AH19" t="s">
        <v>18</v>
      </c>
      <c r="AI19" s="21">
        <v>2.4E-2</v>
      </c>
      <c r="AJ19" s="21">
        <v>3.04E-2</v>
      </c>
      <c r="AK19" s="21">
        <v>3.39E-2</v>
      </c>
      <c r="AL19" s="21">
        <v>3.7699999999999997E-2</v>
      </c>
    </row>
    <row r="20" spans="2:38">
      <c r="B20" s="4" t="s">
        <v>57</v>
      </c>
      <c r="C20" s="4" t="s">
        <v>236</v>
      </c>
      <c r="D20" s="29" t="str">
        <f>IFERROR(Country_Data[[#This Row],[StD of equity market]]/Country_Data[[#This Row],[StD for bond]]*VLOOKUP(Country_Data[[#This Row],[Moody''s]],Rating_to_spread_Moody[],3,FALSE),"")</f>
        <v/>
      </c>
      <c r="E20" s="31" t="str">
        <f>IF(Country_Data[[#This Row],[10 year $ yield]]="","",IFERROR(Country_Data[[#This Row],[Default spread on $ bonds]]*Country_Data[[#This Row],[StD of equity market]]/Country_Data[[#This Row],[StD for bond]],"Error"))</f>
        <v/>
      </c>
      <c r="F20" s="31" t="str">
        <f>IFERROR(Country_Data[[#This Row],[10 year yield]]-VLOOKUP(Country_Data[[#This Row],[Moody''s local]],Rating_to_spread_Moody[],3,FALSE),"")</f>
        <v/>
      </c>
      <c r="G20" s="31"/>
      <c r="H20" t="str">
        <f>IFERROR(VLOOKUP(Country_Data[[#This Row],[Entity]],Ratings_Raw_SP[],2,FALSE),"")</f>
        <v>BB+</v>
      </c>
      <c r="I20" t="str">
        <f>IFERROR(VLOOKUP(Country_Data[[#This Row],[Entity]],Ratings_Raw_Fitch[],2,FALSE),"-")</f>
        <v>-</v>
      </c>
      <c r="J20" t="str">
        <f>IFERROR(VLOOKUP(Country_Data[[#This Row],[Entity]],Ratings_Raw_Moodys[],2,FALSE),"-")</f>
        <v>Baa3</v>
      </c>
      <c r="L20" s="3" t="s">
        <v>8</v>
      </c>
      <c r="M20" s="3" t="s">
        <v>8</v>
      </c>
      <c r="N20" s="28"/>
      <c r="O20" s="28"/>
      <c r="P20" s="28"/>
      <c r="Q20" s="28"/>
      <c r="R20" s="28"/>
      <c r="S20" s="28"/>
      <c r="T20" s="28"/>
      <c r="U20" s="28"/>
      <c r="V20" s="28" t="str">
        <f>IF(Country_Data[[#This Row],[10 year $ yield]]="","",Country_Data[[#This Row],[10 year $ yield]]-VLOOKUP("United States",Country_Data[],15,FALSE))</f>
        <v/>
      </c>
      <c r="W20" s="28"/>
      <c r="X20" s="21"/>
      <c r="AC20" s="3" t="s">
        <v>36</v>
      </c>
      <c r="AD20" s="3">
        <v>325</v>
      </c>
      <c r="AE20" s="28">
        <f>Rating_to_spread_Moody[[#This Row],[Default spread in basis points]]/10000</f>
        <v>3.2500000000000001E-2</v>
      </c>
      <c r="AG20" s="69" t="s">
        <v>36</v>
      </c>
      <c r="AH20" t="s">
        <v>8</v>
      </c>
      <c r="AI20" s="21">
        <v>3.1199999999999999E-2</v>
      </c>
      <c r="AJ20" s="21">
        <v>3.7999999999999999E-2</v>
      </c>
      <c r="AK20" s="21">
        <v>4.2000000000000003E-2</v>
      </c>
      <c r="AL20" s="21">
        <v>4.5699999999999998E-2</v>
      </c>
    </row>
    <row r="21" spans="2:38">
      <c r="B21" s="5" t="s">
        <v>58</v>
      </c>
      <c r="C21" s="5" t="s">
        <v>242</v>
      </c>
      <c r="D21" s="21" t="str">
        <f>IFERROR(Country_Data[[#This Row],[StD of equity market]]/Country_Data[[#This Row],[StD for bond]]*VLOOKUP(Country_Data[[#This Row],[Moody''s]],Rating_to_spread_Moody[],3,FALSE),"")</f>
        <v/>
      </c>
      <c r="E21" s="32" t="str">
        <f>IF(Country_Data[[#This Row],[10 year $ yield]]="","",IFERROR(Country_Data[[#This Row],[Default spread on $ bonds]]*Country_Data[[#This Row],[StD of equity market]]/Country_Data[[#This Row],[StD for bond]],"Error"))</f>
        <v/>
      </c>
      <c r="F21" s="32" t="str">
        <f>IFERROR(Country_Data[[#This Row],[10 year yield]]-VLOOKUP(Country_Data[[#This Row],[Moody''s local]],Rating_to_spread_Moody[],3,FALSE),"")</f>
        <v/>
      </c>
      <c r="G21" s="32"/>
      <c r="H21" t="str">
        <f>IFERROR(VLOOKUP(Country_Data[[#This Row],[Entity]],Ratings_Raw_SP[],2,FALSE),"")</f>
        <v>B-</v>
      </c>
      <c r="I21" t="str">
        <f>IFERROR(VLOOKUP(Country_Data[[#This Row],[Entity]],Ratings_Raw_Fitch[],2,FALSE),"-")</f>
        <v>-</v>
      </c>
      <c r="J21" t="str">
        <f>IFERROR(VLOOKUP(Country_Data[[#This Row],[Entity]],Ratings_Raw_Moodys[],2,FALSE),"-")</f>
        <v>B3</v>
      </c>
      <c r="L21" s="3" t="s">
        <v>16</v>
      </c>
      <c r="M21" s="3" t="s">
        <v>16</v>
      </c>
      <c r="N21" s="28"/>
      <c r="O21" s="28"/>
      <c r="P21" s="28"/>
      <c r="Q21" s="28"/>
      <c r="R21" s="28"/>
      <c r="S21" s="28"/>
      <c r="T21" s="28"/>
      <c r="U21" s="28"/>
      <c r="V21" s="28" t="str">
        <f>IF(Country_Data[[#This Row],[10 year $ yield]]="","",Country_Data[[#This Row],[10 year $ yield]]-VLOOKUP("United States",Country_Data[],15,FALSE))</f>
        <v/>
      </c>
      <c r="W21" s="28"/>
      <c r="X21" s="21"/>
      <c r="AC21" s="3" t="s">
        <v>37</v>
      </c>
      <c r="AD21" s="3">
        <v>400</v>
      </c>
      <c r="AE21" s="28">
        <f>Rating_to_spread_Moody[[#This Row],[Default spread in basis points]]/10000</f>
        <v>0.04</v>
      </c>
      <c r="AG21" s="70" t="s">
        <v>37</v>
      </c>
      <c r="AH21" t="s">
        <v>20</v>
      </c>
      <c r="AI21" s="21">
        <v>3.8399999999999997E-2</v>
      </c>
      <c r="AJ21" s="21">
        <v>4.5600000000000002E-2</v>
      </c>
      <c r="AK21" s="21">
        <v>5.0099999999999999E-2</v>
      </c>
      <c r="AL21" s="21">
        <v>5.3600000000000002E-2</v>
      </c>
    </row>
    <row r="22" spans="2:38">
      <c r="B22" s="4" t="s">
        <v>59</v>
      </c>
      <c r="C22" s="4" t="s">
        <v>240</v>
      </c>
      <c r="D22" s="29" t="str">
        <f>IFERROR(Country_Data[[#This Row],[StD of equity market]]/Country_Data[[#This Row],[StD for bond]]*VLOOKUP(Country_Data[[#This Row],[Moody''s]],Rating_to_spread_Moody[],3,FALSE),"")</f>
        <v/>
      </c>
      <c r="E22" s="31" t="str">
        <f>IF(Country_Data[[#This Row],[10 year $ yield]]="","",IFERROR(Country_Data[[#This Row],[Default spread on $ bonds]]*Country_Data[[#This Row],[StD of equity market]]/Country_Data[[#This Row],[StD for bond]],"Error"))</f>
        <v/>
      </c>
      <c r="F22" s="31" t="str">
        <f>IFERROR(Country_Data[[#This Row],[10 year yield]]-VLOOKUP(Country_Data[[#This Row],[Moody''s local]],Rating_to_spread_Moody[],3,FALSE),"")</f>
        <v/>
      </c>
      <c r="G22" s="31"/>
      <c r="H22" t="str">
        <f>IFERROR(VLOOKUP(Country_Data[[#This Row],[Entity]],Ratings_Raw_SP[],2,FALSE),"")</f>
        <v>AA</v>
      </c>
      <c r="I22" t="str">
        <f>IFERROR(VLOOKUP(Country_Data[[#This Row],[Entity]],Ratings_Raw_Fitch[],2,FALSE),"-")</f>
        <v>AA</v>
      </c>
      <c r="J22" t="str">
        <f>IFERROR(VLOOKUP(Country_Data[[#This Row],[Entity]],Ratings_Raw_Moodys[],2,FALSE),"-")</f>
        <v>Aa3</v>
      </c>
      <c r="L22" s="3" t="s">
        <v>5</v>
      </c>
      <c r="M22" s="3" t="s">
        <v>5</v>
      </c>
      <c r="N22" s="28"/>
      <c r="O22" s="28"/>
      <c r="P22" s="28"/>
      <c r="Q22" s="28"/>
      <c r="R22" s="28"/>
      <c r="S22" s="28"/>
      <c r="T22" s="28"/>
      <c r="U22" s="28"/>
      <c r="V22" s="28" t="str">
        <f>IF(Country_Data[[#This Row],[10 year $ yield]]="","",Country_Data[[#This Row],[10 year $ yield]]-VLOOKUP("United States",Country_Data[],15,FALSE))</f>
        <v/>
      </c>
      <c r="W22" s="28"/>
      <c r="X22" s="21"/>
      <c r="AC22" s="3" t="s">
        <v>38</v>
      </c>
      <c r="AD22" s="3">
        <v>500</v>
      </c>
      <c r="AE22" s="28">
        <f>Rating_to_spread_Moody[[#This Row],[Default spread in basis points]]/10000</f>
        <v>0.05</v>
      </c>
      <c r="AG22" s="69" t="s">
        <v>38</v>
      </c>
      <c r="AH22" t="s">
        <v>7</v>
      </c>
      <c r="AI22" s="21">
        <v>4.5600000000000002E-2</v>
      </c>
      <c r="AJ22" s="21">
        <v>5.3100000000000001E-2</v>
      </c>
      <c r="AK22" s="21">
        <v>5.8099999999999999E-2</v>
      </c>
      <c r="AL22" s="21">
        <v>6.1600000000000002E-2</v>
      </c>
    </row>
    <row r="23" spans="2:38">
      <c r="B23" s="5" t="s">
        <v>60</v>
      </c>
      <c r="C23" s="5" t="s">
        <v>237</v>
      </c>
      <c r="D23" s="21" t="str">
        <f>IFERROR(Country_Data[[#This Row],[StD of equity market]]/Country_Data[[#This Row],[StD for bond]]*VLOOKUP(Country_Data[[#This Row],[Moody''s]],Rating_to_spread_Moody[],3,FALSE),"")</f>
        <v/>
      </c>
      <c r="E23" s="32" t="str">
        <f>IF(Country_Data[[#This Row],[10 year $ yield]]="","",IFERROR(Country_Data[[#This Row],[Default spread on $ bonds]]*Country_Data[[#This Row],[StD of equity market]]/Country_Data[[#This Row],[StD for bond]],"Error"))</f>
        <v/>
      </c>
      <c r="F23" s="32" t="str">
        <f>IFERROR(Country_Data[[#This Row],[10 year yield]]-VLOOKUP(Country_Data[[#This Row],[Moody''s local]],Rating_to_spread_Moody[],3,FALSE),"")</f>
        <v/>
      </c>
      <c r="G23" s="32"/>
      <c r="H23" t="str">
        <f>IFERROR(VLOOKUP(Country_Data[[#This Row],[Entity]],Ratings_Raw_SP[],2,FALSE),"")</f>
        <v>B-</v>
      </c>
      <c r="I23" t="str">
        <f>IFERROR(VLOOKUP(Country_Data[[#This Row],[Entity]],Ratings_Raw_Fitch[],2,FALSE),"-")</f>
        <v>-</v>
      </c>
      <c r="J23" t="str">
        <f>IFERROR(VLOOKUP(Country_Data[[#This Row],[Entity]],Ratings_Raw_Moodys[],2,FALSE),"-")</f>
        <v>B3</v>
      </c>
      <c r="L23" s="3" t="s">
        <v>16</v>
      </c>
      <c r="M23" s="3" t="s">
        <v>16</v>
      </c>
      <c r="N23" s="28"/>
      <c r="O23" s="28"/>
      <c r="P23" s="28"/>
      <c r="Q23" s="28"/>
      <c r="R23" s="28"/>
      <c r="S23" s="28"/>
      <c r="T23" s="28"/>
      <c r="U23" s="28"/>
      <c r="V23" s="28" t="str">
        <f>IF(Country_Data[[#This Row],[10 year $ yield]]="","",Country_Data[[#This Row],[10 year $ yield]]-VLOOKUP("United States",Country_Data[],15,FALSE))</f>
        <v/>
      </c>
      <c r="W23" s="28"/>
      <c r="X23" s="21"/>
      <c r="AC23" s="3" t="s">
        <v>39</v>
      </c>
      <c r="AD23" s="3">
        <v>600</v>
      </c>
      <c r="AE23" s="28">
        <f>Rating_to_spread_Moody[[#This Row],[Default spread in basis points]]/10000</f>
        <v>0.06</v>
      </c>
      <c r="AG23" s="70" t="s">
        <v>39</v>
      </c>
      <c r="AH23" t="s">
        <v>16</v>
      </c>
      <c r="AI23" s="21">
        <v>5.28E-2</v>
      </c>
      <c r="AJ23" s="21">
        <v>6.0600000000000001E-2</v>
      </c>
      <c r="AK23" s="21">
        <v>6.6199999999999995E-2</v>
      </c>
      <c r="AL23" s="21">
        <v>6.9599999999999995E-2</v>
      </c>
    </row>
    <row r="24" spans="2:38">
      <c r="B24" s="4" t="s">
        <v>61</v>
      </c>
      <c r="C24" s="4" t="s">
        <v>232</v>
      </c>
      <c r="D24" s="29" t="str">
        <f>IFERROR(Country_Data[[#This Row],[StD of equity market]]/Country_Data[[#This Row],[StD for bond]]*VLOOKUP(Country_Data[[#This Row],[Moody''s]],Rating_to_spread_Moody[],3,FALSE),"")</f>
        <v/>
      </c>
      <c r="E24" s="31" t="str">
        <f>IF(Country_Data[[#This Row],[10 year $ yield]]="","",IFERROR(Country_Data[[#This Row],[Default spread on $ bonds]]*Country_Data[[#This Row],[StD of equity market]]/Country_Data[[#This Row],[StD for bond]],"Error"))</f>
        <v/>
      </c>
      <c r="F24" s="31" t="str">
        <f>IFERROR(Country_Data[[#This Row],[10 year yield]]-VLOOKUP(Country_Data[[#This Row],[Moody''s local]],Rating_to_spread_Moody[],3,FALSE),"")</f>
        <v/>
      </c>
      <c r="G24" s="31"/>
      <c r="H24" t="str">
        <f>IFERROR(VLOOKUP(Country_Data[[#This Row],[Entity]],Ratings_Raw_SP[],2,FALSE),"")</f>
        <v>B</v>
      </c>
      <c r="I24" t="str">
        <f>IFERROR(VLOOKUP(Country_Data[[#This Row],[Entity]],Ratings_Raw_Fitch[],2,FALSE),"-")</f>
        <v>B</v>
      </c>
      <c r="J24" t="str">
        <f>IFERROR(VLOOKUP(Country_Data[[#This Row],[Entity]],Ratings_Raw_Moodys[],2,FALSE),"-")</f>
        <v>-</v>
      </c>
      <c r="L24" s="3"/>
      <c r="M24" s="3"/>
      <c r="N24" s="28"/>
      <c r="O24" s="28"/>
      <c r="P24" s="28"/>
      <c r="Q24" s="28"/>
      <c r="R24" s="28"/>
      <c r="S24" s="28"/>
      <c r="T24" s="28"/>
      <c r="U24" s="28"/>
      <c r="V24" s="28" t="str">
        <f>IF(Country_Data[[#This Row],[10 year $ yield]]="","",Country_Data[[#This Row],[10 year $ yield]]-VLOOKUP("United States",Country_Data[],15,FALSE))</f>
        <v/>
      </c>
      <c r="W24" s="28"/>
      <c r="X24" s="21"/>
      <c r="AC24" s="3" t="s">
        <v>40</v>
      </c>
      <c r="AD24" s="3">
        <v>700</v>
      </c>
      <c r="AE24" s="28">
        <f>Rating_to_spread_Moody[[#This Row],[Default spread in basis points]]/10000</f>
        <v>7.0000000000000007E-2</v>
      </c>
      <c r="AG24" s="69" t="s">
        <v>295</v>
      </c>
      <c r="AH24" t="s">
        <v>11</v>
      </c>
      <c r="AI24" s="21">
        <v>0.06</v>
      </c>
      <c r="AJ24" s="21">
        <v>6.8199999999999997E-2</v>
      </c>
      <c r="AK24" s="21">
        <v>7.4300000000000005E-2</v>
      </c>
      <c r="AL24" s="21">
        <v>7.7499999999999999E-2</v>
      </c>
    </row>
    <row r="25" spans="2:38">
      <c r="B25" s="5" t="s">
        <v>62</v>
      </c>
      <c r="C25" s="5" t="s">
        <v>236</v>
      </c>
      <c r="D25" s="21" t="str">
        <f>IFERROR(Country_Data[[#This Row],[StD of equity market]]/Country_Data[[#This Row],[StD for bond]]*VLOOKUP(Country_Data[[#This Row],[Moody''s]],Rating_to_spread_Moody[],3,FALSE),"")</f>
        <v/>
      </c>
      <c r="E25" s="32" t="str">
        <f>IF(Country_Data[[#This Row],[10 year $ yield]]="","",IFERROR(Country_Data[[#This Row],[Default spread on $ bonds]]*Country_Data[[#This Row],[StD of equity market]]/Country_Data[[#This Row],[StD for bond]],"Error"))</f>
        <v/>
      </c>
      <c r="F25" s="32" t="str">
        <f>IFERROR(Country_Data[[#This Row],[10 year yield]]-VLOOKUP(Country_Data[[#This Row],[Moody''s local]],Rating_to_spread_Moody[],3,FALSE),"")</f>
        <v/>
      </c>
      <c r="G25" s="32"/>
      <c r="H25" t="str">
        <f>IFERROR(VLOOKUP(Country_Data[[#This Row],[Entity]],Ratings_Raw_SP[],2,FALSE),"")</f>
        <v>AA-</v>
      </c>
      <c r="I25" t="str">
        <f>IFERROR(VLOOKUP(Country_Data[[#This Row],[Entity]],Ratings_Raw_Fitch[],2,FALSE),"-")</f>
        <v>AA+</v>
      </c>
      <c r="J25" t="str">
        <f>IFERROR(VLOOKUP(Country_Data[[#This Row],[Entity]],Ratings_Raw_Moodys[],2,FALSE),"-")</f>
        <v>Aa2</v>
      </c>
      <c r="L25" s="3" t="s">
        <v>17</v>
      </c>
      <c r="M25" s="3" t="s">
        <v>17</v>
      </c>
      <c r="N25" s="28"/>
      <c r="O25" s="28"/>
      <c r="P25" s="28"/>
      <c r="Q25" s="28"/>
      <c r="R25" s="28"/>
      <c r="S25" s="28"/>
      <c r="T25" s="28"/>
      <c r="U25" s="28"/>
      <c r="V25" s="28" t="str">
        <f>IF(Country_Data[[#This Row],[10 year $ yield]]="","",Country_Data[[#This Row],[10 year $ yield]]-VLOOKUP("United States",Country_Data[],15,FALSE))</f>
        <v/>
      </c>
      <c r="W25" s="28"/>
      <c r="X25" s="21"/>
      <c r="AC25" s="3" t="s">
        <v>41</v>
      </c>
      <c r="AD25" s="3">
        <v>850</v>
      </c>
      <c r="AE25" s="28">
        <f>Rating_to_spread_Moody[[#This Row],[Default spread in basis points]]/10000</f>
        <v>8.5000000000000006E-2</v>
      </c>
      <c r="AI25" s="21"/>
      <c r="AJ25" s="21"/>
      <c r="AK25" s="21"/>
      <c r="AL25" s="21"/>
    </row>
    <row r="26" spans="2:38">
      <c r="B26" s="4" t="s">
        <v>63</v>
      </c>
      <c r="C26" s="4" t="s">
        <v>237</v>
      </c>
      <c r="D26" s="29" t="str">
        <f>IFERROR(Country_Data[[#This Row],[StD of equity market]]/Country_Data[[#This Row],[StD for bond]]*VLOOKUP(Country_Data[[#This Row],[Moody''s]],Rating_to_spread_Moody[],3,FALSE),"")</f>
        <v/>
      </c>
      <c r="E26" s="31" t="str">
        <f>IF(Country_Data[[#This Row],[10 year $ yield]]="","",IFERROR(Country_Data[[#This Row],[Default spread on $ bonds]]*Country_Data[[#This Row],[StD of equity market]]/Country_Data[[#This Row],[StD for bond]],"Error"))</f>
        <v/>
      </c>
      <c r="F26" s="31" t="str">
        <f>IFERROR(Country_Data[[#This Row],[10 year yield]]-VLOOKUP(Country_Data[[#This Row],[Moody''s local]],Rating_to_spread_Moody[],3,FALSE),"")</f>
        <v/>
      </c>
      <c r="G26" s="31"/>
      <c r="H26" t="str">
        <f>IFERROR(VLOOKUP(Country_Data[[#This Row],[Entity]],Ratings_Raw_SP[],2,FALSE),"")</f>
        <v>BB-</v>
      </c>
      <c r="I26" t="str">
        <f>IFERROR(VLOOKUP(Country_Data[[#This Row],[Entity]],Ratings_Raw_Fitch[],2,FALSE),"-")</f>
        <v>BB-</v>
      </c>
      <c r="J26" t="str">
        <f>IFERROR(VLOOKUP(Country_Data[[#This Row],[Entity]],Ratings_Raw_Moodys[],2,FALSE),"-")</f>
        <v>Ba3</v>
      </c>
      <c r="L26" s="3" t="s">
        <v>18</v>
      </c>
      <c r="M26" s="3" t="s">
        <v>18</v>
      </c>
      <c r="N26" s="28"/>
      <c r="O26" s="28"/>
      <c r="P26" s="28"/>
      <c r="Q26" s="28"/>
      <c r="R26" s="28"/>
      <c r="S26" s="28"/>
      <c r="T26" s="28"/>
      <c r="U26" s="28"/>
      <c r="V26" s="28" t="str">
        <f>IF(Country_Data[[#This Row],[10 year $ yield]]="","",Country_Data[[#This Row],[10 year $ yield]]-VLOOKUP("United States",Country_Data[],15,FALSE))</f>
        <v/>
      </c>
      <c r="W26" s="28"/>
      <c r="X26" s="21"/>
      <c r="AC26" s="3" t="s">
        <v>42</v>
      </c>
      <c r="AD26" s="3">
        <v>1000</v>
      </c>
      <c r="AE26" s="28">
        <f>Rating_to_spread_Moody[[#This Row],[Default spread in basis points]]/10000</f>
        <v>0.1</v>
      </c>
    </row>
    <row r="27" spans="2:38">
      <c r="B27" s="5" t="s">
        <v>64</v>
      </c>
      <c r="C27" s="5" t="s">
        <v>242</v>
      </c>
      <c r="D27" s="21" t="str">
        <f>IFERROR(Country_Data[[#This Row],[StD of equity market]]/Country_Data[[#This Row],[StD for bond]]*VLOOKUP(Country_Data[[#This Row],[Moody''s]],Rating_to_spread_Moody[],3,FALSE),"")</f>
        <v/>
      </c>
      <c r="E27" s="32" t="str">
        <f>IF(Country_Data[[#This Row],[10 year $ yield]]="","",IFERROR(Country_Data[[#This Row],[Default spread on $ bonds]]*Country_Data[[#This Row],[StD of equity market]]/Country_Data[[#This Row],[StD for bond]],"Error"))</f>
        <v/>
      </c>
      <c r="F27" s="32" t="str">
        <f>IFERROR(Country_Data[[#This Row],[10 year yield]]-VLOOKUP(Country_Data[[#This Row],[Moody''s local]],Rating_to_spread_Moody[],3,FALSE),"")</f>
        <v/>
      </c>
      <c r="G27" s="32"/>
      <c r="H27" t="str">
        <f>IFERROR(VLOOKUP(Country_Data[[#This Row],[Entity]],Ratings_Raw_SP[],2,FALSE),"")</f>
        <v>B</v>
      </c>
      <c r="I27" t="str">
        <f>IFERROR(VLOOKUP(Country_Data[[#This Row],[Entity]],Ratings_Raw_Fitch[],2,FALSE),"-")</f>
        <v>-</v>
      </c>
      <c r="J27" t="str">
        <f>IFERROR(VLOOKUP(Country_Data[[#This Row],[Entity]],Ratings_Raw_Moodys[],2,FALSE),"-")</f>
        <v>B3</v>
      </c>
      <c r="L27" s="3" t="s">
        <v>7</v>
      </c>
      <c r="M27" s="3" t="s">
        <v>7</v>
      </c>
      <c r="N27" s="28"/>
      <c r="O27" s="28"/>
      <c r="P27" s="28"/>
      <c r="Q27" s="28"/>
      <c r="R27" s="28"/>
      <c r="S27" s="28"/>
      <c r="T27" s="28"/>
      <c r="U27" s="28"/>
      <c r="V27" s="28" t="str">
        <f>IF(Country_Data[[#This Row],[10 year $ yield]]="","",Country_Data[[#This Row],[10 year $ yield]]-VLOOKUP("United States",Country_Data[],15,FALSE))</f>
        <v/>
      </c>
      <c r="W27" s="28"/>
      <c r="X27" s="21"/>
    </row>
    <row r="28" spans="2:38">
      <c r="B28" s="4" t="s">
        <v>65</v>
      </c>
      <c r="C28" s="4" t="s">
        <v>232</v>
      </c>
      <c r="D28" s="29" t="str">
        <f>IFERROR(Country_Data[[#This Row],[StD of equity market]]/Country_Data[[#This Row],[StD for bond]]*VLOOKUP(Country_Data[[#This Row],[Moody''s]],Rating_to_spread_Moody[],3,FALSE),"")</f>
        <v/>
      </c>
      <c r="E28" s="31" t="str">
        <f>IF(Country_Data[[#This Row],[10 year $ yield]]="","",IFERROR(Country_Data[[#This Row],[Default spread on $ bonds]]*Country_Data[[#This Row],[StD of equity market]]/Country_Data[[#This Row],[StD for bond]],"Error"))</f>
        <v/>
      </c>
      <c r="F28" s="31" t="str">
        <f>IFERROR(Country_Data[[#This Row],[10 year yield]]-VLOOKUP(Country_Data[[#This Row],[Moody''s local]],Rating_to_spread_Moody[],3,FALSE),"")</f>
        <v/>
      </c>
      <c r="G28" s="31"/>
      <c r="H28" t="str">
        <f>IFERROR(VLOOKUP(Country_Data[[#This Row],[Entity]],Ratings_Raw_SP[],2,FALSE),"")</f>
        <v>A-</v>
      </c>
      <c r="I28" t="str">
        <f>IFERROR(VLOOKUP(Country_Data[[#This Row],[Entity]],Ratings_Raw_Fitch[],2,FALSE),"-")</f>
        <v>-</v>
      </c>
      <c r="J28" t="str">
        <f>IFERROR(VLOOKUP(Country_Data[[#This Row],[Entity]],Ratings_Raw_Moodys[],2,FALSE),"-")</f>
        <v>A2</v>
      </c>
      <c r="L28" s="3" t="s">
        <v>9</v>
      </c>
      <c r="M28" s="3" t="s">
        <v>9</v>
      </c>
      <c r="N28" s="28"/>
      <c r="O28" s="28"/>
      <c r="P28" s="28"/>
      <c r="Q28" s="28"/>
      <c r="R28" s="28"/>
      <c r="S28" s="28"/>
      <c r="T28" s="28"/>
      <c r="U28" s="28"/>
      <c r="V28" s="28" t="str">
        <f>IF(Country_Data[[#This Row],[10 year $ yield]]="","",Country_Data[[#This Row],[10 year $ yield]]-VLOOKUP("United States",Country_Data[],15,FALSE))</f>
        <v/>
      </c>
      <c r="W28" s="28"/>
      <c r="X28" s="21"/>
    </row>
    <row r="29" spans="2:38">
      <c r="B29" s="5" t="s">
        <v>66</v>
      </c>
      <c r="C29" s="5" t="s">
        <v>237</v>
      </c>
      <c r="D29" s="21">
        <f>IFERROR(Country_Data[[#This Row],[StD of equity market]]/Country_Data[[#This Row],[StD for bond]]*VLOOKUP(Country_Data[[#This Row],[Moody''s]],Rating_to_spread_Moody[],3,FALSE),"")</f>
        <v>1.1066176470588236E-2</v>
      </c>
      <c r="E29" s="32">
        <f>IF(Country_Data[[#This Row],[10 year $ yield]]="","",IFERROR(Country_Data[[#This Row],[Default spread on $ bonds]]*Country_Data[[#This Row],[StD of equity market]]/Country_Data[[#This Row],[StD for bond]],"Error"))</f>
        <v>2.9973529411764711E-2</v>
      </c>
      <c r="F29" s="32">
        <f>IFERROR(Country_Data[[#This Row],[10 year yield]]-VLOOKUP(Country_Data[[#This Row],[Moody''s local]],Rating_to_spread_Moody[],3,FALSE),"")</f>
        <v>4.250000000000001E-2</v>
      </c>
      <c r="G29" s="32"/>
      <c r="H29" t="str">
        <f>IFERROR(VLOOKUP(Country_Data[[#This Row],[Entity]],Ratings_Raw_SP[],2,FALSE),"")</f>
        <v>BBB-</v>
      </c>
      <c r="I29" t="str">
        <f>IFERROR(VLOOKUP(Country_Data[[#This Row],[Entity]],Ratings_Raw_Fitch[],2,FALSE),"-")</f>
        <v>BBB</v>
      </c>
      <c r="J29" t="str">
        <f>IFERROR(VLOOKUP(Country_Data[[#This Row],[Entity]],Ratings_Raw_Moodys[],2,FALSE),"-")</f>
        <v>Baa2</v>
      </c>
      <c r="K29" t="s">
        <v>35</v>
      </c>
      <c r="L29" s="3" t="s">
        <v>13</v>
      </c>
      <c r="M29" s="3" t="s">
        <v>14</v>
      </c>
      <c r="N29" s="28"/>
      <c r="O29" s="28"/>
      <c r="P29" s="28"/>
      <c r="Q29" s="28">
        <v>7.0000000000000007E-2</v>
      </c>
      <c r="R29" s="28"/>
      <c r="S29" s="28"/>
      <c r="T29" s="28"/>
      <c r="U29" s="28">
        <v>6.3700000000000007E-2</v>
      </c>
      <c r="V29" s="28">
        <f>IF(Country_Data[[#This Row],[10 year $ yield]]="","",Country_Data[[#This Row],[10 year $ yield]]-VLOOKUP("United States",Country_Data[],15,FALSE))</f>
        <v>4.7400000000000012E-2</v>
      </c>
      <c r="W29" s="28">
        <v>0.34</v>
      </c>
      <c r="X29" s="21">
        <v>0.215</v>
      </c>
    </row>
    <row r="30" spans="2:38">
      <c r="B30" s="4" t="s">
        <v>67</v>
      </c>
      <c r="C30" s="4" t="s">
        <v>242</v>
      </c>
      <c r="D30" s="29" t="str">
        <f>IFERROR(Country_Data[[#This Row],[StD of equity market]]/Country_Data[[#This Row],[StD for bond]]*VLOOKUP(Country_Data[[#This Row],[Moody''s]],Rating_to_spread_Moody[],3,FALSE),"")</f>
        <v/>
      </c>
      <c r="E30" s="31" t="str">
        <f>IF(Country_Data[[#This Row],[10 year $ yield]]="","",IFERROR(Country_Data[[#This Row],[Default spread on $ bonds]]*Country_Data[[#This Row],[StD of equity market]]/Country_Data[[#This Row],[StD for bond]],"Error"))</f>
        <v/>
      </c>
      <c r="F30" s="31" t="str">
        <f>IFERROR(Country_Data[[#This Row],[10 year yield]]-VLOOKUP(Country_Data[[#This Row],[Moody''s local]],Rating_to_spread_Moody[],3,FALSE),"")</f>
        <v/>
      </c>
      <c r="G30" s="31"/>
      <c r="H30" t="str">
        <f>IFERROR(VLOOKUP(Country_Data[[#This Row],[Entity]],Ratings_Raw_SP[],2,FALSE),"")</f>
        <v>BBB-</v>
      </c>
      <c r="I30" t="str">
        <f>IFERROR(VLOOKUP(Country_Data[[#This Row],[Entity]],Ratings_Raw_Fitch[],2,FALSE),"-")</f>
        <v>BBB-</v>
      </c>
      <c r="J30" t="str">
        <f>IFERROR(VLOOKUP(Country_Data[[#This Row],[Entity]],Ratings_Raw_Moodys[],2,FALSE),"-")</f>
        <v>Baa2</v>
      </c>
      <c r="L30" s="3" t="s">
        <v>14</v>
      </c>
      <c r="M30" s="3" t="s">
        <v>14</v>
      </c>
      <c r="N30" s="28"/>
      <c r="O30" s="28"/>
      <c r="P30" s="28"/>
      <c r="Q30" s="28"/>
      <c r="R30" s="28"/>
      <c r="S30" s="28"/>
      <c r="T30" s="28"/>
      <c r="U30" s="28"/>
      <c r="V30" s="28" t="str">
        <f>IF(Country_Data[[#This Row],[10 year $ yield]]="","",Country_Data[[#This Row],[10 year $ yield]]-VLOOKUP("United States",Country_Data[],15,FALSE))</f>
        <v/>
      </c>
      <c r="W30" s="28"/>
      <c r="X30" s="21"/>
    </row>
    <row r="31" spans="2:38">
      <c r="B31" s="5" t="s">
        <v>68</v>
      </c>
      <c r="C31" s="5" t="s">
        <v>232</v>
      </c>
      <c r="D31" s="21" t="str">
        <f>IFERROR(Country_Data[[#This Row],[StD of equity market]]/Country_Data[[#This Row],[StD for bond]]*VLOOKUP(Country_Data[[#This Row],[Moody''s]],Rating_to_spread_Moody[],3,FALSE),"")</f>
        <v/>
      </c>
      <c r="E31" s="32" t="str">
        <f>IF(Country_Data[[#This Row],[10 year $ yield]]="","",IFERROR(Country_Data[[#This Row],[Default spread on $ bonds]]*Country_Data[[#This Row],[StD of equity market]]/Country_Data[[#This Row],[StD for bond]],"Error"))</f>
        <v/>
      </c>
      <c r="F31" s="32" t="str">
        <f>IFERROR(Country_Data[[#This Row],[10 year yield]]-VLOOKUP(Country_Data[[#This Row],[Moody''s local]],Rating_to_spread_Moody[],3,FALSE),"")</f>
        <v/>
      </c>
      <c r="G31" s="32"/>
      <c r="H31" t="str">
        <f>IFERROR(VLOOKUP(Country_Data[[#This Row],[Entity]],Ratings_Raw_SP[],2,FALSE),"")</f>
        <v>B</v>
      </c>
      <c r="I31" t="str">
        <f>IFERROR(VLOOKUP(Country_Data[[#This Row],[Entity]],Ratings_Raw_Fitch[],2,FALSE),"-")</f>
        <v>-</v>
      </c>
      <c r="J31" t="str">
        <f>IFERROR(VLOOKUP(Country_Data[[#This Row],[Entity]],Ratings_Raw_Moodys[],2,FALSE),"-")</f>
        <v>-</v>
      </c>
      <c r="L31" s="3" t="s">
        <v>7</v>
      </c>
      <c r="M31" s="3" t="s">
        <v>7</v>
      </c>
      <c r="N31" s="28"/>
      <c r="O31" s="28"/>
      <c r="P31" s="28"/>
      <c r="Q31" s="28"/>
      <c r="R31" s="28"/>
      <c r="S31" s="28"/>
      <c r="T31" s="28"/>
      <c r="U31" s="28"/>
      <c r="V31" s="28" t="str">
        <f>IF(Country_Data[[#This Row],[10 year $ yield]]="","",Country_Data[[#This Row],[10 year $ yield]]-VLOOKUP("United States",Country_Data[],15,FALSE))</f>
        <v/>
      </c>
      <c r="W31" s="28"/>
      <c r="X31" s="21"/>
    </row>
    <row r="32" spans="2:38">
      <c r="B32" s="4" t="s">
        <v>69</v>
      </c>
      <c r="C32" s="4" t="s">
        <v>233</v>
      </c>
      <c r="D32" s="29" t="str">
        <f>IFERROR(Country_Data[[#This Row],[StD of equity market]]/Country_Data[[#This Row],[StD for bond]]*VLOOKUP(Country_Data[[#This Row],[Moody''s]],Rating_to_spread_Moody[],3,FALSE),"")</f>
        <v/>
      </c>
      <c r="E32" s="31" t="str">
        <f>IF(Country_Data[[#This Row],[10 year $ yield]]="","",IFERROR(Country_Data[[#This Row],[Default spread on $ bonds]]*Country_Data[[#This Row],[StD of equity market]]/Country_Data[[#This Row],[StD for bond]],"Error"))</f>
        <v/>
      </c>
      <c r="F32" s="31" t="str">
        <f>IFERROR(Country_Data[[#This Row],[10 year yield]]-VLOOKUP(Country_Data[[#This Row],[Moody''s local]],Rating_to_spread_Moody[],3,FALSE),"")</f>
        <v/>
      </c>
      <c r="G32" s="31"/>
      <c r="H32" t="str">
        <f>IFERROR(VLOOKUP(Country_Data[[#This Row],[Entity]],Ratings_Raw_SP[],2,FALSE),"")</f>
        <v>B</v>
      </c>
      <c r="I32" t="str">
        <f>IFERROR(VLOOKUP(Country_Data[[#This Row],[Entity]],Ratings_Raw_Fitch[],2,FALSE),"-")</f>
        <v>-</v>
      </c>
      <c r="J32" t="str">
        <f>IFERROR(VLOOKUP(Country_Data[[#This Row],[Entity]],Ratings_Raw_Moodys[],2,FALSE),"-")</f>
        <v>B2</v>
      </c>
      <c r="L32" s="3" t="s">
        <v>7</v>
      </c>
      <c r="M32" s="3" t="s">
        <v>7</v>
      </c>
      <c r="N32" s="28"/>
      <c r="O32" s="28"/>
      <c r="P32" s="28"/>
      <c r="Q32" s="28"/>
      <c r="R32" s="28"/>
      <c r="S32" s="28"/>
      <c r="T32" s="28"/>
      <c r="U32" s="28"/>
      <c r="V32" s="28" t="str">
        <f>IF(Country_Data[[#This Row],[10 year $ yield]]="","",Country_Data[[#This Row],[10 year $ yield]]-VLOOKUP("United States",Country_Data[],15,FALSE))</f>
        <v/>
      </c>
      <c r="W32" s="28"/>
      <c r="X32" s="21"/>
    </row>
    <row r="33" spans="2:24">
      <c r="B33" s="5" t="s">
        <v>70</v>
      </c>
      <c r="C33" s="5" t="s">
        <v>232</v>
      </c>
      <c r="D33" s="21" t="str">
        <f>IFERROR(Country_Data[[#This Row],[StD of equity market]]/Country_Data[[#This Row],[StD for bond]]*VLOOKUP(Country_Data[[#This Row],[Moody''s]],Rating_to_spread_Moody[],3,FALSE),"")</f>
        <v/>
      </c>
      <c r="E33" s="32" t="str">
        <f>IF(Country_Data[[#This Row],[10 year $ yield]]="","",IFERROR(Country_Data[[#This Row],[Default spread on $ bonds]]*Country_Data[[#This Row],[StD of equity market]]/Country_Data[[#This Row],[StD for bond]],"Error"))</f>
        <v/>
      </c>
      <c r="F33" s="32" t="str">
        <f>IFERROR(Country_Data[[#This Row],[10 year yield]]-VLOOKUP(Country_Data[[#This Row],[Moody''s local]],Rating_to_spread_Moody[],3,FALSE),"")</f>
        <v/>
      </c>
      <c r="G33" s="32"/>
      <c r="H33" t="str">
        <f>IFERROR(VLOOKUP(Country_Data[[#This Row],[Entity]],Ratings_Raw_SP[],2,FALSE),"")</f>
        <v>B</v>
      </c>
      <c r="I33" t="str">
        <f>IFERROR(VLOOKUP(Country_Data[[#This Row],[Entity]],Ratings_Raw_Fitch[],2,FALSE),"-")</f>
        <v>B</v>
      </c>
      <c r="J33" t="str">
        <f>IFERROR(VLOOKUP(Country_Data[[#This Row],[Entity]],Ratings_Raw_Moodys[],2,FALSE),"-")</f>
        <v>-</v>
      </c>
      <c r="L33" s="3" t="s">
        <v>7</v>
      </c>
      <c r="M33" s="3" t="s">
        <v>7</v>
      </c>
      <c r="N33" s="28"/>
      <c r="O33" s="28"/>
      <c r="P33" s="28"/>
      <c r="Q33" s="28"/>
      <c r="R33" s="28"/>
      <c r="S33" s="28"/>
      <c r="T33" s="28"/>
      <c r="U33" s="28"/>
      <c r="V33" s="28" t="str">
        <f>IF(Country_Data[[#This Row],[10 year $ yield]]="","",Country_Data[[#This Row],[10 year $ yield]]-VLOOKUP("United States",Country_Data[],15,FALSE))</f>
        <v/>
      </c>
      <c r="W33" s="28"/>
      <c r="X33" s="21"/>
    </row>
    <row r="34" spans="2:24">
      <c r="B34" s="4" t="s">
        <v>71</v>
      </c>
      <c r="C34" s="4" t="s">
        <v>238</v>
      </c>
      <c r="D34" s="29" t="str">
        <f>IFERROR(Country_Data[[#This Row],[StD of equity market]]/Country_Data[[#This Row],[StD for bond]]*VLOOKUP(Country_Data[[#This Row],[Moody''s]],Rating_to_spread_Moody[],3,FALSE),"")</f>
        <v/>
      </c>
      <c r="E34" s="31" t="str">
        <f>IF(Country_Data[[#This Row],[10 year $ yield]]="","",IFERROR(Country_Data[[#This Row],[Default spread on $ bonds]]*Country_Data[[#This Row],[StD of equity market]]/Country_Data[[#This Row],[StD for bond]],"Error"))</f>
        <v/>
      </c>
      <c r="F34" s="31" t="str">
        <f>IFERROR(Country_Data[[#This Row],[10 year yield]]-VLOOKUP(Country_Data[[#This Row],[Moody''s local]],Rating_to_spread_Moody[],3,FALSE),"")</f>
        <v/>
      </c>
      <c r="G34" s="31"/>
      <c r="H34" t="str">
        <f>IFERROR(VLOOKUP(Country_Data[[#This Row],[Entity]],Ratings_Raw_SP[],2,FALSE),"")</f>
        <v>AAA</v>
      </c>
      <c r="I34" t="str">
        <f>IFERROR(VLOOKUP(Country_Data[[#This Row],[Entity]],Ratings_Raw_Fitch[],2,FALSE),"-")</f>
        <v>AAA</v>
      </c>
      <c r="J34" t="str">
        <f>IFERROR(VLOOKUP(Country_Data[[#This Row],[Entity]],Ratings_Raw_Moodys[],2,FALSE),"-")</f>
        <v>Aaa</v>
      </c>
      <c r="L34" s="3" t="s">
        <v>10</v>
      </c>
      <c r="M34" s="3" t="s">
        <v>10</v>
      </c>
      <c r="N34" s="28"/>
      <c r="O34" s="28"/>
      <c r="P34" s="28"/>
      <c r="Q34" s="28"/>
      <c r="R34" s="28"/>
      <c r="S34" s="28"/>
      <c r="T34" s="28"/>
      <c r="U34" s="28"/>
      <c r="V34" s="28" t="str">
        <f>IF(Country_Data[[#This Row],[10 year $ yield]]="","",Country_Data[[#This Row],[10 year $ yield]]-VLOOKUP("United States",Country_Data[],15,FALSE))</f>
        <v/>
      </c>
      <c r="W34" s="28"/>
      <c r="X34" s="21"/>
    </row>
    <row r="35" spans="2:24">
      <c r="B35" s="5" t="s">
        <v>72</v>
      </c>
      <c r="C35" s="5" t="s">
        <v>232</v>
      </c>
      <c r="D35" s="21" t="str">
        <f>IFERROR(Country_Data[[#This Row],[StD of equity market]]/Country_Data[[#This Row],[StD for bond]]*VLOOKUP(Country_Data[[#This Row],[Moody''s]],Rating_to_spread_Moody[],3,FALSE),"")</f>
        <v/>
      </c>
      <c r="E35" s="32" t="str">
        <f>IF(Country_Data[[#This Row],[10 year $ yield]]="","",IFERROR(Country_Data[[#This Row],[Default spread on $ bonds]]*Country_Data[[#This Row],[StD of equity market]]/Country_Data[[#This Row],[StD for bond]],"Error"))</f>
        <v/>
      </c>
      <c r="F35" s="32" t="str">
        <f>IFERROR(Country_Data[[#This Row],[10 year yield]]-VLOOKUP(Country_Data[[#This Row],[Moody''s local]],Rating_to_spread_Moody[],3,FALSE),"")</f>
        <v/>
      </c>
      <c r="G35" s="32"/>
      <c r="H35" t="str">
        <f>IFERROR(VLOOKUP(Country_Data[[#This Row],[Entity]],Ratings_Raw_SP[],2,FALSE),"")</f>
        <v>B+</v>
      </c>
      <c r="I35" t="str">
        <f>IFERROR(VLOOKUP(Country_Data[[#This Row],[Entity]],Ratings_Raw_Fitch[],2,FALSE),"-")</f>
        <v>B+</v>
      </c>
      <c r="J35" t="str">
        <f>IFERROR(VLOOKUP(Country_Data[[#This Row],[Entity]],Ratings_Raw_Moodys[],2,FALSE),"-")</f>
        <v>-</v>
      </c>
      <c r="L35" s="3" t="s">
        <v>7</v>
      </c>
      <c r="M35" s="3" t="s">
        <v>7</v>
      </c>
      <c r="N35" s="28"/>
      <c r="O35" s="28"/>
      <c r="P35" s="28"/>
      <c r="Q35" s="28"/>
      <c r="R35" s="28"/>
      <c r="S35" s="28"/>
      <c r="T35" s="28"/>
      <c r="U35" s="28"/>
      <c r="V35" s="28" t="str">
        <f>IF(Country_Data[[#This Row],[10 year $ yield]]="","",Country_Data[[#This Row],[10 year $ yield]]-VLOOKUP("United States",Country_Data[],15,FALSE))</f>
        <v/>
      </c>
      <c r="W35" s="28"/>
      <c r="X35" s="21"/>
    </row>
    <row r="36" spans="2:24">
      <c r="B36" s="4" t="s">
        <v>73</v>
      </c>
      <c r="C36" s="4" t="s">
        <v>237</v>
      </c>
      <c r="D36" s="29" t="str">
        <f>IFERROR(Country_Data[[#This Row],[StD of equity market]]/Country_Data[[#This Row],[StD for bond]]*VLOOKUP(Country_Data[[#This Row],[Moody''s]],Rating_to_spread_Moody[],3,FALSE),"")</f>
        <v/>
      </c>
      <c r="E36" s="31" t="str">
        <f>IF(Country_Data[[#This Row],[10 year $ yield]]="","",IFERROR(Country_Data[[#This Row],[Default spread on $ bonds]]*Country_Data[[#This Row],[StD of equity market]]/Country_Data[[#This Row],[StD for bond]],"Error"))</f>
        <v/>
      </c>
      <c r="F36" s="31" t="str">
        <f>IFERROR(Country_Data[[#This Row],[10 year yield]]-VLOOKUP(Country_Data[[#This Row],[Moody''s local]],Rating_to_spread_Moody[],3,FALSE),"")</f>
        <v/>
      </c>
      <c r="G36" s="31"/>
      <c r="H36" t="str">
        <f>IFERROR(VLOOKUP(Country_Data[[#This Row],[Entity]],Ratings_Raw_SP[],2,FALSE),"")</f>
        <v>AA-</v>
      </c>
      <c r="I36" t="str">
        <f>IFERROR(VLOOKUP(Country_Data[[#This Row],[Entity]],Ratings_Raw_Fitch[],2,FALSE),"-")</f>
        <v>A+</v>
      </c>
      <c r="J36" t="str">
        <f>IFERROR(VLOOKUP(Country_Data[[#This Row],[Entity]],Ratings_Raw_Moodys[],2,FALSE),"-")</f>
        <v>Aa3</v>
      </c>
      <c r="L36" s="3" t="s">
        <v>6</v>
      </c>
      <c r="M36" s="3" t="s">
        <v>17</v>
      </c>
      <c r="N36" s="28"/>
      <c r="O36" s="28"/>
      <c r="P36" s="28"/>
      <c r="Q36" s="28"/>
      <c r="R36" s="28"/>
      <c r="S36" s="28"/>
      <c r="T36" s="28"/>
      <c r="U36" s="28"/>
      <c r="V36" s="28" t="str">
        <f>IF(Country_Data[[#This Row],[10 year $ yield]]="","",Country_Data[[#This Row],[10 year $ yield]]-VLOOKUP("United States",Country_Data[],15,FALSE))</f>
        <v/>
      </c>
      <c r="W36" s="28"/>
      <c r="X36" s="21"/>
    </row>
    <row r="37" spans="2:24">
      <c r="B37" s="5" t="s">
        <v>74</v>
      </c>
      <c r="C37" s="5" t="s">
        <v>233</v>
      </c>
      <c r="D37" s="21" t="str">
        <f>IFERROR(Country_Data[[#This Row],[StD of equity market]]/Country_Data[[#This Row],[StD for bond]]*VLOOKUP(Country_Data[[#This Row],[Moody''s]],Rating_to_spread_Moody[],3,FALSE),"")</f>
        <v/>
      </c>
      <c r="E37" s="32" t="str">
        <f>IF(Country_Data[[#This Row],[10 year $ yield]]="","",IFERROR(Country_Data[[#This Row],[Default spread on $ bonds]]*Country_Data[[#This Row],[StD of equity market]]/Country_Data[[#This Row],[StD for bond]],"Error"))</f>
        <v/>
      </c>
      <c r="F37" s="32" t="str">
        <f>IFERROR(Country_Data[[#This Row],[10 year yield]]-VLOOKUP(Country_Data[[#This Row],[Moody''s local]],Rating_to_spread_Moody[],3,FALSE),"")</f>
        <v/>
      </c>
      <c r="G37" s="32"/>
      <c r="H37" t="str">
        <f>IFERROR(VLOOKUP(Country_Data[[#This Row],[Entity]],Ratings_Raw_SP[],2,FALSE),"")</f>
        <v>AA-</v>
      </c>
      <c r="I37" t="str">
        <f>IFERROR(VLOOKUP(Country_Data[[#This Row],[Entity]],Ratings_Raw_Fitch[],2,FALSE),"-")</f>
        <v>A+</v>
      </c>
      <c r="J37" t="str">
        <f>IFERROR(VLOOKUP(Country_Data[[#This Row],[Entity]],Ratings_Raw_Moodys[],2,FALSE),"-")</f>
        <v>Aa3</v>
      </c>
      <c r="L37" s="3" t="s">
        <v>17</v>
      </c>
      <c r="M37" s="3" t="s">
        <v>17</v>
      </c>
      <c r="N37" s="28"/>
      <c r="O37" s="28"/>
      <c r="P37" s="28"/>
      <c r="Q37" s="28"/>
      <c r="R37" s="28"/>
      <c r="S37" s="28"/>
      <c r="T37" s="28"/>
      <c r="U37" s="28"/>
      <c r="V37" s="28" t="str">
        <f>IF(Country_Data[[#This Row],[10 year $ yield]]="","",Country_Data[[#This Row],[10 year $ yield]]-VLOOKUP("United States",Country_Data[],15,FALSE))</f>
        <v/>
      </c>
      <c r="W37" s="28"/>
      <c r="X37" s="21"/>
    </row>
    <row r="38" spans="2:24">
      <c r="B38" s="4" t="s">
        <v>75</v>
      </c>
      <c r="C38" s="4" t="s">
        <v>232</v>
      </c>
      <c r="D38" s="29" t="str">
        <f>IFERROR(Country_Data[[#This Row],[StD of equity market]]/Country_Data[[#This Row],[StD for bond]]*VLOOKUP(Country_Data[[#This Row],[Moody''s]],Rating_to_spread_Moody[],3,FALSE),"")</f>
        <v/>
      </c>
      <c r="E38" s="31" t="str">
        <f>IF(Country_Data[[#This Row],[10 year $ yield]]="","",IFERROR(Country_Data[[#This Row],[Default spread on $ bonds]]*Country_Data[[#This Row],[StD of equity market]]/Country_Data[[#This Row],[StD for bond]],"Error"))</f>
        <v/>
      </c>
      <c r="F38" s="31" t="str">
        <f>IFERROR(Country_Data[[#This Row],[10 year yield]]-VLOOKUP(Country_Data[[#This Row],[Moody''s local]],Rating_to_spread_Moody[],3,FALSE),"")</f>
        <v/>
      </c>
      <c r="G38" s="31"/>
      <c r="H38" t="str">
        <f>IFERROR(VLOOKUP(Country_Data[[#This Row],[Entity]],Ratings_Raw_SP[],2,FALSE),"")</f>
        <v>BBB</v>
      </c>
      <c r="I38" t="str">
        <f>IFERROR(VLOOKUP(Country_Data[[#This Row],[Entity]],Ratings_Raw_Fitch[],2,FALSE),"-")</f>
        <v>BBB</v>
      </c>
      <c r="J38" t="str">
        <f>IFERROR(VLOOKUP(Country_Data[[#This Row],[Entity]],Ratings_Raw_Moodys[],2,FALSE),"-")</f>
        <v>Baa2</v>
      </c>
      <c r="L38" s="3" t="s">
        <v>13</v>
      </c>
      <c r="M38" s="3" t="s">
        <v>15</v>
      </c>
      <c r="N38" s="28"/>
      <c r="O38" s="28"/>
      <c r="P38" s="28"/>
      <c r="Q38" s="28"/>
      <c r="R38" s="28"/>
      <c r="S38" s="28"/>
      <c r="T38" s="28"/>
      <c r="U38" s="28"/>
      <c r="V38" s="28" t="str">
        <f>IF(Country_Data[[#This Row],[10 year $ yield]]="","",Country_Data[[#This Row],[10 year $ yield]]-VLOOKUP("United States",Country_Data[],15,FALSE))</f>
        <v/>
      </c>
      <c r="W38" s="28"/>
      <c r="X38" s="21"/>
    </row>
    <row r="39" spans="2:24">
      <c r="B39" s="5" t="s">
        <v>76</v>
      </c>
      <c r="C39" s="5"/>
      <c r="D39" s="21" t="str">
        <f>IFERROR(Country_Data[[#This Row],[StD of equity market]]/Country_Data[[#This Row],[StD for bond]]*VLOOKUP(Country_Data[[#This Row],[Moody''s]],Rating_to_spread_Moody[],3,FALSE),"")</f>
        <v/>
      </c>
      <c r="E39" s="32" t="str">
        <f>IF(Country_Data[[#This Row],[10 year $ yield]]="","",IFERROR(Country_Data[[#This Row],[Default spread on $ bonds]]*Country_Data[[#This Row],[StD of equity market]]/Country_Data[[#This Row],[StD for bond]],"Error"))</f>
        <v/>
      </c>
      <c r="F39" s="32" t="str">
        <f>IFERROR(Country_Data[[#This Row],[10 year yield]]-VLOOKUP(Country_Data[[#This Row],[Moody''s local]],Rating_to_spread_Moody[],3,FALSE),"")</f>
        <v/>
      </c>
      <c r="G39" s="32"/>
      <c r="H39" t="str">
        <f>IFERROR(VLOOKUP(Country_Data[[#This Row],[Entity]],Ratings_Raw_SP[],2,FALSE),"")</f>
        <v>B+</v>
      </c>
      <c r="I39" t="str">
        <f>IFERROR(VLOOKUP(Country_Data[[#This Row],[Entity]],Ratings_Raw_Fitch[],2,FALSE),"-")</f>
        <v>-</v>
      </c>
      <c r="J39" t="str">
        <f>IFERROR(VLOOKUP(Country_Data[[#This Row],[Entity]],Ratings_Raw_Moodys[],2,FALSE),"-")</f>
        <v>-</v>
      </c>
      <c r="L39" s="3" t="s">
        <v>20</v>
      </c>
      <c r="M39" s="3" t="s">
        <v>20</v>
      </c>
      <c r="N39" s="28"/>
      <c r="O39" s="28"/>
      <c r="P39" s="28"/>
      <c r="Q39" s="28"/>
      <c r="R39" s="28"/>
      <c r="S39" s="28"/>
      <c r="T39" s="28"/>
      <c r="U39" s="28"/>
      <c r="V39" s="28" t="str">
        <f>IF(Country_Data[[#This Row],[10 year $ yield]]="","",Country_Data[[#This Row],[10 year $ yield]]-VLOOKUP("United States",Country_Data[],15,FALSE))</f>
        <v/>
      </c>
      <c r="W39" s="28"/>
      <c r="X39" s="21"/>
    </row>
    <row r="40" spans="2:24">
      <c r="B40" s="4" t="s">
        <v>77</v>
      </c>
      <c r="C40" s="4" t="s">
        <v>237</v>
      </c>
      <c r="D40" s="29" t="str">
        <f>IFERROR(Country_Data[[#This Row],[StD of equity market]]/Country_Data[[#This Row],[StD for bond]]*VLOOKUP(Country_Data[[#This Row],[Moody''s]],Rating_to_spread_Moody[],3,FALSE),"")</f>
        <v/>
      </c>
      <c r="E40" s="31" t="str">
        <f>IF(Country_Data[[#This Row],[10 year $ yield]]="","",IFERROR(Country_Data[[#This Row],[Default spread on $ bonds]]*Country_Data[[#This Row],[StD of equity market]]/Country_Data[[#This Row],[StD for bond]],"Error"))</f>
        <v/>
      </c>
      <c r="F40" s="31" t="str">
        <f>IFERROR(Country_Data[[#This Row],[10 year yield]]-VLOOKUP(Country_Data[[#This Row],[Moody''s local]],Rating_to_spread_Moody[],3,FALSE),"")</f>
        <v/>
      </c>
      <c r="G40" s="31"/>
      <c r="H40" t="str">
        <f>IFERROR(VLOOKUP(Country_Data[[#This Row],[Entity]],Ratings_Raw_SP[],2,FALSE),"")</f>
        <v>BB</v>
      </c>
      <c r="I40" t="str">
        <f>IFERROR(VLOOKUP(Country_Data[[#This Row],[Entity]],Ratings_Raw_Fitch[],2,FALSE),"-")</f>
        <v>BB+</v>
      </c>
      <c r="J40" t="str">
        <f>IFERROR(VLOOKUP(Country_Data[[#This Row],[Entity]],Ratings_Raw_Moodys[],2,FALSE),"-")</f>
        <v>Baa3</v>
      </c>
      <c r="L40" s="3" t="s">
        <v>18</v>
      </c>
      <c r="M40" s="3" t="s">
        <v>18</v>
      </c>
      <c r="N40" s="28"/>
      <c r="O40" s="28"/>
      <c r="P40" s="28"/>
      <c r="Q40" s="28"/>
      <c r="R40" s="28"/>
      <c r="S40" s="28"/>
      <c r="T40" s="28"/>
      <c r="U40" s="28"/>
      <c r="V40" s="28" t="str">
        <f>IF(Country_Data[[#This Row],[10 year $ yield]]="","",Country_Data[[#This Row],[10 year $ yield]]-VLOOKUP("United States",Country_Data[],15,FALSE))</f>
        <v/>
      </c>
      <c r="W40" s="28"/>
      <c r="X40" s="21"/>
    </row>
    <row r="41" spans="2:24">
      <c r="B41" s="5" t="s">
        <v>78</v>
      </c>
      <c r="C41" s="5" t="s">
        <v>242</v>
      </c>
      <c r="D41" s="21" t="str">
        <f>IFERROR(Country_Data[[#This Row],[StD of equity market]]/Country_Data[[#This Row],[StD for bond]]*VLOOKUP(Country_Data[[#This Row],[Moody''s]],Rating_to_spread_Moody[],3,FALSE),"")</f>
        <v/>
      </c>
      <c r="E41" s="32" t="str">
        <f>IF(Country_Data[[#This Row],[10 year $ yield]]="","",IFERROR(Country_Data[[#This Row],[Default spread on $ bonds]]*Country_Data[[#This Row],[StD of equity market]]/Country_Data[[#This Row],[StD for bond]],"Error"))</f>
        <v/>
      </c>
      <c r="F41" s="32" t="str">
        <f>IFERROR(Country_Data[[#This Row],[10 year yield]]-VLOOKUP(Country_Data[[#This Row],[Moody''s local]],Rating_to_spread_Moody[],3,FALSE),"")</f>
        <v/>
      </c>
      <c r="G41" s="32"/>
      <c r="H41" t="str">
        <f>IFERROR(VLOOKUP(Country_Data[[#This Row],[Entity]],Ratings_Raw_SP[],2,FALSE),"")</f>
        <v>BB+</v>
      </c>
      <c r="I41" t="str">
        <f>IFERROR(VLOOKUP(Country_Data[[#This Row],[Entity]],Ratings_Raw_Fitch[],2,FALSE),"-")</f>
        <v>BBB</v>
      </c>
      <c r="J41" t="str">
        <f>IFERROR(VLOOKUP(Country_Data[[#This Row],[Entity]],Ratings_Raw_Moodys[],2,FALSE),"-")</f>
        <v>Baa3</v>
      </c>
      <c r="L41" s="3" t="s">
        <v>18</v>
      </c>
      <c r="M41" s="3" t="s">
        <v>18</v>
      </c>
      <c r="N41" s="28"/>
      <c r="O41" s="28"/>
      <c r="P41" s="28"/>
      <c r="Q41" s="28"/>
      <c r="R41" s="28"/>
      <c r="S41" s="28"/>
      <c r="T41" s="28"/>
      <c r="U41" s="28"/>
      <c r="V41" s="28" t="str">
        <f>IF(Country_Data[[#This Row],[10 year $ yield]]="","",Country_Data[[#This Row],[10 year $ yield]]-VLOOKUP("United States",Country_Data[],15,FALSE))</f>
        <v/>
      </c>
      <c r="W41" s="28"/>
      <c r="X41" s="21"/>
    </row>
    <row r="42" spans="2:24">
      <c r="B42" s="4" t="s">
        <v>79</v>
      </c>
      <c r="C42" s="4" t="s">
        <v>233</v>
      </c>
      <c r="D42" s="29" t="str">
        <f>IFERROR(Country_Data[[#This Row],[StD of equity market]]/Country_Data[[#This Row],[StD for bond]]*VLOOKUP(Country_Data[[#This Row],[Moody''s]],Rating_to_spread_Moody[],3,FALSE),"")</f>
        <v/>
      </c>
      <c r="E42" s="31" t="str">
        <f>IF(Country_Data[[#This Row],[10 year $ yield]]="","",IFERROR(Country_Data[[#This Row],[Default spread on $ bonds]]*Country_Data[[#This Row],[StD of equity market]]/Country_Data[[#This Row],[StD for bond]],"Error"))</f>
        <v/>
      </c>
      <c r="F42" s="31" t="str">
        <f>IFERROR(Country_Data[[#This Row],[10 year yield]]-VLOOKUP(Country_Data[[#This Row],[Moody''s local]],Rating_to_spread_Moody[],3,FALSE),"")</f>
        <v/>
      </c>
      <c r="G42" s="31"/>
      <c r="H42" t="str">
        <f>IFERROR(VLOOKUP(Country_Data[[#This Row],[Entity]],Ratings_Raw_SP[],2,FALSE),"")</f>
        <v>A-</v>
      </c>
      <c r="I42" t="str">
        <f>IFERROR(VLOOKUP(Country_Data[[#This Row],[Entity]],Ratings_Raw_Fitch[],2,FALSE),"-")</f>
        <v>-</v>
      </c>
      <c r="J42" t="str">
        <f>IFERROR(VLOOKUP(Country_Data[[#This Row],[Entity]],Ratings_Raw_Moodys[],2,FALSE),"-")</f>
        <v>-</v>
      </c>
      <c r="L42" s="3" t="s">
        <v>9</v>
      </c>
      <c r="M42" s="3" t="s">
        <v>9</v>
      </c>
      <c r="N42" s="28"/>
      <c r="O42" s="28"/>
      <c r="P42" s="28"/>
      <c r="Q42" s="28"/>
      <c r="R42" s="28"/>
      <c r="S42" s="28"/>
      <c r="T42" s="28"/>
      <c r="U42" s="28"/>
      <c r="V42" s="28" t="str">
        <f>IF(Country_Data[[#This Row],[10 year $ yield]]="","",Country_Data[[#This Row],[10 year $ yield]]-VLOOKUP("United States",Country_Data[],15,FALSE))</f>
        <v/>
      </c>
      <c r="W42" s="28"/>
      <c r="X42" s="21"/>
    </row>
    <row r="43" spans="2:24">
      <c r="B43" s="5" t="s">
        <v>80</v>
      </c>
      <c r="C43" s="5" t="s">
        <v>242</v>
      </c>
      <c r="D43" s="21" t="str">
        <f>IFERROR(Country_Data[[#This Row],[StD of equity market]]/Country_Data[[#This Row],[StD for bond]]*VLOOKUP(Country_Data[[#This Row],[Moody''s]],Rating_to_spread_Moody[],3,FALSE),"")</f>
        <v/>
      </c>
      <c r="E43" s="32" t="str">
        <f>IF(Country_Data[[#This Row],[10 year $ yield]]="","",IFERROR(Country_Data[[#This Row],[Default spread on $ bonds]]*Country_Data[[#This Row],[StD of equity market]]/Country_Data[[#This Row],[StD for bond]],"Error"))</f>
        <v/>
      </c>
      <c r="F43" s="32" t="str">
        <f>IFERROR(Country_Data[[#This Row],[10 year yield]]-VLOOKUP(Country_Data[[#This Row],[Moody''s local]],Rating_to_spread_Moody[],3,FALSE),"")</f>
        <v/>
      </c>
      <c r="G43" s="32"/>
      <c r="H43" t="str">
        <f>IFERROR(VLOOKUP(Country_Data[[#This Row],[Entity]],Ratings_Raw_SP[],2,FALSE),"")</f>
        <v>B</v>
      </c>
      <c r="I43" t="str">
        <f>IFERROR(VLOOKUP(Country_Data[[#This Row],[Entity]],Ratings_Raw_Fitch[],2,FALSE),"-")</f>
        <v>BB-</v>
      </c>
      <c r="J43" t="str">
        <f>IFERROR(VLOOKUP(Country_Data[[#This Row],[Entity]],Ratings_Raw_Moodys[],2,FALSE),"-")</f>
        <v>Caa3</v>
      </c>
      <c r="L43" s="3" t="s">
        <v>7</v>
      </c>
      <c r="M43" s="3" t="s">
        <v>7</v>
      </c>
      <c r="N43" s="28"/>
      <c r="O43" s="28"/>
      <c r="P43" s="28"/>
      <c r="Q43" s="28"/>
      <c r="R43" s="28"/>
      <c r="S43" s="28"/>
      <c r="T43" s="28"/>
      <c r="U43" s="28"/>
      <c r="V43" s="28" t="str">
        <f>IF(Country_Data[[#This Row],[10 year $ yield]]="","",Country_Data[[#This Row],[10 year $ yield]]-VLOOKUP("United States",Country_Data[],15,FALSE))</f>
        <v/>
      </c>
      <c r="W43" s="28"/>
      <c r="X43" s="21"/>
    </row>
    <row r="44" spans="2:24">
      <c r="B44" s="4" t="s">
        <v>81</v>
      </c>
      <c r="C44" s="4" t="s">
        <v>242</v>
      </c>
      <c r="D44" s="29" t="str">
        <f>IFERROR(Country_Data[[#This Row],[StD of equity market]]/Country_Data[[#This Row],[StD for bond]]*VLOOKUP(Country_Data[[#This Row],[Moody''s]],Rating_to_spread_Moody[],3,FALSE),"")</f>
        <v/>
      </c>
      <c r="E44" s="31" t="str">
        <f>IF(Country_Data[[#This Row],[10 year $ yield]]="","",IFERROR(Country_Data[[#This Row],[Default spread on $ bonds]]*Country_Data[[#This Row],[StD of equity market]]/Country_Data[[#This Row],[StD for bond]],"Error"))</f>
        <v/>
      </c>
      <c r="F44" s="31" t="str">
        <f>IFERROR(Country_Data[[#This Row],[10 year yield]]-VLOOKUP(Country_Data[[#This Row],[Moody''s local]],Rating_to_spread_Moody[],3,FALSE),"")</f>
        <v/>
      </c>
      <c r="G44" s="31"/>
      <c r="H44" t="str">
        <f>IFERROR(VLOOKUP(Country_Data[[#This Row],[Entity]],Ratings_Raw_SP[],2,FALSE),"")</f>
        <v>AA-</v>
      </c>
      <c r="I44" t="str">
        <f>IFERROR(VLOOKUP(Country_Data[[#This Row],[Entity]],Ratings_Raw_Fitch[],2,FALSE),"-")</f>
        <v>A+</v>
      </c>
      <c r="J44" t="str">
        <f>IFERROR(VLOOKUP(Country_Data[[#This Row],[Entity]],Ratings_Raw_Moodys[],2,FALSE),"-")</f>
        <v>A1</v>
      </c>
      <c r="L44" s="3" t="s">
        <v>5</v>
      </c>
      <c r="M44" s="3" t="s">
        <v>17</v>
      </c>
      <c r="N44" s="28"/>
      <c r="O44" s="28"/>
      <c r="P44" s="28"/>
      <c r="Q44" s="28"/>
      <c r="R44" s="28"/>
      <c r="S44" s="28"/>
      <c r="T44" s="28"/>
      <c r="U44" s="28"/>
      <c r="V44" s="28" t="str">
        <f>IF(Country_Data[[#This Row],[10 year $ yield]]="","",Country_Data[[#This Row],[10 year $ yield]]-VLOOKUP("United States",Country_Data[],15,FALSE))</f>
        <v/>
      </c>
      <c r="W44" s="28"/>
      <c r="X44" s="21"/>
    </row>
    <row r="45" spans="2:24">
      <c r="B45" s="5" t="s">
        <v>82</v>
      </c>
      <c r="C45" s="5" t="s">
        <v>240</v>
      </c>
      <c r="D45" s="21" t="str">
        <f>IFERROR(Country_Data[[#This Row],[StD of equity market]]/Country_Data[[#This Row],[StD for bond]]*VLOOKUP(Country_Data[[#This Row],[Moody''s]],Rating_to_spread_Moody[],3,FALSE),"")</f>
        <v/>
      </c>
      <c r="E45" s="32" t="str">
        <f>IF(Country_Data[[#This Row],[10 year $ yield]]="","",IFERROR(Country_Data[[#This Row],[Default spread on $ bonds]]*Country_Data[[#This Row],[StD of equity market]]/Country_Data[[#This Row],[StD for bond]],"Error"))</f>
        <v/>
      </c>
      <c r="F45" s="32" t="str">
        <f>IFERROR(Country_Data[[#This Row],[10 year yield]]-VLOOKUP(Country_Data[[#This Row],[Moody''s local]],Rating_to_spread_Moody[],3,FALSE),"")</f>
        <v/>
      </c>
      <c r="G45" s="32"/>
      <c r="H45" t="str">
        <f>IFERROR(VLOOKUP(Country_Data[[#This Row],[Entity]],Ratings_Raw_SP[],2,FALSE),"")</f>
        <v>AAA</v>
      </c>
      <c r="I45" t="str">
        <f>IFERROR(VLOOKUP(Country_Data[[#This Row],[Entity]],Ratings_Raw_Fitch[],2,FALSE),"-")</f>
        <v>AAA</v>
      </c>
      <c r="J45" t="str">
        <f>IFERROR(VLOOKUP(Country_Data[[#This Row],[Entity]],Ratings_Raw_Moodys[],2,FALSE),"-")</f>
        <v>Aaa</v>
      </c>
      <c r="L45" s="3" t="s">
        <v>10</v>
      </c>
      <c r="M45" s="3" t="s">
        <v>10</v>
      </c>
      <c r="N45" s="28"/>
      <c r="O45" s="28"/>
      <c r="P45" s="28"/>
      <c r="Q45" s="28"/>
      <c r="R45" s="28"/>
      <c r="S45" s="28"/>
      <c r="T45" s="28"/>
      <c r="U45" s="28"/>
      <c r="V45" s="28" t="str">
        <f>IF(Country_Data[[#This Row],[10 year $ yield]]="","",Country_Data[[#This Row],[10 year $ yield]]-VLOOKUP("United States",Country_Data[],15,FALSE))</f>
        <v/>
      </c>
      <c r="W45" s="28"/>
      <c r="X45" s="21"/>
    </row>
    <row r="46" spans="2:24">
      <c r="B46" s="4" t="s">
        <v>83</v>
      </c>
      <c r="C46" s="4" t="s">
        <v>236</v>
      </c>
      <c r="D46" s="29" t="str">
        <f>IFERROR(Country_Data[[#This Row],[StD of equity market]]/Country_Data[[#This Row],[StD for bond]]*VLOOKUP(Country_Data[[#This Row],[Moody''s]],Rating_to_spread_Moody[],3,FALSE),"")</f>
        <v/>
      </c>
      <c r="E46" s="31" t="str">
        <f>IF(Country_Data[[#This Row],[10 year $ yield]]="","",IFERROR(Country_Data[[#This Row],[Default spread on $ bonds]]*Country_Data[[#This Row],[StD of equity market]]/Country_Data[[#This Row],[StD for bond]],"Error"))</f>
        <v/>
      </c>
      <c r="F46" s="31" t="str">
        <f>IFERROR(Country_Data[[#This Row],[10 year yield]]-VLOOKUP(Country_Data[[#This Row],[Moody''s local]],Rating_to_spread_Moody[],3,FALSE),"")</f>
        <v/>
      </c>
      <c r="G46" s="31"/>
      <c r="H46" t="str">
        <f>IFERROR(VLOOKUP(Country_Data[[#This Row],[Entity]],Ratings_Raw_SP[],2,FALSE),"")</f>
        <v>B+</v>
      </c>
      <c r="I46" t="str">
        <f>IFERROR(VLOOKUP(Country_Data[[#This Row],[Entity]],Ratings_Raw_Fitch[],2,FALSE),"-")</f>
        <v>B</v>
      </c>
      <c r="J46" t="str">
        <f>IFERROR(VLOOKUP(Country_Data[[#This Row],[Entity]],Ratings_Raw_Moodys[],2,FALSE),"-")</f>
        <v>B1</v>
      </c>
      <c r="L46" s="3" t="s">
        <v>20</v>
      </c>
      <c r="M46" s="3" t="s">
        <v>20</v>
      </c>
      <c r="N46" s="28"/>
      <c r="O46" s="28"/>
      <c r="P46" s="28"/>
      <c r="Q46" s="28"/>
      <c r="R46" s="28"/>
      <c r="S46" s="28"/>
      <c r="T46" s="28"/>
      <c r="U46" s="28"/>
      <c r="V46" s="28" t="str">
        <f>IF(Country_Data[[#This Row],[10 year $ yield]]="","",Country_Data[[#This Row],[10 year $ yield]]-VLOOKUP("United States",Country_Data[],15,FALSE))</f>
        <v/>
      </c>
      <c r="W46" s="28"/>
      <c r="X46" s="21"/>
    </row>
    <row r="47" spans="2:24">
      <c r="B47" s="5" t="s">
        <v>84</v>
      </c>
      <c r="C47" s="5" t="s">
        <v>237</v>
      </c>
      <c r="D47" s="21" t="str">
        <f>IFERROR(Country_Data[[#This Row],[StD of equity market]]/Country_Data[[#This Row],[StD for bond]]*VLOOKUP(Country_Data[[#This Row],[Moody''s]],Rating_to_spread_Moody[],3,FALSE),"")</f>
        <v/>
      </c>
      <c r="E47" s="32" t="str">
        <f>IF(Country_Data[[#This Row],[10 year $ yield]]="","",IFERROR(Country_Data[[#This Row],[Default spread on $ bonds]]*Country_Data[[#This Row],[StD of equity market]]/Country_Data[[#This Row],[StD for bond]],"Error"))</f>
        <v/>
      </c>
      <c r="F47" s="32" t="str">
        <f>IFERROR(Country_Data[[#This Row],[10 year yield]]-VLOOKUP(Country_Data[[#This Row],[Moody''s local]],Rating_to_spread_Moody[],3,FALSE),"")</f>
        <v/>
      </c>
      <c r="G47" s="32"/>
      <c r="H47" t="str">
        <f>IFERROR(VLOOKUP(Country_Data[[#This Row],[Entity]],Ratings_Raw_SP[],2,FALSE),"")</f>
        <v>B+</v>
      </c>
      <c r="I47" t="str">
        <f>IFERROR(VLOOKUP(Country_Data[[#This Row],[Entity]],Ratings_Raw_Fitch[],2,FALSE),"-")</f>
        <v>B</v>
      </c>
      <c r="J47" t="str">
        <f>IFERROR(VLOOKUP(Country_Data[[#This Row],[Entity]],Ratings_Raw_Moodys[],2,FALSE),"-")</f>
        <v>Caa1</v>
      </c>
      <c r="L47" s="3" t="s">
        <v>20</v>
      </c>
      <c r="M47" s="3" t="s">
        <v>20</v>
      </c>
      <c r="N47" s="28"/>
      <c r="O47" s="28"/>
      <c r="P47" s="28"/>
      <c r="Q47" s="28"/>
      <c r="R47" s="28"/>
      <c r="S47" s="28"/>
      <c r="T47" s="28"/>
      <c r="U47" s="28"/>
      <c r="V47" s="28" t="str">
        <f>IF(Country_Data[[#This Row],[10 year $ yield]]="","",Country_Data[[#This Row],[10 year $ yield]]-VLOOKUP("United States",Country_Data[],15,FALSE))</f>
        <v/>
      </c>
      <c r="W47" s="28"/>
      <c r="X47" s="21"/>
    </row>
    <row r="48" spans="2:24">
      <c r="B48" s="4" t="s">
        <v>85</v>
      </c>
      <c r="C48" s="4" t="s">
        <v>232</v>
      </c>
      <c r="D48" s="29" t="str">
        <f>IFERROR(Country_Data[[#This Row],[StD of equity market]]/Country_Data[[#This Row],[StD for bond]]*VLOOKUP(Country_Data[[#This Row],[Moody''s]],Rating_to_spread_Moody[],3,FALSE),"")</f>
        <v/>
      </c>
      <c r="E48" s="31" t="str">
        <f>IF(Country_Data[[#This Row],[10 year $ yield]]="","",IFERROR(Country_Data[[#This Row],[Default spread on $ bonds]]*Country_Data[[#This Row],[StD of equity market]]/Country_Data[[#This Row],[StD for bond]],"Error"))</f>
        <v/>
      </c>
      <c r="F48" s="31" t="str">
        <f>IFERROR(Country_Data[[#This Row],[10 year yield]]-VLOOKUP(Country_Data[[#This Row],[Moody''s local]],Rating_to_spread_Moody[],3,FALSE),"")</f>
        <v/>
      </c>
      <c r="G48" s="31"/>
      <c r="H48" t="str">
        <f>IFERROR(VLOOKUP(Country_Data[[#This Row],[Entity]],Ratings_Raw_SP[],2,FALSE),"")</f>
        <v>CCC+</v>
      </c>
      <c r="I48" t="str">
        <f>IFERROR(VLOOKUP(Country_Data[[#This Row],[Entity]],Ratings_Raw_Fitch[],2,FALSE),"-")</f>
        <v>B-</v>
      </c>
      <c r="J48" t="str">
        <f>IFERROR(VLOOKUP(Country_Data[[#This Row],[Entity]],Ratings_Raw_Moodys[],2,FALSE),"-")</f>
        <v>Caa1</v>
      </c>
      <c r="L48" s="3" t="s">
        <v>16</v>
      </c>
      <c r="M48" s="3" t="s">
        <v>16</v>
      </c>
      <c r="N48" s="28"/>
      <c r="O48" s="28"/>
      <c r="P48" s="28"/>
      <c r="Q48" s="28"/>
      <c r="R48" s="28"/>
      <c r="S48" s="28"/>
      <c r="T48" s="28"/>
      <c r="U48" s="28"/>
      <c r="V48" s="28" t="str">
        <f>IF(Country_Data[[#This Row],[10 year $ yield]]="","",Country_Data[[#This Row],[10 year $ yield]]-VLOOKUP("United States",Country_Data[],15,FALSE))</f>
        <v/>
      </c>
      <c r="W48" s="28"/>
      <c r="X48" s="21"/>
    </row>
    <row r="49" spans="2:24">
      <c r="B49" s="5" t="s">
        <v>86</v>
      </c>
      <c r="C49" s="5" t="s">
        <v>237</v>
      </c>
      <c r="D49" s="21" t="str">
        <f>IFERROR(Country_Data[[#This Row],[StD of equity market]]/Country_Data[[#This Row],[StD for bond]]*VLOOKUP(Country_Data[[#This Row],[Moody''s]],Rating_to_spread_Moody[],3,FALSE),"")</f>
        <v/>
      </c>
      <c r="E49" s="32" t="str">
        <f>IF(Country_Data[[#This Row],[10 year $ yield]]="","",IFERROR(Country_Data[[#This Row],[Default spread on $ bonds]]*Country_Data[[#This Row],[StD of equity market]]/Country_Data[[#This Row],[StD for bond]],"Error"))</f>
        <v/>
      </c>
      <c r="F49" s="32" t="str">
        <f>IFERROR(Country_Data[[#This Row],[10 year yield]]-VLOOKUP(Country_Data[[#This Row],[Moody''s local]],Rating_to_spread_Moody[],3,FALSE),"")</f>
        <v/>
      </c>
      <c r="G49" s="32"/>
      <c r="H49" t="str">
        <f>IFERROR(VLOOKUP(Country_Data[[#This Row],[Entity]],Ratings_Raw_SP[],2,FALSE),"")</f>
        <v>BB-</v>
      </c>
      <c r="I49" t="str">
        <f>IFERROR(VLOOKUP(Country_Data[[#This Row],[Entity]],Ratings_Raw_Fitch[],2,FALSE),"-")</f>
        <v>BB-</v>
      </c>
      <c r="J49" t="str">
        <f>IFERROR(VLOOKUP(Country_Data[[#This Row],[Entity]],Ratings_Raw_Moodys[],2,FALSE),"-")</f>
        <v>Ba2</v>
      </c>
      <c r="L49" s="3" t="s">
        <v>8</v>
      </c>
      <c r="M49" s="3" t="s">
        <v>8</v>
      </c>
      <c r="N49" s="28"/>
      <c r="O49" s="28"/>
      <c r="P49" s="28"/>
      <c r="Q49" s="28"/>
      <c r="R49" s="28"/>
      <c r="S49" s="28"/>
      <c r="T49" s="28"/>
      <c r="U49" s="28"/>
      <c r="V49" s="28" t="str">
        <f>IF(Country_Data[[#This Row],[10 year $ yield]]="","",Country_Data[[#This Row],[10 year $ yield]]-VLOOKUP("United States",Country_Data[],15,FALSE))</f>
        <v/>
      </c>
      <c r="W49" s="28"/>
      <c r="X49" s="21"/>
    </row>
    <row r="50" spans="2:24">
      <c r="B50" s="4" t="s">
        <v>87</v>
      </c>
      <c r="C50" s="4" t="s">
        <v>240</v>
      </c>
      <c r="D50" s="29" t="str">
        <f>IFERROR(Country_Data[[#This Row],[StD of equity market]]/Country_Data[[#This Row],[StD for bond]]*VLOOKUP(Country_Data[[#This Row],[Moody''s]],Rating_to_spread_Moody[],3,FALSE),"")</f>
        <v/>
      </c>
      <c r="E50" s="31" t="str">
        <f>IF(Country_Data[[#This Row],[10 year $ yield]]="","",IFERROR(Country_Data[[#This Row],[Default spread on $ bonds]]*Country_Data[[#This Row],[StD of equity market]]/Country_Data[[#This Row],[StD for bond]],"Error"))</f>
        <v/>
      </c>
      <c r="F50" s="31" t="str">
        <f>IFERROR(Country_Data[[#This Row],[10 year yield]]-VLOOKUP(Country_Data[[#This Row],[Moody''s local]],Rating_to_spread_Moody[],3,FALSE),"")</f>
        <v/>
      </c>
      <c r="G50" s="31"/>
      <c r="H50" t="str">
        <f>IFERROR(VLOOKUP(Country_Data[[#This Row],[Entity]],Ratings_Raw_SP[],2,FALSE),"")</f>
        <v>AA+</v>
      </c>
      <c r="I50" t="str">
        <f>IFERROR(VLOOKUP(Country_Data[[#This Row],[Entity]],Ratings_Raw_Fitch[],2,FALSE),"-")</f>
        <v>-</v>
      </c>
      <c r="J50" t="str">
        <f>IFERROR(VLOOKUP(Country_Data[[#This Row],[Entity]],Ratings_Raw_Moodys[],2,FALSE),"-")</f>
        <v>-</v>
      </c>
      <c r="L50" s="3"/>
      <c r="M50" s="3"/>
      <c r="N50" s="28"/>
      <c r="O50" s="28"/>
      <c r="P50" s="28"/>
      <c r="Q50" s="28"/>
      <c r="R50" s="28"/>
      <c r="S50" s="28"/>
      <c r="T50" s="28"/>
      <c r="U50" s="28"/>
      <c r="V50" s="28" t="str">
        <f>IF(Country_Data[[#This Row],[10 year $ yield]]="","",Country_Data[[#This Row],[10 year $ yield]]-VLOOKUP("United States",Country_Data[],15,FALSE))</f>
        <v/>
      </c>
      <c r="W50" s="28"/>
      <c r="X50" s="21"/>
    </row>
    <row r="51" spans="2:24">
      <c r="B51" s="5" t="s">
        <v>88</v>
      </c>
      <c r="C51" s="5" t="s">
        <v>242</v>
      </c>
      <c r="D51" s="21" t="str">
        <f>IFERROR(Country_Data[[#This Row],[StD of equity market]]/Country_Data[[#This Row],[StD for bond]]*VLOOKUP(Country_Data[[#This Row],[Moody''s]],Rating_to_spread_Moody[],3,FALSE),"")</f>
        <v/>
      </c>
      <c r="E51" s="32" t="str">
        <f>IF(Country_Data[[#This Row],[10 year $ yield]]="","",IFERROR(Country_Data[[#This Row],[Default spread on $ bonds]]*Country_Data[[#This Row],[StD of equity market]]/Country_Data[[#This Row],[StD for bond]],"Error"))</f>
        <v/>
      </c>
      <c r="F51" s="32" t="str">
        <f>IFERROR(Country_Data[[#This Row],[10 year yield]]-VLOOKUP(Country_Data[[#This Row],[Moody''s local]],Rating_to_spread_Moody[],3,FALSE),"")</f>
        <v/>
      </c>
      <c r="G51" s="32"/>
      <c r="H51" t="str">
        <f>IFERROR(VLOOKUP(Country_Data[[#This Row],[Entity]],Ratings_Raw_SP[],2,FALSE),"")</f>
        <v>AA-</v>
      </c>
      <c r="I51" t="str">
        <f>IFERROR(VLOOKUP(Country_Data[[#This Row],[Entity]],Ratings_Raw_Fitch[],2,FALSE),"-")</f>
        <v>A+</v>
      </c>
      <c r="J51" t="str">
        <f>IFERROR(VLOOKUP(Country_Data[[#This Row],[Entity]],Ratings_Raw_Moodys[],2,FALSE),"-")</f>
        <v>A1</v>
      </c>
      <c r="L51" s="3" t="s">
        <v>17</v>
      </c>
      <c r="M51" s="3" t="s">
        <v>17</v>
      </c>
      <c r="N51" s="28"/>
      <c r="O51" s="28"/>
      <c r="P51" s="28"/>
      <c r="Q51" s="28"/>
      <c r="R51" s="28"/>
      <c r="S51" s="28"/>
      <c r="T51" s="28"/>
      <c r="U51" s="28"/>
      <c r="V51" s="28" t="str">
        <f>IF(Country_Data[[#This Row],[10 year $ yield]]="","",Country_Data[[#This Row],[10 year $ yield]]-VLOOKUP("United States",Country_Data[],15,FALSE))</f>
        <v/>
      </c>
      <c r="W51" s="28"/>
      <c r="X51" s="21"/>
    </row>
    <row r="52" spans="2:24">
      <c r="B52" s="4" t="s">
        <v>89</v>
      </c>
      <c r="C52" s="4"/>
      <c r="D52" s="29" t="str">
        <f>IFERROR(Country_Data[[#This Row],[StD of equity market]]/Country_Data[[#This Row],[StD for bond]]*VLOOKUP(Country_Data[[#This Row],[Moody''s]],Rating_to_spread_Moody[],3,FALSE),"")</f>
        <v/>
      </c>
      <c r="E52" s="31" t="str">
        <f>IF(Country_Data[[#This Row],[10 year $ yield]]="","",IFERROR(Country_Data[[#This Row],[Default spread on $ bonds]]*Country_Data[[#This Row],[StD of equity market]]/Country_Data[[#This Row],[StD for bond]],"Error"))</f>
        <v/>
      </c>
      <c r="F52" s="31" t="str">
        <f>IFERROR(Country_Data[[#This Row],[10 year yield]]-VLOOKUP(Country_Data[[#This Row],[Moody''s local]],Rating_to_spread_Moody[],3,FALSE),"")</f>
        <v/>
      </c>
      <c r="G52" s="31"/>
      <c r="H52" t="str">
        <f>IFERROR(VLOOKUP(Country_Data[[#This Row],[Entity]],Ratings_Raw_SP[],2,FALSE),"")</f>
        <v>B</v>
      </c>
      <c r="I52" t="str">
        <f>IFERROR(VLOOKUP(Country_Data[[#This Row],[Entity]],Ratings_Raw_Fitch[],2,FALSE),"-")</f>
        <v>-</v>
      </c>
      <c r="J52" t="str">
        <f>IFERROR(VLOOKUP(Country_Data[[#This Row],[Entity]],Ratings_Raw_Moodys[],2,FALSE),"-")</f>
        <v>B1</v>
      </c>
      <c r="L52" s="3" t="s">
        <v>7</v>
      </c>
      <c r="M52" s="3" t="s">
        <v>7</v>
      </c>
      <c r="N52" s="28"/>
      <c r="O52" s="28"/>
      <c r="P52" s="28"/>
      <c r="Q52" s="28"/>
      <c r="R52" s="28"/>
      <c r="S52" s="28"/>
      <c r="T52" s="28"/>
      <c r="U52" s="28"/>
      <c r="V52" s="28" t="str">
        <f>IF(Country_Data[[#This Row],[10 year $ yield]]="","",Country_Data[[#This Row],[10 year $ yield]]-VLOOKUP("United States",Country_Data[],15,FALSE))</f>
        <v/>
      </c>
      <c r="W52" s="28"/>
      <c r="X52" s="21"/>
    </row>
    <row r="53" spans="2:24">
      <c r="B53" s="5" t="s">
        <v>90</v>
      </c>
      <c r="C53" s="5" t="s">
        <v>240</v>
      </c>
      <c r="D53" s="21" t="str">
        <f>IFERROR(Country_Data[[#This Row],[StD of equity market]]/Country_Data[[#This Row],[StD for bond]]*VLOOKUP(Country_Data[[#This Row],[Moody''s]],Rating_to_spread_Moody[],3,FALSE),"")</f>
        <v/>
      </c>
      <c r="E53" s="32" t="str">
        <f>IF(Country_Data[[#This Row],[10 year $ yield]]="","",IFERROR(Country_Data[[#This Row],[Default spread on $ bonds]]*Country_Data[[#This Row],[StD of equity market]]/Country_Data[[#This Row],[StD for bond]],"Error"))</f>
        <v/>
      </c>
      <c r="F53" s="32" t="str">
        <f>IFERROR(Country_Data[[#This Row],[10 year yield]]-VLOOKUP(Country_Data[[#This Row],[Moody''s local]],Rating_to_spread_Moody[],3,FALSE),"")</f>
        <v/>
      </c>
      <c r="G53" s="32"/>
      <c r="H53" t="str">
        <f>IFERROR(VLOOKUP(Country_Data[[#This Row],[Entity]],Ratings_Raw_SP[],2,FALSE),"")</f>
        <v>AAA</v>
      </c>
      <c r="I53" t="str">
        <f>IFERROR(VLOOKUP(Country_Data[[#This Row],[Entity]],Ratings_Raw_Fitch[],2,FALSE),"-")</f>
        <v>AAA</v>
      </c>
      <c r="J53" t="str">
        <f>IFERROR(VLOOKUP(Country_Data[[#This Row],[Entity]],Ratings_Raw_Moodys[],2,FALSE),"-")</f>
        <v>Aaa</v>
      </c>
      <c r="L53" s="3" t="s">
        <v>10</v>
      </c>
      <c r="M53" s="3" t="s">
        <v>10</v>
      </c>
      <c r="N53" s="28"/>
      <c r="O53" s="28"/>
      <c r="P53" s="28"/>
      <c r="Q53" s="28"/>
      <c r="R53" s="28"/>
      <c r="S53" s="28"/>
      <c r="T53" s="28"/>
      <c r="U53" s="28"/>
      <c r="V53" s="28" t="str">
        <f>IF(Country_Data[[#This Row],[10 year $ yield]]="","",Country_Data[[#This Row],[10 year $ yield]]-VLOOKUP("United States",Country_Data[],15,FALSE))</f>
        <v/>
      </c>
      <c r="W53" s="28"/>
      <c r="X53" s="21"/>
    </row>
    <row r="54" spans="2:24">
      <c r="B54" s="4" t="s">
        <v>91</v>
      </c>
      <c r="C54" s="4" t="s">
        <v>240</v>
      </c>
      <c r="D54" s="29" t="str">
        <f>IFERROR(Country_Data[[#This Row],[StD of equity market]]/Country_Data[[#This Row],[StD for bond]]*VLOOKUP(Country_Data[[#This Row],[Moody''s]],Rating_to_spread_Moody[],3,FALSE),"")</f>
        <v/>
      </c>
      <c r="E54" s="31" t="str">
        <f>IF(Country_Data[[#This Row],[10 year $ yield]]="","",IFERROR(Country_Data[[#This Row],[Default spread on $ bonds]]*Country_Data[[#This Row],[StD of equity market]]/Country_Data[[#This Row],[StD for bond]],"Error"))</f>
        <v/>
      </c>
      <c r="F54" s="31" t="str">
        <f>IFERROR(Country_Data[[#This Row],[10 year yield]]-VLOOKUP(Country_Data[[#This Row],[Moody''s local]],Rating_to_spread_Moody[],3,FALSE),"")</f>
        <v/>
      </c>
      <c r="G54" s="31"/>
      <c r="H54" t="str">
        <f>IFERROR(VLOOKUP(Country_Data[[#This Row],[Entity]],Ratings_Raw_SP[],2,FALSE),"")</f>
        <v>AA</v>
      </c>
      <c r="I54" t="str">
        <f>IFERROR(VLOOKUP(Country_Data[[#This Row],[Entity]],Ratings_Raw_Fitch[],2,FALSE),"-")</f>
        <v>AA+</v>
      </c>
      <c r="J54" t="str">
        <f>IFERROR(VLOOKUP(Country_Data[[#This Row],[Entity]],Ratings_Raw_Moodys[],2,FALSE),"-")</f>
        <v>Aa1</v>
      </c>
      <c r="L54" s="3" t="s">
        <v>5</v>
      </c>
      <c r="M54" s="3" t="s">
        <v>5</v>
      </c>
      <c r="N54" s="28"/>
      <c r="O54" s="28"/>
      <c r="P54" s="28"/>
      <c r="Q54" s="28"/>
      <c r="R54" s="28"/>
      <c r="S54" s="28"/>
      <c r="T54" s="28"/>
      <c r="U54" s="28"/>
      <c r="V54" s="28" t="str">
        <f>IF(Country_Data[[#This Row],[10 year $ yield]]="","",Country_Data[[#This Row],[10 year $ yield]]-VLOOKUP("United States",Country_Data[],15,FALSE))</f>
        <v/>
      </c>
      <c r="W54" s="28"/>
      <c r="X54" s="21"/>
    </row>
    <row r="55" spans="2:24">
      <c r="B55" s="5" t="s">
        <v>92</v>
      </c>
      <c r="C55" s="5" t="s">
        <v>232</v>
      </c>
      <c r="D55" s="21" t="str">
        <f>IFERROR(Country_Data[[#This Row],[StD of equity market]]/Country_Data[[#This Row],[StD for bond]]*VLOOKUP(Country_Data[[#This Row],[Moody''s]],Rating_to_spread_Moody[],3,FALSE),"")</f>
        <v/>
      </c>
      <c r="E55" s="32" t="str">
        <f>IF(Country_Data[[#This Row],[10 year $ yield]]="","",IFERROR(Country_Data[[#This Row],[Default spread on $ bonds]]*Country_Data[[#This Row],[StD of equity market]]/Country_Data[[#This Row],[StD for bond]],"Error"))</f>
        <v/>
      </c>
      <c r="F55" s="32" t="str">
        <f>IFERROR(Country_Data[[#This Row],[10 year yield]]-VLOOKUP(Country_Data[[#This Row],[Moody''s local]],Rating_to_spread_Moody[],3,FALSE),"")</f>
        <v/>
      </c>
      <c r="G55" s="32"/>
      <c r="H55" t="str">
        <f>IFERROR(VLOOKUP(Country_Data[[#This Row],[Entity]],Ratings_Raw_SP[],2,FALSE),"")</f>
        <v>BB-</v>
      </c>
      <c r="I55" t="str">
        <f>IFERROR(VLOOKUP(Country_Data[[#This Row],[Entity]],Ratings_Raw_Fitch[],2,FALSE),"-")</f>
        <v>BB-</v>
      </c>
      <c r="J55" t="str">
        <f>IFERROR(VLOOKUP(Country_Data[[#This Row],[Entity]],Ratings_Raw_Moodys[],2,FALSE),"-")</f>
        <v>-</v>
      </c>
      <c r="L55" s="3" t="s">
        <v>8</v>
      </c>
      <c r="M55" s="3" t="s">
        <v>8</v>
      </c>
      <c r="N55" s="28"/>
      <c r="O55" s="28"/>
      <c r="P55" s="28"/>
      <c r="Q55" s="28"/>
      <c r="R55" s="28"/>
      <c r="S55" s="28"/>
      <c r="T55" s="28"/>
      <c r="U55" s="28"/>
      <c r="V55" s="28" t="str">
        <f>IF(Country_Data[[#This Row],[10 year $ yield]]="","",Country_Data[[#This Row],[10 year $ yield]]-VLOOKUP("United States",Country_Data[],15,FALSE))</f>
        <v/>
      </c>
      <c r="W55" s="28"/>
      <c r="X55" s="21"/>
    </row>
    <row r="56" spans="2:24">
      <c r="B56" s="4" t="s">
        <v>93</v>
      </c>
      <c r="C56" s="4" t="s">
        <v>233</v>
      </c>
      <c r="D56" s="29" t="str">
        <f>IFERROR(Country_Data[[#This Row],[StD of equity market]]/Country_Data[[#This Row],[StD for bond]]*VLOOKUP(Country_Data[[#This Row],[Moody''s]],Rating_to_spread_Moody[],3,FALSE),"")</f>
        <v/>
      </c>
      <c r="E56" s="31" t="str">
        <f>IF(Country_Data[[#This Row],[10 year $ yield]]="","",IFERROR(Country_Data[[#This Row],[Default spread on $ bonds]]*Country_Data[[#This Row],[StD of equity market]]/Country_Data[[#This Row],[StD for bond]],"Error"))</f>
        <v/>
      </c>
      <c r="F56" s="31" t="str">
        <f>IFERROR(Country_Data[[#This Row],[10 year yield]]-VLOOKUP(Country_Data[[#This Row],[Moody''s local]],Rating_to_spread_Moody[],3,FALSE),"")</f>
        <v/>
      </c>
      <c r="G56" s="31"/>
      <c r="H56" t="str">
        <f>IFERROR(VLOOKUP(Country_Data[[#This Row],[Entity]],Ratings_Raw_SP[],2,FALSE),"")</f>
        <v>BB-</v>
      </c>
      <c r="I56" t="str">
        <f>IFERROR(VLOOKUP(Country_Data[[#This Row],[Entity]],Ratings_Raw_Fitch[],2,FALSE),"-")</f>
        <v>B+</v>
      </c>
      <c r="J56" t="str">
        <f>IFERROR(VLOOKUP(Country_Data[[#This Row],[Entity]],Ratings_Raw_Moodys[],2,FALSE),"-")</f>
        <v>Ba3</v>
      </c>
      <c r="L56" s="3" t="s">
        <v>8</v>
      </c>
      <c r="M56" s="3" t="s">
        <v>8</v>
      </c>
      <c r="N56" s="28"/>
      <c r="O56" s="28"/>
      <c r="P56" s="28"/>
      <c r="Q56" s="28"/>
      <c r="R56" s="28"/>
      <c r="S56" s="28"/>
      <c r="T56" s="28"/>
      <c r="U56" s="28"/>
      <c r="V56" s="28" t="str">
        <f>IF(Country_Data[[#This Row],[10 year $ yield]]="","",Country_Data[[#This Row],[10 year $ yield]]-VLOOKUP("United States",Country_Data[],15,FALSE))</f>
        <v/>
      </c>
      <c r="W56" s="28"/>
      <c r="X56" s="21"/>
    </row>
    <row r="57" spans="2:24">
      <c r="B57" s="5" t="s">
        <v>94</v>
      </c>
      <c r="C57" s="5" t="s">
        <v>240</v>
      </c>
      <c r="D57" s="21" t="str">
        <f>IFERROR(Country_Data[[#This Row],[StD of equity market]]/Country_Data[[#This Row],[StD for bond]]*VLOOKUP(Country_Data[[#This Row],[Moody''s]],Rating_to_spread_Moody[],3,FALSE),"")</f>
        <v/>
      </c>
      <c r="E57" s="32" t="str">
        <f>IF(Country_Data[[#This Row],[10 year $ yield]]="","",IFERROR(Country_Data[[#This Row],[Default spread on $ bonds]]*Country_Data[[#This Row],[StD of equity market]]/Country_Data[[#This Row],[StD for bond]],"Error"))</f>
        <v/>
      </c>
      <c r="F57" s="32" t="str">
        <f>IFERROR(Country_Data[[#This Row],[10 year yield]]-VLOOKUP(Country_Data[[#This Row],[Moody''s local]],Rating_to_spread_Moody[],3,FALSE),"")</f>
        <v/>
      </c>
      <c r="G57" s="32"/>
      <c r="H57" t="str">
        <f>IFERROR(VLOOKUP(Country_Data[[#This Row],[Entity]],Ratings_Raw_SP[],2,FALSE),"")</f>
        <v>AAA</v>
      </c>
      <c r="I57" t="str">
        <f>IFERROR(VLOOKUP(Country_Data[[#This Row],[Entity]],Ratings_Raw_Fitch[],2,FALSE),"-")</f>
        <v>AAA</v>
      </c>
      <c r="J57" t="str">
        <f>IFERROR(VLOOKUP(Country_Data[[#This Row],[Entity]],Ratings_Raw_Moodys[],2,FALSE),"-")</f>
        <v>Aaa</v>
      </c>
      <c r="L57" s="3" t="s">
        <v>10</v>
      </c>
      <c r="M57" s="3" t="s">
        <v>10</v>
      </c>
      <c r="N57" s="28"/>
      <c r="O57" s="28"/>
      <c r="P57" s="28"/>
      <c r="Q57" s="28"/>
      <c r="R57" s="28"/>
      <c r="S57" s="28"/>
      <c r="T57" s="28"/>
      <c r="U57" s="28"/>
      <c r="V57" s="28" t="str">
        <f>IF(Country_Data[[#This Row],[10 year $ yield]]="","",Country_Data[[#This Row],[10 year $ yield]]-VLOOKUP("United States",Country_Data[],15,FALSE))</f>
        <v/>
      </c>
      <c r="W57" s="28"/>
      <c r="X57" s="21"/>
    </row>
    <row r="58" spans="2:24">
      <c r="B58" s="4" t="s">
        <v>95</v>
      </c>
      <c r="C58" s="4" t="s">
        <v>232</v>
      </c>
      <c r="D58" s="29" t="str">
        <f>IFERROR(Country_Data[[#This Row],[StD of equity market]]/Country_Data[[#This Row],[StD for bond]]*VLOOKUP(Country_Data[[#This Row],[Moody''s]],Rating_to_spread_Moody[],3,FALSE),"")</f>
        <v/>
      </c>
      <c r="E58" s="31" t="str">
        <f>IF(Country_Data[[#This Row],[10 year $ yield]]="","",IFERROR(Country_Data[[#This Row],[Default spread on $ bonds]]*Country_Data[[#This Row],[StD of equity market]]/Country_Data[[#This Row],[StD for bond]],"Error"))</f>
        <v/>
      </c>
      <c r="F58" s="31" t="str">
        <f>IFERROR(Country_Data[[#This Row],[10 year yield]]-VLOOKUP(Country_Data[[#This Row],[Moody''s local]],Rating_to_spread_Moody[],3,FALSE),"")</f>
        <v/>
      </c>
      <c r="G58" s="31"/>
      <c r="H58" t="str">
        <f>IFERROR(VLOOKUP(Country_Data[[#This Row],[Entity]],Ratings_Raw_SP[],2,FALSE),"")</f>
        <v>B</v>
      </c>
      <c r="I58" t="str">
        <f>IFERROR(VLOOKUP(Country_Data[[#This Row],[Entity]],Ratings_Raw_Fitch[],2,FALSE),"-")</f>
        <v>B+</v>
      </c>
      <c r="J58" t="str">
        <f>IFERROR(VLOOKUP(Country_Data[[#This Row],[Entity]],Ratings_Raw_Moodys[],2,FALSE),"-")</f>
        <v>-</v>
      </c>
      <c r="L58" s="3" t="s">
        <v>7</v>
      </c>
      <c r="M58" s="3" t="s">
        <v>7</v>
      </c>
      <c r="N58" s="28"/>
      <c r="O58" s="28"/>
      <c r="P58" s="28"/>
      <c r="Q58" s="28"/>
      <c r="R58" s="28"/>
      <c r="S58" s="28"/>
      <c r="T58" s="28"/>
      <c r="U58" s="28"/>
      <c r="V58" s="28" t="str">
        <f>IF(Country_Data[[#This Row],[10 year $ yield]]="","",Country_Data[[#This Row],[10 year $ yield]]-VLOOKUP("United States",Country_Data[],15,FALSE))</f>
        <v/>
      </c>
      <c r="W58" s="28"/>
      <c r="X58" s="21"/>
    </row>
    <row r="59" spans="2:24">
      <c r="B59" s="5" t="s">
        <v>96</v>
      </c>
      <c r="C59" s="5" t="s">
        <v>240</v>
      </c>
      <c r="D59" s="21" t="str">
        <f>IFERROR(Country_Data[[#This Row],[StD of equity market]]/Country_Data[[#This Row],[StD for bond]]*VLOOKUP(Country_Data[[#This Row],[Moody''s]],Rating_to_spread_Moody[],3,FALSE),"")</f>
        <v/>
      </c>
      <c r="E59" s="32" t="str">
        <f>IF(Country_Data[[#This Row],[10 year $ yield]]="","",IFERROR(Country_Data[[#This Row],[Default spread on $ bonds]]*Country_Data[[#This Row],[StD of equity market]]/Country_Data[[#This Row],[StD for bond]],"Error"))</f>
        <v/>
      </c>
      <c r="F59" s="32" t="str">
        <f>IFERROR(Country_Data[[#This Row],[10 year yield]]-VLOOKUP(Country_Data[[#This Row],[Moody''s local]],Rating_to_spread_Moody[],3,FALSE),"")</f>
        <v/>
      </c>
      <c r="G59" s="32"/>
      <c r="H59" t="str">
        <f>IFERROR(VLOOKUP(Country_Data[[#This Row],[Entity]],Ratings_Raw_SP[],2,FALSE),"")</f>
        <v>B-</v>
      </c>
      <c r="I59" t="str">
        <f>IFERROR(VLOOKUP(Country_Data[[#This Row],[Entity]],Ratings_Raw_Fitch[],2,FALSE),"-")</f>
        <v>B</v>
      </c>
      <c r="J59" t="str">
        <f>IFERROR(VLOOKUP(Country_Data[[#This Row],[Entity]],Ratings_Raw_Moodys[],2,FALSE),"-")</f>
        <v>Caa1</v>
      </c>
      <c r="L59" s="3" t="s">
        <v>16</v>
      </c>
      <c r="M59" s="3" t="s">
        <v>16</v>
      </c>
      <c r="N59" s="28"/>
      <c r="O59" s="28"/>
      <c r="P59" s="28"/>
      <c r="Q59" s="28"/>
      <c r="R59" s="28"/>
      <c r="S59" s="28"/>
      <c r="T59" s="28"/>
      <c r="U59" s="28"/>
      <c r="V59" s="28" t="str">
        <f>IF(Country_Data[[#This Row],[10 year $ yield]]="","",Country_Data[[#This Row],[10 year $ yield]]-VLOOKUP("United States",Country_Data[],15,FALSE))</f>
        <v/>
      </c>
      <c r="W59" s="28"/>
      <c r="X59" s="21"/>
    </row>
    <row r="60" spans="2:24">
      <c r="B60" s="4" t="s">
        <v>97</v>
      </c>
      <c r="C60" s="4"/>
      <c r="D60" s="29" t="str">
        <f>IFERROR(Country_Data[[#This Row],[StD of equity market]]/Country_Data[[#This Row],[StD for bond]]*VLOOKUP(Country_Data[[#This Row],[Moody''s]],Rating_to_spread_Moody[],3,FALSE),"")</f>
        <v/>
      </c>
      <c r="E60" s="31" t="str">
        <f>IF(Country_Data[[#This Row],[10 year $ yield]]="","",IFERROR(Country_Data[[#This Row],[Default spread on $ bonds]]*Country_Data[[#This Row],[StD of equity market]]/Country_Data[[#This Row],[StD for bond]],"Error"))</f>
        <v/>
      </c>
      <c r="F60" s="31" t="str">
        <f>IFERROR(Country_Data[[#This Row],[10 year yield]]-VLOOKUP(Country_Data[[#This Row],[Moody''s local]],Rating_to_spread_Moody[],3,FALSE),"")</f>
        <v/>
      </c>
      <c r="G60" s="31"/>
      <c r="H60" t="str">
        <f>IFERROR(VLOOKUP(Country_Data[[#This Row],[Entity]],Ratings_Raw_SP[],2,FALSE),"")</f>
        <v>SD</v>
      </c>
      <c r="I60" t="str">
        <f>IFERROR(VLOOKUP(Country_Data[[#This Row],[Entity]],Ratings_Raw_Fitch[],2,FALSE),"-")</f>
        <v>-</v>
      </c>
      <c r="J60" t="str">
        <f>IFERROR(VLOOKUP(Country_Data[[#This Row],[Entity]],Ratings_Raw_Moodys[],2,FALSE),"-")</f>
        <v>-</v>
      </c>
      <c r="L60" s="3" t="s">
        <v>12</v>
      </c>
      <c r="M60" s="3" t="s">
        <v>12</v>
      </c>
      <c r="N60" s="28"/>
      <c r="O60" s="28"/>
      <c r="P60" s="28"/>
      <c r="Q60" s="28"/>
      <c r="R60" s="28"/>
      <c r="S60" s="28"/>
      <c r="T60" s="28"/>
      <c r="U60" s="28"/>
      <c r="V60" s="28" t="str">
        <f>IF(Country_Data[[#This Row],[10 year $ yield]]="","",Country_Data[[#This Row],[10 year $ yield]]-VLOOKUP("United States",Country_Data[],15,FALSE))</f>
        <v/>
      </c>
      <c r="W60" s="28"/>
      <c r="X60" s="21"/>
    </row>
    <row r="61" spans="2:24">
      <c r="B61" s="5" t="s">
        <v>98</v>
      </c>
      <c r="C61" s="5" t="s">
        <v>237</v>
      </c>
      <c r="D61" s="21" t="str">
        <f>IFERROR(Country_Data[[#This Row],[StD of equity market]]/Country_Data[[#This Row],[StD for bond]]*VLOOKUP(Country_Data[[#This Row],[Moody''s]],Rating_to_spread_Moody[],3,FALSE),"")</f>
        <v/>
      </c>
      <c r="E61" s="32" t="str">
        <f>IF(Country_Data[[#This Row],[10 year $ yield]]="","",IFERROR(Country_Data[[#This Row],[Default spread on $ bonds]]*Country_Data[[#This Row],[StD of equity market]]/Country_Data[[#This Row],[StD for bond]],"Error"))</f>
        <v/>
      </c>
      <c r="F61" s="32" t="str">
        <f>IFERROR(Country_Data[[#This Row],[10 year yield]]-VLOOKUP(Country_Data[[#This Row],[Moody''s local]],Rating_to_spread_Moody[],3,FALSE),"")</f>
        <v/>
      </c>
      <c r="G61" s="32"/>
      <c r="H61" t="str">
        <f>IFERROR(VLOOKUP(Country_Data[[#This Row],[Entity]],Ratings_Raw_SP[],2,FALSE),"")</f>
        <v>BB</v>
      </c>
      <c r="I61" t="str">
        <f>IFERROR(VLOOKUP(Country_Data[[#This Row],[Entity]],Ratings_Raw_Fitch[],2,FALSE),"-")</f>
        <v>BB+</v>
      </c>
      <c r="J61" t="str">
        <f>IFERROR(VLOOKUP(Country_Data[[#This Row],[Entity]],Ratings_Raw_Moodys[],2,FALSE),"-")</f>
        <v>Ba1</v>
      </c>
      <c r="L61" s="3" t="s">
        <v>21</v>
      </c>
      <c r="M61" s="3" t="s">
        <v>18</v>
      </c>
      <c r="N61" s="28"/>
      <c r="O61" s="28"/>
      <c r="P61" s="28"/>
      <c r="Q61" s="28"/>
      <c r="R61" s="28"/>
      <c r="S61" s="28"/>
      <c r="T61" s="28"/>
      <c r="U61" s="28"/>
      <c r="V61" s="28" t="str">
        <f>IF(Country_Data[[#This Row],[10 year $ yield]]="","",Country_Data[[#This Row],[10 year $ yield]]-VLOOKUP("United States",Country_Data[],15,FALSE))</f>
        <v/>
      </c>
      <c r="W61" s="28"/>
      <c r="X61" s="21"/>
    </row>
    <row r="62" spans="2:24">
      <c r="B62" s="4" t="s">
        <v>99</v>
      </c>
      <c r="C62" s="4" t="s">
        <v>240</v>
      </c>
      <c r="D62" s="29" t="str">
        <f>IFERROR(Country_Data[[#This Row],[StD of equity market]]/Country_Data[[#This Row],[StD for bond]]*VLOOKUP(Country_Data[[#This Row],[Moody''s]],Rating_to_spread_Moody[],3,FALSE),"")</f>
        <v/>
      </c>
      <c r="E62" s="31" t="str">
        <f>IF(Country_Data[[#This Row],[10 year $ yield]]="","",IFERROR(Country_Data[[#This Row],[Default spread on $ bonds]]*Country_Data[[#This Row],[StD of equity market]]/Country_Data[[#This Row],[StD for bond]],"Error"))</f>
        <v/>
      </c>
      <c r="F62" s="31" t="str">
        <f>IFERROR(Country_Data[[#This Row],[10 year yield]]-VLOOKUP(Country_Data[[#This Row],[Moody''s local]],Rating_to_spread_Moody[],3,FALSE),"")</f>
        <v/>
      </c>
      <c r="G62" s="31"/>
      <c r="H62" t="str">
        <f>IFERROR(VLOOKUP(Country_Data[[#This Row],[Entity]],Ratings_Raw_SP[],2,FALSE),"")</f>
        <v>AA+</v>
      </c>
      <c r="I62" t="str">
        <f>IFERROR(VLOOKUP(Country_Data[[#This Row],[Entity]],Ratings_Raw_Fitch[],2,FALSE),"-")</f>
        <v>-</v>
      </c>
      <c r="J62" t="str">
        <f>IFERROR(VLOOKUP(Country_Data[[#This Row],[Entity]],Ratings_Raw_Moodys[],2,FALSE),"-")</f>
        <v>-</v>
      </c>
      <c r="L62" s="3"/>
      <c r="M62" s="3"/>
      <c r="N62" s="28"/>
      <c r="O62" s="28"/>
      <c r="P62" s="28"/>
      <c r="Q62" s="28"/>
      <c r="R62" s="28"/>
      <c r="S62" s="28"/>
      <c r="T62" s="28"/>
      <c r="U62" s="28"/>
      <c r="V62" s="28" t="str">
        <f>IF(Country_Data[[#This Row],[10 year $ yield]]="","",Country_Data[[#This Row],[10 year $ yield]]-VLOOKUP("United States",Country_Data[],15,FALSE))</f>
        <v/>
      </c>
      <c r="W62" s="28"/>
      <c r="X62" s="21"/>
    </row>
    <row r="63" spans="2:24">
      <c r="B63" s="5" t="s">
        <v>100</v>
      </c>
      <c r="C63" s="5" t="s">
        <v>237</v>
      </c>
      <c r="D63" s="21" t="str">
        <f>IFERROR(Country_Data[[#This Row],[StD of equity market]]/Country_Data[[#This Row],[StD for bond]]*VLOOKUP(Country_Data[[#This Row],[Moody''s]],Rating_to_spread_Moody[],3,FALSE),"")</f>
        <v/>
      </c>
      <c r="E63" s="32" t="str">
        <f>IF(Country_Data[[#This Row],[10 year $ yield]]="","",IFERROR(Country_Data[[#This Row],[Default spread on $ bonds]]*Country_Data[[#This Row],[StD of equity market]]/Country_Data[[#This Row],[StD for bond]],"Error"))</f>
        <v/>
      </c>
      <c r="F63" s="32" t="str">
        <f>IFERROR(Country_Data[[#This Row],[10 year yield]]-VLOOKUP(Country_Data[[#This Row],[Moody''s local]],Rating_to_spread_Moody[],3,FALSE),"")</f>
        <v/>
      </c>
      <c r="G63" s="32"/>
      <c r="H63" t="str">
        <f>IFERROR(VLOOKUP(Country_Data[[#This Row],[Entity]],Ratings_Raw_SP[],2,FALSE),"")</f>
        <v>B+</v>
      </c>
      <c r="I63" t="str">
        <f>IFERROR(VLOOKUP(Country_Data[[#This Row],[Entity]],Ratings_Raw_Fitch[],2,FALSE),"-")</f>
        <v>-</v>
      </c>
      <c r="J63" t="str">
        <f>IFERROR(VLOOKUP(Country_Data[[#This Row],[Entity]],Ratings_Raw_Moodys[],2,FALSE),"-")</f>
        <v>B2</v>
      </c>
      <c r="L63" s="3" t="s">
        <v>7</v>
      </c>
      <c r="M63" s="3" t="s">
        <v>7</v>
      </c>
      <c r="N63" s="28"/>
      <c r="O63" s="28"/>
      <c r="P63" s="28"/>
      <c r="Q63" s="28"/>
      <c r="R63" s="28"/>
      <c r="S63" s="28"/>
      <c r="T63" s="28"/>
      <c r="U63" s="28"/>
      <c r="V63" s="28" t="str">
        <f>IF(Country_Data[[#This Row],[10 year $ yield]]="","",Country_Data[[#This Row],[10 year $ yield]]-VLOOKUP("United States",Country_Data[],15,FALSE))</f>
        <v/>
      </c>
      <c r="W63" s="28"/>
      <c r="X63" s="21"/>
    </row>
    <row r="64" spans="2:24">
      <c r="B64" s="4" t="s">
        <v>101</v>
      </c>
      <c r="C64" s="4" t="s">
        <v>233</v>
      </c>
      <c r="D64" s="29" t="str">
        <f>IFERROR(Country_Data[[#This Row],[StD of equity market]]/Country_Data[[#This Row],[StD for bond]]*VLOOKUP(Country_Data[[#This Row],[Moody''s]],Rating_to_spread_Moody[],3,FALSE),"")</f>
        <v/>
      </c>
      <c r="E64" s="31" t="str">
        <f>IF(Country_Data[[#This Row],[10 year $ yield]]="","",IFERROR(Country_Data[[#This Row],[Default spread on $ bonds]]*Country_Data[[#This Row],[StD of equity market]]/Country_Data[[#This Row],[StD for bond]],"Error"))</f>
        <v/>
      </c>
      <c r="F64" s="31" t="str">
        <f>IFERROR(Country_Data[[#This Row],[10 year yield]]-VLOOKUP(Country_Data[[#This Row],[Moody''s local]],Rating_to_spread_Moody[],3,FALSE),"")</f>
        <v/>
      </c>
      <c r="G64" s="31"/>
      <c r="H64" t="str">
        <f>IFERROR(VLOOKUP(Country_Data[[#This Row],[Entity]],Ratings_Raw_SP[],2,FALSE),"")</f>
        <v>AAA</v>
      </c>
      <c r="I64" t="str">
        <f>IFERROR(VLOOKUP(Country_Data[[#This Row],[Entity]],Ratings_Raw_Fitch[],2,FALSE),"-")</f>
        <v>AA+</v>
      </c>
      <c r="J64" t="str">
        <f>IFERROR(VLOOKUP(Country_Data[[#This Row],[Entity]],Ratings_Raw_Moodys[],2,FALSE),"-")</f>
        <v>Aa1</v>
      </c>
      <c r="L64" s="3" t="s">
        <v>10</v>
      </c>
      <c r="M64" s="3" t="s">
        <v>10</v>
      </c>
      <c r="N64" s="28"/>
      <c r="O64" s="28"/>
      <c r="P64" s="28"/>
      <c r="Q64" s="28"/>
      <c r="R64" s="28"/>
      <c r="S64" s="28"/>
      <c r="T64" s="28"/>
      <c r="U64" s="28"/>
      <c r="V64" s="28" t="str">
        <f>IF(Country_Data[[#This Row],[10 year $ yield]]="","",Country_Data[[#This Row],[10 year $ yield]]-VLOOKUP("United States",Country_Data[],15,FALSE))</f>
        <v/>
      </c>
      <c r="W64" s="28"/>
      <c r="X64" s="21"/>
    </row>
    <row r="65" spans="2:24">
      <c r="B65" s="5" t="s">
        <v>102</v>
      </c>
      <c r="C65" s="5" t="s">
        <v>242</v>
      </c>
      <c r="D65" s="21" t="str">
        <f>IFERROR(Country_Data[[#This Row],[StD of equity market]]/Country_Data[[#This Row],[StD for bond]]*VLOOKUP(Country_Data[[#This Row],[Moody''s]],Rating_to_spread_Moody[],3,FALSE),"")</f>
        <v/>
      </c>
      <c r="E65" s="32" t="str">
        <f>IF(Country_Data[[#This Row],[10 year $ yield]]="","",IFERROR(Country_Data[[#This Row],[Default spread on $ bonds]]*Country_Data[[#This Row],[StD of equity market]]/Country_Data[[#This Row],[StD for bond]],"Error"))</f>
        <v/>
      </c>
      <c r="F65" s="32" t="str">
        <f>IFERROR(Country_Data[[#This Row],[10 year yield]]-VLOOKUP(Country_Data[[#This Row],[Moody''s local]],Rating_to_spread_Moody[],3,FALSE),"")</f>
        <v/>
      </c>
      <c r="G65" s="32"/>
      <c r="H65" t="str">
        <f>IFERROR(VLOOKUP(Country_Data[[#This Row],[Entity]],Ratings_Raw_SP[],2,FALSE),"")</f>
        <v>BB</v>
      </c>
      <c r="I65" t="str">
        <f>IFERROR(VLOOKUP(Country_Data[[#This Row],[Entity]],Ratings_Raw_Fitch[],2,FALSE),"-")</f>
        <v>BB+</v>
      </c>
      <c r="J65" t="str">
        <f>IFERROR(VLOOKUP(Country_Data[[#This Row],[Entity]],Ratings_Raw_Moodys[],2,FALSE),"-")</f>
        <v>Ba1</v>
      </c>
      <c r="L65" s="3" t="s">
        <v>18</v>
      </c>
      <c r="M65" s="3" t="s">
        <v>18</v>
      </c>
      <c r="N65" s="28"/>
      <c r="O65" s="28"/>
      <c r="P65" s="28"/>
      <c r="Q65" s="28"/>
      <c r="R65" s="28"/>
      <c r="S65" s="28"/>
      <c r="T65" s="28"/>
      <c r="U65" s="28"/>
      <c r="V65" s="28" t="str">
        <f>IF(Country_Data[[#This Row],[10 year $ yield]]="","",Country_Data[[#This Row],[10 year $ yield]]-VLOOKUP("United States",Country_Data[],15,FALSE))</f>
        <v/>
      </c>
      <c r="W65" s="28"/>
      <c r="X65" s="21"/>
    </row>
    <row r="66" spans="2:24">
      <c r="B66" s="4" t="s">
        <v>103</v>
      </c>
      <c r="C66" s="4" t="s">
        <v>240</v>
      </c>
      <c r="D66" s="29" t="str">
        <f>IFERROR(Country_Data[[#This Row],[StD of equity market]]/Country_Data[[#This Row],[StD for bond]]*VLOOKUP(Country_Data[[#This Row],[Moody''s]],Rating_to_spread_Moody[],3,FALSE),"")</f>
        <v/>
      </c>
      <c r="E66" s="31" t="str">
        <f>IF(Country_Data[[#This Row],[10 year $ yield]]="","",IFERROR(Country_Data[[#This Row],[Default spread on $ bonds]]*Country_Data[[#This Row],[StD of equity market]]/Country_Data[[#This Row],[StD for bond]],"Error"))</f>
        <v/>
      </c>
      <c r="F66" s="31" t="str">
        <f>IFERROR(Country_Data[[#This Row],[10 year yield]]-VLOOKUP(Country_Data[[#This Row],[Moody''s local]],Rating_to_spread_Moody[],3,FALSE),"")</f>
        <v/>
      </c>
      <c r="G66" s="31"/>
      <c r="H66" t="str">
        <f>IFERROR(VLOOKUP(Country_Data[[#This Row],[Entity]],Ratings_Raw_SP[],2,FALSE),"")</f>
        <v>BBB-</v>
      </c>
      <c r="I66" t="str">
        <f>IFERROR(VLOOKUP(Country_Data[[#This Row],[Entity]],Ratings_Raw_Fitch[],2,FALSE),"-")</f>
        <v>BBB-</v>
      </c>
      <c r="J66" t="str">
        <f>IFERROR(VLOOKUP(Country_Data[[#This Row],[Entity]],Ratings_Raw_Moodys[],2,FALSE),"-")</f>
        <v>Baa3</v>
      </c>
      <c r="L66" s="3" t="s">
        <v>14</v>
      </c>
      <c r="M66" s="3" t="s">
        <v>14</v>
      </c>
      <c r="N66" s="28"/>
      <c r="O66" s="28"/>
      <c r="P66" s="28"/>
      <c r="Q66" s="28"/>
      <c r="R66" s="28"/>
      <c r="S66" s="28"/>
      <c r="T66" s="28"/>
      <c r="U66" s="28"/>
      <c r="V66" s="28" t="str">
        <f>IF(Country_Data[[#This Row],[10 year $ yield]]="","",Country_Data[[#This Row],[10 year $ yield]]-VLOOKUP("United States",Country_Data[],15,FALSE))</f>
        <v/>
      </c>
      <c r="W66" s="28"/>
      <c r="X66" s="21"/>
    </row>
    <row r="67" spans="2:24">
      <c r="B67" s="5" t="s">
        <v>104</v>
      </c>
      <c r="C67" s="5" t="s">
        <v>233</v>
      </c>
      <c r="D67" s="21">
        <f>IFERROR(Country_Data[[#This Row],[StD of equity market]]/Country_Data[[#This Row],[StD for bond]]*VLOOKUP(Country_Data[[#This Row],[Moody''s]],Rating_to_spread_Moody[],3,FALSE),"")</f>
        <v>3.0046948356807514E-2</v>
      </c>
      <c r="E67" s="21" t="str">
        <f>IF(Country_Data[[#This Row],[10 year $ yield]]="","",IFERROR(Country_Data[[#This Row],[Default spread on $ bonds]]*Country_Data[[#This Row],[StD of equity market]]/Country_Data[[#This Row],[StD for bond]],"Error"))</f>
        <v/>
      </c>
      <c r="F67" s="21">
        <f>IFERROR(Country_Data[[#This Row],[10 year yield]]-VLOOKUP(Country_Data[[#This Row],[Moody''s local]],Rating_to_spread_Moody[],3,FALSE),"")</f>
        <v>5.8099999999999999E-2</v>
      </c>
      <c r="G67" s="21"/>
      <c r="H67" t="str">
        <f>IFERROR(VLOOKUP(Country_Data[[#This Row],[Entity]],Ratings_Raw_SP[],2,FALSE),"")</f>
        <v>BBB-</v>
      </c>
      <c r="I67" t="str">
        <f>IFERROR(VLOOKUP(Country_Data[[#This Row],[Entity]],Ratings_Raw_Fitch[],2,FALSE),"-")</f>
        <v>BBB-</v>
      </c>
      <c r="J67" t="str">
        <f>IFERROR(VLOOKUP(Country_Data[[#This Row],[Entity]],Ratings_Raw_Moodys[],2,FALSE),"-")</f>
        <v>Baa3</v>
      </c>
      <c r="K67" t="s">
        <v>35</v>
      </c>
      <c r="L67" s="3" t="s">
        <v>14</v>
      </c>
      <c r="M67" s="3" t="s">
        <v>14</v>
      </c>
      <c r="N67" s="28"/>
      <c r="O67" s="28"/>
      <c r="P67" s="28"/>
      <c r="Q67" s="28">
        <v>8.5599999999999996E-2</v>
      </c>
      <c r="R67" s="28"/>
      <c r="S67" s="28"/>
      <c r="T67" s="28"/>
      <c r="U67" s="28"/>
      <c r="V67" s="28" t="str">
        <f>IF(Country_Data[[#This Row],[10 year $ yield]]="","",Country_Data[[#This Row],[10 year $ yield]]-VLOOKUP("United States",Country_Data[],15,FALSE))</f>
        <v/>
      </c>
      <c r="W67" s="28">
        <v>0.21299999999999999</v>
      </c>
      <c r="X67" s="21">
        <v>0.32</v>
      </c>
    </row>
    <row r="68" spans="2:24">
      <c r="B68" s="4" t="s">
        <v>105</v>
      </c>
      <c r="C68" s="4" t="s">
        <v>233</v>
      </c>
      <c r="D68" s="29" t="str">
        <f>IFERROR(Country_Data[[#This Row],[StD of equity market]]/Country_Data[[#This Row],[StD for bond]]*VLOOKUP(Country_Data[[#This Row],[Moody''s]],Rating_to_spread_Moody[],3,FALSE),"")</f>
        <v/>
      </c>
      <c r="E68" s="31" t="str">
        <f>IF(Country_Data[[#This Row],[10 year $ yield]]="","",IFERROR(Country_Data[[#This Row],[Default spread on $ bonds]]*Country_Data[[#This Row],[StD of equity market]]/Country_Data[[#This Row],[StD for bond]],"Error"))</f>
        <v/>
      </c>
      <c r="F68" s="31" t="str">
        <f>IFERROR(Country_Data[[#This Row],[10 year yield]]-VLOOKUP(Country_Data[[#This Row],[Moody''s local]],Rating_to_spread_Moody[],3,FALSE),"")</f>
        <v/>
      </c>
      <c r="G68" s="31"/>
      <c r="H68" t="str">
        <f>IFERROR(VLOOKUP(Country_Data[[#This Row],[Entity]],Ratings_Raw_SP[],2,FALSE),"")</f>
        <v>BB+</v>
      </c>
      <c r="I68" t="str">
        <f>IFERROR(VLOOKUP(Country_Data[[#This Row],[Entity]],Ratings_Raw_Fitch[],2,FALSE),"-")</f>
        <v>BBB-</v>
      </c>
      <c r="J68" t="str">
        <f>IFERROR(VLOOKUP(Country_Data[[#This Row],[Entity]],Ratings_Raw_Moodys[],2,FALSE),"-")</f>
        <v>Baa3</v>
      </c>
      <c r="L68" s="3" t="s">
        <v>21</v>
      </c>
      <c r="M68" s="3" t="s">
        <v>21</v>
      </c>
      <c r="N68" s="28"/>
      <c r="O68" s="28"/>
      <c r="P68" s="28"/>
      <c r="Q68" s="28"/>
      <c r="R68" s="28"/>
      <c r="S68" s="28"/>
      <c r="T68" s="28"/>
      <c r="U68" s="28"/>
      <c r="V68" s="28" t="str">
        <f>IF(Country_Data[[#This Row],[10 year $ yield]]="","",Country_Data[[#This Row],[10 year $ yield]]-VLOOKUP("United States",Country_Data[],15,FALSE))</f>
        <v/>
      </c>
      <c r="W68" s="28"/>
      <c r="X68" s="21"/>
    </row>
    <row r="69" spans="2:24">
      <c r="B69" s="5" t="s">
        <v>106</v>
      </c>
      <c r="C69" s="5" t="s">
        <v>240</v>
      </c>
      <c r="D69" s="21" t="str">
        <f>IFERROR(Country_Data[[#This Row],[StD of equity market]]/Country_Data[[#This Row],[StD for bond]]*VLOOKUP(Country_Data[[#This Row],[Moody''s]],Rating_to_spread_Moody[],3,FALSE),"")</f>
        <v/>
      </c>
      <c r="E69" s="32" t="str">
        <f>IF(Country_Data[[#This Row],[10 year $ yield]]="","",IFERROR(Country_Data[[#This Row],[Default spread on $ bonds]]*Country_Data[[#This Row],[StD of equity market]]/Country_Data[[#This Row],[StD for bond]],"Error"))</f>
        <v/>
      </c>
      <c r="F69" s="32" t="str">
        <f>IFERROR(Country_Data[[#This Row],[10 year yield]]-VLOOKUP(Country_Data[[#This Row],[Moody''s local]],Rating_to_spread_Moody[],3,FALSE),"")</f>
        <v/>
      </c>
      <c r="G69" s="32"/>
      <c r="H69" t="str">
        <f>IFERROR(VLOOKUP(Country_Data[[#This Row],[Entity]],Ratings_Raw_SP[],2,FALSE),"")</f>
        <v>A-</v>
      </c>
      <c r="I69" t="str">
        <f>IFERROR(VLOOKUP(Country_Data[[#This Row],[Entity]],Ratings_Raw_Fitch[],2,FALSE),"-")</f>
        <v>A-</v>
      </c>
      <c r="J69" t="str">
        <f>IFERROR(VLOOKUP(Country_Data[[#This Row],[Entity]],Ratings_Raw_Moodys[],2,FALSE),"-")</f>
        <v>Baaa1</v>
      </c>
      <c r="L69" s="3" t="s">
        <v>9</v>
      </c>
      <c r="M69" s="3" t="s">
        <v>9</v>
      </c>
      <c r="N69" s="28"/>
      <c r="O69" s="28"/>
      <c r="P69" s="28"/>
      <c r="Q69" s="28"/>
      <c r="R69" s="28"/>
      <c r="S69" s="28"/>
      <c r="T69" s="28"/>
      <c r="U69" s="28"/>
      <c r="V69" s="28" t="str">
        <f>IF(Country_Data[[#This Row],[10 year $ yield]]="","",Country_Data[[#This Row],[10 year $ yield]]-VLOOKUP("United States",Country_Data[],15,FALSE))</f>
        <v/>
      </c>
      <c r="W69" s="28"/>
      <c r="X69" s="21"/>
    </row>
    <row r="70" spans="2:24">
      <c r="B70" s="4" t="s">
        <v>107</v>
      </c>
      <c r="C70" s="4" t="s">
        <v>240</v>
      </c>
      <c r="D70" s="29" t="str">
        <f>IFERROR(Country_Data[[#This Row],[StD of equity market]]/Country_Data[[#This Row],[StD for bond]]*VLOOKUP(Country_Data[[#This Row],[Moody''s]],Rating_to_spread_Moody[],3,FALSE),"")</f>
        <v/>
      </c>
      <c r="E70" s="31" t="str">
        <f>IF(Country_Data[[#This Row],[10 year $ yield]]="","",IFERROR(Country_Data[[#This Row],[Default spread on $ bonds]]*Country_Data[[#This Row],[StD of equity market]]/Country_Data[[#This Row],[StD for bond]],"Error"))</f>
        <v/>
      </c>
      <c r="F70" s="31" t="str">
        <f>IFERROR(Country_Data[[#This Row],[10 year yield]]-VLOOKUP(Country_Data[[#This Row],[Moody''s local]],Rating_to_spread_Moody[],3,FALSE),"")</f>
        <v/>
      </c>
      <c r="G70" s="31"/>
      <c r="H70" t="str">
        <f>IFERROR(VLOOKUP(Country_Data[[#This Row],[Entity]],Ratings_Raw_SP[],2,FALSE),"")</f>
        <v>AA+</v>
      </c>
      <c r="I70" t="str">
        <f>IFERROR(VLOOKUP(Country_Data[[#This Row],[Entity]],Ratings_Raw_Fitch[],2,FALSE),"-")</f>
        <v>-</v>
      </c>
      <c r="J70" t="str">
        <f>IFERROR(VLOOKUP(Country_Data[[#This Row],[Entity]],Ratings_Raw_Moodys[],2,FALSE),"-")</f>
        <v>Aaa</v>
      </c>
      <c r="L70" s="3"/>
      <c r="M70" s="3"/>
      <c r="N70" s="28"/>
      <c r="O70" s="28"/>
      <c r="P70" s="28"/>
      <c r="Q70" s="28"/>
      <c r="R70" s="28"/>
      <c r="S70" s="28"/>
      <c r="T70" s="28"/>
      <c r="U70" s="28"/>
      <c r="V70" s="28" t="str">
        <f>IF(Country_Data[[#This Row],[10 year $ yield]]="","",Country_Data[[#This Row],[10 year $ yield]]-VLOOKUP("United States",Country_Data[],15,FALSE))</f>
        <v/>
      </c>
      <c r="W70" s="28"/>
      <c r="X70" s="21"/>
    </row>
    <row r="71" spans="2:24">
      <c r="B71" s="5" t="s">
        <v>108</v>
      </c>
      <c r="C71" s="5" t="s">
        <v>239</v>
      </c>
      <c r="D71" s="21" t="str">
        <f>IFERROR(Country_Data[[#This Row],[StD of equity market]]/Country_Data[[#This Row],[StD for bond]]*VLOOKUP(Country_Data[[#This Row],[Moody''s]],Rating_to_spread_Moody[],3,FALSE),"")</f>
        <v/>
      </c>
      <c r="E71" s="32" t="str">
        <f>IF(Country_Data[[#This Row],[10 year $ yield]]="","",IFERROR(Country_Data[[#This Row],[Default spread on $ bonds]]*Country_Data[[#This Row],[StD of equity market]]/Country_Data[[#This Row],[StD for bond]],"Error"))</f>
        <v/>
      </c>
      <c r="F71" s="32" t="str">
        <f>IFERROR(Country_Data[[#This Row],[10 year yield]]-VLOOKUP(Country_Data[[#This Row],[Moody''s local]],Rating_to_spread_Moody[],3,FALSE),"")</f>
        <v/>
      </c>
      <c r="G71" s="32"/>
      <c r="H71" t="str">
        <f>IFERROR(VLOOKUP(Country_Data[[#This Row],[Entity]],Ratings_Raw_SP[],2,FALSE),"")</f>
        <v>A+</v>
      </c>
      <c r="I71" t="str">
        <f>IFERROR(VLOOKUP(Country_Data[[#This Row],[Entity]],Ratings_Raw_Fitch[],2,FALSE),"-")</f>
        <v>A</v>
      </c>
      <c r="J71" t="str">
        <f>IFERROR(VLOOKUP(Country_Data[[#This Row],[Entity]],Ratings_Raw_Moodys[],2,FALSE),"-")</f>
        <v>A1</v>
      </c>
      <c r="L71" s="3" t="s">
        <v>19</v>
      </c>
      <c r="M71" s="3" t="s">
        <v>19</v>
      </c>
      <c r="N71" s="28"/>
      <c r="O71" s="28"/>
      <c r="P71" s="28"/>
      <c r="Q71" s="28"/>
      <c r="R71" s="28"/>
      <c r="S71" s="28"/>
      <c r="T71" s="28"/>
      <c r="U71" s="28"/>
      <c r="V71" s="28" t="str">
        <f>IF(Country_Data[[#This Row],[10 year $ yield]]="","",Country_Data[[#This Row],[10 year $ yield]]-VLOOKUP("United States",Country_Data[],15,FALSE))</f>
        <v/>
      </c>
      <c r="W71" s="28"/>
      <c r="X71" s="21"/>
    </row>
    <row r="72" spans="2:24">
      <c r="B72" s="4" t="s">
        <v>109</v>
      </c>
      <c r="C72" s="4" t="s">
        <v>240</v>
      </c>
      <c r="D72" s="29" t="str">
        <f>IFERROR(Country_Data[[#This Row],[StD of equity market]]/Country_Data[[#This Row],[StD for bond]]*VLOOKUP(Country_Data[[#This Row],[Moody''s]],Rating_to_spread_Moody[],3,FALSE),"")</f>
        <v/>
      </c>
      <c r="E72" s="31" t="str">
        <f>IF(Country_Data[[#This Row],[10 year $ yield]]="","",IFERROR(Country_Data[[#This Row],[Default spread on $ bonds]]*Country_Data[[#This Row],[StD of equity market]]/Country_Data[[#This Row],[StD for bond]],"Error"))</f>
        <v/>
      </c>
      <c r="F72" s="31" t="str">
        <f>IFERROR(Country_Data[[#This Row],[10 year yield]]-VLOOKUP(Country_Data[[#This Row],[Moody''s local]],Rating_to_spread_Moody[],3,FALSE),"")</f>
        <v/>
      </c>
      <c r="G72" s="31"/>
      <c r="H72" t="str">
        <f>IFERROR(VLOOKUP(Country_Data[[#This Row],[Entity]],Ratings_Raw_SP[],2,FALSE),"")</f>
        <v>BBB</v>
      </c>
      <c r="I72" t="str">
        <f>IFERROR(VLOOKUP(Country_Data[[#This Row],[Entity]],Ratings_Raw_Fitch[],2,FALSE),"-")</f>
        <v>BBB+</v>
      </c>
      <c r="J72" t="str">
        <f>IFERROR(VLOOKUP(Country_Data[[#This Row],[Entity]],Ratings_Raw_Moodys[],2,FALSE),"-")</f>
        <v>Baa2</v>
      </c>
      <c r="L72" s="3" t="s">
        <v>15</v>
      </c>
      <c r="M72" s="3" t="s">
        <v>15</v>
      </c>
      <c r="N72" s="28"/>
      <c r="O72" s="28"/>
      <c r="P72" s="28"/>
      <c r="Q72" s="28"/>
      <c r="R72" s="28"/>
      <c r="S72" s="28"/>
      <c r="T72" s="28"/>
      <c r="U72" s="28"/>
      <c r="V72" s="28" t="str">
        <f>IF(Country_Data[[#This Row],[10 year $ yield]]="","",Country_Data[[#This Row],[10 year $ yield]]-VLOOKUP("United States",Country_Data[],15,FALSE))</f>
        <v/>
      </c>
      <c r="W72" s="28"/>
      <c r="X72" s="21"/>
    </row>
    <row r="73" spans="2:24">
      <c r="B73" s="5" t="s">
        <v>110</v>
      </c>
      <c r="C73" s="5" t="s">
        <v>236</v>
      </c>
      <c r="D73" s="21" t="str">
        <f>IFERROR(Country_Data[[#This Row],[StD of equity market]]/Country_Data[[#This Row],[StD for bond]]*VLOOKUP(Country_Data[[#This Row],[Moody''s]],Rating_to_spread_Moody[],3,FALSE),"")</f>
        <v/>
      </c>
      <c r="E73" s="32" t="str">
        <f>IF(Country_Data[[#This Row],[10 year $ yield]]="","",IFERROR(Country_Data[[#This Row],[Default spread on $ bonds]]*Country_Data[[#This Row],[StD of equity market]]/Country_Data[[#This Row],[StD for bond]],"Error"))</f>
        <v/>
      </c>
      <c r="F73" s="32" t="str">
        <f>IFERROR(Country_Data[[#This Row],[10 year yield]]-VLOOKUP(Country_Data[[#This Row],[Moody''s local]],Rating_to_spread_Moody[],3,FALSE),"")</f>
        <v/>
      </c>
      <c r="G73" s="32"/>
      <c r="H73" t="str">
        <f>IFERROR(VLOOKUP(Country_Data[[#This Row],[Entity]],Ratings_Raw_SP[],2,FALSE),"")</f>
        <v>CCC+</v>
      </c>
      <c r="I73" t="str">
        <f>IFERROR(VLOOKUP(Country_Data[[#This Row],[Entity]],Ratings_Raw_Fitch[],2,FALSE),"-")</f>
        <v>B-</v>
      </c>
      <c r="J73" t="str">
        <f>IFERROR(VLOOKUP(Country_Data[[#This Row],[Entity]],Ratings_Raw_Moodys[],2,FALSE),"-")</f>
        <v>B3</v>
      </c>
      <c r="L73" s="3" t="s">
        <v>16</v>
      </c>
      <c r="M73" s="3" t="s">
        <v>16</v>
      </c>
      <c r="N73" s="28"/>
      <c r="O73" s="28"/>
      <c r="P73" s="28"/>
      <c r="Q73" s="28"/>
      <c r="R73" s="28"/>
      <c r="S73" s="28"/>
      <c r="T73" s="28"/>
      <c r="U73" s="28"/>
      <c r="V73" s="28" t="str">
        <f>IF(Country_Data[[#This Row],[10 year $ yield]]="","",Country_Data[[#This Row],[10 year $ yield]]-VLOOKUP("United States",Country_Data[],15,FALSE))</f>
        <v/>
      </c>
      <c r="W73" s="28"/>
      <c r="X73" s="21"/>
    </row>
    <row r="74" spans="2:24">
      <c r="B74" s="4" t="s">
        <v>111</v>
      </c>
      <c r="C74" s="4" t="s">
        <v>233</v>
      </c>
      <c r="D74" s="29" t="str">
        <f>IFERROR(Country_Data[[#This Row],[StD of equity market]]/Country_Data[[#This Row],[StD for bond]]*VLOOKUP(Country_Data[[#This Row],[Moody''s]],Rating_to_spread_Moody[],3,FALSE),"")</f>
        <v/>
      </c>
      <c r="E74" s="31" t="str">
        <f>IF(Country_Data[[#This Row],[10 year $ yield]]="","",IFERROR(Country_Data[[#This Row],[Default spread on $ bonds]]*Country_Data[[#This Row],[StD of equity market]]/Country_Data[[#This Row],[StD for bond]],"Error"))</f>
        <v/>
      </c>
      <c r="F74" s="31" t="str">
        <f>IFERROR(Country_Data[[#This Row],[10 year yield]]-VLOOKUP(Country_Data[[#This Row],[Moody''s local]],Rating_to_spread_Moody[],3,FALSE),"")</f>
        <v/>
      </c>
      <c r="G74" s="31"/>
      <c r="H74" t="str">
        <f>IFERROR(VLOOKUP(Country_Data[[#This Row],[Entity]],Ratings_Raw_SP[],2,FALSE),"")</f>
        <v>AA-</v>
      </c>
      <c r="I74" t="str">
        <f>IFERROR(VLOOKUP(Country_Data[[#This Row],[Entity]],Ratings_Raw_Fitch[],2,FALSE),"-")</f>
        <v>A+</v>
      </c>
      <c r="J74" t="str">
        <f>IFERROR(VLOOKUP(Country_Data[[#This Row],[Entity]],Ratings_Raw_Moodys[],2,FALSE),"-")</f>
        <v>Aa3</v>
      </c>
      <c r="L74" s="3" t="s">
        <v>17</v>
      </c>
      <c r="M74" s="3" t="s">
        <v>17</v>
      </c>
      <c r="N74" s="28"/>
      <c r="O74" s="28"/>
      <c r="P74" s="28"/>
      <c r="Q74" s="28"/>
      <c r="R74" s="28"/>
      <c r="S74" s="28"/>
      <c r="T74" s="28"/>
      <c r="U74" s="28"/>
      <c r="V74" s="28" t="str">
        <f>IF(Country_Data[[#This Row],[10 year $ yield]]="","",Country_Data[[#This Row],[10 year $ yield]]-VLOOKUP("United States",Country_Data[],15,FALSE))</f>
        <v/>
      </c>
      <c r="W74" s="28"/>
      <c r="X74" s="21"/>
    </row>
    <row r="75" spans="2:24">
      <c r="B75" s="5" t="s">
        <v>112</v>
      </c>
      <c r="C75" s="5" t="s">
        <v>239</v>
      </c>
      <c r="D75" s="21" t="str">
        <f>IFERROR(Country_Data[[#This Row],[StD of equity market]]/Country_Data[[#This Row],[StD for bond]]*VLOOKUP(Country_Data[[#This Row],[Moody''s]],Rating_to_spread_Moody[],3,FALSE),"")</f>
        <v/>
      </c>
      <c r="E75" s="32" t="str">
        <f>IF(Country_Data[[#This Row],[10 year $ yield]]="","",IFERROR(Country_Data[[#This Row],[Default spread on $ bonds]]*Country_Data[[#This Row],[StD of equity market]]/Country_Data[[#This Row],[StD for bond]],"Error"))</f>
        <v/>
      </c>
      <c r="F75" s="32" t="str">
        <f>IFERROR(Country_Data[[#This Row],[10 year yield]]-VLOOKUP(Country_Data[[#This Row],[Moody''s local]],Rating_to_spread_Moody[],3,FALSE),"")</f>
        <v/>
      </c>
      <c r="G75" s="32"/>
      <c r="H75" t="str">
        <f>IFERROR(VLOOKUP(Country_Data[[#This Row],[Entity]],Ratings_Raw_SP[],2,FALSE),"")</f>
        <v>BB</v>
      </c>
      <c r="I75" t="str">
        <f>IFERROR(VLOOKUP(Country_Data[[#This Row],[Entity]],Ratings_Raw_Fitch[],2,FALSE),"-")</f>
        <v>-</v>
      </c>
      <c r="J75" t="str">
        <f>IFERROR(VLOOKUP(Country_Data[[#This Row],[Entity]],Ratings_Raw_Moodys[],2,FALSE),"-")</f>
        <v>Ba2</v>
      </c>
      <c r="L75" s="3" t="s">
        <v>8</v>
      </c>
      <c r="M75" s="3" t="s">
        <v>8</v>
      </c>
      <c r="N75" s="28"/>
      <c r="O75" s="28"/>
      <c r="P75" s="28"/>
      <c r="Q75" s="28"/>
      <c r="R75" s="28"/>
      <c r="S75" s="28"/>
      <c r="T75" s="28"/>
      <c r="U75" s="28"/>
      <c r="V75" s="28" t="str">
        <f>IF(Country_Data[[#This Row],[10 year $ yield]]="","",Country_Data[[#This Row],[10 year $ yield]]-VLOOKUP("United States",Country_Data[],15,FALSE))</f>
        <v/>
      </c>
      <c r="W75" s="28"/>
      <c r="X75" s="21"/>
    </row>
    <row r="76" spans="2:24">
      <c r="B76" s="4" t="s">
        <v>113</v>
      </c>
      <c r="C76" s="4" t="s">
        <v>239</v>
      </c>
      <c r="D76" s="29" t="str">
        <f>IFERROR(Country_Data[[#This Row],[StD of equity market]]/Country_Data[[#This Row],[StD for bond]]*VLOOKUP(Country_Data[[#This Row],[Moody''s]],Rating_to_spread_Moody[],3,FALSE),"")</f>
        <v/>
      </c>
      <c r="E76" s="31" t="str">
        <f>IF(Country_Data[[#This Row],[10 year $ yield]]="","",IFERROR(Country_Data[[#This Row],[Default spread on $ bonds]]*Country_Data[[#This Row],[StD of equity market]]/Country_Data[[#This Row],[StD for bond]],"Error"))</f>
        <v/>
      </c>
      <c r="F76" s="31" t="str">
        <f>IFERROR(Country_Data[[#This Row],[10 year yield]]-VLOOKUP(Country_Data[[#This Row],[Moody''s local]],Rating_to_spread_Moody[],3,FALSE),"")</f>
        <v/>
      </c>
      <c r="G76" s="31"/>
      <c r="H76" t="str">
        <f>IFERROR(VLOOKUP(Country_Data[[#This Row],[Entity]],Ratings_Raw_SP[],2,FALSE),"")</f>
        <v>BBB+</v>
      </c>
      <c r="I76" t="str">
        <f>IFERROR(VLOOKUP(Country_Data[[#This Row],[Entity]],Ratings_Raw_Fitch[],2,FALSE),"-")</f>
        <v>BBB</v>
      </c>
      <c r="J76" t="str">
        <f>IFERROR(VLOOKUP(Country_Data[[#This Row],[Entity]],Ratings_Raw_Moodys[],2,FALSE),"-")</f>
        <v>Baa2</v>
      </c>
      <c r="L76" s="3" t="s">
        <v>13</v>
      </c>
      <c r="M76" s="3" t="s">
        <v>13</v>
      </c>
      <c r="N76" s="28"/>
      <c r="O76" s="28"/>
      <c r="P76" s="28"/>
      <c r="Q76" s="28"/>
      <c r="R76" s="28"/>
      <c r="S76" s="28"/>
      <c r="T76" s="28"/>
      <c r="U76" s="28"/>
      <c r="V76" s="28" t="str">
        <f>IF(Country_Data[[#This Row],[10 year $ yield]]="","",Country_Data[[#This Row],[10 year $ yield]]-VLOOKUP("United States",Country_Data[],15,FALSE))</f>
        <v/>
      </c>
      <c r="W76" s="28"/>
      <c r="X76" s="21"/>
    </row>
    <row r="77" spans="2:24">
      <c r="B77" s="5" t="s">
        <v>114</v>
      </c>
      <c r="C77" s="5" t="s">
        <v>232</v>
      </c>
      <c r="D77" s="21" t="str">
        <f>IFERROR(Country_Data[[#This Row],[StD of equity market]]/Country_Data[[#This Row],[StD for bond]]*VLOOKUP(Country_Data[[#This Row],[Moody''s]],Rating_to_spread_Moody[],3,FALSE),"")</f>
        <v/>
      </c>
      <c r="E77" s="32" t="str">
        <f>IF(Country_Data[[#This Row],[10 year $ yield]]="","",IFERROR(Country_Data[[#This Row],[Default spread on $ bonds]]*Country_Data[[#This Row],[StD of equity market]]/Country_Data[[#This Row],[StD for bond]],"Error"))</f>
        <v/>
      </c>
      <c r="F77" s="32" t="str">
        <f>IFERROR(Country_Data[[#This Row],[10 year yield]]-VLOOKUP(Country_Data[[#This Row],[Moody''s local]],Rating_to_spread_Moody[],3,FALSE),"")</f>
        <v/>
      </c>
      <c r="G77" s="32"/>
      <c r="H77" t="str">
        <f>IFERROR(VLOOKUP(Country_Data[[#This Row],[Entity]],Ratings_Raw_SP[],2,FALSE),"")</f>
        <v>B+</v>
      </c>
      <c r="I77" t="str">
        <f>IFERROR(VLOOKUP(Country_Data[[#This Row],[Entity]],Ratings_Raw_Fitch[],2,FALSE),"-")</f>
        <v>B+</v>
      </c>
      <c r="J77" t="str">
        <f>IFERROR(VLOOKUP(Country_Data[[#This Row],[Entity]],Ratings_Raw_Moodys[],2,FALSE),"-")</f>
        <v>-</v>
      </c>
      <c r="L77" s="3" t="s">
        <v>20</v>
      </c>
      <c r="M77" s="3" t="s">
        <v>20</v>
      </c>
      <c r="N77" s="28"/>
      <c r="O77" s="28"/>
      <c r="P77" s="28"/>
      <c r="Q77" s="28"/>
      <c r="R77" s="28"/>
      <c r="S77" s="28"/>
      <c r="T77" s="28"/>
      <c r="U77" s="28"/>
      <c r="V77" s="28" t="str">
        <f>IF(Country_Data[[#This Row],[10 year $ yield]]="","",Country_Data[[#This Row],[10 year $ yield]]-VLOOKUP("United States",Country_Data[],15,FALSE))</f>
        <v/>
      </c>
      <c r="W77" s="28"/>
      <c r="X77" s="21"/>
    </row>
    <row r="78" spans="2:24">
      <c r="B78" s="4" t="s">
        <v>115</v>
      </c>
      <c r="C78" s="4" t="s">
        <v>239</v>
      </c>
      <c r="D78" s="29" t="str">
        <f>IFERROR(Country_Data[[#This Row],[StD of equity market]]/Country_Data[[#This Row],[StD for bond]]*VLOOKUP(Country_Data[[#This Row],[Moody''s]],Rating_to_spread_Moody[],3,FALSE),"")</f>
        <v/>
      </c>
      <c r="E78" s="31" t="str">
        <f>IF(Country_Data[[#This Row],[10 year $ yield]]="","",IFERROR(Country_Data[[#This Row],[Default spread on $ bonds]]*Country_Data[[#This Row],[StD of equity market]]/Country_Data[[#This Row],[StD for bond]],"Error"))</f>
        <v/>
      </c>
      <c r="F78" s="31" t="str">
        <f>IFERROR(Country_Data[[#This Row],[10 year yield]]-VLOOKUP(Country_Data[[#This Row],[Moody''s local]],Rating_to_spread_Moody[],3,FALSE),"")</f>
        <v/>
      </c>
      <c r="G78" s="31"/>
      <c r="H78" t="str">
        <f>IFERROR(VLOOKUP(Country_Data[[#This Row],[Entity]],Ratings_Raw_SP[],2,FALSE),"")</f>
        <v>AA</v>
      </c>
      <c r="I78" t="str">
        <f>IFERROR(VLOOKUP(Country_Data[[#This Row],[Entity]],Ratings_Raw_Fitch[],2,FALSE),"-")</f>
        <v>AA</v>
      </c>
      <c r="J78" t="str">
        <f>IFERROR(VLOOKUP(Country_Data[[#This Row],[Entity]],Ratings_Raw_Moodys[],2,FALSE),"-")</f>
        <v>Aa2</v>
      </c>
      <c r="L78" s="3" t="s">
        <v>5</v>
      </c>
      <c r="M78" s="3" t="s">
        <v>5</v>
      </c>
      <c r="N78" s="28"/>
      <c r="O78" s="28"/>
      <c r="P78" s="28"/>
      <c r="Q78" s="28"/>
      <c r="R78" s="28"/>
      <c r="S78" s="28"/>
      <c r="T78" s="28"/>
      <c r="U78" s="28"/>
      <c r="V78" s="28" t="str">
        <f>IF(Country_Data[[#This Row],[10 year $ yield]]="","",Country_Data[[#This Row],[10 year $ yield]]-VLOOKUP("United States",Country_Data[],15,FALSE))</f>
        <v/>
      </c>
      <c r="W78" s="28"/>
      <c r="X78" s="21"/>
    </row>
    <row r="79" spans="2:24">
      <c r="B79" s="5" t="s">
        <v>116</v>
      </c>
      <c r="C79" s="5" t="s">
        <v>242</v>
      </c>
      <c r="D79" s="21" t="str">
        <f>IFERROR(Country_Data[[#This Row],[StD of equity market]]/Country_Data[[#This Row],[StD for bond]]*VLOOKUP(Country_Data[[#This Row],[Moody''s]],Rating_to_spread_Moody[],3,FALSE),"")</f>
        <v/>
      </c>
      <c r="E79" s="32" t="str">
        <f>IF(Country_Data[[#This Row],[10 year $ yield]]="","",IFERROR(Country_Data[[#This Row],[Default spread on $ bonds]]*Country_Data[[#This Row],[StD of equity market]]/Country_Data[[#This Row],[StD for bond]],"Error"))</f>
        <v/>
      </c>
      <c r="F79" s="32" t="str">
        <f>IFERROR(Country_Data[[#This Row],[10 year yield]]-VLOOKUP(Country_Data[[#This Row],[Moody''s local]],Rating_to_spread_Moody[],3,FALSE),"")</f>
        <v/>
      </c>
      <c r="G79" s="32"/>
      <c r="H79" t="str">
        <f>IFERROR(VLOOKUP(Country_Data[[#This Row],[Entity]],Ratings_Raw_SP[],2,FALSE),"")</f>
        <v>A-</v>
      </c>
      <c r="I79" t="str">
        <f>IFERROR(VLOOKUP(Country_Data[[#This Row],[Entity]],Ratings_Raw_Fitch[],2,FALSE),"-")</f>
        <v>A-</v>
      </c>
      <c r="J79" t="str">
        <f>IFERROR(VLOOKUP(Country_Data[[#This Row],[Entity]],Ratings_Raw_Moodys[],2,FALSE),"-")</f>
        <v>Baaa1</v>
      </c>
      <c r="L79" s="3" t="s">
        <v>9</v>
      </c>
      <c r="M79" s="3" t="s">
        <v>9</v>
      </c>
      <c r="N79" s="28"/>
      <c r="O79" s="28"/>
      <c r="P79" s="28"/>
      <c r="Q79" s="28"/>
      <c r="R79" s="28"/>
      <c r="S79" s="28"/>
      <c r="T79" s="28"/>
      <c r="U79" s="28"/>
      <c r="V79" s="28" t="str">
        <f>IF(Country_Data[[#This Row],[10 year $ yield]]="","",Country_Data[[#This Row],[10 year $ yield]]-VLOOKUP("United States",Country_Data[],15,FALSE))</f>
        <v/>
      </c>
      <c r="W79" s="28"/>
      <c r="X79" s="21"/>
    </row>
    <row r="80" spans="2:24">
      <c r="B80" s="4" t="s">
        <v>117</v>
      </c>
      <c r="C80" s="4" t="s">
        <v>239</v>
      </c>
      <c r="D80" s="29" t="str">
        <f>IFERROR(Country_Data[[#This Row],[StD of equity market]]/Country_Data[[#This Row],[StD for bond]]*VLOOKUP(Country_Data[[#This Row],[Moody''s]],Rating_to_spread_Moody[],3,FALSE),"")</f>
        <v/>
      </c>
      <c r="E80" s="31" t="str">
        <f>IF(Country_Data[[#This Row],[10 year $ yield]]="","",IFERROR(Country_Data[[#This Row],[Default spread on $ bonds]]*Country_Data[[#This Row],[StD of equity market]]/Country_Data[[#This Row],[StD for bond]],"Error"))</f>
        <v/>
      </c>
      <c r="F80" s="31" t="str">
        <f>IFERROR(Country_Data[[#This Row],[10 year yield]]-VLOOKUP(Country_Data[[#This Row],[Moody''s local]],Rating_to_spread_Moody[],3,FALSE),"")</f>
        <v/>
      </c>
      <c r="G80" s="31"/>
      <c r="H80" t="str">
        <f>IFERROR(VLOOKUP(Country_Data[[#This Row],[Entity]],Ratings_Raw_SP[],2,FALSE),"")</f>
        <v>B</v>
      </c>
      <c r="I80" t="str">
        <f>IFERROR(VLOOKUP(Country_Data[[#This Row],[Entity]],Ratings_Raw_Fitch[],2,FALSE),"-")</f>
        <v>B</v>
      </c>
      <c r="J80" t="str">
        <f>IFERROR(VLOOKUP(Country_Data[[#This Row],[Entity]],Ratings_Raw_Moodys[],2,FALSE),"-")</f>
        <v>B1</v>
      </c>
      <c r="L80" s="3" t="s">
        <v>16</v>
      </c>
      <c r="M80" s="3" t="s">
        <v>16</v>
      </c>
      <c r="N80" s="28"/>
      <c r="O80" s="28"/>
      <c r="P80" s="28"/>
      <c r="Q80" s="28"/>
      <c r="R80" s="28"/>
      <c r="S80" s="28"/>
      <c r="T80" s="28"/>
      <c r="U80" s="28"/>
      <c r="V80" s="28" t="str">
        <f>IF(Country_Data[[#This Row],[10 year $ yield]]="","",Country_Data[[#This Row],[10 year $ yield]]-VLOOKUP("United States",Country_Data[],15,FALSE))</f>
        <v/>
      </c>
      <c r="W80" s="28"/>
      <c r="X80" s="21"/>
    </row>
    <row r="81" spans="2:24">
      <c r="B81" s="5" t="s">
        <v>118</v>
      </c>
      <c r="C81" s="5" t="s">
        <v>240</v>
      </c>
      <c r="D81" s="21" t="str">
        <f>IFERROR(Country_Data[[#This Row],[StD of equity market]]/Country_Data[[#This Row],[StD for bond]]*VLOOKUP(Country_Data[[#This Row],[Moody''s]],Rating_to_spread_Moody[],3,FALSE),"")</f>
        <v/>
      </c>
      <c r="E81" s="32" t="str">
        <f>IF(Country_Data[[#This Row],[10 year $ yield]]="","",IFERROR(Country_Data[[#This Row],[Default spread on $ bonds]]*Country_Data[[#This Row],[StD of equity market]]/Country_Data[[#This Row],[StD for bond]],"Error"))</f>
        <v/>
      </c>
      <c r="F81" s="32" t="str">
        <f>IFERROR(Country_Data[[#This Row],[10 year yield]]-VLOOKUP(Country_Data[[#This Row],[Moody''s local]],Rating_to_spread_Moody[],3,FALSE),"")</f>
        <v/>
      </c>
      <c r="G81" s="32"/>
      <c r="H81" t="str">
        <f>IFERROR(VLOOKUP(Country_Data[[#This Row],[Entity]],Ratings_Raw_SP[],2,FALSE),"")</f>
        <v>AAA</v>
      </c>
      <c r="I81" t="str">
        <f>IFERROR(VLOOKUP(Country_Data[[#This Row],[Entity]],Ratings_Raw_Fitch[],2,FALSE),"-")</f>
        <v>-</v>
      </c>
      <c r="J81" t="str">
        <f>IFERROR(VLOOKUP(Country_Data[[#This Row],[Entity]],Ratings_Raw_Moodys[],2,FALSE),"-")</f>
        <v>-</v>
      </c>
      <c r="L81" s="3" t="s">
        <v>10</v>
      </c>
      <c r="M81" s="3" t="s">
        <v>10</v>
      </c>
      <c r="N81" s="28"/>
      <c r="O81" s="28"/>
      <c r="P81" s="28"/>
      <c r="Q81" s="28"/>
      <c r="R81" s="28"/>
      <c r="S81" s="28"/>
      <c r="T81" s="28"/>
      <c r="U81" s="28"/>
      <c r="V81" s="28" t="str">
        <f>IF(Country_Data[[#This Row],[10 year $ yield]]="","",Country_Data[[#This Row],[10 year $ yield]]-VLOOKUP("United States",Country_Data[],15,FALSE))</f>
        <v/>
      </c>
      <c r="W81" s="28"/>
      <c r="X81" s="21"/>
    </row>
    <row r="82" spans="2:24">
      <c r="B82" s="4" t="s">
        <v>119</v>
      </c>
      <c r="C82" s="4" t="s">
        <v>242</v>
      </c>
      <c r="D82" s="29" t="str">
        <f>IFERROR(Country_Data[[#This Row],[StD of equity market]]/Country_Data[[#This Row],[StD for bond]]*VLOOKUP(Country_Data[[#This Row],[Moody''s]],Rating_to_spread_Moody[],3,FALSE),"")</f>
        <v/>
      </c>
      <c r="E82" s="31" t="str">
        <f>IF(Country_Data[[#This Row],[10 year $ yield]]="","",IFERROR(Country_Data[[#This Row],[Default spread on $ bonds]]*Country_Data[[#This Row],[StD of equity market]]/Country_Data[[#This Row],[StD for bond]],"Error"))</f>
        <v/>
      </c>
      <c r="F82" s="31" t="str">
        <f>IFERROR(Country_Data[[#This Row],[10 year yield]]-VLOOKUP(Country_Data[[#This Row],[Moody''s local]],Rating_to_spread_Moody[],3,FALSE),"")</f>
        <v/>
      </c>
      <c r="G82" s="31"/>
      <c r="H82" t="str">
        <f>IFERROR(VLOOKUP(Country_Data[[#This Row],[Entity]],Ratings_Raw_SP[],2,FALSE),"")</f>
        <v>A-</v>
      </c>
      <c r="I82" t="str">
        <f>IFERROR(VLOOKUP(Country_Data[[#This Row],[Entity]],Ratings_Raw_Fitch[],2,FALSE),"-")</f>
        <v>A-</v>
      </c>
      <c r="J82" t="str">
        <f>IFERROR(VLOOKUP(Country_Data[[#This Row],[Entity]],Ratings_Raw_Moodys[],2,FALSE),"-")</f>
        <v>Baaa1</v>
      </c>
      <c r="L82" s="3" t="s">
        <v>9</v>
      </c>
      <c r="M82" s="3" t="s">
        <v>9</v>
      </c>
      <c r="N82" s="28"/>
      <c r="O82" s="28"/>
      <c r="P82" s="28"/>
      <c r="Q82" s="28"/>
      <c r="R82" s="28"/>
      <c r="S82" s="28"/>
      <c r="T82" s="28"/>
      <c r="U82" s="28"/>
      <c r="V82" s="28" t="str">
        <f>IF(Country_Data[[#This Row],[10 year $ yield]]="","",Country_Data[[#This Row],[10 year $ yield]]-VLOOKUP("United States",Country_Data[],15,FALSE))</f>
        <v/>
      </c>
      <c r="W82" s="28"/>
      <c r="X82" s="21"/>
    </row>
    <row r="83" spans="2:24">
      <c r="B83" s="5" t="s">
        <v>120</v>
      </c>
      <c r="C83" s="5" t="s">
        <v>240</v>
      </c>
      <c r="D83" s="21" t="str">
        <f>IFERROR(Country_Data[[#This Row],[StD of equity market]]/Country_Data[[#This Row],[StD for bond]]*VLOOKUP(Country_Data[[#This Row],[Moody''s]],Rating_to_spread_Moody[],3,FALSE),"")</f>
        <v/>
      </c>
      <c r="E83" s="32" t="str">
        <f>IF(Country_Data[[#This Row],[10 year $ yield]]="","",IFERROR(Country_Data[[#This Row],[Default spread on $ bonds]]*Country_Data[[#This Row],[StD of equity market]]/Country_Data[[#This Row],[StD for bond]],"Error"))</f>
        <v/>
      </c>
      <c r="F83" s="32" t="str">
        <f>IFERROR(Country_Data[[#This Row],[10 year yield]]-VLOOKUP(Country_Data[[#This Row],[Moody''s local]],Rating_to_spread_Moody[],3,FALSE),"")</f>
        <v/>
      </c>
      <c r="G83" s="32"/>
      <c r="H83" t="str">
        <f>IFERROR(VLOOKUP(Country_Data[[#This Row],[Entity]],Ratings_Raw_SP[],2,FALSE),"")</f>
        <v>AAA</v>
      </c>
      <c r="I83" t="str">
        <f>IFERROR(VLOOKUP(Country_Data[[#This Row],[Entity]],Ratings_Raw_Fitch[],2,FALSE),"-")</f>
        <v>AAA</v>
      </c>
      <c r="J83" t="str">
        <f>IFERROR(VLOOKUP(Country_Data[[#This Row],[Entity]],Ratings_Raw_Moodys[],2,FALSE),"-")</f>
        <v>Aaa</v>
      </c>
      <c r="L83" s="3" t="s">
        <v>10</v>
      </c>
      <c r="M83" s="3" t="s">
        <v>10</v>
      </c>
      <c r="N83" s="28"/>
      <c r="O83" s="28"/>
      <c r="P83" s="28"/>
      <c r="Q83" s="28"/>
      <c r="R83" s="28"/>
      <c r="S83" s="28"/>
      <c r="T83" s="28"/>
      <c r="U83" s="28"/>
      <c r="V83" s="28" t="str">
        <f>IF(Country_Data[[#This Row],[10 year $ yield]]="","",Country_Data[[#This Row],[10 year $ yield]]-VLOOKUP("United States",Country_Data[],15,FALSE))</f>
        <v/>
      </c>
      <c r="W83" s="28"/>
      <c r="X83" s="21"/>
    </row>
    <row r="84" spans="2:24">
      <c r="B84" s="4" t="s">
        <v>121</v>
      </c>
      <c r="C84" s="4" t="s">
        <v>242</v>
      </c>
      <c r="D84" s="29" t="str">
        <f>IFERROR(Country_Data[[#This Row],[StD of equity market]]/Country_Data[[#This Row],[StD for bond]]*VLOOKUP(Country_Data[[#This Row],[Moody''s]],Rating_to_spread_Moody[],3,FALSE),"")</f>
        <v/>
      </c>
      <c r="E84" s="31" t="str">
        <f>IF(Country_Data[[#This Row],[10 year $ yield]]="","",IFERROR(Country_Data[[#This Row],[Default spread on $ bonds]]*Country_Data[[#This Row],[StD of equity market]]/Country_Data[[#This Row],[StD for bond]],"Error"))</f>
        <v/>
      </c>
      <c r="F84" s="31" t="str">
        <f>IFERROR(Country_Data[[#This Row],[10 year yield]]-VLOOKUP(Country_Data[[#This Row],[Moody''s local]],Rating_to_spread_Moody[],3,FALSE),"")</f>
        <v/>
      </c>
      <c r="G84" s="31"/>
      <c r="H84" t="str">
        <f>IFERROR(VLOOKUP(Country_Data[[#This Row],[Entity]],Ratings_Raw_SP[],2,FALSE),"")</f>
        <v>BB</v>
      </c>
      <c r="I84" t="str">
        <f>IFERROR(VLOOKUP(Country_Data[[#This Row],[Entity]],Ratings_Raw_Fitch[],2,FALSE),"-")</f>
        <v>BB+</v>
      </c>
      <c r="J84" t="str">
        <f>IFERROR(VLOOKUP(Country_Data[[#This Row],[Entity]],Ratings_Raw_Moodys[],2,FALSE),"-")</f>
        <v>-</v>
      </c>
      <c r="L84" s="3" t="s">
        <v>8</v>
      </c>
      <c r="M84" s="3" t="s">
        <v>8</v>
      </c>
      <c r="N84" s="28"/>
      <c r="O84" s="28"/>
      <c r="P84" s="28"/>
      <c r="Q84" s="28"/>
      <c r="R84" s="28"/>
      <c r="S84" s="28"/>
      <c r="T84" s="28"/>
      <c r="U84" s="28"/>
      <c r="V84" s="28" t="str">
        <f>IF(Country_Data[[#This Row],[10 year $ yield]]="","",Country_Data[[#This Row],[10 year $ yield]]-VLOOKUP("United States",Country_Data[],15,FALSE))</f>
        <v/>
      </c>
      <c r="W84" s="28"/>
      <c r="X84" s="21"/>
    </row>
    <row r="85" spans="2:24">
      <c r="B85" s="5" t="s">
        <v>122</v>
      </c>
      <c r="C85" s="5" t="s">
        <v>233</v>
      </c>
      <c r="D85" s="21" t="str">
        <f>IFERROR(Country_Data[[#This Row],[StD of equity market]]/Country_Data[[#This Row],[StD for bond]]*VLOOKUP(Country_Data[[#This Row],[Moody''s]],Rating_to_spread_Moody[],3,FALSE),"")</f>
        <v/>
      </c>
      <c r="E85" s="32" t="str">
        <f>IF(Country_Data[[#This Row],[10 year $ yield]]="","",IFERROR(Country_Data[[#This Row],[Default spread on $ bonds]]*Country_Data[[#This Row],[StD of equity market]]/Country_Data[[#This Row],[StD for bond]],"Error"))</f>
        <v/>
      </c>
      <c r="F85" s="32" t="str">
        <f>IFERROR(Country_Data[[#This Row],[10 year yield]]-VLOOKUP(Country_Data[[#This Row],[Moody''s local]],Rating_to_spread_Moody[],3,FALSE),"")</f>
        <v/>
      </c>
      <c r="G85" s="32"/>
      <c r="H85" t="str">
        <f>IFERROR(VLOOKUP(Country_Data[[#This Row],[Entity]],Ratings_Raw_SP[],2,FALSE),"")</f>
        <v>A-</v>
      </c>
      <c r="I85" t="str">
        <f>IFERROR(VLOOKUP(Country_Data[[#This Row],[Entity]],Ratings_Raw_Fitch[],2,FALSE),"-")</f>
        <v>A-</v>
      </c>
      <c r="J85" t="str">
        <f>IFERROR(VLOOKUP(Country_Data[[#This Row],[Entity]],Ratings_Raw_Moodys[],2,FALSE),"-")</f>
        <v>A3</v>
      </c>
      <c r="L85" s="3" t="s">
        <v>4</v>
      </c>
      <c r="M85" s="3" t="s">
        <v>9</v>
      </c>
      <c r="N85" s="28"/>
      <c r="O85" s="28"/>
      <c r="P85" s="28"/>
      <c r="Q85" s="28"/>
      <c r="R85" s="28"/>
      <c r="S85" s="28"/>
      <c r="T85" s="28"/>
      <c r="U85" s="28"/>
      <c r="V85" s="28" t="str">
        <f>IF(Country_Data[[#This Row],[10 year $ yield]]="","",Country_Data[[#This Row],[10 year $ yield]]-VLOOKUP("United States",Country_Data[],15,FALSE))</f>
        <v/>
      </c>
      <c r="W85" s="28"/>
      <c r="X85" s="21"/>
    </row>
    <row r="86" spans="2:24">
      <c r="B86" s="4" t="s">
        <v>123</v>
      </c>
      <c r="C86" s="5" t="s">
        <v>240</v>
      </c>
      <c r="D86" s="29" t="str">
        <f>IFERROR(Country_Data[[#This Row],[StD of equity market]]/Country_Data[[#This Row],[StD for bond]]*VLOOKUP(Country_Data[[#This Row],[Moody''s]],Rating_to_spread_Moody[],3,FALSE),"")</f>
        <v/>
      </c>
      <c r="E86" s="31" t="str">
        <f>IF(Country_Data[[#This Row],[10 year $ yield]]="","",IFERROR(Country_Data[[#This Row],[Default spread on $ bonds]]*Country_Data[[#This Row],[StD of equity market]]/Country_Data[[#This Row],[StD for bond]],"Error"))</f>
        <v/>
      </c>
      <c r="F86" s="31" t="str">
        <f>IFERROR(Country_Data[[#This Row],[10 year yield]]-VLOOKUP(Country_Data[[#This Row],[Moody''s local]],Rating_to_spread_Moody[],3,FALSE),"")</f>
        <v/>
      </c>
      <c r="G86" s="31"/>
      <c r="H86" t="str">
        <f>IFERROR(VLOOKUP(Country_Data[[#This Row],[Entity]],Ratings_Raw_SP[],2,FALSE),"")</f>
        <v>BBB+</v>
      </c>
      <c r="I86" t="str">
        <f>IFERROR(VLOOKUP(Country_Data[[#This Row],[Entity]],Ratings_Raw_Fitch[],2,FALSE),"-")</f>
        <v>A+</v>
      </c>
      <c r="J86" t="str">
        <f>IFERROR(VLOOKUP(Country_Data[[#This Row],[Entity]],Ratings_Raw_Moodys[],2,FALSE),"-")</f>
        <v>A1</v>
      </c>
      <c r="L86" s="3" t="s">
        <v>13</v>
      </c>
      <c r="M86" s="3" t="s">
        <v>13</v>
      </c>
      <c r="N86" s="28"/>
      <c r="O86" s="28"/>
      <c r="P86" s="28"/>
      <c r="Q86" s="28"/>
      <c r="R86" s="28"/>
      <c r="S86" s="28"/>
      <c r="T86" s="28"/>
      <c r="U86" s="28"/>
      <c r="V86" s="28" t="str">
        <f>IF(Country_Data[[#This Row],[10 year $ yield]]="","",Country_Data[[#This Row],[10 year $ yield]]-VLOOKUP("United States",Country_Data[],15,FALSE))</f>
        <v/>
      </c>
      <c r="W86" s="28"/>
      <c r="X86" s="21"/>
    </row>
    <row r="87" spans="2:24">
      <c r="B87" s="5" t="s">
        <v>124</v>
      </c>
      <c r="C87" s="5" t="s">
        <v>237</v>
      </c>
      <c r="D87" s="21" t="str">
        <f>IFERROR(Country_Data[[#This Row],[StD of equity market]]/Country_Data[[#This Row],[StD for bond]]*VLOOKUP(Country_Data[[#This Row],[Moody''s]],Rating_to_spread_Moody[],3,FALSE),"")</f>
        <v/>
      </c>
      <c r="E87" s="32" t="str">
        <f>IF(Country_Data[[#This Row],[10 year $ yield]]="","",IFERROR(Country_Data[[#This Row],[Default spread on $ bonds]]*Country_Data[[#This Row],[StD of equity market]]/Country_Data[[#This Row],[StD for bond]],"Error"))</f>
        <v/>
      </c>
      <c r="F87" s="32" t="str">
        <f>IFERROR(Country_Data[[#This Row],[10 year yield]]-VLOOKUP(Country_Data[[#This Row],[Moody''s local]],Rating_to_spread_Moody[],3,FALSE),"")</f>
        <v/>
      </c>
      <c r="G87" s="32"/>
      <c r="H87" t="str">
        <f>IFERROR(VLOOKUP(Country_Data[[#This Row],[Entity]],Ratings_Raw_SP[],2,FALSE),"")</f>
        <v>AAA</v>
      </c>
      <c r="I87" t="str">
        <f>IFERROR(VLOOKUP(Country_Data[[#This Row],[Entity]],Ratings_Raw_Fitch[],2,FALSE),"-")</f>
        <v>BBB+</v>
      </c>
      <c r="J87" t="str">
        <f>IFERROR(VLOOKUP(Country_Data[[#This Row],[Entity]],Ratings_Raw_Moodys[],2,FALSE),"-")</f>
        <v>A3</v>
      </c>
      <c r="L87" s="3" t="s">
        <v>4</v>
      </c>
      <c r="M87" s="3" t="s">
        <v>13</v>
      </c>
      <c r="N87" s="28"/>
      <c r="O87" s="28"/>
      <c r="P87" s="28"/>
      <c r="Q87" s="28"/>
      <c r="R87" s="28"/>
      <c r="S87" s="28"/>
      <c r="T87" s="28"/>
      <c r="U87" s="28"/>
      <c r="V87" s="28" t="str">
        <f>IF(Country_Data[[#This Row],[10 year $ yield]]="","",Country_Data[[#This Row],[10 year $ yield]]-VLOOKUP("United States",Country_Data[],15,FALSE))</f>
        <v/>
      </c>
      <c r="W87" s="28"/>
      <c r="X87" s="21"/>
    </row>
    <row r="88" spans="2:24">
      <c r="B88" s="4" t="s">
        <v>125</v>
      </c>
      <c r="C88" s="4" t="s">
        <v>233</v>
      </c>
      <c r="D88" s="29" t="str">
        <f>IFERROR(Country_Data[[#This Row],[StD of equity market]]/Country_Data[[#This Row],[StD for bond]]*VLOOKUP(Country_Data[[#This Row],[Moody''s]],Rating_to_spread_Moody[],3,FALSE),"")</f>
        <v/>
      </c>
      <c r="E88" s="31" t="str">
        <f>IF(Country_Data[[#This Row],[10 year $ yield]]="","",IFERROR(Country_Data[[#This Row],[Default spread on $ bonds]]*Country_Data[[#This Row],[StD of equity market]]/Country_Data[[#This Row],[StD for bond]],"Error"))</f>
        <v/>
      </c>
      <c r="F88" s="31" t="str">
        <f>IFERROR(Country_Data[[#This Row],[10 year yield]]-VLOOKUP(Country_Data[[#This Row],[Moody''s local]],Rating_to_spread_Moody[],3,FALSE),"")</f>
        <v/>
      </c>
      <c r="G88" s="31"/>
      <c r="H88" t="str">
        <f>IFERROR(VLOOKUP(Country_Data[[#This Row],[Entity]],Ratings_Raw_SP[],2,FALSE),"")</f>
        <v>BB-</v>
      </c>
      <c r="I88" t="str">
        <f>IFERROR(VLOOKUP(Country_Data[[#This Row],[Entity]],Ratings_Raw_Fitch[],2,FALSE),"-")</f>
        <v>B+</v>
      </c>
      <c r="J88" t="str">
        <f>IFERROR(VLOOKUP(Country_Data[[#This Row],[Entity]],Ratings_Raw_Moodys[],2,FALSE),"-")</f>
        <v>B1</v>
      </c>
      <c r="L88" s="3" t="s">
        <v>20</v>
      </c>
      <c r="M88" s="3" t="s">
        <v>20</v>
      </c>
      <c r="N88" s="28"/>
      <c r="O88" s="28"/>
      <c r="P88" s="28"/>
      <c r="Q88" s="28"/>
      <c r="R88" s="28"/>
      <c r="S88" s="28"/>
      <c r="T88" s="28"/>
      <c r="U88" s="28"/>
      <c r="V88" s="28" t="str">
        <f>IF(Country_Data[[#This Row],[10 year $ yield]]="","",Country_Data[[#This Row],[10 year $ yield]]-VLOOKUP("United States",Country_Data[],15,FALSE))</f>
        <v/>
      </c>
      <c r="W88" s="28"/>
      <c r="X88" s="21"/>
    </row>
    <row r="89" spans="2:24">
      <c r="B89" s="5" t="s">
        <v>126</v>
      </c>
      <c r="C89" s="5" t="s">
        <v>242</v>
      </c>
      <c r="D89" s="21" t="str">
        <f>IFERROR(Country_Data[[#This Row],[StD of equity market]]/Country_Data[[#This Row],[StD for bond]]*VLOOKUP(Country_Data[[#This Row],[Moody''s]],Rating_to_spread_Moody[],3,FALSE),"")</f>
        <v/>
      </c>
      <c r="E89" s="32" t="str">
        <f>IF(Country_Data[[#This Row],[10 year $ yield]]="","",IFERROR(Country_Data[[#This Row],[Default spread on $ bonds]]*Country_Data[[#This Row],[StD of equity market]]/Country_Data[[#This Row],[StD for bond]],"Error"))</f>
        <v/>
      </c>
      <c r="F89" s="32" t="str">
        <f>IFERROR(Country_Data[[#This Row],[10 year yield]]-VLOOKUP(Country_Data[[#This Row],[Moody''s local]],Rating_to_spread_Moody[],3,FALSE),"")</f>
        <v/>
      </c>
      <c r="G89" s="32"/>
      <c r="H89" t="str">
        <f>IFERROR(VLOOKUP(Country_Data[[#This Row],[Entity]],Ratings_Raw_SP[],2,FALSE),"")</f>
        <v>BB-</v>
      </c>
      <c r="I89" t="str">
        <f>IFERROR(VLOOKUP(Country_Data[[#This Row],[Entity]],Ratings_Raw_Fitch[],2,FALSE),"-")</f>
        <v>-</v>
      </c>
      <c r="J89" t="str">
        <f>IFERROR(VLOOKUP(Country_Data[[#This Row],[Entity]],Ratings_Raw_Moodys[],2,FALSE),"-")</f>
        <v>Ba3</v>
      </c>
      <c r="L89" s="3" t="s">
        <v>8</v>
      </c>
      <c r="M89" s="3" t="s">
        <v>8</v>
      </c>
      <c r="N89" s="28"/>
      <c r="O89" s="28"/>
      <c r="P89" s="28"/>
      <c r="Q89" s="28"/>
      <c r="R89" s="28"/>
      <c r="S89" s="28"/>
      <c r="T89" s="28"/>
      <c r="U89" s="28"/>
      <c r="V89" s="28" t="str">
        <f>IF(Country_Data[[#This Row],[10 year $ yield]]="","",Country_Data[[#This Row],[10 year $ yield]]-VLOOKUP("United States",Country_Data[],15,FALSE))</f>
        <v/>
      </c>
      <c r="W89" s="28"/>
      <c r="X89" s="21"/>
    </row>
    <row r="90" spans="2:24">
      <c r="B90" s="4" t="s">
        <v>127</v>
      </c>
      <c r="C90" s="4"/>
      <c r="D90" s="29" t="str">
        <f>IFERROR(Country_Data[[#This Row],[StD of equity market]]/Country_Data[[#This Row],[StD for bond]]*VLOOKUP(Country_Data[[#This Row],[Moody''s]],Rating_to_spread_Moody[],3,FALSE),"")</f>
        <v/>
      </c>
      <c r="E90" s="31" t="str">
        <f>IF(Country_Data[[#This Row],[10 year $ yield]]="","",IFERROR(Country_Data[[#This Row],[Default spread on $ bonds]]*Country_Data[[#This Row],[StD of equity market]]/Country_Data[[#This Row],[StD for bond]],"Error"))</f>
        <v/>
      </c>
      <c r="F90" s="31" t="str">
        <f>IFERROR(Country_Data[[#This Row],[10 year yield]]-VLOOKUP(Country_Data[[#This Row],[Moody''s local]],Rating_to_spread_Moody[],3,FALSE),"")</f>
        <v/>
      </c>
      <c r="G90" s="31"/>
      <c r="H90" t="str">
        <f>IFERROR(VLOOKUP(Country_Data[[#This Row],[Entity]],Ratings_Raw_SP[],2,FALSE),"")</f>
        <v>BBB-</v>
      </c>
      <c r="I90" t="str">
        <f>IFERROR(VLOOKUP(Country_Data[[#This Row],[Entity]],Ratings_Raw_Fitch[],2,FALSE),"-")</f>
        <v>-</v>
      </c>
      <c r="J90" t="str">
        <f>IFERROR(VLOOKUP(Country_Data[[#This Row],[Entity]],Ratings_Raw_Moodys[],2,FALSE),"-")</f>
        <v>-</v>
      </c>
      <c r="L90" s="3" t="s">
        <v>14</v>
      </c>
      <c r="M90" s="3" t="s">
        <v>14</v>
      </c>
      <c r="N90" s="28"/>
      <c r="O90" s="28"/>
      <c r="P90" s="28"/>
      <c r="Q90" s="28"/>
      <c r="R90" s="28"/>
      <c r="S90" s="28"/>
      <c r="T90" s="28"/>
      <c r="U90" s="28"/>
      <c r="V90" s="28" t="str">
        <f>IF(Country_Data[[#This Row],[10 year $ yield]]="","",Country_Data[[#This Row],[10 year $ yield]]-VLOOKUP("United States",Country_Data[],15,FALSE))</f>
        <v/>
      </c>
      <c r="W90" s="28"/>
      <c r="X90" s="21"/>
    </row>
    <row r="91" spans="2:24">
      <c r="B91" s="5" t="s">
        <v>128</v>
      </c>
      <c r="C91" s="5" t="s">
        <v>232</v>
      </c>
      <c r="D91" s="21" t="str">
        <f>IFERROR(Country_Data[[#This Row],[StD of equity market]]/Country_Data[[#This Row],[StD for bond]]*VLOOKUP(Country_Data[[#This Row],[Moody''s]],Rating_to_spread_Moody[],3,FALSE),"")</f>
        <v/>
      </c>
      <c r="E91" s="32" t="str">
        <f>IF(Country_Data[[#This Row],[10 year $ yield]]="","",IFERROR(Country_Data[[#This Row],[Default spread on $ bonds]]*Country_Data[[#This Row],[StD of equity market]]/Country_Data[[#This Row],[StD for bond]],"Error"))</f>
        <v/>
      </c>
      <c r="F91" s="32" t="str">
        <f>IFERROR(Country_Data[[#This Row],[10 year yield]]-VLOOKUP(Country_Data[[#This Row],[Moody''s local]],Rating_to_spread_Moody[],3,FALSE),"")</f>
        <v/>
      </c>
      <c r="G91" s="32"/>
      <c r="H91" t="str">
        <f>IFERROR(VLOOKUP(Country_Data[[#This Row],[Entity]],Ratings_Raw_SP[],2,FALSE),"")</f>
        <v>BBB-</v>
      </c>
      <c r="I91" t="str">
        <f>IFERROR(VLOOKUP(Country_Data[[#This Row],[Entity]],Ratings_Raw_Fitch[],2,FALSE),"-")</f>
        <v>BBB-</v>
      </c>
      <c r="J91" t="str">
        <f>IFERROR(VLOOKUP(Country_Data[[#This Row],[Entity]],Ratings_Raw_Moodys[],2,FALSE),"-")</f>
        <v>Ba1</v>
      </c>
      <c r="L91" s="3" t="s">
        <v>14</v>
      </c>
      <c r="M91" s="3" t="s">
        <v>14</v>
      </c>
      <c r="N91" s="28"/>
      <c r="O91" s="28"/>
      <c r="P91" s="28"/>
      <c r="Q91" s="28"/>
      <c r="R91" s="28"/>
      <c r="S91" s="28"/>
      <c r="T91" s="28"/>
      <c r="U91" s="28"/>
      <c r="V91" s="28" t="str">
        <f>IF(Country_Data[[#This Row],[10 year $ yield]]="","",Country_Data[[#This Row],[10 year $ yield]]-VLOOKUP("United States",Country_Data[],15,FALSE))</f>
        <v/>
      </c>
      <c r="W91" s="28"/>
      <c r="X91" s="21"/>
    </row>
    <row r="92" spans="2:24">
      <c r="B92" s="4" t="s">
        <v>129</v>
      </c>
      <c r="C92" s="4" t="s">
        <v>232</v>
      </c>
      <c r="D92" s="29" t="str">
        <f>IFERROR(Country_Data[[#This Row],[StD of equity market]]/Country_Data[[#This Row],[StD for bond]]*VLOOKUP(Country_Data[[#This Row],[Moody''s]],Rating_to_spread_Moody[],3,FALSE),"")</f>
        <v/>
      </c>
      <c r="E92" s="31" t="str">
        <f>IF(Country_Data[[#This Row],[10 year $ yield]]="","",IFERROR(Country_Data[[#This Row],[Default spread on $ bonds]]*Country_Data[[#This Row],[StD of equity market]]/Country_Data[[#This Row],[StD for bond]],"Error"))</f>
        <v/>
      </c>
      <c r="F92" s="31" t="str">
        <f>IFERROR(Country_Data[[#This Row],[10 year yield]]-VLOOKUP(Country_Data[[#This Row],[Moody''s local]],Rating_to_spread_Moody[],3,FALSE),"")</f>
        <v/>
      </c>
      <c r="G92" s="31"/>
      <c r="H92" t="str">
        <f>IFERROR(VLOOKUP(Country_Data[[#This Row],[Entity]],Ratings_Raw_SP[],2,FALSE),"")</f>
        <v>B+</v>
      </c>
      <c r="I92" t="str">
        <f>IFERROR(VLOOKUP(Country_Data[[#This Row],[Entity]],Ratings_Raw_Fitch[],2,FALSE),"-")</f>
        <v>B</v>
      </c>
      <c r="J92" t="str">
        <f>IFERROR(VLOOKUP(Country_Data[[#This Row],[Entity]],Ratings_Raw_Moodys[],2,FALSE),"-")</f>
        <v>-</v>
      </c>
      <c r="L92" s="3" t="s">
        <v>7</v>
      </c>
      <c r="M92" s="3" t="s">
        <v>7</v>
      </c>
      <c r="N92" s="28"/>
      <c r="O92" s="28"/>
      <c r="P92" s="28"/>
      <c r="Q92" s="28"/>
      <c r="R92" s="28"/>
      <c r="S92" s="28"/>
      <c r="T92" s="28"/>
      <c r="U92" s="28"/>
      <c r="V92" s="28" t="str">
        <f>IF(Country_Data[[#This Row],[10 year $ yield]]="","",Country_Data[[#This Row],[10 year $ yield]]-VLOOKUP("United States",Country_Data[],15,FALSE))</f>
        <v/>
      </c>
      <c r="W92" s="28"/>
      <c r="X92" s="21"/>
    </row>
    <row r="93" spans="2:24">
      <c r="B93" s="5" t="s">
        <v>130</v>
      </c>
      <c r="C93" s="5" t="s">
        <v>240</v>
      </c>
      <c r="D93" s="21" t="str">
        <f>IFERROR(Country_Data[[#This Row],[StD of equity market]]/Country_Data[[#This Row],[StD for bond]]*VLOOKUP(Country_Data[[#This Row],[Moody''s]],Rating_to_spread_Moody[],3,FALSE),"")</f>
        <v/>
      </c>
      <c r="E93" s="32" t="str">
        <f>IF(Country_Data[[#This Row],[10 year $ yield]]="","",IFERROR(Country_Data[[#This Row],[Default spread on $ bonds]]*Country_Data[[#This Row],[StD of equity market]]/Country_Data[[#This Row],[StD for bond]],"Error"))</f>
        <v/>
      </c>
      <c r="F93" s="32" t="str">
        <f>IFERROR(Country_Data[[#This Row],[10 year yield]]-VLOOKUP(Country_Data[[#This Row],[Moody''s local]],Rating_to_spread_Moody[],3,FALSE),"")</f>
        <v/>
      </c>
      <c r="G93" s="32"/>
      <c r="H93" t="str">
        <f>IFERROR(VLOOKUP(Country_Data[[#This Row],[Entity]],Ratings_Raw_SP[],2,FALSE),"")</f>
        <v>AA+</v>
      </c>
      <c r="I93" t="str">
        <f>IFERROR(VLOOKUP(Country_Data[[#This Row],[Entity]],Ratings_Raw_Fitch[],2,FALSE),"-")</f>
        <v>AAA</v>
      </c>
      <c r="J93" t="str">
        <f>IFERROR(VLOOKUP(Country_Data[[#This Row],[Entity]],Ratings_Raw_Moodys[],2,FALSE),"-")</f>
        <v>Aaa</v>
      </c>
      <c r="L93" s="3" t="s">
        <v>6</v>
      </c>
      <c r="M93" s="3" t="s">
        <v>6</v>
      </c>
      <c r="N93" s="28"/>
      <c r="O93" s="28"/>
      <c r="P93" s="28"/>
      <c r="Q93" s="28"/>
      <c r="R93" s="28"/>
      <c r="S93" s="28"/>
      <c r="T93" s="28"/>
      <c r="U93" s="28"/>
      <c r="V93" s="28" t="str">
        <f>IF(Country_Data[[#This Row],[10 year $ yield]]="","",Country_Data[[#This Row],[10 year $ yield]]-VLOOKUP("United States",Country_Data[],15,FALSE))</f>
        <v/>
      </c>
      <c r="W93" s="28"/>
      <c r="X93" s="21"/>
    </row>
    <row r="94" spans="2:24">
      <c r="B94" s="4" t="s">
        <v>131</v>
      </c>
      <c r="C94" s="4" t="s">
        <v>235</v>
      </c>
      <c r="D94" s="29" t="str">
        <f>IFERROR(Country_Data[[#This Row],[StD of equity market]]/Country_Data[[#This Row],[StD for bond]]*VLOOKUP(Country_Data[[#This Row],[Moody''s]],Rating_to_spread_Moody[],3,FALSE),"")</f>
        <v/>
      </c>
      <c r="E94" s="31" t="str">
        <f>IF(Country_Data[[#This Row],[10 year $ yield]]="","",IFERROR(Country_Data[[#This Row],[Default spread on $ bonds]]*Country_Data[[#This Row],[StD of equity market]]/Country_Data[[#This Row],[StD for bond]],"Error"))</f>
        <v/>
      </c>
      <c r="F94" s="31" t="str">
        <f>IFERROR(Country_Data[[#This Row],[10 year yield]]-VLOOKUP(Country_Data[[#This Row],[Moody''s local]],Rating_to_spread_Moody[],3,FALSE),"")</f>
        <v/>
      </c>
      <c r="G94" s="31"/>
      <c r="H94" t="str">
        <f>IFERROR(VLOOKUP(Country_Data[[#This Row],[Entity]],Ratings_Raw_SP[],2,FALSE),"")</f>
        <v>AA</v>
      </c>
      <c r="I94" t="str">
        <f>IFERROR(VLOOKUP(Country_Data[[#This Row],[Entity]],Ratings_Raw_Fitch[],2,FALSE),"-")</f>
        <v>AA</v>
      </c>
      <c r="J94" t="str">
        <f>IFERROR(VLOOKUP(Country_Data[[#This Row],[Entity]],Ratings_Raw_Moodys[],2,FALSE),"-")</f>
        <v>Aaa</v>
      </c>
      <c r="L94" s="3" t="s">
        <v>6</v>
      </c>
      <c r="M94" s="3" t="s">
        <v>5</v>
      </c>
      <c r="N94" s="28"/>
      <c r="O94" s="28"/>
      <c r="P94" s="28"/>
      <c r="Q94" s="28"/>
      <c r="R94" s="28"/>
      <c r="S94" s="28"/>
      <c r="T94" s="28"/>
      <c r="U94" s="28"/>
      <c r="V94" s="28" t="str">
        <f>IF(Country_Data[[#This Row],[10 year $ yield]]="","",Country_Data[[#This Row],[10 year $ yield]]-VLOOKUP("United States",Country_Data[],15,FALSE))</f>
        <v/>
      </c>
      <c r="W94" s="28"/>
      <c r="X94" s="21"/>
    </row>
    <row r="95" spans="2:24">
      <c r="B95" s="5" t="s">
        <v>132</v>
      </c>
      <c r="C95" s="5" t="s">
        <v>232</v>
      </c>
      <c r="D95" s="21" t="str">
        <f>IFERROR(Country_Data[[#This Row],[StD of equity market]]/Country_Data[[#This Row],[StD for bond]]*VLOOKUP(Country_Data[[#This Row],[Moody''s]],Rating_to_spread_Moody[],3,FALSE),"")</f>
        <v/>
      </c>
      <c r="E95" s="32" t="str">
        <f>IF(Country_Data[[#This Row],[10 year $ yield]]="","",IFERROR(Country_Data[[#This Row],[Default spread on $ bonds]]*Country_Data[[#This Row],[StD of equity market]]/Country_Data[[#This Row],[StD for bond]],"Error"))</f>
        <v/>
      </c>
      <c r="F95" s="32" t="str">
        <f>IFERROR(Country_Data[[#This Row],[10 year yield]]-VLOOKUP(Country_Data[[#This Row],[Moody''s local]],Rating_to_spread_Moody[],3,FALSE),"")</f>
        <v/>
      </c>
      <c r="G95" s="32"/>
      <c r="H95" t="str">
        <f>IFERROR(VLOOKUP(Country_Data[[#This Row],[Entity]],Ratings_Raw_SP[],2,FALSE),"")</f>
        <v>BB-</v>
      </c>
      <c r="I95" t="str">
        <f>IFERROR(VLOOKUP(Country_Data[[#This Row],[Entity]],Ratings_Raw_Fitch[],2,FALSE),"-")</f>
        <v>BB-</v>
      </c>
      <c r="J95" t="str">
        <f>IFERROR(VLOOKUP(Country_Data[[#This Row],[Entity]],Ratings_Raw_Moodys[],2,FALSE),"-")</f>
        <v>-</v>
      </c>
      <c r="L95" s="3" t="s">
        <v>8</v>
      </c>
      <c r="M95" s="3" t="s">
        <v>8</v>
      </c>
      <c r="N95" s="28"/>
      <c r="O95" s="28"/>
      <c r="P95" s="28"/>
      <c r="Q95" s="28"/>
      <c r="R95" s="28"/>
      <c r="S95" s="28"/>
      <c r="T95" s="28"/>
      <c r="U95" s="28"/>
      <c r="V95" s="28" t="str">
        <f>IF(Country_Data[[#This Row],[10 year $ yield]]="","",Country_Data[[#This Row],[10 year $ yield]]-VLOOKUP("United States",Country_Data[],15,FALSE))</f>
        <v/>
      </c>
      <c r="W95" s="28"/>
      <c r="X95" s="21"/>
    </row>
    <row r="96" spans="2:24">
      <c r="B96" s="4" t="s">
        <v>133</v>
      </c>
      <c r="C96" s="4" t="s">
        <v>240</v>
      </c>
      <c r="D96" s="29" t="str">
        <f>IFERROR(Country_Data[[#This Row],[StD of equity market]]/Country_Data[[#This Row],[StD for bond]]*VLOOKUP(Country_Data[[#This Row],[Moody''s]],Rating_to_spread_Moody[],3,FALSE),"")</f>
        <v/>
      </c>
      <c r="E96" s="31" t="str">
        <f>IF(Country_Data[[#This Row],[10 year $ yield]]="","",IFERROR(Country_Data[[#This Row],[Default spread on $ bonds]]*Country_Data[[#This Row],[StD of equity market]]/Country_Data[[#This Row],[StD for bond]],"Error"))</f>
        <v/>
      </c>
      <c r="F96" s="31" t="str">
        <f>IFERROR(Country_Data[[#This Row],[10 year yield]]-VLOOKUP(Country_Data[[#This Row],[Moody''s local]],Rating_to_spread_Moody[],3,FALSE),"")</f>
        <v/>
      </c>
      <c r="G96" s="31"/>
      <c r="H96" t="str">
        <f>IFERROR(VLOOKUP(Country_Data[[#This Row],[Entity]],Ratings_Raw_SP[],2,FALSE),"")</f>
        <v>AAA</v>
      </c>
      <c r="I96" t="str">
        <f>IFERROR(VLOOKUP(Country_Data[[#This Row],[Entity]],Ratings_Raw_Fitch[],2,FALSE),"-")</f>
        <v>AAA</v>
      </c>
      <c r="J96" t="str">
        <f>IFERROR(VLOOKUP(Country_Data[[#This Row],[Entity]],Ratings_Raw_Moodys[],2,FALSE),"-")</f>
        <v>Aaa</v>
      </c>
      <c r="L96" s="3" t="s">
        <v>10</v>
      </c>
      <c r="M96" s="3" t="s">
        <v>10</v>
      </c>
      <c r="N96" s="28"/>
      <c r="O96" s="28"/>
      <c r="P96" s="28"/>
      <c r="Q96" s="28"/>
      <c r="R96" s="28"/>
      <c r="S96" s="28"/>
      <c r="T96" s="28"/>
      <c r="U96" s="28"/>
      <c r="V96" s="28" t="str">
        <f>IF(Country_Data[[#This Row],[10 year $ yield]]="","",Country_Data[[#This Row],[10 year $ yield]]-VLOOKUP("United States",Country_Data[],15,FALSE))</f>
        <v/>
      </c>
      <c r="W96" s="28"/>
      <c r="X96" s="21"/>
    </row>
    <row r="97" spans="2:24">
      <c r="B97" s="5" t="s">
        <v>134</v>
      </c>
      <c r="C97" s="5" t="s">
        <v>239</v>
      </c>
      <c r="D97" s="21" t="str">
        <f>IFERROR(Country_Data[[#This Row],[StD of equity market]]/Country_Data[[#This Row],[StD for bond]]*VLOOKUP(Country_Data[[#This Row],[Moody''s]],Rating_to_spread_Moody[],3,FALSE),"")</f>
        <v/>
      </c>
      <c r="E97" s="32" t="str">
        <f>IF(Country_Data[[#This Row],[10 year $ yield]]="","",IFERROR(Country_Data[[#This Row],[Default spread on $ bonds]]*Country_Data[[#This Row],[StD of equity market]]/Country_Data[[#This Row],[StD for bond]],"Error"))</f>
        <v/>
      </c>
      <c r="F97" s="32" t="str">
        <f>IFERROR(Country_Data[[#This Row],[10 year yield]]-VLOOKUP(Country_Data[[#This Row],[Moody''s local]],Rating_to_spread_Moody[],3,FALSE),"")</f>
        <v/>
      </c>
      <c r="G97" s="32"/>
      <c r="H97" t="str">
        <f>IFERROR(VLOOKUP(Country_Data[[#This Row],[Entity]],Ratings_Raw_SP[],2,FALSE),"")</f>
        <v>A</v>
      </c>
      <c r="I97" t="str">
        <f>IFERROR(VLOOKUP(Country_Data[[#This Row],[Entity]],Ratings_Raw_Fitch[],2,FALSE),"-")</f>
        <v>-</v>
      </c>
      <c r="J97" t="str">
        <f>IFERROR(VLOOKUP(Country_Data[[#This Row],[Entity]],Ratings_Raw_Moodys[],2,FALSE),"-")</f>
        <v>A1</v>
      </c>
      <c r="L97" s="3" t="s">
        <v>4</v>
      </c>
      <c r="M97" s="3" t="s">
        <v>4</v>
      </c>
      <c r="N97" s="28"/>
      <c r="O97" s="28"/>
      <c r="P97" s="28"/>
      <c r="Q97" s="28"/>
      <c r="R97" s="28"/>
      <c r="S97" s="28"/>
      <c r="T97" s="28"/>
      <c r="U97" s="28"/>
      <c r="V97" s="28" t="str">
        <f>IF(Country_Data[[#This Row],[10 year $ yield]]="","",Country_Data[[#This Row],[10 year $ yield]]-VLOOKUP("United States",Country_Data[],15,FALSE))</f>
        <v/>
      </c>
      <c r="W97" s="28"/>
      <c r="X97" s="21"/>
    </row>
    <row r="98" spans="2:24">
      <c r="B98" s="4" t="s">
        <v>135</v>
      </c>
      <c r="C98" s="4" t="s">
        <v>239</v>
      </c>
      <c r="D98" s="29" t="str">
        <f>IFERROR(Country_Data[[#This Row],[StD of equity market]]/Country_Data[[#This Row],[StD for bond]]*VLOOKUP(Country_Data[[#This Row],[Moody''s]],Rating_to_spread_Moody[],3,FALSE),"")</f>
        <v/>
      </c>
      <c r="E98" s="31" t="str">
        <f>IF(Country_Data[[#This Row],[10 year $ yield]]="","",IFERROR(Country_Data[[#This Row],[Default spread on $ bonds]]*Country_Data[[#This Row],[StD of equity market]]/Country_Data[[#This Row],[StD for bond]],"Error"))</f>
        <v/>
      </c>
      <c r="F98" s="31" t="str">
        <f>IFERROR(Country_Data[[#This Row],[10 year yield]]-VLOOKUP(Country_Data[[#This Row],[Moody''s local]],Rating_to_spread_Moody[],3,FALSE),"")</f>
        <v/>
      </c>
      <c r="G98" s="31"/>
      <c r="H98" t="str">
        <f>IFERROR(VLOOKUP(Country_Data[[#This Row],[Entity]],Ratings_Raw_SP[],2,FALSE),"")</f>
        <v>B-</v>
      </c>
      <c r="I98" t="str">
        <f>IFERROR(VLOOKUP(Country_Data[[#This Row],[Entity]],Ratings_Raw_Fitch[],2,FALSE),"-")</f>
        <v>-</v>
      </c>
      <c r="J98" t="str">
        <f>IFERROR(VLOOKUP(Country_Data[[#This Row],[Entity]],Ratings_Raw_Moodys[],2,FALSE),"-")</f>
        <v>Caa1</v>
      </c>
      <c r="L98" s="3" t="s">
        <v>16</v>
      </c>
      <c r="M98" s="3" t="s">
        <v>16</v>
      </c>
      <c r="N98" s="28"/>
      <c r="O98" s="28"/>
      <c r="P98" s="28"/>
      <c r="Q98" s="28"/>
      <c r="R98" s="28"/>
      <c r="S98" s="28"/>
      <c r="T98" s="28"/>
      <c r="U98" s="28"/>
      <c r="V98" s="28" t="str">
        <f>IF(Country_Data[[#This Row],[10 year $ yield]]="","",Country_Data[[#This Row],[10 year $ yield]]-VLOOKUP("United States",Country_Data[],15,FALSE))</f>
        <v/>
      </c>
      <c r="W98" s="28"/>
      <c r="X98" s="21"/>
    </row>
    <row r="99" spans="2:24">
      <c r="B99" s="5" t="s">
        <v>136</v>
      </c>
      <c r="C99" s="5" t="s">
        <v>237</v>
      </c>
      <c r="D99" s="21" t="str">
        <f>IFERROR(Country_Data[[#This Row],[StD of equity market]]/Country_Data[[#This Row],[StD for bond]]*VLOOKUP(Country_Data[[#This Row],[Moody''s]],Rating_to_spread_Moody[],3,FALSE),"")</f>
        <v/>
      </c>
      <c r="E99" s="32" t="str">
        <f>IF(Country_Data[[#This Row],[10 year $ yield]]="","",IFERROR(Country_Data[[#This Row],[Default spread on $ bonds]]*Country_Data[[#This Row],[StD of equity market]]/Country_Data[[#This Row],[StD for bond]],"Error"))</f>
        <v/>
      </c>
      <c r="F99" s="32" t="str">
        <f>IFERROR(Country_Data[[#This Row],[10 year yield]]-VLOOKUP(Country_Data[[#This Row],[Moody''s local]],Rating_to_spread_Moody[],3,FALSE),"")</f>
        <v/>
      </c>
      <c r="G99" s="32"/>
      <c r="H99" t="str">
        <f>IFERROR(VLOOKUP(Country_Data[[#This Row],[Entity]],Ratings_Raw_SP[],2,FALSE),"")</f>
        <v>BBB</v>
      </c>
      <c r="I99" t="str">
        <f>IFERROR(VLOOKUP(Country_Data[[#This Row],[Entity]],Ratings_Raw_Fitch[],2,FALSE),"-")</f>
        <v>BBB</v>
      </c>
      <c r="J99" t="str">
        <f>IFERROR(VLOOKUP(Country_Data[[#This Row],[Entity]],Ratings_Raw_Moodys[],2,FALSE),"-")</f>
        <v>Baa2</v>
      </c>
      <c r="L99" s="3" t="s">
        <v>15</v>
      </c>
      <c r="M99" s="3" t="s">
        <v>15</v>
      </c>
      <c r="N99" s="28"/>
      <c r="O99" s="28"/>
      <c r="P99" s="28"/>
      <c r="Q99" s="28"/>
      <c r="R99" s="28"/>
      <c r="S99" s="28"/>
      <c r="T99" s="28"/>
      <c r="U99" s="28"/>
      <c r="V99" s="28" t="str">
        <f>IF(Country_Data[[#This Row],[10 year $ yield]]="","",Country_Data[[#This Row],[10 year $ yield]]-VLOOKUP("United States",Country_Data[],15,FALSE))</f>
        <v/>
      </c>
      <c r="W99" s="28"/>
      <c r="X99" s="21"/>
    </row>
    <row r="100" spans="2:24">
      <c r="B100" s="4" t="s">
        <v>137</v>
      </c>
      <c r="C100" s="4" t="s">
        <v>233</v>
      </c>
      <c r="D100" s="29" t="str">
        <f>IFERROR(Country_Data[[#This Row],[StD of equity market]]/Country_Data[[#This Row],[StD for bond]]*VLOOKUP(Country_Data[[#This Row],[Moody''s]],Rating_to_spread_Moody[],3,FALSE),"")</f>
        <v/>
      </c>
      <c r="E100" s="31" t="str">
        <f>IF(Country_Data[[#This Row],[10 year $ yield]]="","",IFERROR(Country_Data[[#This Row],[Default spread on $ bonds]]*Country_Data[[#This Row],[StD of equity market]]/Country_Data[[#This Row],[StD for bond]],"Error"))</f>
        <v/>
      </c>
      <c r="F100" s="31" t="str">
        <f>IFERROR(Country_Data[[#This Row],[10 year yield]]-VLOOKUP(Country_Data[[#This Row],[Moody''s local]],Rating_to_spread_Moody[],3,FALSE),"")</f>
        <v/>
      </c>
      <c r="G100" s="31"/>
      <c r="H100" t="str">
        <f>IFERROR(VLOOKUP(Country_Data[[#This Row],[Entity]],Ratings_Raw_SP[],2,FALSE),"")</f>
        <v>B+</v>
      </c>
      <c r="I100" t="str">
        <f>IFERROR(VLOOKUP(Country_Data[[#This Row],[Entity]],Ratings_Raw_Fitch[],2,FALSE),"-")</f>
        <v>-</v>
      </c>
      <c r="J100" t="str">
        <f>IFERROR(VLOOKUP(Country_Data[[#This Row],[Entity]],Ratings_Raw_Moodys[],2,FALSE),"-")</f>
        <v>B1</v>
      </c>
      <c r="L100" s="3" t="s">
        <v>20</v>
      </c>
      <c r="M100" s="3" t="s">
        <v>20</v>
      </c>
      <c r="N100" s="28"/>
      <c r="O100" s="28"/>
      <c r="P100" s="28"/>
      <c r="Q100" s="28"/>
      <c r="R100" s="28"/>
      <c r="S100" s="28"/>
      <c r="T100" s="28"/>
      <c r="U100" s="28"/>
      <c r="V100" s="28" t="str">
        <f>IF(Country_Data[[#This Row],[10 year $ yield]]="","",Country_Data[[#This Row],[10 year $ yield]]-VLOOKUP("United States",Country_Data[],15,FALSE))</f>
        <v/>
      </c>
      <c r="W100" s="28"/>
      <c r="X100" s="21"/>
    </row>
    <row r="101" spans="2:24">
      <c r="B101" s="5" t="s">
        <v>138</v>
      </c>
      <c r="C101" s="5" t="s">
        <v>237</v>
      </c>
      <c r="D101" s="21" t="str">
        <f>IFERROR(Country_Data[[#This Row],[StD of equity market]]/Country_Data[[#This Row],[StD for bond]]*VLOOKUP(Country_Data[[#This Row],[Moody''s]],Rating_to_spread_Moody[],3,FALSE),"")</f>
        <v/>
      </c>
      <c r="E101" s="32" t="str">
        <f>IF(Country_Data[[#This Row],[10 year $ yield]]="","",IFERROR(Country_Data[[#This Row],[Default spread on $ bonds]]*Country_Data[[#This Row],[StD of equity market]]/Country_Data[[#This Row],[StD for bond]],"Error"))</f>
        <v/>
      </c>
      <c r="F101" s="32" t="str">
        <f>IFERROR(Country_Data[[#This Row],[10 year yield]]-VLOOKUP(Country_Data[[#This Row],[Moody''s local]],Rating_to_spread_Moody[],3,FALSE),"")</f>
        <v/>
      </c>
      <c r="G101" s="32"/>
      <c r="H101" t="str">
        <f>IFERROR(VLOOKUP(Country_Data[[#This Row],[Entity]],Ratings_Raw_SP[],2,FALSE),"")</f>
        <v>BB-</v>
      </c>
      <c r="I101" t="str">
        <f>IFERROR(VLOOKUP(Country_Data[[#This Row],[Entity]],Ratings_Raw_Fitch[],2,FALSE),"-")</f>
        <v>-</v>
      </c>
      <c r="J101" t="str">
        <f>IFERROR(VLOOKUP(Country_Data[[#This Row],[Entity]],Ratings_Raw_Moodys[],2,FALSE),"-")</f>
        <v>B1</v>
      </c>
      <c r="L101" s="3" t="s">
        <v>18</v>
      </c>
      <c r="M101" s="3" t="s">
        <v>18</v>
      </c>
      <c r="N101" s="28"/>
      <c r="O101" s="28"/>
      <c r="P101" s="28"/>
      <c r="Q101" s="28"/>
      <c r="R101" s="28"/>
      <c r="S101" s="28"/>
      <c r="T101" s="28"/>
      <c r="U101" s="28"/>
      <c r="V101" s="28" t="str">
        <f>IF(Country_Data[[#This Row],[10 year $ yield]]="","",Country_Data[[#This Row],[10 year $ yield]]-VLOOKUP("United States",Country_Data[],15,FALSE))</f>
        <v/>
      </c>
      <c r="W101" s="28"/>
      <c r="X101" s="21"/>
    </row>
    <row r="102" spans="2:24">
      <c r="B102" s="4" t="s">
        <v>139</v>
      </c>
      <c r="C102" s="4" t="s">
        <v>237</v>
      </c>
      <c r="D102" s="29" t="str">
        <f>IFERROR(Country_Data[[#This Row],[StD of equity market]]/Country_Data[[#This Row],[StD for bond]]*VLOOKUP(Country_Data[[#This Row],[Moody''s]],Rating_to_spread_Moody[],3,FALSE),"")</f>
        <v/>
      </c>
      <c r="E102" s="31" t="str">
        <f>IF(Country_Data[[#This Row],[10 year $ yield]]="","",IFERROR(Country_Data[[#This Row],[Default spread on $ bonds]]*Country_Data[[#This Row],[StD of equity market]]/Country_Data[[#This Row],[StD for bond]],"Error"))</f>
        <v/>
      </c>
      <c r="F102" s="31" t="str">
        <f>IFERROR(Country_Data[[#This Row],[10 year yield]]-VLOOKUP(Country_Data[[#This Row],[Moody''s local]],Rating_to_spread_Moody[],3,FALSE),"")</f>
        <v/>
      </c>
      <c r="G102" s="31"/>
      <c r="H102" t="str">
        <f>IFERROR(VLOOKUP(Country_Data[[#This Row],[Entity]],Ratings_Raw_SP[],2,FALSE),"")</f>
        <v>BBB+</v>
      </c>
      <c r="I102" t="str">
        <f>IFERROR(VLOOKUP(Country_Data[[#This Row],[Entity]],Ratings_Raw_Fitch[],2,FALSE),"-")</f>
        <v>BBB+</v>
      </c>
      <c r="J102" t="str">
        <f>IFERROR(VLOOKUP(Country_Data[[#This Row],[Entity]],Ratings_Raw_Moodys[],2,FALSE),"-")</f>
        <v>A3</v>
      </c>
      <c r="L102" s="3" t="s">
        <v>9</v>
      </c>
      <c r="M102" s="3" t="s">
        <v>13</v>
      </c>
      <c r="N102" s="28"/>
      <c r="O102" s="28"/>
      <c r="P102" s="28"/>
      <c r="Q102" s="28"/>
      <c r="R102" s="28"/>
      <c r="S102" s="28"/>
      <c r="T102" s="28"/>
      <c r="U102" s="28"/>
      <c r="V102" s="28" t="str">
        <f>IF(Country_Data[[#This Row],[10 year $ yield]]="","",Country_Data[[#This Row],[10 year $ yield]]-VLOOKUP("United States",Country_Data[],15,FALSE))</f>
        <v/>
      </c>
      <c r="W102" s="28"/>
      <c r="X102" s="21"/>
    </row>
    <row r="103" spans="2:24">
      <c r="B103" s="5" t="s">
        <v>140</v>
      </c>
      <c r="C103" s="5" t="s">
        <v>233</v>
      </c>
      <c r="D103" s="21" t="str">
        <f>IFERROR(Country_Data[[#This Row],[StD of equity market]]/Country_Data[[#This Row],[StD for bond]]*VLOOKUP(Country_Data[[#This Row],[Moody''s]],Rating_to_spread_Moody[],3,FALSE),"")</f>
        <v/>
      </c>
      <c r="E103" s="32" t="str">
        <f>IF(Country_Data[[#This Row],[10 year $ yield]]="","",IFERROR(Country_Data[[#This Row],[Default spread on $ bonds]]*Country_Data[[#This Row],[StD of equity market]]/Country_Data[[#This Row],[StD for bond]],"Error"))</f>
        <v/>
      </c>
      <c r="F103" s="32" t="str">
        <f>IFERROR(Country_Data[[#This Row],[10 year yield]]-VLOOKUP(Country_Data[[#This Row],[Moody''s local]],Rating_to_spread_Moody[],3,FALSE),"")</f>
        <v/>
      </c>
      <c r="G103" s="32"/>
      <c r="H103" t="str">
        <f>IFERROR(VLOOKUP(Country_Data[[#This Row],[Entity]],Ratings_Raw_SP[],2,FALSE),"")</f>
        <v>BBB</v>
      </c>
      <c r="I103" t="str">
        <f>IFERROR(VLOOKUP(Country_Data[[#This Row],[Entity]],Ratings_Raw_Fitch[],2,FALSE),"-")</f>
        <v>BBB-</v>
      </c>
      <c r="J103" t="str">
        <f>IFERROR(VLOOKUP(Country_Data[[#This Row],[Entity]],Ratings_Raw_Moodys[],2,FALSE),"-")</f>
        <v>Baa3</v>
      </c>
      <c r="L103" s="3" t="s">
        <v>15</v>
      </c>
      <c r="M103" s="3" t="s">
        <v>15</v>
      </c>
      <c r="N103" s="28"/>
      <c r="O103" s="28"/>
      <c r="P103" s="28"/>
      <c r="Q103" s="28"/>
      <c r="R103" s="28"/>
      <c r="S103" s="28"/>
      <c r="T103" s="28"/>
      <c r="U103" s="28"/>
      <c r="V103" s="28" t="str">
        <f>IF(Country_Data[[#This Row],[10 year $ yield]]="","",Country_Data[[#This Row],[10 year $ yield]]-VLOOKUP("United States",Country_Data[],15,FALSE))</f>
        <v/>
      </c>
      <c r="W103" s="28"/>
      <c r="X103" s="21"/>
    </row>
    <row r="104" spans="2:24">
      <c r="B104" s="4" t="s">
        <v>141</v>
      </c>
      <c r="C104" s="4" t="s">
        <v>242</v>
      </c>
      <c r="D104" s="29" t="str">
        <f>IFERROR(Country_Data[[#This Row],[StD of equity market]]/Country_Data[[#This Row],[StD for bond]]*VLOOKUP(Country_Data[[#This Row],[Moody''s]],Rating_to_spread_Moody[],3,FALSE),"")</f>
        <v/>
      </c>
      <c r="E104" s="31" t="str">
        <f>IF(Country_Data[[#This Row],[10 year $ yield]]="","",IFERROR(Country_Data[[#This Row],[Default spread on $ bonds]]*Country_Data[[#This Row],[StD of equity market]]/Country_Data[[#This Row],[StD for bond]],"Error"))</f>
        <v/>
      </c>
      <c r="F104" s="31" t="str">
        <f>IFERROR(Country_Data[[#This Row],[10 year yield]]-VLOOKUP(Country_Data[[#This Row],[Moody''s local]],Rating_to_spread_Moody[],3,FALSE),"")</f>
        <v/>
      </c>
      <c r="G104" s="31"/>
      <c r="H104" t="str">
        <f>IFERROR(VLOOKUP(Country_Data[[#This Row],[Entity]],Ratings_Raw_SP[],2,FALSE),"")</f>
        <v>A-</v>
      </c>
      <c r="I104" t="str">
        <f>IFERROR(VLOOKUP(Country_Data[[#This Row],[Entity]],Ratings_Raw_Fitch[],2,FALSE),"-")</f>
        <v>A-</v>
      </c>
      <c r="J104" t="str">
        <f>IFERROR(VLOOKUP(Country_Data[[#This Row],[Entity]],Ratings_Raw_Moodys[],2,FALSE),"-")</f>
        <v>A2</v>
      </c>
      <c r="L104" s="3" t="s">
        <v>4</v>
      </c>
      <c r="M104" s="3" t="s">
        <v>9</v>
      </c>
      <c r="N104" s="28"/>
      <c r="O104" s="28"/>
      <c r="P104" s="28"/>
      <c r="Q104" s="28"/>
      <c r="R104" s="28"/>
      <c r="S104" s="28"/>
      <c r="T104" s="28"/>
      <c r="U104" s="28"/>
      <c r="V104" s="28" t="str">
        <f>IF(Country_Data[[#This Row],[10 year $ yield]]="","",Country_Data[[#This Row],[10 year $ yield]]-VLOOKUP("United States",Country_Data[],15,FALSE))</f>
        <v/>
      </c>
      <c r="W104" s="28"/>
      <c r="X104" s="21"/>
    </row>
    <row r="105" spans="2:24">
      <c r="B105" s="5" t="s">
        <v>142</v>
      </c>
      <c r="C105" s="5" t="s">
        <v>240</v>
      </c>
      <c r="D105" s="21" t="str">
        <f>IFERROR(Country_Data[[#This Row],[StD of equity market]]/Country_Data[[#This Row],[StD for bond]]*VLOOKUP(Country_Data[[#This Row],[Moody''s]],Rating_to_spread_Moody[],3,FALSE),"")</f>
        <v/>
      </c>
      <c r="E105" s="32" t="str">
        <f>IF(Country_Data[[#This Row],[10 year $ yield]]="","",IFERROR(Country_Data[[#This Row],[Default spread on $ bonds]]*Country_Data[[#This Row],[StD of equity market]]/Country_Data[[#This Row],[StD for bond]],"Error"))</f>
        <v/>
      </c>
      <c r="F105" s="32" t="str">
        <f>IFERROR(Country_Data[[#This Row],[10 year yield]]-VLOOKUP(Country_Data[[#This Row],[Moody''s local]],Rating_to_spread_Moody[],3,FALSE),"")</f>
        <v/>
      </c>
      <c r="G105" s="32"/>
      <c r="H105" t="str">
        <f>IFERROR(VLOOKUP(Country_Data[[#This Row],[Entity]],Ratings_Raw_SP[],2,FALSE),"")</f>
        <v>BB</v>
      </c>
      <c r="I105" t="str">
        <f>IFERROR(VLOOKUP(Country_Data[[#This Row],[Entity]],Ratings_Raw_Fitch[],2,FALSE),"-")</f>
        <v>BB+</v>
      </c>
      <c r="J105" t="str">
        <f>IFERROR(VLOOKUP(Country_Data[[#This Row],[Entity]],Ratings_Raw_Moodys[],2,FALSE),"-")</f>
        <v>Ba2</v>
      </c>
      <c r="L105" s="3" t="s">
        <v>18</v>
      </c>
      <c r="M105" s="3" t="s">
        <v>18</v>
      </c>
      <c r="N105" s="28"/>
      <c r="O105" s="28"/>
      <c r="P105" s="28"/>
      <c r="Q105" s="28"/>
      <c r="R105" s="28"/>
      <c r="S105" s="28"/>
      <c r="T105" s="28"/>
      <c r="U105" s="28"/>
      <c r="V105" s="28" t="str">
        <f>IF(Country_Data[[#This Row],[10 year $ yield]]="","",Country_Data[[#This Row],[10 year $ yield]]-VLOOKUP("United States",Country_Data[],15,FALSE))</f>
        <v/>
      </c>
      <c r="W105" s="28"/>
      <c r="X105" s="21"/>
    </row>
    <row r="106" spans="2:24">
      <c r="B106" s="4" t="s">
        <v>143</v>
      </c>
      <c r="C106" s="4" t="s">
        <v>239</v>
      </c>
      <c r="D106" s="29" t="str">
        <f>IFERROR(Country_Data[[#This Row],[StD of equity market]]/Country_Data[[#This Row],[StD for bond]]*VLOOKUP(Country_Data[[#This Row],[Moody''s]],Rating_to_spread_Moody[],3,FALSE),"")</f>
        <v/>
      </c>
      <c r="E106" s="31" t="str">
        <f>IF(Country_Data[[#This Row],[10 year $ yield]]="","",IFERROR(Country_Data[[#This Row],[Default spread on $ bonds]]*Country_Data[[#This Row],[StD of equity market]]/Country_Data[[#This Row],[StD for bond]],"Error"))</f>
        <v/>
      </c>
      <c r="F106" s="31" t="str">
        <f>IFERROR(Country_Data[[#This Row],[10 year yield]]-VLOOKUP(Country_Data[[#This Row],[Moody''s local]],Rating_to_spread_Moody[],3,FALSE),"")</f>
        <v/>
      </c>
      <c r="G106" s="31"/>
      <c r="H106" t="str">
        <f>IFERROR(VLOOKUP(Country_Data[[#This Row],[Entity]],Ratings_Raw_SP[],2,FALSE),"")</f>
        <v>AA</v>
      </c>
      <c r="I106" t="str">
        <f>IFERROR(VLOOKUP(Country_Data[[#This Row],[Entity]],Ratings_Raw_Fitch[],2,FALSE),"-")</f>
        <v>-</v>
      </c>
      <c r="J106" t="str">
        <f>IFERROR(VLOOKUP(Country_Data[[#This Row],[Entity]],Ratings_Raw_Moodys[],2,FALSE),"-")</f>
        <v>Aa2</v>
      </c>
      <c r="L106" s="3" t="s">
        <v>5</v>
      </c>
      <c r="M106" s="3" t="s">
        <v>5</v>
      </c>
      <c r="N106" s="28"/>
      <c r="O106" s="28"/>
      <c r="P106" s="28"/>
      <c r="Q106" s="28"/>
      <c r="R106" s="28"/>
      <c r="S106" s="28"/>
      <c r="T106" s="28"/>
      <c r="U106" s="28"/>
      <c r="V106" s="28" t="str">
        <f>IF(Country_Data[[#This Row],[10 year $ yield]]="","",Country_Data[[#This Row],[10 year $ yield]]-VLOOKUP("United States",Country_Data[],15,FALSE))</f>
        <v/>
      </c>
      <c r="W106" s="28"/>
      <c r="X106" s="21"/>
    </row>
    <row r="107" spans="2:24">
      <c r="B107" s="5" t="s">
        <v>144</v>
      </c>
      <c r="C107" s="5" t="s">
        <v>239</v>
      </c>
      <c r="D107" s="21" t="str">
        <f>IFERROR(Country_Data[[#This Row],[StD of equity market]]/Country_Data[[#This Row],[StD for bond]]*VLOOKUP(Country_Data[[#This Row],[Moody''s]],Rating_to_spread_Moody[],3,FALSE),"")</f>
        <v/>
      </c>
      <c r="E107" s="32" t="str">
        <f>IF(Country_Data[[#This Row],[10 year $ yield]]="","",IFERROR(Country_Data[[#This Row],[Default spread on $ bonds]]*Country_Data[[#This Row],[StD of equity market]]/Country_Data[[#This Row],[StD for bond]],"Error"))</f>
        <v/>
      </c>
      <c r="F107" s="32" t="str">
        <f>IFERROR(Country_Data[[#This Row],[10 year yield]]-VLOOKUP(Country_Data[[#This Row],[Moody''s local]],Rating_to_spread_Moody[],3,FALSE),"")</f>
        <v/>
      </c>
      <c r="G107" s="32"/>
      <c r="H107" t="str">
        <f>IFERROR(VLOOKUP(Country_Data[[#This Row],[Entity]],Ratings_Raw_SP[],2,FALSE),"")</f>
        <v>A</v>
      </c>
      <c r="I107" t="str">
        <f>IFERROR(VLOOKUP(Country_Data[[#This Row],[Entity]],Ratings_Raw_Fitch[],2,FALSE),"-")</f>
        <v>A</v>
      </c>
      <c r="J107" t="str">
        <f>IFERROR(VLOOKUP(Country_Data[[#This Row],[Entity]],Ratings_Raw_Moodys[],2,FALSE),"-")</f>
        <v>-</v>
      </c>
      <c r="L107" s="3" t="s">
        <v>4</v>
      </c>
      <c r="M107" s="3" t="s">
        <v>4</v>
      </c>
      <c r="N107" s="28"/>
      <c r="O107" s="28"/>
      <c r="P107" s="28"/>
      <c r="Q107" s="28"/>
      <c r="R107" s="28"/>
      <c r="S107" s="28"/>
      <c r="T107" s="28"/>
      <c r="U107" s="28"/>
      <c r="V107" s="28" t="str">
        <f>IF(Country_Data[[#This Row],[10 year $ yield]]="","",Country_Data[[#This Row],[10 year $ yield]]-VLOOKUP("United States",Country_Data[],15,FALSE))</f>
        <v/>
      </c>
      <c r="W107" s="28"/>
      <c r="X107" s="21"/>
    </row>
    <row r="108" spans="2:24">
      <c r="B108" s="4" t="s">
        <v>145</v>
      </c>
      <c r="C108" s="4" t="s">
        <v>242</v>
      </c>
      <c r="D108" s="29" t="str">
        <f>IFERROR(Country_Data[[#This Row],[StD of equity market]]/Country_Data[[#This Row],[StD for bond]]*VLOOKUP(Country_Data[[#This Row],[Moody''s]],Rating_to_spread_Moody[],3,FALSE),"")</f>
        <v/>
      </c>
      <c r="E108" s="31" t="str">
        <f>IF(Country_Data[[#This Row],[10 year $ yield]]="","",IFERROR(Country_Data[[#This Row],[Default spread on $ bonds]]*Country_Data[[#This Row],[StD of equity market]]/Country_Data[[#This Row],[StD for bond]],"Error"))</f>
        <v/>
      </c>
      <c r="F108" s="31" t="str">
        <f>IFERROR(Country_Data[[#This Row],[10 year yield]]-VLOOKUP(Country_Data[[#This Row],[Moody''s local]],Rating_to_spread_Moody[],3,FALSE),"")</f>
        <v/>
      </c>
      <c r="G108" s="31"/>
      <c r="H108" t="str">
        <f>IFERROR(VLOOKUP(Country_Data[[#This Row],[Entity]],Ratings_Raw_SP[],2,FALSE),"")</f>
        <v>BBB-</v>
      </c>
      <c r="I108" t="str">
        <f>IFERROR(VLOOKUP(Country_Data[[#This Row],[Entity]],Ratings_Raw_Fitch[],2,FALSE),"-")</f>
        <v>BBB-</v>
      </c>
      <c r="J108" t="str">
        <f>IFERROR(VLOOKUP(Country_Data[[#This Row],[Entity]],Ratings_Raw_Moodys[],2,FALSE),"-")</f>
        <v>Baa3</v>
      </c>
      <c r="L108" s="3" t="s">
        <v>14</v>
      </c>
      <c r="M108" s="3" t="s">
        <v>14</v>
      </c>
      <c r="N108" s="28"/>
      <c r="O108" s="28"/>
      <c r="P108" s="28"/>
      <c r="Q108" s="28"/>
      <c r="R108" s="28"/>
      <c r="S108" s="28"/>
      <c r="T108" s="28"/>
      <c r="U108" s="28"/>
      <c r="V108" s="28" t="str">
        <f>IF(Country_Data[[#This Row],[10 year $ yield]]="","",Country_Data[[#This Row],[10 year $ yield]]-VLOOKUP("United States",Country_Data[],15,FALSE))</f>
        <v/>
      </c>
      <c r="W108" s="28"/>
      <c r="X108" s="21"/>
    </row>
    <row r="109" spans="2:24">
      <c r="B109" s="5" t="s">
        <v>146</v>
      </c>
      <c r="C109" s="5" t="s">
        <v>242</v>
      </c>
      <c r="D109" s="21" t="str">
        <f>IFERROR(Country_Data[[#This Row],[StD of equity market]]/Country_Data[[#This Row],[StD for bond]]*VLOOKUP(Country_Data[[#This Row],[Moody''s]],Rating_to_spread_Moody[],3,FALSE),"")</f>
        <v/>
      </c>
      <c r="E109" s="32" t="str">
        <f>IF(Country_Data[[#This Row],[10 year $ yield]]="","",IFERROR(Country_Data[[#This Row],[Default spread on $ bonds]]*Country_Data[[#This Row],[StD of equity market]]/Country_Data[[#This Row],[StD for bond]],"Error"))</f>
        <v/>
      </c>
      <c r="F109" s="32" t="str">
        <f>IFERROR(Country_Data[[#This Row],[10 year yield]]-VLOOKUP(Country_Data[[#This Row],[Moody''s local]],Rating_to_spread_Moody[],3,FALSE),"")</f>
        <v/>
      </c>
      <c r="G109" s="32"/>
      <c r="H109" t="str">
        <f>IFERROR(VLOOKUP(Country_Data[[#This Row],[Entity]],Ratings_Raw_SP[],2,FALSE),"")</f>
        <v>BBB-</v>
      </c>
      <c r="I109" t="str">
        <f>IFERROR(VLOOKUP(Country_Data[[#This Row],[Entity]],Ratings_Raw_Fitch[],2,FALSE),"-")</f>
        <v>BBB</v>
      </c>
      <c r="J109" t="str">
        <f>IFERROR(VLOOKUP(Country_Data[[#This Row],[Entity]],Ratings_Raw_Moodys[],2,FALSE),"-")</f>
        <v>Baaa1</v>
      </c>
      <c r="L109" s="3" t="s">
        <v>15</v>
      </c>
      <c r="M109" s="3" t="s">
        <v>14</v>
      </c>
      <c r="N109" s="28"/>
      <c r="O109" s="28"/>
      <c r="P109" s="28"/>
      <c r="Q109" s="28"/>
      <c r="R109" s="28"/>
      <c r="S109" s="28"/>
      <c r="T109" s="28"/>
      <c r="U109" s="28"/>
      <c r="V109" s="28" t="str">
        <f>IF(Country_Data[[#This Row],[10 year $ yield]]="","",Country_Data[[#This Row],[10 year $ yield]]-VLOOKUP("United States",Country_Data[],15,FALSE))</f>
        <v/>
      </c>
      <c r="W109" s="28"/>
      <c r="X109" s="21"/>
    </row>
    <row r="110" spans="2:24">
      <c r="B110" s="4" t="s">
        <v>147</v>
      </c>
      <c r="C110" s="4" t="s">
        <v>232</v>
      </c>
      <c r="D110" s="29" t="str">
        <f>IFERROR(Country_Data[[#This Row],[StD of equity market]]/Country_Data[[#This Row],[StD for bond]]*VLOOKUP(Country_Data[[#This Row],[Moody''s]],Rating_to_spread_Moody[],3,FALSE),"")</f>
        <v/>
      </c>
      <c r="E110" s="31" t="str">
        <f>IF(Country_Data[[#This Row],[10 year $ yield]]="","",IFERROR(Country_Data[[#This Row],[Default spread on $ bonds]]*Country_Data[[#This Row],[StD of equity market]]/Country_Data[[#This Row],[StD for bond]],"Error"))</f>
        <v/>
      </c>
      <c r="F110" s="31" t="str">
        <f>IFERROR(Country_Data[[#This Row],[10 year yield]]-VLOOKUP(Country_Data[[#This Row],[Moody''s local]],Rating_to_spread_Moody[],3,FALSE),"")</f>
        <v/>
      </c>
      <c r="G110" s="31"/>
      <c r="H110" t="str">
        <f>IFERROR(VLOOKUP(Country_Data[[#This Row],[Entity]],Ratings_Raw_SP[],2,FALSE),"")</f>
        <v>B</v>
      </c>
      <c r="I110" t="str">
        <f>IFERROR(VLOOKUP(Country_Data[[#This Row],[Entity]],Ratings_Raw_Fitch[],2,FALSE),"-")</f>
        <v>B</v>
      </c>
      <c r="J110" t="str">
        <f>IFERROR(VLOOKUP(Country_Data[[#This Row],[Entity]],Ratings_Raw_Moodys[],2,FALSE),"-")</f>
        <v>-</v>
      </c>
      <c r="L110" s="3" t="s">
        <v>7</v>
      </c>
      <c r="M110" s="3" t="s">
        <v>7</v>
      </c>
      <c r="N110" s="28"/>
      <c r="O110" s="28"/>
      <c r="P110" s="28"/>
      <c r="Q110" s="28"/>
      <c r="R110" s="28"/>
      <c r="S110" s="28"/>
      <c r="T110" s="28"/>
      <c r="U110" s="28"/>
      <c r="V110" s="28" t="str">
        <f>IF(Country_Data[[#This Row],[10 year $ yield]]="","",Country_Data[[#This Row],[10 year $ yield]]-VLOOKUP("United States",Country_Data[],15,FALSE))</f>
        <v/>
      </c>
      <c r="W110" s="28"/>
      <c r="X110" s="21"/>
    </row>
    <row r="111" spans="2:24">
      <c r="B111" s="5" t="s">
        <v>148</v>
      </c>
      <c r="C111" s="5" t="s">
        <v>239</v>
      </c>
      <c r="D111" s="21" t="str">
        <f>IFERROR(Country_Data[[#This Row],[StD of equity market]]/Country_Data[[#This Row],[StD for bond]]*VLOOKUP(Country_Data[[#This Row],[Moody''s]],Rating_to_spread_Moody[],3,FALSE),"")</f>
        <v/>
      </c>
      <c r="E111" s="32" t="str">
        <f>IF(Country_Data[[#This Row],[10 year $ yield]]="","",IFERROR(Country_Data[[#This Row],[Default spread on $ bonds]]*Country_Data[[#This Row],[StD of equity market]]/Country_Data[[#This Row],[StD for bond]],"Error"))</f>
        <v/>
      </c>
      <c r="F111" s="32" t="str">
        <f>IFERROR(Country_Data[[#This Row],[10 year yield]]-VLOOKUP(Country_Data[[#This Row],[Moody''s local]],Rating_to_spread_Moody[],3,FALSE),"")</f>
        <v/>
      </c>
      <c r="G111" s="32"/>
      <c r="H111" t="str">
        <f>IFERROR(VLOOKUP(Country_Data[[#This Row],[Entity]],Ratings_Raw_SP[],2,FALSE),"")</f>
        <v>AA-</v>
      </c>
      <c r="I111" t="str">
        <f>IFERROR(VLOOKUP(Country_Data[[#This Row],[Entity]],Ratings_Raw_Fitch[],2,FALSE),"-")</f>
        <v>AA</v>
      </c>
      <c r="J111" t="str">
        <f>IFERROR(VLOOKUP(Country_Data[[#This Row],[Entity]],Ratings_Raw_Moodys[],2,FALSE),"-")</f>
        <v>Aa3</v>
      </c>
      <c r="L111" s="3" t="s">
        <v>17</v>
      </c>
      <c r="M111" s="3" t="s">
        <v>17</v>
      </c>
      <c r="N111" s="28"/>
      <c r="O111" s="28"/>
      <c r="P111" s="28"/>
      <c r="Q111" s="28"/>
      <c r="R111" s="28"/>
      <c r="S111" s="28"/>
      <c r="T111" s="28"/>
      <c r="U111" s="28"/>
      <c r="V111" s="28" t="str">
        <f>IF(Country_Data[[#This Row],[10 year $ yield]]="","",Country_Data[[#This Row],[10 year $ yield]]-VLOOKUP("United States",Country_Data[],15,FALSE))</f>
        <v/>
      </c>
      <c r="W111" s="28"/>
      <c r="X111" s="21"/>
    </row>
    <row r="112" spans="2:24">
      <c r="B112" s="4" t="s">
        <v>149</v>
      </c>
      <c r="C112" s="4" t="s">
        <v>232</v>
      </c>
      <c r="D112" s="29" t="str">
        <f>IFERROR(Country_Data[[#This Row],[StD of equity market]]/Country_Data[[#This Row],[StD for bond]]*VLOOKUP(Country_Data[[#This Row],[Moody''s]],Rating_to_spread_Moody[],3,FALSE),"")</f>
        <v/>
      </c>
      <c r="E112" s="31" t="str">
        <f>IF(Country_Data[[#This Row],[10 year $ yield]]="","",IFERROR(Country_Data[[#This Row],[Default spread on $ bonds]]*Country_Data[[#This Row],[StD of equity market]]/Country_Data[[#This Row],[StD for bond]],"Error"))</f>
        <v/>
      </c>
      <c r="F112" s="31" t="str">
        <f>IFERROR(Country_Data[[#This Row],[10 year yield]]-VLOOKUP(Country_Data[[#This Row],[Moody''s local]],Rating_to_spread_Moody[],3,FALSE),"")</f>
        <v/>
      </c>
      <c r="G112" s="31"/>
      <c r="H112" t="str">
        <f>IFERROR(VLOOKUP(Country_Data[[#This Row],[Entity]],Ratings_Raw_SP[],2,FALSE),"")</f>
        <v>B+</v>
      </c>
      <c r="I112" t="str">
        <f>IFERROR(VLOOKUP(Country_Data[[#This Row],[Entity]],Ratings_Raw_Fitch[],2,FALSE),"-")</f>
        <v>-</v>
      </c>
      <c r="J112" t="str">
        <f>IFERROR(VLOOKUP(Country_Data[[#This Row],[Entity]],Ratings_Raw_Moodys[],2,FALSE),"-")</f>
        <v>B1</v>
      </c>
      <c r="L112" s="3" t="s">
        <v>20</v>
      </c>
      <c r="M112" s="3" t="s">
        <v>20</v>
      </c>
      <c r="N112" s="28"/>
      <c r="O112" s="28"/>
      <c r="P112" s="28"/>
      <c r="Q112" s="28"/>
      <c r="R112" s="28"/>
      <c r="S112" s="28"/>
      <c r="T112" s="28"/>
      <c r="U112" s="28"/>
      <c r="V112" s="28" t="str">
        <f>IF(Country_Data[[#This Row],[10 year $ yield]]="","",Country_Data[[#This Row],[10 year $ yield]]-VLOOKUP("United States",Country_Data[],15,FALSE))</f>
        <v/>
      </c>
      <c r="W112" s="28"/>
      <c r="X112" s="21"/>
    </row>
    <row r="113" spans="2:24">
      <c r="B113" s="5" t="s">
        <v>150</v>
      </c>
      <c r="C113" s="5" t="s">
        <v>242</v>
      </c>
      <c r="D113" s="21" t="str">
        <f>IFERROR(Country_Data[[#This Row],[StD of equity market]]/Country_Data[[#This Row],[StD for bond]]*VLOOKUP(Country_Data[[#This Row],[Moody''s]],Rating_to_spread_Moody[],3,FALSE),"")</f>
        <v/>
      </c>
      <c r="E113" s="32" t="str">
        <f>IF(Country_Data[[#This Row],[10 year $ yield]]="","",IFERROR(Country_Data[[#This Row],[Default spread on $ bonds]]*Country_Data[[#This Row],[StD of equity market]]/Country_Data[[#This Row],[StD for bond]],"Error"))</f>
        <v/>
      </c>
      <c r="F113" s="32" t="str">
        <f>IFERROR(Country_Data[[#This Row],[10 year yield]]-VLOOKUP(Country_Data[[#This Row],[Moody''s local]],Rating_to_spread_Moody[],3,FALSE),"")</f>
        <v/>
      </c>
      <c r="G113" s="32"/>
      <c r="H113" t="str">
        <f>IFERROR(VLOOKUP(Country_Data[[#This Row],[Entity]],Ratings_Raw_SP[],2,FALSE),"")</f>
        <v>BB-</v>
      </c>
      <c r="I113" t="str">
        <f>IFERROR(VLOOKUP(Country_Data[[#This Row],[Entity]],Ratings_Raw_Fitch[],2,FALSE),"-")</f>
        <v>B+</v>
      </c>
      <c r="J113" t="str">
        <f>IFERROR(VLOOKUP(Country_Data[[#This Row],[Entity]],Ratings_Raw_Moodys[],2,FALSE),"-")</f>
        <v>B1</v>
      </c>
      <c r="L113" s="3" t="s">
        <v>8</v>
      </c>
      <c r="M113" s="3" t="s">
        <v>8</v>
      </c>
      <c r="N113" s="28"/>
      <c r="O113" s="28"/>
      <c r="P113" s="28"/>
      <c r="Q113" s="28"/>
      <c r="R113" s="28"/>
      <c r="S113" s="28"/>
      <c r="T113" s="28"/>
      <c r="U113" s="28"/>
      <c r="V113" s="28" t="str">
        <f>IF(Country_Data[[#This Row],[10 year $ yield]]="","",Country_Data[[#This Row],[10 year $ yield]]-VLOOKUP("United States",Country_Data[],15,FALSE))</f>
        <v/>
      </c>
      <c r="W113" s="28"/>
      <c r="X113" s="21"/>
    </row>
    <row r="114" spans="2:24">
      <c r="B114" s="4" t="s">
        <v>151</v>
      </c>
      <c r="C114" s="4" t="s">
        <v>233</v>
      </c>
      <c r="D114" s="29" t="str">
        <f>IFERROR(Country_Data[[#This Row],[StD of equity market]]/Country_Data[[#This Row],[StD for bond]]*VLOOKUP(Country_Data[[#This Row],[Moody''s]],Rating_to_spread_Moody[],3,FALSE),"")</f>
        <v/>
      </c>
      <c r="E114" s="31" t="str">
        <f>IF(Country_Data[[#This Row],[10 year $ yield]]="","",IFERROR(Country_Data[[#This Row],[Default spread on $ bonds]]*Country_Data[[#This Row],[StD of equity market]]/Country_Data[[#This Row],[StD for bond]],"Error"))</f>
        <v/>
      </c>
      <c r="F114" s="31">
        <f>IFERROR(Country_Data[[#This Row],[10 year yield]]-VLOOKUP(Country_Data[[#This Row],[Moody''s local]],Rating_to_spread_Moody[],3,FALSE),"")</f>
        <v>2.2800000000000001E-2</v>
      </c>
      <c r="G114" s="31"/>
      <c r="H114" t="str">
        <f>IFERROR(VLOOKUP(Country_Data[[#This Row],[Entity]],Ratings_Raw_SP[],2,FALSE),"")</f>
        <v>AAA</v>
      </c>
      <c r="I114" t="str">
        <f>IFERROR(VLOOKUP(Country_Data[[#This Row],[Entity]],Ratings_Raw_Fitch[],2,FALSE),"-")</f>
        <v>AAA</v>
      </c>
      <c r="J114" t="str">
        <f>IFERROR(VLOOKUP(Country_Data[[#This Row],[Entity]],Ratings_Raw_Moodys[],2,FALSE),"-")</f>
        <v>Aaa</v>
      </c>
      <c r="K114" t="s">
        <v>24</v>
      </c>
      <c r="L114" s="3" t="s">
        <v>10</v>
      </c>
      <c r="M114" s="3" t="s">
        <v>10</v>
      </c>
      <c r="N114" s="28">
        <v>3.3999999999999998E-3</v>
      </c>
      <c r="O114" s="28">
        <v>5.1000000000000004E-3</v>
      </c>
      <c r="P114" s="28">
        <v>1.2999999999999999E-2</v>
      </c>
      <c r="Q114" s="28">
        <v>2.2800000000000001E-2</v>
      </c>
      <c r="R114" s="28">
        <v>2.6499999999999999E-2</v>
      </c>
      <c r="S114" s="28">
        <v>2.7400000000000001E-2</v>
      </c>
      <c r="T114" s="28">
        <v>2.8500000000000001E-2</v>
      </c>
      <c r="U114" s="28"/>
      <c r="V114" s="28" t="str">
        <f>IF(Country_Data[[#This Row],[10 year $ yield]]="","",Country_Data[[#This Row],[10 year $ yield]]-VLOOKUP("United States",Country_Data[],15,FALSE))</f>
        <v/>
      </c>
      <c r="W114" s="28" t="s">
        <v>219</v>
      </c>
      <c r="X114" s="21"/>
    </row>
    <row r="115" spans="2:24">
      <c r="B115" s="5" t="s">
        <v>152</v>
      </c>
      <c r="C115" s="5" t="s">
        <v>242</v>
      </c>
      <c r="D115" s="21" t="str">
        <f>IFERROR(Country_Data[[#This Row],[StD of equity market]]/Country_Data[[#This Row],[StD for bond]]*VLOOKUP(Country_Data[[#This Row],[Moody''s]],Rating_to_spread_Moody[],3,FALSE),"")</f>
        <v/>
      </c>
      <c r="E115" s="32" t="str">
        <f>IF(Country_Data[[#This Row],[10 year $ yield]]="","",IFERROR(Country_Data[[#This Row],[Default spread on $ bonds]]*Country_Data[[#This Row],[StD of equity market]]/Country_Data[[#This Row],[StD for bond]],"Error"))</f>
        <v/>
      </c>
      <c r="F115" s="32" t="str">
        <f>IFERROR(Country_Data[[#This Row],[10 year yield]]-VLOOKUP(Country_Data[[#This Row],[Moody''s local]],Rating_to_spread_Moody[],3,FALSE),"")</f>
        <v/>
      </c>
      <c r="G115" s="32"/>
      <c r="H115" t="str">
        <f>IFERROR(VLOOKUP(Country_Data[[#This Row],[Entity]],Ratings_Raw_SP[],2,FALSE),"")</f>
        <v>A</v>
      </c>
      <c r="I115" t="str">
        <f>IFERROR(VLOOKUP(Country_Data[[#This Row],[Entity]],Ratings_Raw_Fitch[],2,FALSE),"-")</f>
        <v>A+</v>
      </c>
      <c r="J115" t="str">
        <f>IFERROR(VLOOKUP(Country_Data[[#This Row],[Entity]],Ratings_Raw_Moodys[],2,FALSE),"-")</f>
        <v>A1</v>
      </c>
      <c r="L115" s="3" t="s">
        <v>4</v>
      </c>
      <c r="M115" s="3" t="s">
        <v>4</v>
      </c>
      <c r="N115" s="28"/>
      <c r="O115" s="28"/>
      <c r="P115" s="28"/>
      <c r="Q115" s="28"/>
      <c r="R115" s="28"/>
      <c r="S115" s="28"/>
      <c r="T115" s="28"/>
      <c r="U115" s="28"/>
      <c r="V115" s="28" t="str">
        <f>IF(Country_Data[[#This Row],[10 year $ yield]]="","",Country_Data[[#This Row],[10 year $ yield]]-VLOOKUP("United States",Country_Data[],15,FALSE))</f>
        <v/>
      </c>
      <c r="W115" s="28"/>
      <c r="X115" s="21"/>
    </row>
    <row r="116" spans="2:24">
      <c r="B116" s="4" t="s">
        <v>153</v>
      </c>
      <c r="C116" s="4" t="s">
        <v>242</v>
      </c>
      <c r="D116" s="29" t="str">
        <f>IFERROR(Country_Data[[#This Row],[StD of equity market]]/Country_Data[[#This Row],[StD for bond]]*VLOOKUP(Country_Data[[#This Row],[Moody''s]],Rating_to_spread_Moody[],3,FALSE),"")</f>
        <v/>
      </c>
      <c r="E116" s="31" t="str">
        <f>IF(Country_Data[[#This Row],[10 year $ yield]]="","",IFERROR(Country_Data[[#This Row],[Default spread on $ bonds]]*Country_Data[[#This Row],[StD of equity market]]/Country_Data[[#This Row],[StD for bond]],"Error"))</f>
        <v/>
      </c>
      <c r="F116" s="31" t="str">
        <f>IFERROR(Country_Data[[#This Row],[10 year yield]]-VLOOKUP(Country_Data[[#This Row],[Moody''s local]],Rating_to_spread_Moody[],3,FALSE),"")</f>
        <v/>
      </c>
      <c r="G116" s="31"/>
      <c r="H116" t="str">
        <f>IFERROR(VLOOKUP(Country_Data[[#This Row],[Entity]],Ratings_Raw_SP[],2,FALSE),"")</f>
        <v>A-</v>
      </c>
      <c r="I116" t="str">
        <f>IFERROR(VLOOKUP(Country_Data[[#This Row],[Entity]],Ratings_Raw_Fitch[],2,FALSE),"-")</f>
        <v>BBB+</v>
      </c>
      <c r="J116" t="str">
        <f>IFERROR(VLOOKUP(Country_Data[[#This Row],[Entity]],Ratings_Raw_Moodys[],2,FALSE),"-")</f>
        <v>Ba1</v>
      </c>
      <c r="L116" s="3" t="s">
        <v>9</v>
      </c>
      <c r="M116" s="3" t="s">
        <v>9</v>
      </c>
      <c r="N116" s="28"/>
      <c r="O116" s="28"/>
      <c r="P116" s="28"/>
      <c r="Q116" s="28"/>
      <c r="R116" s="28"/>
      <c r="S116" s="28"/>
      <c r="T116" s="28"/>
      <c r="U116" s="28"/>
      <c r="V116" s="28" t="str">
        <f>IF(Country_Data[[#This Row],[10 year $ yield]]="","",Country_Data[[#This Row],[10 year $ yield]]-VLOOKUP("United States",Country_Data[],15,FALSE))</f>
        <v/>
      </c>
      <c r="W116" s="28"/>
      <c r="X116" s="21"/>
    </row>
    <row r="117" spans="2:24">
      <c r="B117" s="5" t="s">
        <v>154</v>
      </c>
      <c r="C117" s="5" t="s">
        <v>232</v>
      </c>
      <c r="D117" s="21" t="str">
        <f>IFERROR(Country_Data[[#This Row],[StD of equity market]]/Country_Data[[#This Row],[StD for bond]]*VLOOKUP(Country_Data[[#This Row],[Moody''s]],Rating_to_spread_Moody[],3,FALSE),"")</f>
        <v/>
      </c>
      <c r="E117" s="32" t="str">
        <f>IF(Country_Data[[#This Row],[10 year $ yield]]="","",IFERROR(Country_Data[[#This Row],[Default spread on $ bonds]]*Country_Data[[#This Row],[StD of equity market]]/Country_Data[[#This Row],[StD for bond]],"Error"))</f>
        <v/>
      </c>
      <c r="F117" s="32" t="str">
        <f>IFERROR(Country_Data[[#This Row],[10 year yield]]-VLOOKUP(Country_Data[[#This Row],[Moody''s local]],Rating_to_spread_Moody[],3,FALSE),"")</f>
        <v/>
      </c>
      <c r="G117" s="32"/>
      <c r="H117" t="str">
        <f>IFERROR(VLOOKUP(Country_Data[[#This Row],[Entity]],Ratings_Raw_SP[],2,FALSE),"")</f>
        <v>BBB-</v>
      </c>
      <c r="I117" t="str">
        <f>IFERROR(VLOOKUP(Country_Data[[#This Row],[Entity]],Ratings_Raw_Fitch[],2,FALSE),"-")</f>
        <v>BBB</v>
      </c>
      <c r="J117" t="str">
        <f>IFERROR(VLOOKUP(Country_Data[[#This Row],[Entity]],Ratings_Raw_Moodys[],2,FALSE),"-")</f>
        <v>Baaa1</v>
      </c>
      <c r="L117" s="3" t="s">
        <v>13</v>
      </c>
      <c r="M117" s="3" t="s">
        <v>14</v>
      </c>
      <c r="N117" s="28"/>
      <c r="O117" s="28"/>
      <c r="P117" s="28"/>
      <c r="Q117" s="28"/>
      <c r="R117" s="28"/>
      <c r="S117" s="28"/>
      <c r="T117" s="28"/>
      <c r="U117" s="28"/>
      <c r="V117" s="28" t="str">
        <f>IF(Country_Data[[#This Row],[10 year $ yield]]="","",Country_Data[[#This Row],[10 year $ yield]]-VLOOKUP("United States",Country_Data[],15,FALSE))</f>
        <v/>
      </c>
      <c r="W117" s="28"/>
      <c r="X117" s="21"/>
    </row>
    <row r="118" spans="2:24">
      <c r="B118" s="4" t="s">
        <v>155</v>
      </c>
      <c r="C118" s="4" t="s">
        <v>233</v>
      </c>
      <c r="D118" s="29" t="str">
        <f>IFERROR(Country_Data[[#This Row],[StD of equity market]]/Country_Data[[#This Row],[StD for bond]]*VLOOKUP(Country_Data[[#This Row],[Moody''s]],Rating_to_spread_Moody[],3,FALSE),"")</f>
        <v/>
      </c>
      <c r="E118" s="31" t="str">
        <f>IF(Country_Data[[#This Row],[10 year $ yield]]="","",IFERROR(Country_Data[[#This Row],[Default spread on $ bonds]]*Country_Data[[#This Row],[StD of equity market]]/Country_Data[[#This Row],[StD for bond]],"Error"))</f>
        <v/>
      </c>
      <c r="F118" s="31" t="str">
        <f>IFERROR(Country_Data[[#This Row],[10 year yield]]-VLOOKUP(Country_Data[[#This Row],[Moody''s local]],Rating_to_spread_Moody[],3,FALSE),"")</f>
        <v/>
      </c>
      <c r="G118" s="31"/>
      <c r="H118" t="str">
        <f>IFERROR(VLOOKUP(Country_Data[[#This Row],[Entity]],Ratings_Raw_SP[],2,FALSE),"")</f>
        <v>A+</v>
      </c>
      <c r="I118" t="str">
        <f>IFERROR(VLOOKUP(Country_Data[[#This Row],[Entity]],Ratings_Raw_Fitch[],2,FALSE),"-")</f>
        <v>AA-</v>
      </c>
      <c r="J118" t="str">
        <f>IFERROR(VLOOKUP(Country_Data[[#This Row],[Entity]],Ratings_Raw_Moodys[],2,FALSE),"-")</f>
        <v>Aa3</v>
      </c>
      <c r="L118" s="3"/>
      <c r="M118" s="3"/>
      <c r="N118" s="28"/>
      <c r="O118" s="28"/>
      <c r="P118" s="28"/>
      <c r="Q118" s="28"/>
      <c r="R118" s="28"/>
      <c r="S118" s="28"/>
      <c r="T118" s="28"/>
      <c r="U118" s="28"/>
      <c r="V118" s="28" t="str">
        <f>IF(Country_Data[[#This Row],[10 year $ yield]]="","",Country_Data[[#This Row],[10 year $ yield]]-VLOOKUP("United States",Country_Data[],15,FALSE))</f>
        <v/>
      </c>
      <c r="W118" s="28"/>
      <c r="X118" s="21"/>
    </row>
    <row r="119" spans="2:24">
      <c r="B119" s="5" t="s">
        <v>156</v>
      </c>
      <c r="C119" s="5" t="s">
        <v>240</v>
      </c>
      <c r="D119" s="21" t="str">
        <f>IFERROR(Country_Data[[#This Row],[StD of equity market]]/Country_Data[[#This Row],[StD for bond]]*VLOOKUP(Country_Data[[#This Row],[Moody''s]],Rating_to_spread_Moody[],3,FALSE),"")</f>
        <v/>
      </c>
      <c r="E119" s="32" t="str">
        <f>IF(Country_Data[[#This Row],[10 year $ yield]]="","",IFERROR(Country_Data[[#This Row],[Default spread on $ bonds]]*Country_Data[[#This Row],[StD of equity market]]/Country_Data[[#This Row],[StD for bond]],"Error"))</f>
        <v/>
      </c>
      <c r="F119" s="32" t="str">
        <f>IFERROR(Country_Data[[#This Row],[10 year yield]]-VLOOKUP(Country_Data[[#This Row],[Moody''s local]],Rating_to_spread_Moody[],3,FALSE),"")</f>
        <v/>
      </c>
      <c r="G119" s="32"/>
      <c r="H119" t="str">
        <f>IFERROR(VLOOKUP(Country_Data[[#This Row],[Entity]],Ratings_Raw_SP[],2,FALSE),"")</f>
        <v>BBB</v>
      </c>
      <c r="I119" t="str">
        <f>IFERROR(VLOOKUP(Country_Data[[#This Row],[Entity]],Ratings_Raw_Fitch[],2,FALSE),"-")</f>
        <v>BBB+</v>
      </c>
      <c r="J119" t="str">
        <f>IFERROR(VLOOKUP(Country_Data[[#This Row],[Entity]],Ratings_Raw_Moodys[],2,FALSE),"-")</f>
        <v>Baa2</v>
      </c>
      <c r="L119" s="3" t="s">
        <v>15</v>
      </c>
      <c r="M119" s="3" t="s">
        <v>15</v>
      </c>
      <c r="N119" s="28"/>
      <c r="O119" s="28"/>
      <c r="P119" s="28"/>
      <c r="Q119" s="28"/>
      <c r="R119" s="28"/>
      <c r="S119" s="28"/>
      <c r="T119" s="28"/>
      <c r="U119" s="28"/>
      <c r="V119" s="28" t="str">
        <f>IF(Country_Data[[#This Row],[10 year $ yield]]="","",Country_Data[[#This Row],[10 year $ yield]]-VLOOKUP("United States",Country_Data[],15,FALSE))</f>
        <v/>
      </c>
      <c r="W119" s="28"/>
      <c r="X119" s="21"/>
    </row>
    <row r="120" spans="2:24">
      <c r="B120" s="4" t="s">
        <v>157</v>
      </c>
      <c r="C120" s="4" t="s">
        <v>233</v>
      </c>
      <c r="D120" s="29" t="str">
        <f>IFERROR(Country_Data[[#This Row],[StD of equity market]]/Country_Data[[#This Row],[StD for bond]]*VLOOKUP(Country_Data[[#This Row],[Moody''s]],Rating_to_spread_Moody[],3,FALSE),"")</f>
        <v/>
      </c>
      <c r="E120" s="31" t="str">
        <f>IF(Country_Data[[#This Row],[10 year $ yield]]="","",IFERROR(Country_Data[[#This Row],[Default spread on $ bonds]]*Country_Data[[#This Row],[StD of equity market]]/Country_Data[[#This Row],[StD for bond]],"Error"))</f>
        <v/>
      </c>
      <c r="F120" s="31" t="str">
        <f>IFERROR(Country_Data[[#This Row],[10 year yield]]-VLOOKUP(Country_Data[[#This Row],[Moody''s local]],Rating_to_spread_Moody[],3,FALSE),"")</f>
        <v/>
      </c>
      <c r="G120" s="31"/>
      <c r="H120" t="str">
        <f>IFERROR(VLOOKUP(Country_Data[[#This Row],[Entity]],Ratings_Raw_SP[],2,FALSE),"")</f>
        <v>B+</v>
      </c>
      <c r="I120" t="str">
        <f>IFERROR(VLOOKUP(Country_Data[[#This Row],[Entity]],Ratings_Raw_Fitch[],2,FALSE),"-")</f>
        <v>BB-</v>
      </c>
      <c r="J120" t="str">
        <f>IFERROR(VLOOKUP(Country_Data[[#This Row],[Entity]],Ratings_Raw_Moodys[],2,FALSE),"-")</f>
        <v>B1</v>
      </c>
      <c r="L120" s="3" t="s">
        <v>20</v>
      </c>
      <c r="M120" s="3" t="s">
        <v>20</v>
      </c>
      <c r="N120" s="28"/>
      <c r="O120" s="28"/>
      <c r="P120" s="28"/>
      <c r="Q120" s="28"/>
      <c r="R120" s="28"/>
      <c r="S120" s="28"/>
      <c r="T120" s="28"/>
      <c r="U120" s="28"/>
      <c r="V120" s="28" t="str">
        <f>IF(Country_Data[[#This Row],[10 year $ yield]]="","",Country_Data[[#This Row],[10 year $ yield]]-VLOOKUP("United States",Country_Data[],15,FALSE))</f>
        <v/>
      </c>
      <c r="W120" s="28"/>
      <c r="X120" s="21"/>
    </row>
    <row r="121" spans="2:24">
      <c r="B121" s="5" t="s">
        <v>158</v>
      </c>
      <c r="C121" s="5"/>
      <c r="D121" s="21" t="str">
        <f>IFERROR(Country_Data[[#This Row],[StD of equity market]]/Country_Data[[#This Row],[StD for bond]]*VLOOKUP(Country_Data[[#This Row],[Moody''s]],Rating_to_spread_Moody[],3,FALSE),"")</f>
        <v/>
      </c>
      <c r="E121" s="32" t="str">
        <f>IF(Country_Data[[#This Row],[10 year $ yield]]="","",IFERROR(Country_Data[[#This Row],[Default spread on $ bonds]]*Country_Data[[#This Row],[StD of equity market]]/Country_Data[[#This Row],[StD for bond]],"Error"))</f>
        <v/>
      </c>
      <c r="F121" s="32" t="str">
        <f>IFERROR(Country_Data[[#This Row],[10 year yield]]-VLOOKUP(Country_Data[[#This Row],[Moody''s local]],Rating_to_spread_Moody[],3,FALSE),"")</f>
        <v/>
      </c>
      <c r="G121" s="32"/>
      <c r="H121" t="str">
        <f>IFERROR(VLOOKUP(Country_Data[[#This Row],[Entity]],Ratings_Raw_SP[],2,FALSE),"")</f>
        <v>BB-</v>
      </c>
      <c r="I121" t="str">
        <f>IFERROR(VLOOKUP(Country_Data[[#This Row],[Entity]],Ratings_Raw_Fitch[],2,FALSE),"-")</f>
        <v>BB-</v>
      </c>
      <c r="J121" t="str">
        <f>IFERROR(VLOOKUP(Country_Data[[#This Row],[Entity]],Ratings_Raw_Moodys[],2,FALSE),"-")</f>
        <v>B1</v>
      </c>
      <c r="L121" s="3" t="s">
        <v>8</v>
      </c>
      <c r="M121" s="3" t="s">
        <v>8</v>
      </c>
      <c r="N121" s="28"/>
      <c r="O121" s="28"/>
      <c r="P121" s="28"/>
      <c r="Q121" s="28"/>
      <c r="R121" s="28"/>
      <c r="S121" s="28"/>
      <c r="T121" s="28"/>
      <c r="U121" s="28"/>
      <c r="V121" s="28" t="str">
        <f>IF(Country_Data[[#This Row],[10 year $ yield]]="","",Country_Data[[#This Row],[10 year $ yield]]-VLOOKUP("United States",Country_Data[],15,FALSE))</f>
        <v/>
      </c>
      <c r="W121" s="28"/>
      <c r="X121" s="21"/>
    </row>
    <row r="122" spans="2:24">
      <c r="B122" s="4" t="s">
        <v>159</v>
      </c>
      <c r="C122" s="4" t="s">
        <v>240</v>
      </c>
      <c r="D122" s="29" t="str">
        <f>IFERROR(Country_Data[[#This Row],[StD of equity market]]/Country_Data[[#This Row],[StD for bond]]*VLOOKUP(Country_Data[[#This Row],[Moody''s]],Rating_to_spread_Moody[],3,FALSE),"")</f>
        <v/>
      </c>
      <c r="E122" s="31" t="str">
        <f>IF(Country_Data[[#This Row],[10 year $ yield]]="","",IFERROR(Country_Data[[#This Row],[Default spread on $ bonds]]*Country_Data[[#This Row],[StD of equity market]]/Country_Data[[#This Row],[StD for bond]],"Error"))</f>
        <v/>
      </c>
      <c r="F122" s="31" t="str">
        <f>IFERROR(Country_Data[[#This Row],[10 year yield]]-VLOOKUP(Country_Data[[#This Row],[Moody''s local]],Rating_to_spread_Moody[],3,FALSE),"")</f>
        <v/>
      </c>
      <c r="G122" s="31"/>
      <c r="H122" t="str">
        <f>IFERROR(VLOOKUP(Country_Data[[#This Row],[Entity]],Ratings_Raw_SP[],2,FALSE),"")</f>
        <v>AAA</v>
      </c>
      <c r="I122" t="str">
        <f>IFERROR(VLOOKUP(Country_Data[[#This Row],[Entity]],Ratings_Raw_Fitch[],2,FALSE),"-")</f>
        <v>AAA</v>
      </c>
      <c r="J122" t="str">
        <f>IFERROR(VLOOKUP(Country_Data[[#This Row],[Entity]],Ratings_Raw_Moodys[],2,FALSE),"-")</f>
        <v>Aaa</v>
      </c>
      <c r="L122" s="3" t="s">
        <v>10</v>
      </c>
      <c r="M122" s="3" t="s">
        <v>10</v>
      </c>
      <c r="N122" s="28"/>
      <c r="O122" s="28"/>
      <c r="P122" s="28"/>
      <c r="Q122" s="28"/>
      <c r="R122" s="28"/>
      <c r="S122" s="28"/>
      <c r="T122" s="28"/>
      <c r="U122" s="28"/>
      <c r="V122" s="28" t="str">
        <f>IF(Country_Data[[#This Row],[10 year $ yield]]="","",Country_Data[[#This Row],[10 year $ yield]]-VLOOKUP("United States",Country_Data[],15,FALSE))</f>
        <v/>
      </c>
      <c r="W122" s="28"/>
      <c r="X122" s="21"/>
    </row>
    <row r="123" spans="2:24">
      <c r="B123" s="5" t="s">
        <v>221</v>
      </c>
      <c r="C123" s="4" t="s">
        <v>240</v>
      </c>
      <c r="D123" s="21" t="str">
        <f>IFERROR(Country_Data[[#This Row],[StD of equity market]]/Country_Data[[#This Row],[StD for bond]]*VLOOKUP(Country_Data[[#This Row],[Moody''s]],Rating_to_spread_Moody[],3,FALSE),"")</f>
        <v/>
      </c>
      <c r="E123" s="32" t="str">
        <f>IF(Country_Data[[#This Row],[10 year $ yield]]="","",IFERROR(Country_Data[[#This Row],[Default spread on $ bonds]]*Country_Data[[#This Row],[StD of equity market]]/Country_Data[[#This Row],[StD for bond]],"Error"))</f>
        <v/>
      </c>
      <c r="F123" s="32" t="str">
        <f>IFERROR(Country_Data[[#This Row],[10 year yield]]-VLOOKUP(Country_Data[[#This Row],[Moody''s local]],Rating_to_spread_Moody[],3,FALSE),"")</f>
        <v/>
      </c>
      <c r="G123" s="32"/>
      <c r="H123" t="str">
        <f>IFERROR(VLOOKUP(Country_Data[[#This Row],[Entity]],Ratings_Raw_SP[],2,FALSE),"")</f>
        <v>AAA</v>
      </c>
      <c r="I123" t="str">
        <f>IFERROR(VLOOKUP(Country_Data[[#This Row],[Entity]],Ratings_Raw_Fitch[],2,FALSE),"-")</f>
        <v>AAA</v>
      </c>
      <c r="J123" t="str">
        <f>IFERROR(VLOOKUP(Country_Data[[#This Row],[Entity]],Ratings_Raw_Moodys[],2,FALSE),"-")</f>
        <v>Aaa</v>
      </c>
      <c r="L123" s="3" t="s">
        <v>10</v>
      </c>
      <c r="M123" s="3" t="s">
        <v>10</v>
      </c>
      <c r="N123" s="28"/>
      <c r="O123" s="28"/>
      <c r="P123" s="28"/>
      <c r="Q123" s="28"/>
      <c r="R123" s="28"/>
      <c r="S123" s="28"/>
      <c r="T123" s="28"/>
      <c r="U123" s="28"/>
      <c r="V123" s="28" t="str">
        <f>IF(Country_Data[[#This Row],[10 year $ yield]]="","",Country_Data[[#This Row],[10 year $ yield]]-VLOOKUP("United States",Country_Data[],15,FALSE))</f>
        <v/>
      </c>
      <c r="W123" s="28"/>
      <c r="X123" s="21"/>
    </row>
    <row r="124" spans="2:24">
      <c r="B124" s="4" t="s">
        <v>160</v>
      </c>
      <c r="C124" s="4" t="s">
        <v>233</v>
      </c>
      <c r="D124" s="29" t="str">
        <f>IFERROR(Country_Data[[#This Row],[StD of equity market]]/Country_Data[[#This Row],[StD for bond]]*VLOOKUP(Country_Data[[#This Row],[Moody''s]],Rating_to_spread_Moody[],3,FALSE),"")</f>
        <v/>
      </c>
      <c r="E124" s="31" t="str">
        <f>IF(Country_Data[[#This Row],[10 year $ yield]]="","",IFERROR(Country_Data[[#This Row],[Default spread on $ bonds]]*Country_Data[[#This Row],[StD of equity market]]/Country_Data[[#This Row],[StD for bond]],"Error"))</f>
        <v/>
      </c>
      <c r="F124" s="31" t="str">
        <f>IFERROR(Country_Data[[#This Row],[10 year yield]]-VLOOKUP(Country_Data[[#This Row],[Moody''s local]],Rating_to_spread_Moody[],3,FALSE),"")</f>
        <v/>
      </c>
      <c r="G124" s="31"/>
      <c r="H124" t="str">
        <f>IFERROR(VLOOKUP(Country_Data[[#This Row],[Entity]],Ratings_Raw_SP[],2,FALSE),"")</f>
        <v>AA-</v>
      </c>
      <c r="I124" t="str">
        <f>IFERROR(VLOOKUP(Country_Data[[#This Row],[Entity]],Ratings_Raw_Fitch[],2,FALSE),"-")</f>
        <v>A+</v>
      </c>
      <c r="J124" t="str">
        <f>IFERROR(VLOOKUP(Country_Data[[#This Row],[Entity]],Ratings_Raw_Moodys[],2,FALSE),"-")</f>
        <v>Aa3</v>
      </c>
      <c r="L124" s="3" t="s">
        <v>17</v>
      </c>
      <c r="M124" s="3" t="s">
        <v>17</v>
      </c>
      <c r="N124" s="28"/>
      <c r="O124" s="28"/>
      <c r="P124" s="28"/>
      <c r="Q124" s="28"/>
      <c r="R124" s="28"/>
      <c r="S124" s="28"/>
      <c r="T124" s="28"/>
      <c r="U124" s="28"/>
      <c r="V124" s="28" t="str">
        <f>IF(Country_Data[[#This Row],[10 year $ yield]]="","",Country_Data[[#This Row],[10 year $ yield]]-VLOOKUP("United States",Country_Data[],15,FALSE))</f>
        <v/>
      </c>
      <c r="W124" s="28"/>
      <c r="X124" s="21"/>
    </row>
    <row r="125" spans="2:24">
      <c r="B125" s="5" t="s">
        <v>161</v>
      </c>
      <c r="C125" s="5" t="s">
        <v>233</v>
      </c>
      <c r="D125" s="21" t="str">
        <f>IFERROR(Country_Data[[#This Row],[StD of equity market]]/Country_Data[[#This Row],[StD for bond]]*VLOOKUP(Country_Data[[#This Row],[Moody''s]],Rating_to_spread_Moody[],3,FALSE),"")</f>
        <v/>
      </c>
      <c r="E125" s="32" t="str">
        <f>IF(Country_Data[[#This Row],[10 year $ yield]]="","",IFERROR(Country_Data[[#This Row],[Default spread on $ bonds]]*Country_Data[[#This Row],[StD of equity market]]/Country_Data[[#This Row],[StD for bond]],"Error"))</f>
        <v/>
      </c>
      <c r="F125" s="32" t="str">
        <f>IFERROR(Country_Data[[#This Row],[10 year yield]]-VLOOKUP(Country_Data[[#This Row],[Moody''s local]],Rating_to_spread_Moody[],3,FALSE),"")</f>
        <v/>
      </c>
      <c r="G125" s="32"/>
      <c r="H125" t="str">
        <f>IFERROR(VLOOKUP(Country_Data[[#This Row],[Entity]],Ratings_Raw_SP[],2,FALSE),"")</f>
        <v>BBB+</v>
      </c>
      <c r="I125" t="str">
        <f>IFERROR(VLOOKUP(Country_Data[[#This Row],[Entity]],Ratings_Raw_Fitch[],2,FALSE),"-")</f>
        <v>BBB+</v>
      </c>
      <c r="J125" t="str">
        <f>IFERROR(VLOOKUP(Country_Data[[#This Row],[Entity]],Ratings_Raw_Moodys[],2,FALSE),"-")</f>
        <v>Baaa1</v>
      </c>
      <c r="L125" s="3" t="s">
        <v>9</v>
      </c>
      <c r="M125" s="3" t="s">
        <v>13</v>
      </c>
      <c r="N125" s="28"/>
      <c r="O125" s="28"/>
      <c r="P125" s="28"/>
      <c r="Q125" s="28"/>
      <c r="R125" s="28"/>
      <c r="S125" s="28"/>
      <c r="T125" s="28"/>
      <c r="U125" s="28"/>
      <c r="V125" s="28" t="str">
        <f>IF(Country_Data[[#This Row],[10 year $ yield]]="","",Country_Data[[#This Row],[10 year $ yield]]-VLOOKUP("United States",Country_Data[],15,FALSE))</f>
        <v/>
      </c>
      <c r="W125" s="28"/>
      <c r="X125" s="21"/>
    </row>
    <row r="126" spans="2:24">
      <c r="B126" s="4" t="s">
        <v>162</v>
      </c>
      <c r="C126" s="4" t="s">
        <v>236</v>
      </c>
      <c r="D126" s="29" t="str">
        <f>IFERROR(Country_Data[[#This Row],[StD of equity market]]/Country_Data[[#This Row],[StD for bond]]*VLOOKUP(Country_Data[[#This Row],[Moody''s]],Rating_to_spread_Moody[],3,FALSE),"")</f>
        <v/>
      </c>
      <c r="E126" s="31" t="str">
        <f>IF(Country_Data[[#This Row],[10 year $ yield]]="","",IFERROR(Country_Data[[#This Row],[Default spread on $ bonds]]*Country_Data[[#This Row],[StD of equity market]]/Country_Data[[#This Row],[StD for bond]],"Error"))</f>
        <v/>
      </c>
      <c r="F126" s="31" t="str">
        <f>IFERROR(Country_Data[[#This Row],[10 year yield]]-VLOOKUP(Country_Data[[#This Row],[Moody''s local]],Rating_to_spread_Moody[],3,FALSE),"")</f>
        <v/>
      </c>
      <c r="G126" s="31"/>
      <c r="H126" t="str">
        <f>IFERROR(VLOOKUP(Country_Data[[#This Row],[Entity]],Ratings_Raw_SP[],2,FALSE),"")</f>
        <v>A</v>
      </c>
      <c r="I126" t="str">
        <f>IFERROR(VLOOKUP(Country_Data[[#This Row],[Entity]],Ratings_Raw_Fitch[],2,FALSE),"-")</f>
        <v>-</v>
      </c>
      <c r="J126" t="str">
        <f>IFERROR(VLOOKUP(Country_Data[[#This Row],[Entity]],Ratings_Raw_Moodys[],2,FALSE),"-")</f>
        <v>Baaa1</v>
      </c>
      <c r="L126" s="3" t="s">
        <v>4</v>
      </c>
      <c r="M126" s="3" t="s">
        <v>4</v>
      </c>
      <c r="N126" s="28"/>
      <c r="O126" s="28"/>
      <c r="P126" s="28"/>
      <c r="Q126" s="28"/>
      <c r="R126" s="28"/>
      <c r="S126" s="28"/>
      <c r="T126" s="28"/>
      <c r="U126" s="28"/>
      <c r="V126" s="28" t="str">
        <f>IF(Country_Data[[#This Row],[10 year $ yield]]="","",Country_Data[[#This Row],[10 year $ yield]]-VLOOKUP("United States",Country_Data[],15,FALSE))</f>
        <v/>
      </c>
      <c r="W126" s="28"/>
      <c r="X126" s="21"/>
    </row>
    <row r="127" spans="2:24">
      <c r="B127" s="5" t="s">
        <v>163</v>
      </c>
      <c r="C127" s="5" t="s">
        <v>232</v>
      </c>
      <c r="D127" s="21" t="str">
        <f>IFERROR(Country_Data[[#This Row],[StD of equity market]]/Country_Data[[#This Row],[StD for bond]]*VLOOKUP(Country_Data[[#This Row],[Moody''s]],Rating_to_spread_Moody[],3,FALSE),"")</f>
        <v/>
      </c>
      <c r="E127" s="32" t="str">
        <f>IF(Country_Data[[#This Row],[10 year $ yield]]="","",IFERROR(Country_Data[[#This Row],[Default spread on $ bonds]]*Country_Data[[#This Row],[StD of equity market]]/Country_Data[[#This Row],[StD for bond]],"Error"))</f>
        <v/>
      </c>
      <c r="F127" s="32" t="str">
        <f>IFERROR(Country_Data[[#This Row],[10 year yield]]-VLOOKUP(Country_Data[[#This Row],[Moody''s local]],Rating_to_spread_Moody[],3,FALSE),"")</f>
        <v/>
      </c>
      <c r="G127" s="32"/>
      <c r="H127" t="str">
        <f>IFERROR(VLOOKUP(Country_Data[[#This Row],[Entity]],Ratings_Raw_SP[],2,FALSE),"")</f>
        <v>BB-</v>
      </c>
      <c r="I127" t="str">
        <f>IFERROR(VLOOKUP(Country_Data[[#This Row],[Entity]],Ratings_Raw_Fitch[],2,FALSE),"-")</f>
        <v>BB-</v>
      </c>
      <c r="J127" t="str">
        <f>IFERROR(VLOOKUP(Country_Data[[#This Row],[Entity]],Ratings_Raw_Moodys[],2,FALSE),"-")</f>
        <v>Baa3</v>
      </c>
      <c r="L127" s="3"/>
      <c r="M127" s="3"/>
      <c r="N127" s="28"/>
      <c r="O127" s="28"/>
      <c r="P127" s="28"/>
      <c r="Q127" s="28"/>
      <c r="R127" s="28"/>
      <c r="S127" s="28"/>
      <c r="T127" s="28"/>
      <c r="U127" s="28"/>
      <c r="V127" s="28" t="str">
        <f>IF(Country_Data[[#This Row],[10 year $ yield]]="","",Country_Data[[#This Row],[10 year $ yield]]-VLOOKUP("United States",Country_Data[],15,FALSE))</f>
        <v/>
      </c>
      <c r="W127" s="28"/>
      <c r="X127" s="21"/>
    </row>
    <row r="128" spans="2:24">
      <c r="B128" s="4" t="s">
        <v>164</v>
      </c>
      <c r="C128" s="4" t="s">
        <v>242</v>
      </c>
      <c r="D128" s="29" t="str">
        <f>IFERROR(Country_Data[[#This Row],[StD of equity market]]/Country_Data[[#This Row],[StD for bond]]*VLOOKUP(Country_Data[[#This Row],[Moody''s]],Rating_to_spread_Moody[],3,FALSE),"")</f>
        <v/>
      </c>
      <c r="E128" s="31" t="str">
        <f>IF(Country_Data[[#This Row],[10 year $ yield]]="","",IFERROR(Country_Data[[#This Row],[Default spread on $ bonds]]*Country_Data[[#This Row],[StD of equity market]]/Country_Data[[#This Row],[StD for bond]],"Error"))</f>
        <v/>
      </c>
      <c r="F128" s="31" t="str">
        <f>IFERROR(Country_Data[[#This Row],[10 year yield]]-VLOOKUP(Country_Data[[#This Row],[Moody''s local]],Rating_to_spread_Moody[],3,FALSE),"")</f>
        <v/>
      </c>
      <c r="G128" s="31"/>
      <c r="H128" t="str">
        <f>IFERROR(VLOOKUP(Country_Data[[#This Row],[Entity]],Ratings_Raw_SP[],2,FALSE),"")</f>
        <v>BB+</v>
      </c>
      <c r="I128" t="str">
        <f>IFERROR(VLOOKUP(Country_Data[[#This Row],[Entity]],Ratings_Raw_Fitch[],2,FALSE),"-")</f>
        <v>BBB-</v>
      </c>
      <c r="J128" t="str">
        <f>IFERROR(VLOOKUP(Country_Data[[#This Row],[Entity]],Ratings_Raw_Moodys[],2,FALSE),"-")</f>
        <v>Baa3</v>
      </c>
      <c r="L128" s="3" t="s">
        <v>15</v>
      </c>
      <c r="M128" s="3" t="s">
        <v>21</v>
      </c>
      <c r="N128" s="28"/>
      <c r="O128" s="28"/>
      <c r="P128" s="28"/>
      <c r="Q128" s="28"/>
      <c r="R128" s="28"/>
      <c r="S128" s="28"/>
      <c r="T128" s="28"/>
      <c r="U128" s="28"/>
      <c r="V128" s="28" t="str">
        <f>IF(Country_Data[[#This Row],[10 year $ yield]]="","",Country_Data[[#This Row],[10 year $ yield]]-VLOOKUP("United States",Country_Data[],15,FALSE))</f>
        <v/>
      </c>
      <c r="W128" s="28"/>
      <c r="X128" s="21"/>
    </row>
    <row r="129" spans="2:24">
      <c r="B129" s="5" t="s">
        <v>165</v>
      </c>
      <c r="C129" s="5" t="s">
        <v>232</v>
      </c>
      <c r="D129" s="21" t="str">
        <f>IFERROR(Country_Data[[#This Row],[StD of equity market]]/Country_Data[[#This Row],[StD for bond]]*VLOOKUP(Country_Data[[#This Row],[Moody''s]],Rating_to_spread_Moody[],3,FALSE),"")</f>
        <v/>
      </c>
      <c r="E129" s="32" t="str">
        <f>IF(Country_Data[[#This Row],[10 year $ yield]]="","",IFERROR(Country_Data[[#This Row],[Default spread on $ bonds]]*Country_Data[[#This Row],[StD of equity market]]/Country_Data[[#This Row],[StD for bond]],"Error"))</f>
        <v/>
      </c>
      <c r="F129" s="32" t="str">
        <f>IFERROR(Country_Data[[#This Row],[10 year yield]]-VLOOKUP(Country_Data[[#This Row],[Moody''s local]],Rating_to_spread_Moody[],3,FALSE),"")</f>
        <v/>
      </c>
      <c r="G129" s="32"/>
      <c r="H129" t="str">
        <f>IFERROR(VLOOKUP(Country_Data[[#This Row],[Entity]],Ratings_Raw_SP[],2,FALSE),"")</f>
        <v>B+</v>
      </c>
      <c r="I129" t="str">
        <f>IFERROR(VLOOKUP(Country_Data[[#This Row],[Entity]],Ratings_Raw_Fitch[],2,FALSE),"-")</f>
        <v>B</v>
      </c>
      <c r="J129" t="str">
        <f>IFERROR(VLOOKUP(Country_Data[[#This Row],[Entity]],Ratings_Raw_Moodys[],2,FALSE),"-")</f>
        <v>-</v>
      </c>
      <c r="L129" s="3" t="s">
        <v>7</v>
      </c>
      <c r="M129" s="3" t="s">
        <v>7</v>
      </c>
      <c r="N129" s="28"/>
      <c r="O129" s="28"/>
      <c r="P129" s="28"/>
      <c r="Q129" s="28"/>
      <c r="R129" s="28"/>
      <c r="S129" s="28"/>
      <c r="T129" s="28"/>
      <c r="U129" s="28"/>
      <c r="V129" s="28" t="str">
        <f>IF(Country_Data[[#This Row],[10 year $ yield]]="","",Country_Data[[#This Row],[10 year $ yield]]-VLOOKUP("United States",Country_Data[],15,FALSE))</f>
        <v/>
      </c>
      <c r="W129" s="28"/>
      <c r="X129" s="21"/>
    </row>
    <row r="130" spans="2:24">
      <c r="B130" s="4" t="s">
        <v>166</v>
      </c>
      <c r="C130" s="4" t="s">
        <v>242</v>
      </c>
      <c r="D130" s="29" t="str">
        <f>IFERROR(Country_Data[[#This Row],[StD of equity market]]/Country_Data[[#This Row],[StD for bond]]*VLOOKUP(Country_Data[[#This Row],[Moody''s]],Rating_to_spread_Moody[],3,FALSE),"")</f>
        <v/>
      </c>
      <c r="E130" s="31" t="str">
        <f>IF(Country_Data[[#This Row],[10 year $ yield]]="","",IFERROR(Country_Data[[#This Row],[Default spread on $ bonds]]*Country_Data[[#This Row],[StD of equity market]]/Country_Data[[#This Row],[StD for bond]],"Error"))</f>
        <v/>
      </c>
      <c r="F130" s="31" t="str">
        <f>IFERROR(Country_Data[[#This Row],[10 year yield]]-VLOOKUP(Country_Data[[#This Row],[Moody''s local]],Rating_to_spread_Moody[],3,FALSE),"")</f>
        <v/>
      </c>
      <c r="G130" s="31"/>
      <c r="H130" t="str">
        <f>IFERROR(VLOOKUP(Country_Data[[#This Row],[Entity]],Ratings_Raw_SP[],2,FALSE),"")</f>
        <v>CCC+</v>
      </c>
      <c r="I130" t="str">
        <f>IFERROR(VLOOKUP(Country_Data[[#This Row],[Entity]],Ratings_Raw_Fitch[],2,FALSE),"-")</f>
        <v>CCC</v>
      </c>
      <c r="J130" t="str">
        <f>IFERROR(VLOOKUP(Country_Data[[#This Row],[Entity]],Ratings_Raw_Moodys[],2,FALSE),"-")</f>
        <v>Caa1</v>
      </c>
      <c r="L130" s="3" t="s">
        <v>16</v>
      </c>
      <c r="M130" s="3" t="s">
        <v>22</v>
      </c>
      <c r="N130" s="28"/>
      <c r="O130" s="28"/>
      <c r="P130" s="28"/>
      <c r="Q130" s="28"/>
      <c r="R130" s="28"/>
      <c r="S130" s="28"/>
      <c r="T130" s="28"/>
      <c r="U130" s="28"/>
      <c r="V130" s="28" t="str">
        <f>IF(Country_Data[[#This Row],[10 year $ yield]]="","",Country_Data[[#This Row],[10 year $ yield]]-VLOOKUP("United States",Country_Data[],15,FALSE))</f>
        <v/>
      </c>
      <c r="W130" s="28"/>
      <c r="X130" s="21"/>
    </row>
    <row r="131" spans="2:24">
      <c r="B131" s="5" t="s">
        <v>167</v>
      </c>
      <c r="C131" s="5" t="s">
        <v>240</v>
      </c>
      <c r="D131" s="21" t="str">
        <f>IFERROR(Country_Data[[#This Row],[StD of equity market]]/Country_Data[[#This Row],[StD for bond]]*VLOOKUP(Country_Data[[#This Row],[Moody''s]],Rating_to_spread_Moody[],3,FALSE),"")</f>
        <v/>
      </c>
      <c r="E131" s="32" t="str">
        <f>IF(Country_Data[[#This Row],[10 year $ yield]]="","",IFERROR(Country_Data[[#This Row],[Default spread on $ bonds]]*Country_Data[[#This Row],[StD of equity market]]/Country_Data[[#This Row],[StD for bond]],"Error"))</f>
        <v/>
      </c>
      <c r="F131" s="32" t="str">
        <f>IFERROR(Country_Data[[#This Row],[10 year yield]]-VLOOKUP(Country_Data[[#This Row],[Moody''s local]],Rating_to_spread_Moody[],3,FALSE),"")</f>
        <v/>
      </c>
      <c r="G131" s="32"/>
      <c r="H131" t="str">
        <f>IFERROR(VLOOKUP(Country_Data[[#This Row],[Entity]],Ratings_Raw_SP[],2,FALSE),"")</f>
        <v>AAA</v>
      </c>
      <c r="I131" t="str">
        <f>IFERROR(VLOOKUP(Country_Data[[#This Row],[Entity]],Ratings_Raw_Fitch[],2,FALSE),"-")</f>
        <v>AA+</v>
      </c>
      <c r="J131" t="str">
        <f>IFERROR(VLOOKUP(Country_Data[[#This Row],[Entity]],Ratings_Raw_Moodys[],2,FALSE),"-")</f>
        <v>Aa1</v>
      </c>
      <c r="L131" s="3" t="s">
        <v>10</v>
      </c>
      <c r="M131" s="3" t="s">
        <v>10</v>
      </c>
      <c r="N131" s="28"/>
      <c r="O131" s="28"/>
      <c r="P131" s="28"/>
      <c r="Q131" s="28">
        <v>2.3699999999999999E-2</v>
      </c>
      <c r="R131" s="28"/>
      <c r="S131" s="28"/>
      <c r="T131" s="28"/>
      <c r="U131" s="28"/>
      <c r="V131" s="28" t="str">
        <f>IF(Country_Data[[#This Row],[10 year $ yield]]="","",Country_Data[[#This Row],[10 year $ yield]]-VLOOKUP("United States",Country_Data[],15,FALSE))</f>
        <v/>
      </c>
      <c r="W131" s="28"/>
      <c r="X131" s="21"/>
    </row>
    <row r="132" spans="2:24">
      <c r="B132" s="4" t="s">
        <v>224</v>
      </c>
      <c r="C132" s="4" t="s">
        <v>238</v>
      </c>
      <c r="D132" s="29" t="str">
        <f>IFERROR(Country_Data[[#This Row],[StD of equity market]]/Country_Data[[#This Row],[StD for bond]]*VLOOKUP(Country_Data[[#This Row],[Moody''s]],Rating_to_spread_Moody[],3,FALSE),"")</f>
        <v/>
      </c>
      <c r="E132" s="31" t="str">
        <f>IF(Country_Data[[#This Row],[10 year $ yield]]="","",IFERROR(Country_Data[[#This Row],[Default spread on $ bonds]]*Country_Data[[#This Row],[StD of equity market]]/Country_Data[[#This Row],[StD for bond]],"Error"))</f>
        <v>Error</v>
      </c>
      <c r="F132" s="31">
        <f>IFERROR(Country_Data[[#This Row],[10 year yield]]-VLOOKUP(Country_Data[[#This Row],[Moody''s local]],Rating_to_spread_Moody[],3,FALSE),"")</f>
        <v>2.3400000000000001E-2</v>
      </c>
      <c r="G132" s="31"/>
      <c r="H132" t="str">
        <f>IFERROR(VLOOKUP(Country_Data[[#This Row],[Entity]],Ratings_Raw_SP[],2,FALSE),"")</f>
        <v/>
      </c>
      <c r="I132" t="str">
        <f>IFERROR(VLOOKUP(Country_Data[[#This Row],[Entity]],Ratings_Raw_Fitch[],2,FALSE),"-")</f>
        <v>-</v>
      </c>
      <c r="J132" t="str">
        <f>IFERROR(VLOOKUP(Country_Data[[#This Row],[Entity]],Ratings_Raw_Moodys[],2,FALSE),"-")</f>
        <v>-</v>
      </c>
      <c r="K132" t="s">
        <v>24</v>
      </c>
      <c r="L132" s="3" t="s">
        <v>6</v>
      </c>
      <c r="M132" s="3" t="s">
        <v>6</v>
      </c>
      <c r="N132" s="28">
        <v>1.1000000000000001E-3</v>
      </c>
      <c r="O132" s="28">
        <v>5.0000000000000001E-3</v>
      </c>
      <c r="P132" s="28">
        <v>1.6299999999999999E-2</v>
      </c>
      <c r="Q132" s="28">
        <v>2.3400000000000001E-2</v>
      </c>
      <c r="R132" s="28"/>
      <c r="S132" s="28">
        <v>2.8199999999999999E-2</v>
      </c>
      <c r="T132" s="28">
        <v>3.0800000000000001E-2</v>
      </c>
      <c r="U132" s="28">
        <v>2.3400000000000001E-2</v>
      </c>
      <c r="V132" s="28">
        <f>IF(Country_Data[[#This Row],[10 year $ yield]]="","",Country_Data[[#This Row],[10 year $ yield]]-VLOOKUP("United States",Country_Data[],15,FALSE))</f>
        <v>7.1000000000000021E-3</v>
      </c>
      <c r="W132" s="28"/>
      <c r="X132" s="21"/>
    </row>
    <row r="133" spans="2:24">
      <c r="B133" s="5" t="s">
        <v>169</v>
      </c>
      <c r="C133" s="5" t="s">
        <v>237</v>
      </c>
      <c r="D133" s="21" t="str">
        <f>IFERROR(Country_Data[[#This Row],[StD of equity market]]/Country_Data[[#This Row],[StD for bond]]*VLOOKUP(Country_Data[[#This Row],[Moody''s]],Rating_to_spread_Moody[],3,FALSE),"")</f>
        <v/>
      </c>
      <c r="E133" s="32" t="str">
        <f>IF(Country_Data[[#This Row],[10 year $ yield]]="","",IFERROR(Country_Data[[#This Row],[Default spread on $ bonds]]*Country_Data[[#This Row],[StD of equity market]]/Country_Data[[#This Row],[StD for bond]],"Error"))</f>
        <v/>
      </c>
      <c r="F133" s="32" t="str">
        <f>IFERROR(Country_Data[[#This Row],[10 year yield]]-VLOOKUP(Country_Data[[#This Row],[Moody''s local]],Rating_to_spread_Moody[],3,FALSE),"")</f>
        <v/>
      </c>
      <c r="G133" s="32"/>
      <c r="H133" t="str">
        <f>IFERROR(VLOOKUP(Country_Data[[#This Row],[Entity]],Ratings_Raw_SP[],2,FALSE),"")</f>
        <v>BBB-</v>
      </c>
      <c r="I133" t="str">
        <f>IFERROR(VLOOKUP(Country_Data[[#This Row],[Entity]],Ratings_Raw_Fitch[],2,FALSE),"-")</f>
        <v>BBB-</v>
      </c>
      <c r="J133" t="str">
        <f>IFERROR(VLOOKUP(Country_Data[[#This Row],[Entity]],Ratings_Raw_Moodys[],2,FALSE),"-")</f>
        <v>Baa2</v>
      </c>
      <c r="L133" s="3" t="s">
        <v>14</v>
      </c>
      <c r="M133" s="3" t="s">
        <v>14</v>
      </c>
      <c r="N133" s="28"/>
      <c r="O133" s="28"/>
      <c r="P133" s="28"/>
      <c r="Q133" s="28"/>
      <c r="R133" s="28"/>
      <c r="S133" s="28"/>
      <c r="T133" s="28"/>
      <c r="U133" s="28"/>
      <c r="V133" s="28" t="str">
        <f>IF(Country_Data[[#This Row],[10 year $ yield]]="","",Country_Data[[#This Row],[10 year $ yield]]-VLOOKUP("United States",Country_Data[],15,FALSE))</f>
        <v/>
      </c>
      <c r="W133" s="28"/>
      <c r="X133" s="21"/>
    </row>
    <row r="134" spans="2:24">
      <c r="B134" s="4" t="s">
        <v>170</v>
      </c>
      <c r="C134" s="4" t="s">
        <v>237</v>
      </c>
      <c r="D134" s="29" t="str">
        <f>IFERROR(Country_Data[[#This Row],[StD of equity market]]/Country_Data[[#This Row],[StD for bond]]*VLOOKUP(Country_Data[[#This Row],[Moody''s]],Rating_to_spread_Moody[],3,FALSE),"")</f>
        <v/>
      </c>
      <c r="E134" s="31" t="str">
        <f>IF(Country_Data[[#This Row],[10 year $ yield]]="","",IFERROR(Country_Data[[#This Row],[Default spread on $ bonds]]*Country_Data[[#This Row],[StD of equity market]]/Country_Data[[#This Row],[StD for bond]],"Error"))</f>
        <v/>
      </c>
      <c r="F134" s="31" t="str">
        <f>IFERROR(Country_Data[[#This Row],[10 year yield]]-VLOOKUP(Country_Data[[#This Row],[Moody''s local]],Rating_to_spread_Moody[],3,FALSE),"")</f>
        <v/>
      </c>
      <c r="G134" s="31"/>
      <c r="H134" t="str">
        <f>IFERROR(VLOOKUP(Country_Data[[#This Row],[Entity]],Ratings_Raw_SP[],2,FALSE),"")</f>
        <v>B</v>
      </c>
      <c r="I134" t="str">
        <f>IFERROR(VLOOKUP(Country_Data[[#This Row],[Entity]],Ratings_Raw_Fitch[],2,FALSE),"-")</f>
        <v>B+</v>
      </c>
      <c r="J134" t="str">
        <f>IFERROR(VLOOKUP(Country_Data[[#This Row],[Entity]],Ratings_Raw_Moodys[],2,FALSE),"-")</f>
        <v>B2</v>
      </c>
      <c r="L134" s="3"/>
      <c r="M134" s="3"/>
      <c r="N134" s="28"/>
      <c r="O134" s="28"/>
      <c r="P134" s="28"/>
      <c r="Q134" s="28"/>
      <c r="R134" s="28"/>
      <c r="S134" s="28"/>
      <c r="T134" s="28"/>
      <c r="U134" s="28"/>
      <c r="V134" s="28" t="str">
        <f>IF(Country_Data[[#This Row],[10 year $ yield]]="","",Country_Data[[#This Row],[10 year $ yield]]-VLOOKUP("United States",Country_Data[],15,FALSE))</f>
        <v/>
      </c>
      <c r="W134" s="28"/>
      <c r="X134" s="21"/>
    </row>
    <row r="135" spans="2:24">
      <c r="B135" s="5" t="s">
        <v>171</v>
      </c>
      <c r="C135" s="5" t="s">
        <v>233</v>
      </c>
      <c r="D135" s="21" t="str">
        <f>IFERROR(Country_Data[[#This Row],[StD of equity market]]/Country_Data[[#This Row],[StD for bond]]*VLOOKUP(Country_Data[[#This Row],[Moody''s]],Rating_to_spread_Moody[],3,FALSE),"")</f>
        <v/>
      </c>
      <c r="E135" s="32" t="str">
        <f>IF(Country_Data[[#This Row],[10 year $ yield]]="","",IFERROR(Country_Data[[#This Row],[Default spread on $ bonds]]*Country_Data[[#This Row],[StD of equity market]]/Country_Data[[#This Row],[StD for bond]],"Error"))</f>
        <v/>
      </c>
      <c r="F135" s="32" t="str">
        <f>IFERROR(Country_Data[[#This Row],[10 year yield]]-VLOOKUP(Country_Data[[#This Row],[Moody''s local]],Rating_to_spread_Moody[],3,FALSE),"")</f>
        <v/>
      </c>
      <c r="G135" s="32"/>
      <c r="H135" t="str">
        <f>IFERROR(VLOOKUP(Country_Data[[#This Row],[Entity]],Ratings_Raw_SP[],2,FALSE),"")</f>
        <v>BB-</v>
      </c>
      <c r="I135" t="str">
        <f>IFERROR(VLOOKUP(Country_Data[[#This Row],[Entity]],Ratings_Raw_Fitch[],2,FALSE),"-")</f>
        <v>B+</v>
      </c>
      <c r="J135" t="str">
        <f>IFERROR(VLOOKUP(Country_Data[[#This Row],[Entity]],Ratings_Raw_Moodys[],2,FALSE),"-")</f>
        <v>B1</v>
      </c>
      <c r="L135" s="3" t="s">
        <v>8</v>
      </c>
      <c r="M135" s="3" t="s">
        <v>8</v>
      </c>
      <c r="N135" s="28"/>
      <c r="O135" s="28"/>
      <c r="P135" s="28"/>
      <c r="Q135" s="28"/>
      <c r="R135" s="28"/>
      <c r="S135" s="28"/>
      <c r="T135" s="28"/>
      <c r="U135" s="28"/>
      <c r="V135" s="28" t="str">
        <f>IF(Country_Data[[#This Row],[10 year $ yield]]="","",Country_Data[[#This Row],[10 year $ yield]]-VLOOKUP("United States",Country_Data[],15,FALSE))</f>
        <v/>
      </c>
      <c r="W135" s="28"/>
      <c r="X135" s="21"/>
    </row>
    <row r="136" spans="2:24" ht="15.75" thickBot="1">
      <c r="B136" s="6" t="s">
        <v>172</v>
      </c>
      <c r="C136" s="8" t="s">
        <v>232</v>
      </c>
      <c r="D136" s="30" t="str">
        <f>IFERROR(Country_Data[[#This Row],[StD of equity market]]/Country_Data[[#This Row],[StD for bond]]*VLOOKUP(Country_Data[[#This Row],[Moody''s]],Rating_to_spread_Moody[],3,FALSE),"")</f>
        <v/>
      </c>
      <c r="E136" s="33" t="str">
        <f>IF(Country_Data[[#This Row],[10 year $ yield]]="","",IFERROR(Country_Data[[#This Row],[Default spread on $ bonds]]*Country_Data[[#This Row],[StD of equity market]]/Country_Data[[#This Row],[StD for bond]],"Error"))</f>
        <v/>
      </c>
      <c r="F136" s="33" t="str">
        <f>IFERROR(Country_Data[[#This Row],[10 year yield]]-VLOOKUP(Country_Data[[#This Row],[Moody''s local]],Rating_to_spread_Moody[],3,FALSE),"")</f>
        <v/>
      </c>
      <c r="G136" s="33"/>
      <c r="H136" t="str">
        <f>IFERROR(VLOOKUP(Country_Data[[#This Row],[Entity]],Ratings_Raw_SP[],2,FALSE),"")</f>
        <v>B+</v>
      </c>
      <c r="I136" t="str">
        <f>IFERROR(VLOOKUP(Country_Data[[#This Row],[Entity]],Ratings_Raw_Fitch[],2,FALSE),"-")</f>
        <v>B+</v>
      </c>
      <c r="J136" t="str">
        <f>IFERROR(VLOOKUP(Country_Data[[#This Row],[Entity]],Ratings_Raw_Moodys[],2,FALSE),"-")</f>
        <v>-</v>
      </c>
      <c r="L136" s="3" t="s">
        <v>20</v>
      </c>
      <c r="M136" s="3" t="s">
        <v>20</v>
      </c>
      <c r="N136" s="28"/>
      <c r="O136" s="28"/>
      <c r="P136" s="28"/>
      <c r="Q136" s="28"/>
      <c r="R136" s="28"/>
      <c r="S136" s="28"/>
      <c r="T136" s="28"/>
      <c r="U136" s="28"/>
      <c r="V136" s="28" t="str">
        <f>IF(Country_Data[[#This Row],[10 year $ yield]]="","",Country_Data[[#This Row],[10 year $ yield]]-VLOOKUP("United States",Country_Data[],15,FALSE))</f>
        <v/>
      </c>
      <c r="W136" s="28"/>
      <c r="X136" s="21"/>
    </row>
    <row r="137" spans="2:24">
      <c r="E137" s="9"/>
    </row>
    <row r="138" spans="2:24">
      <c r="C138" s="184" t="s">
        <v>288</v>
      </c>
      <c r="D138" s="184"/>
      <c r="E138" s="185" t="s">
        <v>287</v>
      </c>
      <c r="F138" s="185"/>
      <c r="G138" s="185"/>
    </row>
    <row r="139" spans="2:24" ht="33" customHeight="1">
      <c r="B139" s="62" t="s">
        <v>202</v>
      </c>
      <c r="C139" s="63" t="s">
        <v>226</v>
      </c>
      <c r="D139" s="13" t="s">
        <v>220</v>
      </c>
      <c r="E139" s="64" t="s">
        <v>284</v>
      </c>
      <c r="F139" s="64" t="s">
        <v>285</v>
      </c>
      <c r="G139" s="65" t="s">
        <v>286</v>
      </c>
    </row>
    <row r="140" spans="2:24">
      <c r="B140" s="56" t="s">
        <v>232</v>
      </c>
      <c r="C140" s="66">
        <f>SUMIF(Country_Data[Region],Region_Data[[#This Row],[Region]],Country_Data[Country risk premium '[rating spread']])/COUNTIF(Country_Data[Region],Region_Data[[#This Row],[Region]])</f>
        <v>0</v>
      </c>
      <c r="D140" s="66">
        <f>SUMIF(Country_Data[Region],Region_Data[[#This Row],[Region]],Country_Data[Adjusted
currency '[10 year']])/COUNTIF(Country_Data[Region],Region_Data[[#This Row],[Region]])</f>
        <v>0</v>
      </c>
      <c r="E140" s="57">
        <v>3.3596502349547593E-2</v>
      </c>
      <c r="F140" s="57">
        <v>0.10039475352432138</v>
      </c>
      <c r="G140" s="55">
        <v>5.0394753524321392E-2</v>
      </c>
    </row>
    <row r="141" spans="2:24">
      <c r="B141" s="56" t="s">
        <v>233</v>
      </c>
      <c r="C141" s="66">
        <f>SUMIF(Country_Data[Region],Region_Data[[#This Row],[Region]],Country_Data[Country risk premium '[rating spread']])/COUNTIF(Country_Data[Region],Region_Data[[#This Row],[Region]])</f>
        <v>1.5023474178403758E-3</v>
      </c>
      <c r="D141" s="66">
        <f>SUMIF(Country_Data[Region],Region_Data[[#This Row],[Region]],Country_Data[Adjusted
currency '[10 year']])/COUNTIF(Country_Data[Region],Region_Data[[#This Row],[Region]])</f>
        <v>4.045E-3</v>
      </c>
      <c r="E141" s="57">
        <v>1.0035901145989772E-2</v>
      </c>
      <c r="F141" s="57">
        <v>6.5053851718984659E-2</v>
      </c>
      <c r="G141" s="55">
        <v>1.5053851718984658E-2</v>
      </c>
    </row>
    <row r="142" spans="2:24">
      <c r="B142" t="s">
        <v>235</v>
      </c>
      <c r="C142" s="66">
        <f>SUMIF(Country_Data[Region],Region_Data[[#This Row],[Region]],Country_Data[Country risk premium '[rating spread']])/COUNTIF(Country_Data[Region],Region_Data[[#This Row],[Region]])</f>
        <v>0</v>
      </c>
      <c r="D142" s="66">
        <f>SUMIF(Country_Data[Region],Region_Data[[#This Row],[Region]],Country_Data[Adjusted
currency '[10 year']])/COUNTIF(Country_Data[Region],Region_Data[[#This Row],[Region]])</f>
        <v>0</v>
      </c>
      <c r="E142" s="57">
        <v>3.2499265757329183E-5</v>
      </c>
      <c r="F142" s="57">
        <v>5.0048748898635989E-2</v>
      </c>
      <c r="G142" s="55">
        <v>4.8748898635993778E-5</v>
      </c>
    </row>
    <row r="143" spans="2:24">
      <c r="B143" s="56" t="s">
        <v>236</v>
      </c>
      <c r="C143" s="66">
        <f>SUMIF(Country_Data[Region],Region_Data[[#This Row],[Region]],Country_Data[Country risk premium '[rating spread']])/COUNTIF(Country_Data[Region],Region_Data[[#This Row],[Region]])</f>
        <v>0</v>
      </c>
      <c r="D143" s="66">
        <f>SUMIF(Country_Data[Region],Region_Data[[#This Row],[Region]],Country_Data[Adjusted
currency '[10 year']])/COUNTIF(Country_Data[Region],Region_Data[[#This Row],[Region]])</f>
        <v>0</v>
      </c>
      <c r="E143" s="57">
        <v>5.0976676663901467E-2</v>
      </c>
      <c r="F143" s="57">
        <v>0.12646501499585222</v>
      </c>
      <c r="G143" s="55">
        <v>7.6465014995852204E-2</v>
      </c>
    </row>
    <row r="144" spans="2:24">
      <c r="B144" s="56" t="s">
        <v>237</v>
      </c>
      <c r="C144" s="66">
        <f>SUMIF(Country_Data[Region],Region_Data[[#This Row],[Region]],Country_Data[Country risk premium '[rating spread']])/COUNTIF(Country_Data[Region],Region_Data[[#This Row],[Region]])</f>
        <v>6.9163602941176472E-4</v>
      </c>
      <c r="D144" s="66">
        <f>SUMIF(Country_Data[Region],Region_Data[[#This Row],[Region]],Country_Data[Adjusted
currency '[10 year']])/COUNTIF(Country_Data[Region],Region_Data[[#This Row],[Region]])</f>
        <v>2.6562500000000006E-3</v>
      </c>
      <c r="E144" s="57">
        <v>2.4151684133909942E-2</v>
      </c>
      <c r="F144" s="57">
        <v>8.6227526200864907E-2</v>
      </c>
      <c r="G144" s="55">
        <v>3.6227526200864911E-2</v>
      </c>
    </row>
    <row r="145" spans="2:7">
      <c r="B145" s="56" t="s">
        <v>242</v>
      </c>
      <c r="C145" s="66">
        <f>SUMIF(Country_Data[Region],Region_Data[[#This Row],[Region]],Country_Data[Country risk premium '[rating spread']])/COUNTIF(Country_Data[Region],Region_Data[[#This Row],[Region]])</f>
        <v>0</v>
      </c>
      <c r="D145" s="66">
        <f>SUMIF(Country_Data[Region],Region_Data[[#This Row],[Region]],Country_Data[Adjusted
currency '[10 year']])/COUNTIF(Country_Data[Region],Region_Data[[#This Row],[Region]])</f>
        <v>0</v>
      </c>
      <c r="E145" s="57">
        <v>1.9763518915280838E-2</v>
      </c>
      <c r="F145" s="57">
        <v>7.9645278372921249E-2</v>
      </c>
      <c r="G145" s="55">
        <v>2.9645278372921257E-2</v>
      </c>
    </row>
    <row r="146" spans="2:7">
      <c r="B146" s="56" t="s">
        <v>239</v>
      </c>
      <c r="C146" s="66">
        <f>SUMIF(Country_Data[Region],Region_Data[[#This Row],[Region]],Country_Data[Country risk premium '[rating spread']])/COUNTIF(Country_Data[Region],Region_Data[[#This Row],[Region]])</f>
        <v>0</v>
      </c>
      <c r="D146" s="66">
        <f>SUMIF(Country_Data[Region],Region_Data[[#This Row],[Region]],Country_Data[Adjusted
currency '[10 year']])/COUNTIF(Country_Data[Region],Region_Data[[#This Row],[Region]])</f>
        <v>0</v>
      </c>
      <c r="E146" s="57">
        <v>7.6259587998964325E-3</v>
      </c>
      <c r="F146" s="57">
        <v>6.1438938199844653E-2</v>
      </c>
      <c r="G146" s="55">
        <v>1.1438938199844649E-2</v>
      </c>
    </row>
    <row r="147" spans="2:7">
      <c r="B147" s="56" t="s">
        <v>238</v>
      </c>
      <c r="C147" s="66">
        <f>SUMIF(Country_Data[Region],Region_Data[[#This Row],[Region]],Country_Data[Country risk premium '[rating spread']])/COUNTIF(Country_Data[Region],Region_Data[[#This Row],[Region]])</f>
        <v>0</v>
      </c>
      <c r="D147" s="66">
        <f>SUMIF(Country_Data[Region],Region_Data[[#This Row],[Region]],Country_Data[Adjusted
currency '[10 year']])/COUNTIF(Country_Data[Region],Region_Data[[#This Row],[Region]])</f>
        <v>1.17E-2</v>
      </c>
      <c r="E147" s="57">
        <v>0</v>
      </c>
      <c r="F147" s="57">
        <v>5.000000000000001E-2</v>
      </c>
      <c r="G147" s="55">
        <v>0</v>
      </c>
    </row>
    <row r="148" spans="2:7">
      <c r="B148" s="56" t="s">
        <v>240</v>
      </c>
      <c r="C148" s="66">
        <f>SUMIF(Country_Data[Region],Region_Data[[#This Row],[Region]],Country_Data[Country risk premium '[rating spread']])/COUNTIF(Country_Data[Region],Region_Data[[#This Row],[Region]])</f>
        <v>0</v>
      </c>
      <c r="D148" s="66">
        <f>SUMIF(Country_Data[Region],Region_Data[[#This Row],[Region]],Country_Data[Adjusted
currency '[10 year']])/COUNTIF(Country_Data[Region],Region_Data[[#This Row],[Region]])</f>
        <v>0</v>
      </c>
      <c r="E148" s="57">
        <v>8.6273759134598334E-3</v>
      </c>
      <c r="F148" s="57">
        <v>6.2941063870189759E-2</v>
      </c>
      <c r="G148" s="55">
        <v>1.2941063870189749E-2</v>
      </c>
    </row>
    <row r="149" spans="2:7">
      <c r="B149" s="58" t="s">
        <v>241</v>
      </c>
      <c r="C149" s="67" t="e">
        <f>SUMIF(Country_Data[Region],Region_Data[[#This Row],[Region]],Country_Data[Country risk premium '[rating spread']])/COUNTIF(Country_Data[Region],Region_Data[[#This Row],[Region]])</f>
        <v>#DIV/0!</v>
      </c>
      <c r="D149" s="67" t="e">
        <f>SUMIF(Country_Data[Region],Region_Data[[#This Row],[Region]],Country_Data[Adjusted
currency '[10 year']])/COUNTIF(Country_Data[Region],Region_Data[[#This Row],[Region]])</f>
        <v>#DIV/0!</v>
      </c>
      <c r="E149" s="59">
        <v>8.9999999999999993E-3</v>
      </c>
      <c r="F149" s="60">
        <v>6.3500000000000001E-2</v>
      </c>
      <c r="G149" s="61">
        <v>1.35E-2</v>
      </c>
    </row>
    <row r="271" ht="30.75" customHeight="1"/>
  </sheetData>
  <mergeCells count="3">
    <mergeCell ref="B2:B4"/>
    <mergeCell ref="C138:D138"/>
    <mergeCell ref="E138:G138"/>
  </mergeCells>
  <hyperlinks>
    <hyperlink ref="D3" location="Summary!B3" display="Summary"/>
    <hyperlink ref="F3" location="Investments!B3" display="Investments"/>
    <hyperlink ref="G3" location="'Country &amp; region data'!B3" display="Country &amp; region"/>
    <hyperlink ref="E3" location="'Models &amp; inputs'!B3" display="Models &amp;  inputs"/>
  </hyperlink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7"/>
  <dimension ref="B1:N157"/>
  <sheetViews>
    <sheetView showGridLines="0" workbookViewId="0">
      <pane xSplit="1" ySplit="8" topLeftCell="D141" activePane="bottomRight" state="frozen"/>
      <selection pane="topRight" activeCell="B1" sqref="B1"/>
      <selection pane="bottomLeft" activeCell="A9" sqref="A9"/>
      <selection pane="bottomRight" activeCell="H143" sqref="H143"/>
    </sheetView>
  </sheetViews>
  <sheetFormatPr defaultRowHeight="15"/>
  <cols>
    <col min="1" max="1" width="2.28515625" customWidth="1"/>
    <col min="2" max="2" width="22.85546875" bestFit="1" customWidth="1"/>
    <col min="3" max="3" width="9.42578125" bestFit="1" customWidth="1"/>
    <col min="4" max="9" width="23.5703125" customWidth="1"/>
    <col min="10" max="10" width="9.42578125" customWidth="1"/>
    <col min="11" max="11" width="13.28515625" bestFit="1" customWidth="1"/>
    <col min="12" max="13" width="16.42578125" customWidth="1"/>
    <col min="14" max="15" width="13.85546875" customWidth="1"/>
    <col min="17" max="22" width="11" customWidth="1"/>
  </cols>
  <sheetData>
    <row r="1" spans="2:14" ht="4.5" customHeight="1">
      <c r="B1" s="1"/>
    </row>
    <row r="2" spans="2:14" s="2" customFormat="1" ht="9.75" customHeight="1">
      <c r="B2" s="164" t="s">
        <v>209</v>
      </c>
    </row>
    <row r="3" spans="2:14" s="2" customFormat="1" ht="57" customHeight="1" thickBot="1">
      <c r="B3" s="164"/>
      <c r="C3" s="23"/>
      <c r="D3" s="25" t="s">
        <v>206</v>
      </c>
      <c r="E3" s="25" t="s">
        <v>243</v>
      </c>
      <c r="F3" s="26" t="s">
        <v>207</v>
      </c>
      <c r="G3" s="26" t="s">
        <v>208</v>
      </c>
      <c r="H3" s="24"/>
      <c r="I3" s="22"/>
      <c r="J3" s="22"/>
      <c r="K3" s="22"/>
      <c r="L3" s="22"/>
      <c r="M3" s="22"/>
      <c r="N3" s="22"/>
    </row>
    <row r="4" spans="2:14" s="2" customFormat="1" ht="9.75" customHeight="1" thickTop="1">
      <c r="B4" s="164"/>
    </row>
    <row r="5" spans="2:14" ht="7.5" customHeight="1">
      <c r="B5" s="1"/>
    </row>
    <row r="7" spans="2:14">
      <c r="B7" s="172" t="s">
        <v>0</v>
      </c>
      <c r="C7" s="172"/>
      <c r="D7" s="172"/>
      <c r="F7" s="172" t="s">
        <v>2</v>
      </c>
      <c r="G7" s="172"/>
      <c r="H7" s="172"/>
      <c r="J7" s="172" t="s">
        <v>1</v>
      </c>
      <c r="K7" s="172"/>
      <c r="L7" s="172"/>
    </row>
    <row r="8" spans="2:14">
      <c r="B8" t="s">
        <v>3</v>
      </c>
      <c r="C8" t="s">
        <v>43</v>
      </c>
      <c r="D8" t="s">
        <v>188</v>
      </c>
      <c r="F8" t="s">
        <v>3</v>
      </c>
      <c r="G8" t="s">
        <v>43</v>
      </c>
      <c r="H8" t="s">
        <v>188</v>
      </c>
      <c r="J8" t="s">
        <v>3</v>
      </c>
      <c r="K8" t="s">
        <v>43</v>
      </c>
      <c r="L8" t="s">
        <v>23</v>
      </c>
    </row>
    <row r="9" spans="2:14">
      <c r="B9" t="s">
        <v>221</v>
      </c>
      <c r="C9" t="s">
        <v>10</v>
      </c>
      <c r="D9" s="7">
        <v>40876</v>
      </c>
      <c r="F9" t="s">
        <v>221</v>
      </c>
      <c r="G9" t="s">
        <v>10</v>
      </c>
      <c r="H9" s="7">
        <v>40868</v>
      </c>
      <c r="J9" t="s">
        <v>221</v>
      </c>
      <c r="K9" t="s">
        <v>24</v>
      </c>
      <c r="L9" s="7">
        <v>40760</v>
      </c>
    </row>
    <row r="10" spans="2:14">
      <c r="B10" t="s">
        <v>45</v>
      </c>
      <c r="C10" t="s">
        <v>5</v>
      </c>
      <c r="D10" s="7">
        <v>40959</v>
      </c>
      <c r="F10" t="s">
        <v>173</v>
      </c>
      <c r="G10" t="s">
        <v>5</v>
      </c>
      <c r="H10" s="7">
        <v>40868</v>
      </c>
      <c r="J10" t="s">
        <v>46</v>
      </c>
      <c r="K10" t="s">
        <v>37</v>
      </c>
      <c r="L10" s="7">
        <v>40760</v>
      </c>
    </row>
    <row r="11" spans="2:14">
      <c r="B11" t="s">
        <v>46</v>
      </c>
      <c r="C11" t="s">
        <v>20</v>
      </c>
      <c r="D11" s="7">
        <v>40959</v>
      </c>
      <c r="F11" t="s">
        <v>48</v>
      </c>
      <c r="G11" t="s">
        <v>8</v>
      </c>
      <c r="H11" s="7">
        <v>40868</v>
      </c>
      <c r="J11" t="s">
        <v>48</v>
      </c>
      <c r="K11" t="s">
        <v>36</v>
      </c>
      <c r="L11" s="7">
        <v>40760</v>
      </c>
    </row>
    <row r="12" spans="2:14">
      <c r="B12" t="s">
        <v>47</v>
      </c>
      <c r="C12" t="s">
        <v>9</v>
      </c>
      <c r="D12" s="7">
        <v>40959</v>
      </c>
      <c r="F12" t="s">
        <v>49</v>
      </c>
      <c r="G12" t="s">
        <v>192</v>
      </c>
      <c r="H12" s="7">
        <v>41851</v>
      </c>
      <c r="J12" t="s">
        <v>49</v>
      </c>
      <c r="K12" t="s">
        <v>40</v>
      </c>
      <c r="L12" s="7">
        <v>41851</v>
      </c>
    </row>
    <row r="13" spans="2:14">
      <c r="B13" t="s">
        <v>48</v>
      </c>
      <c r="C13" t="s">
        <v>8</v>
      </c>
      <c r="D13" s="7">
        <v>40959</v>
      </c>
      <c r="F13" t="s">
        <v>174</v>
      </c>
      <c r="G13" t="s">
        <v>8</v>
      </c>
      <c r="H13" s="7">
        <v>40868</v>
      </c>
      <c r="J13" t="s">
        <v>174</v>
      </c>
      <c r="K13" t="s">
        <v>35</v>
      </c>
      <c r="L13" s="7">
        <v>40868</v>
      </c>
    </row>
    <row r="14" spans="2:14">
      <c r="B14" t="s">
        <v>49</v>
      </c>
      <c r="C14" t="s">
        <v>12</v>
      </c>
      <c r="D14" s="7">
        <v>41807</v>
      </c>
      <c r="F14" t="s">
        <v>50</v>
      </c>
      <c r="G14" t="s">
        <v>15</v>
      </c>
      <c r="H14" s="7">
        <v>40868</v>
      </c>
      <c r="J14" t="s">
        <v>51</v>
      </c>
      <c r="K14" t="s">
        <v>24</v>
      </c>
      <c r="L14" s="7">
        <v>40760</v>
      </c>
    </row>
    <row r="15" spans="2:14">
      <c r="B15" t="s">
        <v>50</v>
      </c>
      <c r="C15" t="s">
        <v>9</v>
      </c>
      <c r="D15" s="7">
        <v>40959</v>
      </c>
      <c r="F15" t="s">
        <v>51</v>
      </c>
      <c r="G15" t="s">
        <v>10</v>
      </c>
      <c r="H15" s="7">
        <v>40876</v>
      </c>
      <c r="J15" t="s">
        <v>52</v>
      </c>
      <c r="K15" t="s">
        <v>24</v>
      </c>
      <c r="L15" s="7">
        <v>40952</v>
      </c>
    </row>
    <row r="16" spans="2:14">
      <c r="B16" t="s">
        <v>51</v>
      </c>
      <c r="C16" t="s">
        <v>10</v>
      </c>
      <c r="D16" s="7">
        <v>40959</v>
      </c>
      <c r="F16" t="s">
        <v>52</v>
      </c>
      <c r="G16" t="s">
        <v>10</v>
      </c>
      <c r="H16" s="7">
        <v>40868</v>
      </c>
      <c r="J16" t="s">
        <v>53</v>
      </c>
      <c r="K16" t="s">
        <v>33</v>
      </c>
      <c r="L16" s="7">
        <v>41018</v>
      </c>
    </row>
    <row r="17" spans="2:12">
      <c r="B17" t="s">
        <v>52</v>
      </c>
      <c r="C17" t="s">
        <v>6</v>
      </c>
      <c r="D17" s="7">
        <v>40959</v>
      </c>
      <c r="F17" t="s">
        <v>53</v>
      </c>
      <c r="G17" t="s">
        <v>14</v>
      </c>
      <c r="H17" s="7">
        <v>40868</v>
      </c>
      <c r="J17" t="s">
        <v>54</v>
      </c>
      <c r="K17" t="s">
        <v>29</v>
      </c>
      <c r="L17" s="7">
        <v>40760</v>
      </c>
    </row>
    <row r="18" spans="2:12">
      <c r="B18" t="s">
        <v>53</v>
      </c>
      <c r="C18" t="s">
        <v>14</v>
      </c>
      <c r="D18" s="7">
        <v>40959</v>
      </c>
      <c r="F18" t="s">
        <v>55</v>
      </c>
      <c r="G18" t="s">
        <v>15</v>
      </c>
      <c r="H18" s="7">
        <v>40868</v>
      </c>
      <c r="J18" t="s">
        <v>55</v>
      </c>
      <c r="K18" t="s">
        <v>193</v>
      </c>
      <c r="L18" s="7">
        <v>40760</v>
      </c>
    </row>
    <row r="19" spans="2:12">
      <c r="B19" t="s">
        <v>54</v>
      </c>
      <c r="C19" t="s">
        <v>15</v>
      </c>
      <c r="D19" s="7">
        <v>40959</v>
      </c>
      <c r="F19" t="s">
        <v>59</v>
      </c>
      <c r="G19" t="s">
        <v>5</v>
      </c>
      <c r="H19" s="7">
        <v>41298</v>
      </c>
      <c r="J19" t="s">
        <v>56</v>
      </c>
      <c r="K19" t="s">
        <v>36</v>
      </c>
      <c r="L19" s="7">
        <v>40760</v>
      </c>
    </row>
    <row r="20" spans="2:12">
      <c r="B20" t="s">
        <v>55</v>
      </c>
      <c r="C20" t="s">
        <v>15</v>
      </c>
      <c r="D20" s="7">
        <v>40959</v>
      </c>
      <c r="F20" t="s">
        <v>61</v>
      </c>
      <c r="G20" t="s">
        <v>7</v>
      </c>
      <c r="H20" s="7">
        <v>40868</v>
      </c>
      <c r="J20" t="s">
        <v>57</v>
      </c>
      <c r="K20" t="s">
        <v>33</v>
      </c>
      <c r="L20" s="7">
        <v>40760</v>
      </c>
    </row>
    <row r="21" spans="2:12">
      <c r="B21" t="s">
        <v>56</v>
      </c>
      <c r="C21" t="s">
        <v>8</v>
      </c>
      <c r="D21" s="7">
        <v>40959</v>
      </c>
      <c r="F21" t="s">
        <v>62</v>
      </c>
      <c r="G21" t="s">
        <v>6</v>
      </c>
      <c r="H21" s="7">
        <v>40868</v>
      </c>
      <c r="J21" t="s">
        <v>58</v>
      </c>
      <c r="K21" t="s">
        <v>39</v>
      </c>
      <c r="L21" s="7">
        <v>40760</v>
      </c>
    </row>
    <row r="22" spans="2:12">
      <c r="B22" t="s">
        <v>57</v>
      </c>
      <c r="C22" t="s">
        <v>21</v>
      </c>
      <c r="D22" s="7">
        <v>40959</v>
      </c>
      <c r="F22" t="s">
        <v>63</v>
      </c>
      <c r="G22" t="s">
        <v>8</v>
      </c>
      <c r="H22" s="7">
        <v>40868</v>
      </c>
      <c r="J22" t="s">
        <v>59</v>
      </c>
      <c r="K22" t="s">
        <v>27</v>
      </c>
      <c r="L22" s="7">
        <v>40893</v>
      </c>
    </row>
    <row r="23" spans="2:12">
      <c r="B23" t="s">
        <v>58</v>
      </c>
      <c r="C23" t="s">
        <v>16</v>
      </c>
      <c r="D23" s="7">
        <v>41381</v>
      </c>
      <c r="F23" t="s">
        <v>66</v>
      </c>
      <c r="G23" t="s">
        <v>15</v>
      </c>
      <c r="H23" s="7">
        <v>40868</v>
      </c>
      <c r="J23" t="s">
        <v>60</v>
      </c>
      <c r="K23" t="s">
        <v>39</v>
      </c>
      <c r="L23" s="7">
        <v>40760</v>
      </c>
    </row>
    <row r="24" spans="2:12">
      <c r="B24" t="s">
        <v>59</v>
      </c>
      <c r="C24" t="s">
        <v>5</v>
      </c>
      <c r="D24" s="7">
        <v>40959</v>
      </c>
      <c r="F24" t="s">
        <v>67</v>
      </c>
      <c r="G24" t="s">
        <v>14</v>
      </c>
      <c r="H24" s="7">
        <v>40868</v>
      </c>
      <c r="J24" t="s">
        <v>62</v>
      </c>
      <c r="K24" t="s">
        <v>26</v>
      </c>
      <c r="L24" s="7">
        <v>40760</v>
      </c>
    </row>
    <row r="25" spans="2:12">
      <c r="B25" t="s">
        <v>60</v>
      </c>
      <c r="C25" t="s">
        <v>16</v>
      </c>
      <c r="D25" s="7">
        <v>40959</v>
      </c>
      <c r="F25" t="s">
        <v>70</v>
      </c>
      <c r="G25" t="s">
        <v>7</v>
      </c>
      <c r="H25" s="7">
        <v>40868</v>
      </c>
      <c r="J25" t="s">
        <v>63</v>
      </c>
      <c r="K25" t="s">
        <v>36</v>
      </c>
      <c r="L25" s="7">
        <v>40760</v>
      </c>
    </row>
    <row r="26" spans="2:12">
      <c r="B26" t="s">
        <v>61</v>
      </c>
      <c r="C26" t="s">
        <v>7</v>
      </c>
      <c r="D26" s="7">
        <v>40959</v>
      </c>
      <c r="F26" t="s">
        <v>71</v>
      </c>
      <c r="G26" t="s">
        <v>10</v>
      </c>
      <c r="H26" s="7">
        <v>40868</v>
      </c>
      <c r="J26" t="s">
        <v>64</v>
      </c>
      <c r="K26" t="s">
        <v>39</v>
      </c>
      <c r="L26" s="7">
        <v>41002</v>
      </c>
    </row>
    <row r="27" spans="2:12">
      <c r="B27" t="s">
        <v>62</v>
      </c>
      <c r="C27" t="s">
        <v>17</v>
      </c>
      <c r="D27" s="7">
        <v>40959</v>
      </c>
      <c r="F27" t="s">
        <v>72</v>
      </c>
      <c r="G27" t="s">
        <v>20</v>
      </c>
      <c r="H27" s="7">
        <v>40868</v>
      </c>
      <c r="J27" t="s">
        <v>65</v>
      </c>
      <c r="K27" t="s">
        <v>29</v>
      </c>
      <c r="L27" s="7">
        <v>40760</v>
      </c>
    </row>
    <row r="28" spans="2:12">
      <c r="B28" t="s">
        <v>63</v>
      </c>
      <c r="C28" t="s">
        <v>8</v>
      </c>
      <c r="D28" s="7">
        <v>40959</v>
      </c>
      <c r="F28" t="s">
        <v>73</v>
      </c>
      <c r="G28" t="s">
        <v>19</v>
      </c>
      <c r="H28" s="7">
        <v>40868</v>
      </c>
      <c r="J28" t="s">
        <v>66</v>
      </c>
      <c r="K28" t="s">
        <v>32</v>
      </c>
      <c r="L28" s="7">
        <v>40760</v>
      </c>
    </row>
    <row r="29" spans="2:12">
      <c r="B29" t="s">
        <v>64</v>
      </c>
      <c r="C29" t="s">
        <v>7</v>
      </c>
      <c r="D29" s="7">
        <v>40959</v>
      </c>
      <c r="F29" t="s">
        <v>74</v>
      </c>
      <c r="G29" t="s">
        <v>19</v>
      </c>
      <c r="H29" s="7">
        <v>40868</v>
      </c>
      <c r="J29" t="s">
        <v>67</v>
      </c>
      <c r="K29" t="s">
        <v>32</v>
      </c>
      <c r="L29" s="7">
        <v>40760</v>
      </c>
    </row>
    <row r="30" spans="2:12">
      <c r="B30" t="s">
        <v>65</v>
      </c>
      <c r="C30" t="s">
        <v>9</v>
      </c>
      <c r="D30" s="7">
        <v>40959</v>
      </c>
      <c r="F30" t="s">
        <v>75</v>
      </c>
      <c r="G30" t="s">
        <v>15</v>
      </c>
      <c r="H30" s="7">
        <v>41618</v>
      </c>
      <c r="J30" t="s">
        <v>69</v>
      </c>
      <c r="K30" t="s">
        <v>38</v>
      </c>
      <c r="L30" s="7">
        <v>40760</v>
      </c>
    </row>
    <row r="31" spans="2:12">
      <c r="B31" t="s">
        <v>66</v>
      </c>
      <c r="C31" t="s">
        <v>14</v>
      </c>
      <c r="D31" s="7">
        <v>41722</v>
      </c>
      <c r="F31" t="s">
        <v>77</v>
      </c>
      <c r="G31" t="s">
        <v>21</v>
      </c>
      <c r="H31" s="7">
        <v>40868</v>
      </c>
      <c r="J31" t="s">
        <v>71</v>
      </c>
      <c r="K31" t="s">
        <v>24</v>
      </c>
      <c r="L31" s="7">
        <v>40760</v>
      </c>
    </row>
    <row r="32" spans="2:12">
      <c r="B32" t="s">
        <v>67</v>
      </c>
      <c r="C32" t="s">
        <v>14</v>
      </c>
      <c r="D32" s="7">
        <v>41772</v>
      </c>
      <c r="F32" t="s">
        <v>78</v>
      </c>
      <c r="G32" t="s">
        <v>15</v>
      </c>
      <c r="H32" s="7">
        <v>41157</v>
      </c>
      <c r="J32" t="s">
        <v>179</v>
      </c>
      <c r="K32" t="s">
        <v>27</v>
      </c>
      <c r="L32" s="7">
        <v>40760</v>
      </c>
    </row>
    <row r="33" spans="2:12">
      <c r="B33" t="s">
        <v>68</v>
      </c>
      <c r="C33" t="s">
        <v>7</v>
      </c>
      <c r="D33" s="7">
        <v>40959</v>
      </c>
      <c r="F33" t="s">
        <v>80</v>
      </c>
      <c r="G33" t="s">
        <v>8</v>
      </c>
      <c r="H33" s="7">
        <v>41235</v>
      </c>
      <c r="J33" t="s">
        <v>73</v>
      </c>
      <c r="K33" t="s">
        <v>27</v>
      </c>
      <c r="L33" s="7">
        <v>40760</v>
      </c>
    </row>
    <row r="34" spans="2:12">
      <c r="B34" t="s">
        <v>69</v>
      </c>
      <c r="C34" t="s">
        <v>7</v>
      </c>
      <c r="D34" s="7">
        <v>40959</v>
      </c>
      <c r="F34" t="s">
        <v>81</v>
      </c>
      <c r="G34" t="s">
        <v>19</v>
      </c>
      <c r="H34" s="7">
        <v>40868</v>
      </c>
      <c r="J34" t="s">
        <v>74</v>
      </c>
      <c r="K34" t="s">
        <v>27</v>
      </c>
      <c r="L34" s="7">
        <v>40760</v>
      </c>
    </row>
    <row r="35" spans="2:12">
      <c r="B35" t="s">
        <v>70</v>
      </c>
      <c r="C35" t="s">
        <v>7</v>
      </c>
      <c r="D35" s="7">
        <v>40959</v>
      </c>
      <c r="F35" t="s">
        <v>82</v>
      </c>
      <c r="G35" t="s">
        <v>10</v>
      </c>
      <c r="H35" s="7">
        <v>40868</v>
      </c>
      <c r="J35" t="s">
        <v>75</v>
      </c>
      <c r="K35" t="s">
        <v>32</v>
      </c>
      <c r="L35" s="7">
        <v>41848</v>
      </c>
    </row>
    <row r="36" spans="2:12">
      <c r="B36" t="s">
        <v>71</v>
      </c>
      <c r="C36" t="s">
        <v>10</v>
      </c>
      <c r="D36" s="7">
        <v>40959</v>
      </c>
      <c r="F36" t="s">
        <v>83</v>
      </c>
      <c r="G36" t="s">
        <v>7</v>
      </c>
      <c r="H36" s="7">
        <v>40868</v>
      </c>
      <c r="J36" t="s">
        <v>77</v>
      </c>
      <c r="K36" t="s">
        <v>33</v>
      </c>
      <c r="L36" s="7">
        <v>40760</v>
      </c>
    </row>
    <row r="37" spans="2:12">
      <c r="B37" t="s">
        <v>72</v>
      </c>
      <c r="C37" t="s">
        <v>20</v>
      </c>
      <c r="D37" s="7">
        <v>40959</v>
      </c>
      <c r="F37" t="s">
        <v>84</v>
      </c>
      <c r="G37" t="s">
        <v>7</v>
      </c>
      <c r="H37" s="7">
        <v>41565</v>
      </c>
      <c r="J37" t="s">
        <v>78</v>
      </c>
      <c r="K37" t="s">
        <v>33</v>
      </c>
      <c r="L37" s="7">
        <v>40760</v>
      </c>
    </row>
    <row r="38" spans="2:12">
      <c r="B38" t="s">
        <v>73</v>
      </c>
      <c r="C38" t="s">
        <v>17</v>
      </c>
      <c r="D38" s="7">
        <v>41269</v>
      </c>
      <c r="F38" t="s">
        <v>85</v>
      </c>
      <c r="G38" t="s">
        <v>16</v>
      </c>
      <c r="H38" s="7">
        <v>41304</v>
      </c>
      <c r="J38" t="s">
        <v>180</v>
      </c>
      <c r="K38" t="s">
        <v>40</v>
      </c>
      <c r="L38" s="7">
        <v>40760</v>
      </c>
    </row>
    <row r="39" spans="2:12">
      <c r="B39" t="s">
        <v>74</v>
      </c>
      <c r="C39" t="s">
        <v>17</v>
      </c>
      <c r="D39" s="7">
        <v>40959</v>
      </c>
      <c r="F39" t="s">
        <v>86</v>
      </c>
      <c r="G39" t="s">
        <v>8</v>
      </c>
      <c r="H39" s="7">
        <v>41471</v>
      </c>
      <c r="J39" t="s">
        <v>80</v>
      </c>
      <c r="K39" t="s">
        <v>42</v>
      </c>
      <c r="L39" s="7">
        <v>41719</v>
      </c>
    </row>
    <row r="40" spans="2:12">
      <c r="B40" t="s">
        <v>75</v>
      </c>
      <c r="C40" t="s">
        <v>15</v>
      </c>
      <c r="D40" s="7">
        <v>41388</v>
      </c>
      <c r="F40" t="s">
        <v>88</v>
      </c>
      <c r="G40" t="s">
        <v>19</v>
      </c>
      <c r="H40" s="7">
        <v>40868</v>
      </c>
      <c r="J40" t="s">
        <v>81</v>
      </c>
      <c r="K40" t="s">
        <v>28</v>
      </c>
      <c r="L40" s="7">
        <v>41108</v>
      </c>
    </row>
    <row r="41" spans="2:12">
      <c r="B41" t="s">
        <v>76</v>
      </c>
      <c r="C41" t="s">
        <v>20</v>
      </c>
      <c r="D41" s="7">
        <v>40959</v>
      </c>
      <c r="F41" t="s">
        <v>90</v>
      </c>
      <c r="G41" t="s">
        <v>10</v>
      </c>
      <c r="H41" s="7">
        <v>40868</v>
      </c>
      <c r="J41" t="s">
        <v>82</v>
      </c>
      <c r="K41" t="s">
        <v>24</v>
      </c>
      <c r="L41" s="7">
        <v>40760</v>
      </c>
    </row>
    <row r="42" spans="2:12">
      <c r="B42" t="s">
        <v>77</v>
      </c>
      <c r="C42" t="s">
        <v>18</v>
      </c>
      <c r="D42" s="7">
        <v>40959</v>
      </c>
      <c r="F42" t="s">
        <v>91</v>
      </c>
      <c r="G42" t="s">
        <v>6</v>
      </c>
      <c r="H42" s="7">
        <v>41467</v>
      </c>
      <c r="J42" t="s">
        <v>83</v>
      </c>
      <c r="K42" t="s">
        <v>37</v>
      </c>
      <c r="L42" s="7">
        <v>40760</v>
      </c>
    </row>
    <row r="43" spans="2:12">
      <c r="B43" t="s">
        <v>78</v>
      </c>
      <c r="C43" t="s">
        <v>21</v>
      </c>
      <c r="D43" s="7">
        <v>41257</v>
      </c>
      <c r="F43" t="s">
        <v>92</v>
      </c>
      <c r="G43" t="s">
        <v>8</v>
      </c>
      <c r="H43" s="7">
        <v>40868</v>
      </c>
      <c r="J43" t="s">
        <v>84</v>
      </c>
      <c r="K43" t="s">
        <v>40</v>
      </c>
      <c r="L43" s="7">
        <v>41166</v>
      </c>
    </row>
    <row r="44" spans="2:12">
      <c r="B44" t="s">
        <v>79</v>
      </c>
      <c r="C44" t="s">
        <v>9</v>
      </c>
      <c r="D44" s="7">
        <v>40959</v>
      </c>
      <c r="F44" t="s">
        <v>93</v>
      </c>
      <c r="G44" t="s">
        <v>20</v>
      </c>
      <c r="H44" s="7">
        <v>40868</v>
      </c>
      <c r="J44" t="s">
        <v>85</v>
      </c>
      <c r="K44" t="s">
        <v>40</v>
      </c>
      <c r="L44" s="7">
        <v>41354</v>
      </c>
    </row>
    <row r="45" spans="2:12">
      <c r="B45" t="s">
        <v>80</v>
      </c>
      <c r="C45" t="s">
        <v>7</v>
      </c>
      <c r="D45" s="7">
        <v>41753</v>
      </c>
      <c r="F45" t="s">
        <v>94</v>
      </c>
      <c r="G45" t="s">
        <v>10</v>
      </c>
      <c r="H45" s="7">
        <v>40868</v>
      </c>
      <c r="J45" t="s">
        <v>86</v>
      </c>
      <c r="K45" t="s">
        <v>35</v>
      </c>
      <c r="L45" s="7">
        <v>40760</v>
      </c>
    </row>
    <row r="46" spans="2:12">
      <c r="B46" t="s">
        <v>81</v>
      </c>
      <c r="C46" t="s">
        <v>17</v>
      </c>
      <c r="D46" s="7">
        <v>40959</v>
      </c>
      <c r="F46" t="s">
        <v>95</v>
      </c>
      <c r="G46" t="s">
        <v>20</v>
      </c>
      <c r="H46" s="7">
        <v>40868</v>
      </c>
      <c r="J46" t="s">
        <v>88</v>
      </c>
      <c r="K46" t="s">
        <v>28</v>
      </c>
      <c r="L46" s="7">
        <v>40760</v>
      </c>
    </row>
    <row r="47" spans="2:12">
      <c r="B47" t="s">
        <v>82</v>
      </c>
      <c r="C47" t="s">
        <v>10</v>
      </c>
      <c r="D47" s="7">
        <v>40959</v>
      </c>
      <c r="F47" t="s">
        <v>96</v>
      </c>
      <c r="G47" t="s">
        <v>7</v>
      </c>
      <c r="H47" s="7">
        <v>41782</v>
      </c>
      <c r="J47" t="s">
        <v>89</v>
      </c>
      <c r="K47" t="s">
        <v>37</v>
      </c>
      <c r="L47" s="7">
        <v>40760</v>
      </c>
    </row>
    <row r="48" spans="2:12">
      <c r="B48" t="s">
        <v>83</v>
      </c>
      <c r="C48" t="s">
        <v>20</v>
      </c>
      <c r="D48" s="7">
        <v>40959</v>
      </c>
      <c r="F48" t="s">
        <v>98</v>
      </c>
      <c r="G48" t="s">
        <v>21</v>
      </c>
      <c r="H48" s="7">
        <v>40868</v>
      </c>
      <c r="J48" t="s">
        <v>90</v>
      </c>
      <c r="K48" t="s">
        <v>24</v>
      </c>
      <c r="L48" s="7">
        <v>40760</v>
      </c>
    </row>
    <row r="49" spans="2:12">
      <c r="B49" t="s">
        <v>84</v>
      </c>
      <c r="C49" t="s">
        <v>20</v>
      </c>
      <c r="D49" s="7">
        <v>41871</v>
      </c>
      <c r="F49" t="s">
        <v>101</v>
      </c>
      <c r="G49" t="s">
        <v>6</v>
      </c>
      <c r="H49" s="7">
        <v>40868</v>
      </c>
      <c r="J49" t="s">
        <v>91</v>
      </c>
      <c r="K49" t="s">
        <v>25</v>
      </c>
      <c r="L49" s="7">
        <v>41232</v>
      </c>
    </row>
    <row r="50" spans="2:12">
      <c r="B50" t="s">
        <v>85</v>
      </c>
      <c r="C50" t="s">
        <v>11</v>
      </c>
      <c r="D50" s="7">
        <v>41403</v>
      </c>
      <c r="F50" t="s">
        <v>102</v>
      </c>
      <c r="G50" t="s">
        <v>21</v>
      </c>
      <c r="H50" s="7">
        <v>40914</v>
      </c>
      <c r="J50" t="s">
        <v>93</v>
      </c>
      <c r="K50" t="s">
        <v>36</v>
      </c>
      <c r="L50" s="7">
        <v>40760</v>
      </c>
    </row>
    <row r="51" spans="2:12">
      <c r="B51" t="s">
        <v>86</v>
      </c>
      <c r="C51" t="s">
        <v>8</v>
      </c>
      <c r="D51" s="7">
        <v>40959</v>
      </c>
      <c r="F51" t="s">
        <v>103</v>
      </c>
      <c r="G51" t="s">
        <v>14</v>
      </c>
      <c r="H51" s="7">
        <v>40956</v>
      </c>
      <c r="J51" t="s">
        <v>94</v>
      </c>
      <c r="K51" t="s">
        <v>24</v>
      </c>
      <c r="L51" s="7">
        <v>41523</v>
      </c>
    </row>
    <row r="52" spans="2:12">
      <c r="B52" t="s">
        <v>88</v>
      </c>
      <c r="C52" t="s">
        <v>17</v>
      </c>
      <c r="D52" s="7">
        <v>41201</v>
      </c>
      <c r="F52" t="s">
        <v>104</v>
      </c>
      <c r="G52" t="s">
        <v>14</v>
      </c>
      <c r="H52" s="7">
        <v>41437</v>
      </c>
      <c r="J52" t="s">
        <v>96</v>
      </c>
      <c r="K52" t="s">
        <v>40</v>
      </c>
      <c r="L52" s="7">
        <v>41852</v>
      </c>
    </row>
    <row r="53" spans="2:12">
      <c r="B53" t="s">
        <v>87</v>
      </c>
      <c r="C53" t="s">
        <v>6</v>
      </c>
      <c r="D53" s="7">
        <v>41628</v>
      </c>
      <c r="F53" t="s">
        <v>105</v>
      </c>
      <c r="G53" t="s">
        <v>14</v>
      </c>
      <c r="H53" s="7">
        <v>40892</v>
      </c>
      <c r="J53" t="s">
        <v>98</v>
      </c>
      <c r="K53" t="s">
        <v>34</v>
      </c>
      <c r="L53" s="7">
        <v>40760</v>
      </c>
    </row>
    <row r="54" spans="2:12">
      <c r="B54" t="s">
        <v>89</v>
      </c>
      <c r="C54" t="s">
        <v>7</v>
      </c>
      <c r="D54" s="7">
        <v>40959</v>
      </c>
      <c r="F54" t="s">
        <v>106</v>
      </c>
      <c r="G54" t="s">
        <v>9</v>
      </c>
      <c r="H54" s="7">
        <v>41866</v>
      </c>
      <c r="J54" t="s">
        <v>100</v>
      </c>
      <c r="K54" t="s">
        <v>38</v>
      </c>
      <c r="L54" s="7">
        <v>41331</v>
      </c>
    </row>
    <row r="55" spans="2:12">
      <c r="B55" t="s">
        <v>90</v>
      </c>
      <c r="C55" t="s">
        <v>10</v>
      </c>
      <c r="D55" s="7">
        <v>40959</v>
      </c>
      <c r="F55" t="s">
        <v>108</v>
      </c>
      <c r="G55" t="s">
        <v>4</v>
      </c>
      <c r="H55" s="7">
        <v>41607</v>
      </c>
      <c r="J55" t="s">
        <v>101</v>
      </c>
      <c r="K55" t="s">
        <v>25</v>
      </c>
      <c r="L55" s="7">
        <v>40760</v>
      </c>
    </row>
    <row r="56" spans="2:12">
      <c r="B56" t="s">
        <v>91</v>
      </c>
      <c r="C56" t="s">
        <v>5</v>
      </c>
      <c r="D56" s="7">
        <v>40959</v>
      </c>
      <c r="F56" t="s">
        <v>109</v>
      </c>
      <c r="G56" t="s">
        <v>13</v>
      </c>
      <c r="H56" s="7">
        <v>41754</v>
      </c>
      <c r="J56" t="s">
        <v>102</v>
      </c>
      <c r="K56" t="s">
        <v>34</v>
      </c>
      <c r="L56" s="7">
        <v>40871</v>
      </c>
    </row>
    <row r="57" spans="2:12">
      <c r="B57" t="s">
        <v>92</v>
      </c>
      <c r="C57" t="s">
        <v>8</v>
      </c>
      <c r="D57" s="7">
        <v>40959</v>
      </c>
      <c r="F57" t="s">
        <v>110</v>
      </c>
      <c r="G57" t="s">
        <v>16</v>
      </c>
      <c r="H57" s="7">
        <v>40868</v>
      </c>
      <c r="J57" t="s">
        <v>103</v>
      </c>
      <c r="K57" t="s">
        <v>33</v>
      </c>
      <c r="L57" s="7">
        <v>40760</v>
      </c>
    </row>
    <row r="58" spans="2:12">
      <c r="B58" t="s">
        <v>93</v>
      </c>
      <c r="C58" t="s">
        <v>8</v>
      </c>
      <c r="D58" s="7">
        <v>40959</v>
      </c>
      <c r="F58" t="s">
        <v>111</v>
      </c>
      <c r="G58" t="s">
        <v>19</v>
      </c>
      <c r="H58" s="7">
        <v>41051</v>
      </c>
      <c r="J58" t="s">
        <v>104</v>
      </c>
      <c r="K58" t="s">
        <v>33</v>
      </c>
      <c r="L58" s="7">
        <v>40760</v>
      </c>
    </row>
    <row r="59" spans="2:12">
      <c r="B59" t="s">
        <v>94</v>
      </c>
      <c r="C59" t="s">
        <v>10</v>
      </c>
      <c r="D59" s="7">
        <v>41360</v>
      </c>
      <c r="F59" t="s">
        <v>113</v>
      </c>
      <c r="G59" t="s">
        <v>15</v>
      </c>
      <c r="H59" s="7">
        <v>40868</v>
      </c>
      <c r="J59" t="s">
        <v>105</v>
      </c>
      <c r="K59" t="s">
        <v>33</v>
      </c>
      <c r="L59" s="7">
        <v>40926</v>
      </c>
    </row>
    <row r="60" spans="2:12">
      <c r="B60" t="s">
        <v>95</v>
      </c>
      <c r="C60" t="s">
        <v>7</v>
      </c>
      <c r="D60" s="7">
        <v>40876</v>
      </c>
      <c r="F60" t="s">
        <v>114</v>
      </c>
      <c r="G60" t="s">
        <v>20</v>
      </c>
      <c r="H60" s="7">
        <v>40868</v>
      </c>
      <c r="J60" t="s">
        <v>106</v>
      </c>
      <c r="K60" t="s">
        <v>193</v>
      </c>
      <c r="L60" s="7">
        <v>41775</v>
      </c>
    </row>
    <row r="61" spans="2:12">
      <c r="B61" t="s">
        <v>96</v>
      </c>
      <c r="C61" t="s">
        <v>16</v>
      </c>
      <c r="D61" s="7">
        <v>41261</v>
      </c>
      <c r="F61" t="s">
        <v>115</v>
      </c>
      <c r="G61" t="s">
        <v>5</v>
      </c>
      <c r="H61" s="7">
        <v>40868</v>
      </c>
      <c r="J61" t="s">
        <v>107</v>
      </c>
      <c r="K61" t="s">
        <v>24</v>
      </c>
      <c r="L61" s="7">
        <v>40760</v>
      </c>
    </row>
    <row r="62" spans="2:12">
      <c r="B62" t="s">
        <v>97</v>
      </c>
      <c r="C62" t="s">
        <v>12</v>
      </c>
      <c r="D62" s="7">
        <v>41346</v>
      </c>
      <c r="F62" t="s">
        <v>116</v>
      </c>
      <c r="G62" t="s">
        <v>9</v>
      </c>
      <c r="H62" s="7">
        <v>41810</v>
      </c>
      <c r="J62" t="s">
        <v>108</v>
      </c>
      <c r="K62" t="s">
        <v>28</v>
      </c>
      <c r="L62" s="7">
        <v>40760</v>
      </c>
    </row>
    <row r="63" spans="2:12">
      <c r="B63" t="s">
        <v>98</v>
      </c>
      <c r="C63" t="s">
        <v>18</v>
      </c>
      <c r="D63" s="7">
        <v>40876</v>
      </c>
      <c r="F63" t="s">
        <v>117</v>
      </c>
      <c r="G63" t="s">
        <v>7</v>
      </c>
      <c r="H63" s="7">
        <v>40868</v>
      </c>
      <c r="J63" t="s">
        <v>109</v>
      </c>
      <c r="K63" t="s">
        <v>32</v>
      </c>
      <c r="L63" s="7">
        <v>41320</v>
      </c>
    </row>
    <row r="64" spans="2:12">
      <c r="B64" t="s">
        <v>99</v>
      </c>
      <c r="C64" t="s">
        <v>6</v>
      </c>
      <c r="D64" s="7">
        <v>40876</v>
      </c>
      <c r="F64" t="s">
        <v>175</v>
      </c>
      <c r="G64" t="s">
        <v>8</v>
      </c>
      <c r="H64" s="7">
        <v>40868</v>
      </c>
      <c r="J64" t="s">
        <v>110</v>
      </c>
      <c r="K64" t="s">
        <v>39</v>
      </c>
      <c r="L64" s="7">
        <v>40760</v>
      </c>
    </row>
    <row r="65" spans="2:12">
      <c r="B65" t="s">
        <v>100</v>
      </c>
      <c r="C65" t="s">
        <v>20</v>
      </c>
      <c r="D65" s="7">
        <v>41068</v>
      </c>
      <c r="F65" t="s">
        <v>119</v>
      </c>
      <c r="G65" t="s">
        <v>9</v>
      </c>
      <c r="H65" s="7">
        <v>41815</v>
      </c>
      <c r="J65" t="s">
        <v>111</v>
      </c>
      <c r="K65" t="s">
        <v>27</v>
      </c>
      <c r="L65" s="7">
        <v>40778</v>
      </c>
    </row>
    <row r="66" spans="2:12">
      <c r="B66" t="s">
        <v>101</v>
      </c>
      <c r="C66" t="s">
        <v>10</v>
      </c>
      <c r="D66" s="7">
        <v>40876</v>
      </c>
      <c r="F66" t="s">
        <v>120</v>
      </c>
      <c r="G66" t="s">
        <v>10</v>
      </c>
      <c r="H66" s="7">
        <v>40868</v>
      </c>
      <c r="J66" t="s">
        <v>112</v>
      </c>
      <c r="K66" t="s">
        <v>35</v>
      </c>
      <c r="L66" s="7">
        <v>40760</v>
      </c>
    </row>
    <row r="67" spans="2:12">
      <c r="B67" t="s">
        <v>102</v>
      </c>
      <c r="C67" t="s">
        <v>18</v>
      </c>
      <c r="D67" s="7">
        <v>41236</v>
      </c>
      <c r="F67" t="s">
        <v>121</v>
      </c>
      <c r="G67" t="s">
        <v>21</v>
      </c>
      <c r="H67" s="7">
        <v>40868</v>
      </c>
      <c r="J67" t="s">
        <v>113</v>
      </c>
      <c r="K67" t="s">
        <v>32</v>
      </c>
      <c r="L67" s="7">
        <v>40760</v>
      </c>
    </row>
    <row r="68" spans="2:12">
      <c r="B68" t="s">
        <v>103</v>
      </c>
      <c r="C68" t="s">
        <v>14</v>
      </c>
      <c r="D68" s="7">
        <v>40876</v>
      </c>
      <c r="F68" t="s">
        <v>122</v>
      </c>
      <c r="G68" t="s">
        <v>9</v>
      </c>
      <c r="H68" s="7">
        <v>40868</v>
      </c>
      <c r="J68" t="s">
        <v>115</v>
      </c>
      <c r="K68" t="s">
        <v>26</v>
      </c>
      <c r="L68" s="7">
        <v>40760</v>
      </c>
    </row>
    <row r="69" spans="2:12">
      <c r="B69" t="s">
        <v>104</v>
      </c>
      <c r="C69" t="s">
        <v>14</v>
      </c>
      <c r="D69" s="7">
        <v>41024</v>
      </c>
      <c r="F69" t="s">
        <v>123</v>
      </c>
      <c r="G69" t="s">
        <v>19</v>
      </c>
      <c r="H69" s="7">
        <v>40868</v>
      </c>
      <c r="J69" t="s">
        <v>116</v>
      </c>
      <c r="K69" t="s">
        <v>193</v>
      </c>
      <c r="L69" s="7">
        <v>41804</v>
      </c>
    </row>
    <row r="70" spans="2:12">
      <c r="B70" t="s">
        <v>105</v>
      </c>
      <c r="C70" t="s">
        <v>21</v>
      </c>
      <c r="D70" s="7">
        <v>40876</v>
      </c>
      <c r="F70" t="s">
        <v>124</v>
      </c>
      <c r="G70" t="s">
        <v>13</v>
      </c>
      <c r="H70" s="7">
        <v>41372</v>
      </c>
      <c r="J70" t="s">
        <v>117</v>
      </c>
      <c r="K70" t="s">
        <v>37</v>
      </c>
      <c r="L70" s="7">
        <v>40760</v>
      </c>
    </row>
    <row r="71" spans="2:12">
      <c r="B71" t="s">
        <v>106</v>
      </c>
      <c r="C71" t="s">
        <v>9</v>
      </c>
      <c r="D71" s="7">
        <v>41820</v>
      </c>
      <c r="F71" t="s">
        <v>125</v>
      </c>
      <c r="G71" t="s">
        <v>20</v>
      </c>
      <c r="H71" s="7">
        <v>40868</v>
      </c>
      <c r="J71" t="s">
        <v>119</v>
      </c>
      <c r="K71" t="s">
        <v>193</v>
      </c>
      <c r="L71" s="7">
        <v>40760</v>
      </c>
    </row>
    <row r="72" spans="2:12">
      <c r="B72" t="s">
        <v>107</v>
      </c>
      <c r="C72" t="s">
        <v>6</v>
      </c>
      <c r="D72" s="7">
        <v>40876</v>
      </c>
      <c r="F72" t="s">
        <v>128</v>
      </c>
      <c r="G72" t="s">
        <v>14</v>
      </c>
      <c r="H72" s="7">
        <v>40868</v>
      </c>
      <c r="J72" t="s">
        <v>120</v>
      </c>
      <c r="K72" t="s">
        <v>24</v>
      </c>
      <c r="L72" s="7">
        <v>41113</v>
      </c>
    </row>
    <row r="73" spans="2:12">
      <c r="B73" t="s">
        <v>108</v>
      </c>
      <c r="C73" t="s">
        <v>19</v>
      </c>
      <c r="D73" s="7">
        <v>40876</v>
      </c>
      <c r="F73" t="s">
        <v>129</v>
      </c>
      <c r="G73" t="s">
        <v>7</v>
      </c>
      <c r="H73" s="7">
        <v>40868</v>
      </c>
      <c r="J73" t="s">
        <v>181</v>
      </c>
      <c r="K73" t="s">
        <v>27</v>
      </c>
      <c r="L73" s="7">
        <v>40760</v>
      </c>
    </row>
    <row r="74" spans="2:12">
      <c r="B74" t="s">
        <v>109</v>
      </c>
      <c r="C74" t="s">
        <v>15</v>
      </c>
      <c r="D74" s="7">
        <v>41464</v>
      </c>
      <c r="F74" t="s">
        <v>176</v>
      </c>
      <c r="G74" t="s">
        <v>14</v>
      </c>
      <c r="H74" s="7">
        <v>40868</v>
      </c>
      <c r="J74" t="s">
        <v>122</v>
      </c>
      <c r="K74" t="s">
        <v>30</v>
      </c>
      <c r="L74" s="7">
        <v>40760</v>
      </c>
    </row>
    <row r="75" spans="2:12">
      <c r="B75" t="s">
        <v>110</v>
      </c>
      <c r="C75" t="s">
        <v>11</v>
      </c>
      <c r="D75" s="7">
        <v>41340</v>
      </c>
      <c r="F75" t="s">
        <v>130</v>
      </c>
      <c r="G75" t="s">
        <v>10</v>
      </c>
      <c r="H75" s="7">
        <v>40868</v>
      </c>
      <c r="J75" t="s">
        <v>123</v>
      </c>
      <c r="K75" t="s">
        <v>28</v>
      </c>
      <c r="L75" s="7">
        <v>40760</v>
      </c>
    </row>
    <row r="76" spans="2:12" ht="30.75" customHeight="1">
      <c r="B76" t="s">
        <v>111</v>
      </c>
      <c r="C76" t="s">
        <v>17</v>
      </c>
      <c r="D76" s="7">
        <v>40876</v>
      </c>
      <c r="F76" t="s">
        <v>131</v>
      </c>
      <c r="G76" t="s">
        <v>5</v>
      </c>
      <c r="H76" s="7">
        <v>40868</v>
      </c>
      <c r="J76" t="s">
        <v>182</v>
      </c>
      <c r="K76" t="s">
        <v>32</v>
      </c>
      <c r="L76" s="7">
        <v>40760</v>
      </c>
    </row>
    <row r="77" spans="2:12">
      <c r="B77" t="s">
        <v>112</v>
      </c>
      <c r="C77" t="s">
        <v>18</v>
      </c>
      <c r="D77" s="7">
        <v>40876</v>
      </c>
      <c r="F77" t="s">
        <v>132</v>
      </c>
      <c r="G77" t="s">
        <v>8</v>
      </c>
      <c r="H77" s="7">
        <v>40868</v>
      </c>
      <c r="J77" t="s">
        <v>124</v>
      </c>
      <c r="K77" t="s">
        <v>30</v>
      </c>
      <c r="L77" s="7">
        <v>41675</v>
      </c>
    </row>
    <row r="78" spans="2:12">
      <c r="B78" t="s">
        <v>113</v>
      </c>
      <c r="C78" t="s">
        <v>13</v>
      </c>
      <c r="D78" s="7">
        <v>41772</v>
      </c>
      <c r="F78" t="s">
        <v>133</v>
      </c>
      <c r="G78" t="s">
        <v>10</v>
      </c>
      <c r="H78" s="7">
        <v>40868</v>
      </c>
      <c r="J78" t="s">
        <v>183</v>
      </c>
      <c r="K78" t="s">
        <v>39</v>
      </c>
      <c r="L78" s="7">
        <v>40760</v>
      </c>
    </row>
    <row r="79" spans="2:12">
      <c r="B79" t="s">
        <v>114</v>
      </c>
      <c r="C79" t="s">
        <v>20</v>
      </c>
      <c r="D79" s="7">
        <v>40876</v>
      </c>
      <c r="F79" t="s">
        <v>136</v>
      </c>
      <c r="G79" t="s">
        <v>15</v>
      </c>
      <c r="H79" s="7">
        <v>40868</v>
      </c>
      <c r="J79" t="s">
        <v>125</v>
      </c>
      <c r="K79" t="s">
        <v>37</v>
      </c>
      <c r="L79" s="7">
        <v>40760</v>
      </c>
    </row>
    <row r="80" spans="2:12">
      <c r="B80" t="s">
        <v>115</v>
      </c>
      <c r="C80" t="s">
        <v>5</v>
      </c>
      <c r="D80" s="7">
        <v>40876</v>
      </c>
      <c r="F80" t="s">
        <v>139</v>
      </c>
      <c r="G80" t="s">
        <v>13</v>
      </c>
      <c r="H80" s="7">
        <v>41570</v>
      </c>
      <c r="J80" t="s">
        <v>126</v>
      </c>
      <c r="K80" t="s">
        <v>36</v>
      </c>
      <c r="L80" s="7">
        <v>40760</v>
      </c>
    </row>
    <row r="81" spans="2:12">
      <c r="B81" t="s">
        <v>116</v>
      </c>
      <c r="C81" t="s">
        <v>9</v>
      </c>
      <c r="D81" s="7">
        <v>41789</v>
      </c>
      <c r="F81" t="s">
        <v>140</v>
      </c>
      <c r="G81" t="s">
        <v>14</v>
      </c>
      <c r="H81" s="7">
        <v>41360</v>
      </c>
      <c r="J81" t="s">
        <v>128</v>
      </c>
      <c r="K81" t="s">
        <v>34</v>
      </c>
      <c r="L81" s="7">
        <v>40760</v>
      </c>
    </row>
    <row r="82" spans="2:12">
      <c r="B82" t="s">
        <v>117</v>
      </c>
      <c r="C82" t="s">
        <v>7</v>
      </c>
      <c r="D82" s="7">
        <v>40876</v>
      </c>
      <c r="F82" t="s">
        <v>141</v>
      </c>
      <c r="G82" t="s">
        <v>9</v>
      </c>
      <c r="H82" s="7">
        <v>41326</v>
      </c>
      <c r="J82" t="s">
        <v>130</v>
      </c>
      <c r="K82" t="s">
        <v>24</v>
      </c>
      <c r="L82" s="7">
        <v>41705</v>
      </c>
    </row>
    <row r="83" spans="2:12">
      <c r="B83" t="s">
        <v>118</v>
      </c>
      <c r="C83" t="s">
        <v>10</v>
      </c>
      <c r="D83" s="7">
        <v>40876</v>
      </c>
      <c r="F83" t="s">
        <v>142</v>
      </c>
      <c r="G83" t="s">
        <v>21</v>
      </c>
      <c r="H83" s="7">
        <v>40868</v>
      </c>
      <c r="J83" t="s">
        <v>131</v>
      </c>
      <c r="K83" t="s">
        <v>24</v>
      </c>
      <c r="L83" s="7">
        <v>40760</v>
      </c>
    </row>
    <row r="84" spans="2:12">
      <c r="B84" t="s">
        <v>119</v>
      </c>
      <c r="C84" t="s">
        <v>9</v>
      </c>
      <c r="D84" s="7">
        <v>41740</v>
      </c>
      <c r="F84" t="s">
        <v>144</v>
      </c>
      <c r="G84" t="s">
        <v>4</v>
      </c>
      <c r="H84" s="7">
        <v>40868</v>
      </c>
      <c r="J84" t="s">
        <v>184</v>
      </c>
      <c r="K84" t="s">
        <v>39</v>
      </c>
      <c r="L84" s="7">
        <v>40760</v>
      </c>
    </row>
    <row r="85" spans="2:12">
      <c r="B85" t="s">
        <v>120</v>
      </c>
      <c r="C85" t="s">
        <v>10</v>
      </c>
      <c r="D85" s="7">
        <v>41498</v>
      </c>
      <c r="F85" t="s">
        <v>145</v>
      </c>
      <c r="G85" t="s">
        <v>14</v>
      </c>
      <c r="H85" s="7">
        <v>40868</v>
      </c>
      <c r="J85" t="s">
        <v>133</v>
      </c>
      <c r="K85" t="s">
        <v>24</v>
      </c>
      <c r="L85" s="7">
        <v>40760</v>
      </c>
    </row>
    <row r="86" spans="2:12">
      <c r="B86" t="s">
        <v>121</v>
      </c>
      <c r="C86" t="s">
        <v>18</v>
      </c>
      <c r="D86" s="7">
        <v>40876</v>
      </c>
      <c r="F86" t="s">
        <v>146</v>
      </c>
      <c r="G86" t="s">
        <v>15</v>
      </c>
      <c r="H86" s="7">
        <v>41719</v>
      </c>
      <c r="J86" t="s">
        <v>134</v>
      </c>
      <c r="K86" t="s">
        <v>28</v>
      </c>
      <c r="L86" s="7">
        <v>40760</v>
      </c>
    </row>
    <row r="87" spans="2:12">
      <c r="B87" t="s">
        <v>122</v>
      </c>
      <c r="C87" t="s">
        <v>9</v>
      </c>
      <c r="D87" s="7">
        <v>40876</v>
      </c>
      <c r="F87" t="s">
        <v>147</v>
      </c>
      <c r="G87" t="s">
        <v>7</v>
      </c>
      <c r="H87" s="7">
        <v>40868</v>
      </c>
      <c r="J87" t="s">
        <v>135</v>
      </c>
      <c r="K87" t="s">
        <v>40</v>
      </c>
      <c r="L87" s="7">
        <v>41103</v>
      </c>
    </row>
    <row r="88" spans="2:12">
      <c r="B88" t="s">
        <v>123</v>
      </c>
      <c r="C88" t="s">
        <v>13</v>
      </c>
      <c r="D88" s="7">
        <v>41290</v>
      </c>
      <c r="F88" t="s">
        <v>177</v>
      </c>
      <c r="G88" t="s">
        <v>13</v>
      </c>
      <c r="H88" s="7">
        <v>41113</v>
      </c>
      <c r="J88" t="s">
        <v>136</v>
      </c>
      <c r="K88" t="s">
        <v>32</v>
      </c>
      <c r="L88" s="7">
        <v>41213</v>
      </c>
    </row>
    <row r="89" spans="2:12">
      <c r="B89" t="s">
        <v>124</v>
      </c>
      <c r="C89" t="s">
        <v>10</v>
      </c>
      <c r="D89" s="7">
        <v>41850</v>
      </c>
      <c r="F89" t="s">
        <v>148</v>
      </c>
      <c r="G89" t="s">
        <v>5</v>
      </c>
      <c r="H89" s="7">
        <v>41719</v>
      </c>
      <c r="J89" t="s">
        <v>137</v>
      </c>
      <c r="K89" t="s">
        <v>37</v>
      </c>
      <c r="L89" s="7">
        <v>40760</v>
      </c>
    </row>
    <row r="90" spans="2:12">
      <c r="B90" t="s">
        <v>125</v>
      </c>
      <c r="C90" t="s">
        <v>8</v>
      </c>
      <c r="D90" s="7">
        <v>40876</v>
      </c>
      <c r="F90" t="s">
        <v>150</v>
      </c>
      <c r="G90" t="s">
        <v>20</v>
      </c>
      <c r="H90" s="7">
        <v>41656</v>
      </c>
      <c r="J90" t="s">
        <v>138</v>
      </c>
      <c r="K90" t="s">
        <v>37</v>
      </c>
      <c r="L90" s="7">
        <v>40760</v>
      </c>
    </row>
    <row r="91" spans="2:12">
      <c r="B91" t="s">
        <v>126</v>
      </c>
      <c r="C91" t="s">
        <v>8</v>
      </c>
      <c r="D91" s="7">
        <v>40876</v>
      </c>
      <c r="F91" t="s">
        <v>178</v>
      </c>
      <c r="G91" t="s">
        <v>7</v>
      </c>
      <c r="H91" s="7">
        <v>40868</v>
      </c>
      <c r="J91" t="s">
        <v>139</v>
      </c>
      <c r="K91" t="s">
        <v>30</v>
      </c>
      <c r="L91" s="7">
        <v>41822</v>
      </c>
    </row>
    <row r="92" spans="2:12">
      <c r="B92" t="s">
        <v>127</v>
      </c>
      <c r="C92" t="s">
        <v>14</v>
      </c>
      <c r="D92" s="7">
        <v>40876</v>
      </c>
      <c r="F92" t="s">
        <v>151</v>
      </c>
      <c r="G92" t="s">
        <v>10</v>
      </c>
      <c r="H92" s="7">
        <v>40868</v>
      </c>
      <c r="J92" t="s">
        <v>140</v>
      </c>
      <c r="K92" t="s">
        <v>33</v>
      </c>
      <c r="L92" s="7">
        <v>41550</v>
      </c>
    </row>
    <row r="93" spans="2:12">
      <c r="B93" t="s">
        <v>128</v>
      </c>
      <c r="C93" t="s">
        <v>14</v>
      </c>
      <c r="D93" s="7">
        <v>40876</v>
      </c>
      <c r="F93" t="s">
        <v>152</v>
      </c>
      <c r="G93" t="s">
        <v>19</v>
      </c>
      <c r="H93" s="7">
        <v>40868</v>
      </c>
      <c r="J93" t="s">
        <v>141</v>
      </c>
      <c r="K93" t="s">
        <v>29</v>
      </c>
      <c r="L93" s="7">
        <v>40760</v>
      </c>
    </row>
    <row r="94" spans="2:12">
      <c r="B94" t="s">
        <v>129</v>
      </c>
      <c r="C94" t="s">
        <v>20</v>
      </c>
      <c r="D94" s="7">
        <v>40876</v>
      </c>
      <c r="F94" t="s">
        <v>153</v>
      </c>
      <c r="G94" t="s">
        <v>13</v>
      </c>
      <c r="H94" s="7">
        <v>41411</v>
      </c>
      <c r="J94" t="s">
        <v>142</v>
      </c>
      <c r="K94" t="s">
        <v>35</v>
      </c>
      <c r="L94" s="7">
        <v>41768</v>
      </c>
    </row>
    <row r="95" spans="2:12">
      <c r="B95" t="s">
        <v>130</v>
      </c>
      <c r="C95" t="s">
        <v>6</v>
      </c>
      <c r="D95" s="7">
        <v>41607</v>
      </c>
      <c r="F95" t="s">
        <v>154</v>
      </c>
      <c r="G95" t="s">
        <v>15</v>
      </c>
      <c r="H95" s="7">
        <v>41284</v>
      </c>
      <c r="J95" t="s">
        <v>143</v>
      </c>
      <c r="K95" t="s">
        <v>26</v>
      </c>
      <c r="L95" s="7">
        <v>40760</v>
      </c>
    </row>
    <row r="96" spans="2:12">
      <c r="B96" t="s">
        <v>131</v>
      </c>
      <c r="C96" t="s">
        <v>5</v>
      </c>
      <c r="D96" s="7">
        <v>40876</v>
      </c>
      <c r="F96" t="s">
        <v>155</v>
      </c>
      <c r="G96" t="s">
        <v>17</v>
      </c>
      <c r="H96" s="7">
        <v>41159</v>
      </c>
      <c r="J96" t="s">
        <v>145</v>
      </c>
      <c r="K96" t="s">
        <v>33</v>
      </c>
      <c r="L96" s="7">
        <v>40760</v>
      </c>
    </row>
    <row r="97" spans="2:12">
      <c r="B97" t="s">
        <v>132</v>
      </c>
      <c r="C97" t="s">
        <v>8</v>
      </c>
      <c r="D97" s="7">
        <v>40876</v>
      </c>
      <c r="F97" t="s">
        <v>156</v>
      </c>
      <c r="G97" t="s">
        <v>13</v>
      </c>
      <c r="H97" s="7">
        <v>41754</v>
      </c>
      <c r="J97" t="s">
        <v>146</v>
      </c>
      <c r="K97" t="s">
        <v>193</v>
      </c>
      <c r="L97" t="s">
        <v>185</v>
      </c>
    </row>
    <row r="98" spans="2:12">
      <c r="B98" t="s">
        <v>133</v>
      </c>
      <c r="C98" t="s">
        <v>10</v>
      </c>
      <c r="D98" s="7">
        <v>40876</v>
      </c>
      <c r="F98" t="s">
        <v>157</v>
      </c>
      <c r="G98" t="s">
        <v>8</v>
      </c>
      <c r="H98" s="7">
        <v>40868</v>
      </c>
      <c r="J98" t="s">
        <v>148</v>
      </c>
      <c r="K98" t="s">
        <v>27</v>
      </c>
      <c r="L98" s="7">
        <v>40760</v>
      </c>
    </row>
    <row r="99" spans="2:12">
      <c r="B99" t="s">
        <v>134</v>
      </c>
      <c r="C99" t="s">
        <v>4</v>
      </c>
      <c r="D99" s="7">
        <v>40876</v>
      </c>
      <c r="F99" t="s">
        <v>158</v>
      </c>
      <c r="G99" t="s">
        <v>8</v>
      </c>
      <c r="H99" s="7">
        <v>41100</v>
      </c>
      <c r="J99" t="s">
        <v>149</v>
      </c>
      <c r="K99" t="s">
        <v>37</v>
      </c>
      <c r="L99" s="7">
        <v>40760</v>
      </c>
    </row>
    <row r="100" spans="2:12">
      <c r="B100" t="s">
        <v>135</v>
      </c>
      <c r="C100" t="s">
        <v>16</v>
      </c>
      <c r="D100" s="7">
        <v>40876</v>
      </c>
      <c r="F100" t="s">
        <v>159</v>
      </c>
      <c r="G100" t="s">
        <v>10</v>
      </c>
      <c r="H100" s="7">
        <v>40868</v>
      </c>
      <c r="J100" t="s">
        <v>150</v>
      </c>
      <c r="K100" t="s">
        <v>37</v>
      </c>
      <c r="L100" s="7">
        <v>41469</v>
      </c>
    </row>
    <row r="101" spans="2:12">
      <c r="B101" t="s">
        <v>136</v>
      </c>
      <c r="C101" t="s">
        <v>15</v>
      </c>
      <c r="D101" s="7">
        <v>41092</v>
      </c>
      <c r="F101" t="s">
        <v>160</v>
      </c>
      <c r="G101" t="s">
        <v>19</v>
      </c>
      <c r="H101" s="7">
        <v>40868</v>
      </c>
      <c r="J101" t="s">
        <v>151</v>
      </c>
      <c r="K101" t="s">
        <v>24</v>
      </c>
      <c r="L101" s="7">
        <v>40760</v>
      </c>
    </row>
    <row r="102" spans="2:12">
      <c r="B102" t="s">
        <v>137</v>
      </c>
      <c r="C102" t="s">
        <v>20</v>
      </c>
      <c r="D102" s="7">
        <v>40876</v>
      </c>
      <c r="F102" t="s">
        <v>161</v>
      </c>
      <c r="G102" t="s">
        <v>13</v>
      </c>
      <c r="H102" s="7">
        <v>41341</v>
      </c>
      <c r="J102" t="s">
        <v>152</v>
      </c>
      <c r="K102" t="s">
        <v>28</v>
      </c>
      <c r="L102" s="7">
        <v>40952</v>
      </c>
    </row>
    <row r="103" spans="2:12">
      <c r="B103" t="s">
        <v>138</v>
      </c>
      <c r="C103" t="s">
        <v>8</v>
      </c>
      <c r="D103" s="7">
        <v>40876</v>
      </c>
      <c r="F103" t="s">
        <v>163</v>
      </c>
      <c r="G103" t="s">
        <v>8</v>
      </c>
      <c r="H103" s="7">
        <v>41577</v>
      </c>
      <c r="J103" t="s">
        <v>153</v>
      </c>
      <c r="K103" t="s">
        <v>34</v>
      </c>
      <c r="L103" s="7">
        <v>41394</v>
      </c>
    </row>
    <row r="104" spans="2:12">
      <c r="B104" t="s">
        <v>139</v>
      </c>
      <c r="C104" t="s">
        <v>13</v>
      </c>
      <c r="D104" s="7">
        <v>41505</v>
      </c>
      <c r="F104" t="s">
        <v>164</v>
      </c>
      <c r="G104" t="s">
        <v>14</v>
      </c>
      <c r="H104" s="7">
        <v>41218</v>
      </c>
      <c r="J104" t="s">
        <v>154</v>
      </c>
      <c r="K104" t="s">
        <v>193</v>
      </c>
      <c r="L104" s="7">
        <v>40760</v>
      </c>
    </row>
    <row r="105" spans="2:12">
      <c r="B105" t="s">
        <v>140</v>
      </c>
      <c r="C105" t="s">
        <v>15</v>
      </c>
      <c r="D105" s="7">
        <v>41767</v>
      </c>
      <c r="F105" t="s">
        <v>165</v>
      </c>
      <c r="G105" t="s">
        <v>7</v>
      </c>
      <c r="H105" s="7">
        <v>40868</v>
      </c>
      <c r="J105" t="s">
        <v>155</v>
      </c>
      <c r="K105" t="s">
        <v>27</v>
      </c>
      <c r="L105" s="7">
        <v>41148</v>
      </c>
    </row>
    <row r="106" spans="2:12">
      <c r="B106" t="s">
        <v>141</v>
      </c>
      <c r="C106" t="s">
        <v>9</v>
      </c>
      <c r="D106" s="7">
        <v>41340</v>
      </c>
      <c r="F106" t="s">
        <v>166</v>
      </c>
      <c r="G106" t="s">
        <v>22</v>
      </c>
      <c r="H106" s="7">
        <v>40868</v>
      </c>
      <c r="J106" t="s">
        <v>156</v>
      </c>
      <c r="K106" t="s">
        <v>32</v>
      </c>
      <c r="L106" s="7">
        <v>41691</v>
      </c>
    </row>
    <row r="107" spans="2:12">
      <c r="B107" t="s">
        <v>142</v>
      </c>
      <c r="C107" t="s">
        <v>18</v>
      </c>
      <c r="D107" s="7">
        <v>41460</v>
      </c>
      <c r="F107" t="s">
        <v>167</v>
      </c>
      <c r="G107" t="s">
        <v>6</v>
      </c>
      <c r="H107" s="7">
        <v>41383</v>
      </c>
      <c r="J107" t="s">
        <v>157</v>
      </c>
      <c r="K107" t="s">
        <v>37</v>
      </c>
      <c r="L107" s="7">
        <v>40760</v>
      </c>
    </row>
    <row r="108" spans="2:12">
      <c r="B108" t="s">
        <v>143</v>
      </c>
      <c r="C108" t="s">
        <v>5</v>
      </c>
      <c r="D108" s="7">
        <v>40876</v>
      </c>
      <c r="F108" t="s">
        <v>168</v>
      </c>
      <c r="G108" t="s">
        <v>10</v>
      </c>
      <c r="H108" s="7">
        <v>41719</v>
      </c>
      <c r="J108" t="s">
        <v>186</v>
      </c>
      <c r="K108" t="s">
        <v>37</v>
      </c>
      <c r="L108" s="7">
        <v>40760</v>
      </c>
    </row>
    <row r="109" spans="2:12">
      <c r="B109" t="s">
        <v>144</v>
      </c>
      <c r="C109" t="s">
        <v>4</v>
      </c>
      <c r="D109" s="7">
        <v>40876</v>
      </c>
      <c r="F109" t="s">
        <v>169</v>
      </c>
      <c r="G109" t="s">
        <v>14</v>
      </c>
      <c r="H109" s="7">
        <v>40868</v>
      </c>
      <c r="J109" t="s">
        <v>158</v>
      </c>
      <c r="K109" t="s">
        <v>37</v>
      </c>
      <c r="L109" s="7">
        <v>40760</v>
      </c>
    </row>
    <row r="110" spans="2:12">
      <c r="B110" t="s">
        <v>145</v>
      </c>
      <c r="C110" t="s">
        <v>14</v>
      </c>
      <c r="D110" s="7">
        <v>41775</v>
      </c>
      <c r="F110" t="s">
        <v>170</v>
      </c>
      <c r="G110" t="s">
        <v>20</v>
      </c>
      <c r="H110" s="7">
        <v>40868</v>
      </c>
      <c r="J110" t="s">
        <v>159</v>
      </c>
      <c r="K110" t="s">
        <v>24</v>
      </c>
      <c r="L110" s="7">
        <v>40760</v>
      </c>
    </row>
    <row r="111" spans="2:12">
      <c r="B111" t="s">
        <v>146</v>
      </c>
      <c r="C111" t="s">
        <v>14</v>
      </c>
      <c r="D111" s="7">
        <v>41754</v>
      </c>
      <c r="F111" t="s">
        <v>171</v>
      </c>
      <c r="G111" t="s">
        <v>20</v>
      </c>
      <c r="H111" s="7">
        <v>40868</v>
      </c>
      <c r="J111" t="s">
        <v>160</v>
      </c>
      <c r="K111" t="s">
        <v>27</v>
      </c>
      <c r="L111" s="7">
        <v>40760</v>
      </c>
    </row>
    <row r="112" spans="2:12">
      <c r="B112" t="s">
        <v>147</v>
      </c>
      <c r="C112" t="s">
        <v>7</v>
      </c>
      <c r="D112" s="7">
        <v>41181</v>
      </c>
      <c r="F112" t="s">
        <v>172</v>
      </c>
      <c r="G112" t="s">
        <v>20</v>
      </c>
      <c r="H112" s="7">
        <v>40868</v>
      </c>
      <c r="J112" t="s">
        <v>161</v>
      </c>
      <c r="K112" t="s">
        <v>193</v>
      </c>
      <c r="L112" s="7">
        <v>40760</v>
      </c>
    </row>
    <row r="113" spans="2:12">
      <c r="B113" t="s">
        <v>148</v>
      </c>
      <c r="C113" t="s">
        <v>17</v>
      </c>
      <c r="D113" s="7">
        <v>40876</v>
      </c>
      <c r="J113" t="s">
        <v>162</v>
      </c>
      <c r="K113" t="s">
        <v>193</v>
      </c>
      <c r="L113" s="7">
        <v>40760</v>
      </c>
    </row>
    <row r="114" spans="2:12">
      <c r="B114" t="s">
        <v>149</v>
      </c>
      <c r="C114" t="s">
        <v>20</v>
      </c>
      <c r="D114" s="7">
        <v>40876</v>
      </c>
      <c r="J114" t="s">
        <v>163</v>
      </c>
      <c r="K114" t="s">
        <v>33</v>
      </c>
      <c r="L114" s="7">
        <v>40760</v>
      </c>
    </row>
    <row r="115" spans="2:12">
      <c r="B115" t="s">
        <v>150</v>
      </c>
      <c r="C115" t="s">
        <v>8</v>
      </c>
      <c r="D115" s="7">
        <v>41128</v>
      </c>
      <c r="J115" t="s">
        <v>164</v>
      </c>
      <c r="K115" t="s">
        <v>33</v>
      </c>
      <c r="L115" s="7">
        <v>41410</v>
      </c>
    </row>
    <row r="116" spans="2:12">
      <c r="B116" t="s">
        <v>151</v>
      </c>
      <c r="C116" t="s">
        <v>10</v>
      </c>
      <c r="D116" s="7">
        <v>40876</v>
      </c>
      <c r="J116" t="s">
        <v>166</v>
      </c>
      <c r="K116" t="s">
        <v>40</v>
      </c>
      <c r="L116" s="7">
        <v>41537</v>
      </c>
    </row>
    <row r="117" spans="2:12">
      <c r="B117" t="s">
        <v>152</v>
      </c>
      <c r="C117" t="s">
        <v>4</v>
      </c>
      <c r="D117" s="7">
        <v>41852</v>
      </c>
      <c r="J117" t="s">
        <v>187</v>
      </c>
      <c r="K117" t="s">
        <v>26</v>
      </c>
      <c r="L117" s="7">
        <v>40760</v>
      </c>
    </row>
    <row r="118" spans="2:12">
      <c r="B118" t="s">
        <v>153</v>
      </c>
      <c r="C118" t="s">
        <v>9</v>
      </c>
      <c r="D118" s="7">
        <v>41318</v>
      </c>
      <c r="J118" t="s">
        <v>167</v>
      </c>
      <c r="K118" t="s">
        <v>25</v>
      </c>
      <c r="L118" s="7">
        <v>41327</v>
      </c>
    </row>
    <row r="119" spans="2:12">
      <c r="B119" t="s">
        <v>154</v>
      </c>
      <c r="C119" t="s">
        <v>14</v>
      </c>
      <c r="D119" s="7">
        <v>41772</v>
      </c>
      <c r="J119" t="s">
        <v>168</v>
      </c>
      <c r="K119" t="s">
        <v>24</v>
      </c>
      <c r="L119" s="7">
        <v>40760</v>
      </c>
    </row>
    <row r="120" spans="2:12">
      <c r="B120" t="s">
        <v>155</v>
      </c>
      <c r="C120" t="s">
        <v>19</v>
      </c>
      <c r="D120" s="7">
        <v>41166</v>
      </c>
      <c r="J120" t="s">
        <v>169</v>
      </c>
      <c r="K120" t="s">
        <v>32</v>
      </c>
      <c r="L120" s="7">
        <v>41788</v>
      </c>
    </row>
    <row r="121" spans="2:12">
      <c r="B121" t="s">
        <v>156</v>
      </c>
      <c r="C121" t="s">
        <v>15</v>
      </c>
      <c r="D121" s="7">
        <v>41782</v>
      </c>
      <c r="J121" t="s">
        <v>170</v>
      </c>
      <c r="K121" t="s">
        <v>38</v>
      </c>
      <c r="L121" s="7">
        <v>40760</v>
      </c>
    </row>
    <row r="122" spans="2:12">
      <c r="B122" t="s">
        <v>157</v>
      </c>
      <c r="C122" t="s">
        <v>20</v>
      </c>
      <c r="D122" s="7">
        <v>40876</v>
      </c>
      <c r="J122" t="s">
        <v>171</v>
      </c>
      <c r="K122" t="s">
        <v>37</v>
      </c>
      <c r="L122" s="7">
        <v>40760</v>
      </c>
    </row>
    <row r="123" spans="2:12">
      <c r="B123" t="s">
        <v>158</v>
      </c>
      <c r="C123" t="s">
        <v>8</v>
      </c>
      <c r="D123" s="7">
        <v>40876</v>
      </c>
    </row>
    <row r="124" spans="2:12">
      <c r="B124" t="s">
        <v>159</v>
      </c>
      <c r="C124" t="s">
        <v>10</v>
      </c>
      <c r="D124" s="7">
        <v>41206</v>
      </c>
    </row>
    <row r="125" spans="2:12">
      <c r="B125" t="s">
        <v>160</v>
      </c>
      <c r="C125" t="s">
        <v>17</v>
      </c>
      <c r="D125" s="7">
        <v>40876</v>
      </c>
    </row>
    <row r="126" spans="2:12">
      <c r="B126" t="s">
        <v>161</v>
      </c>
      <c r="C126" t="s">
        <v>13</v>
      </c>
      <c r="D126" s="7">
        <v>40876</v>
      </c>
    </row>
    <row r="127" spans="2:12">
      <c r="B127" t="s">
        <v>162</v>
      </c>
      <c r="C127" t="s">
        <v>4</v>
      </c>
      <c r="D127" s="7">
        <v>40876</v>
      </c>
    </row>
    <row r="128" spans="2:12">
      <c r="B128" t="s">
        <v>163</v>
      </c>
      <c r="C128" t="s">
        <v>8</v>
      </c>
      <c r="D128" s="7">
        <v>41325</v>
      </c>
    </row>
    <row r="129" spans="2:12">
      <c r="B129" t="s">
        <v>164</v>
      </c>
      <c r="C129" t="s">
        <v>21</v>
      </c>
      <c r="D129" s="7">
        <v>41360</v>
      </c>
    </row>
    <row r="130" spans="2:12">
      <c r="B130" t="s">
        <v>165</v>
      </c>
      <c r="C130" t="s">
        <v>20</v>
      </c>
      <c r="D130" s="7">
        <v>40876</v>
      </c>
    </row>
    <row r="131" spans="2:12">
      <c r="B131" t="s">
        <v>166</v>
      </c>
      <c r="C131" t="s">
        <v>11</v>
      </c>
      <c r="D131" s="7">
        <v>41634</v>
      </c>
    </row>
    <row r="132" spans="2:12">
      <c r="B132" t="s">
        <v>167</v>
      </c>
      <c r="C132" t="s">
        <v>10</v>
      </c>
      <c r="D132" s="7">
        <v>41012</v>
      </c>
    </row>
    <row r="133" spans="2:12">
      <c r="B133" t="s">
        <v>168</v>
      </c>
      <c r="C133" t="s">
        <v>6</v>
      </c>
      <c r="D133" s="7">
        <v>41435</v>
      </c>
    </row>
    <row r="134" spans="2:12">
      <c r="B134" t="s">
        <v>169</v>
      </c>
      <c r="C134" t="s">
        <v>14</v>
      </c>
      <c r="D134" s="7">
        <v>41002</v>
      </c>
    </row>
    <row r="135" spans="2:12">
      <c r="B135" t="s">
        <v>170</v>
      </c>
      <c r="C135" t="s">
        <v>7</v>
      </c>
      <c r="D135" s="7">
        <v>41442</v>
      </c>
    </row>
    <row r="136" spans="2:12">
      <c r="B136" t="s">
        <v>171</v>
      </c>
      <c r="C136" t="s">
        <v>8</v>
      </c>
      <c r="D136" s="7">
        <v>41779</v>
      </c>
    </row>
    <row r="137" spans="2:12">
      <c r="B137" t="s">
        <v>172</v>
      </c>
      <c r="C137" t="s">
        <v>20</v>
      </c>
      <c r="D137" s="7">
        <v>40876</v>
      </c>
    </row>
    <row r="141" spans="2:12">
      <c r="B141" t="s">
        <v>487</v>
      </c>
    </row>
    <row r="142" spans="2:12">
      <c r="B142" t="s">
        <v>488</v>
      </c>
      <c r="C142" t="s">
        <v>489</v>
      </c>
      <c r="D142" t="s">
        <v>491</v>
      </c>
      <c r="E142" t="s">
        <v>492</v>
      </c>
      <c r="F142" t="s">
        <v>490</v>
      </c>
      <c r="H142" t="s">
        <v>499</v>
      </c>
      <c r="I142" t="s">
        <v>489</v>
      </c>
      <c r="J142" t="s">
        <v>491</v>
      </c>
      <c r="K142" t="s">
        <v>492</v>
      </c>
      <c r="L142" t="s">
        <v>490</v>
      </c>
    </row>
    <row r="143" spans="2:12">
      <c r="B143">
        <v>8.5</v>
      </c>
      <c r="C143">
        <v>100000</v>
      </c>
      <c r="D143" t="s">
        <v>10</v>
      </c>
      <c r="E143" t="s">
        <v>24</v>
      </c>
      <c r="F143" s="21">
        <v>4.0000000000000001E-3</v>
      </c>
      <c r="H143">
        <v>12.5</v>
      </c>
      <c r="I143">
        <v>100000</v>
      </c>
      <c r="J143" t="s">
        <v>10</v>
      </c>
      <c r="K143" t="s">
        <v>24</v>
      </c>
      <c r="L143" s="21">
        <v>4.0000000000000001E-3</v>
      </c>
    </row>
    <row r="144" spans="2:12">
      <c r="B144">
        <v>6.5</v>
      </c>
      <c r="C144">
        <f t="shared" ref="C144:C156" si="0">B143-0.000001</f>
        <v>8.4999990000000007</v>
      </c>
      <c r="D144" t="s">
        <v>5</v>
      </c>
      <c r="E144" t="s">
        <v>26</v>
      </c>
      <c r="F144" s="21">
        <v>7.0000000000000001E-3</v>
      </c>
      <c r="H144">
        <v>9.5</v>
      </c>
      <c r="I144">
        <f>H143-0.000001</f>
        <v>12.499999000000001</v>
      </c>
      <c r="J144" t="s">
        <v>5</v>
      </c>
      <c r="K144" t="s">
        <v>26</v>
      </c>
      <c r="L144" s="21">
        <v>7.0000000000000001E-3</v>
      </c>
    </row>
    <row r="145" spans="2:12">
      <c r="B145">
        <v>5.5</v>
      </c>
      <c r="C145">
        <f t="shared" si="0"/>
        <v>6.4999989999999999</v>
      </c>
      <c r="D145" t="s">
        <v>19</v>
      </c>
      <c r="E145" t="s">
        <v>28</v>
      </c>
      <c r="F145" s="21">
        <v>8.5000000000000006E-3</v>
      </c>
      <c r="H145">
        <v>7.5</v>
      </c>
      <c r="I145">
        <f t="shared" ref="I145:I157" si="1">H144-0.000001</f>
        <v>9.4999990000000007</v>
      </c>
      <c r="J145" t="s">
        <v>19</v>
      </c>
      <c r="K145" t="s">
        <v>28</v>
      </c>
      <c r="L145" s="21">
        <v>8.5000000000000006E-3</v>
      </c>
    </row>
    <row r="146" spans="2:12">
      <c r="B146">
        <v>4.25</v>
      </c>
      <c r="C146">
        <f t="shared" si="0"/>
        <v>5.4999989999999999</v>
      </c>
      <c r="D146" t="s">
        <v>4</v>
      </c>
      <c r="E146" t="s">
        <v>29</v>
      </c>
      <c r="F146" s="21">
        <v>0.01</v>
      </c>
      <c r="H146">
        <v>6</v>
      </c>
      <c r="I146">
        <f t="shared" si="1"/>
        <v>7.4999989999999999</v>
      </c>
      <c r="J146" t="s">
        <v>4</v>
      </c>
      <c r="K146" t="s">
        <v>29</v>
      </c>
      <c r="L146" s="21">
        <v>0.01</v>
      </c>
    </row>
    <row r="147" spans="2:12">
      <c r="B147">
        <v>3</v>
      </c>
      <c r="C147">
        <f t="shared" si="0"/>
        <v>4.2499989999999999</v>
      </c>
      <c r="D147" t="s">
        <v>9</v>
      </c>
      <c r="E147" t="s">
        <v>30</v>
      </c>
      <c r="F147" s="21">
        <v>1.2999999999999999E-2</v>
      </c>
      <c r="H147">
        <v>4.5</v>
      </c>
      <c r="I147">
        <f t="shared" si="1"/>
        <v>5.9999989999999999</v>
      </c>
      <c r="J147" t="s">
        <v>9</v>
      </c>
      <c r="K147" t="s">
        <v>30</v>
      </c>
      <c r="L147" s="21">
        <v>1.2999999999999999E-2</v>
      </c>
    </row>
    <row r="148" spans="2:12">
      <c r="B148">
        <v>2.5</v>
      </c>
      <c r="C148">
        <f t="shared" si="0"/>
        <v>2.9999989999999999</v>
      </c>
      <c r="D148" t="s">
        <v>15</v>
      </c>
      <c r="E148" t="s">
        <v>32</v>
      </c>
      <c r="F148" s="21">
        <v>0.02</v>
      </c>
      <c r="H148">
        <v>4</v>
      </c>
      <c r="I148">
        <f t="shared" si="1"/>
        <v>4.4999989999999999</v>
      </c>
      <c r="J148" t="s">
        <v>15</v>
      </c>
      <c r="K148" t="s">
        <v>32</v>
      </c>
      <c r="L148" s="21">
        <v>0.02</v>
      </c>
    </row>
    <row r="149" spans="2:12">
      <c r="B149">
        <v>2.25</v>
      </c>
      <c r="C149">
        <f t="shared" si="0"/>
        <v>2.4999989999999999</v>
      </c>
      <c r="D149" t="s">
        <v>21</v>
      </c>
      <c r="E149" t="s">
        <v>34</v>
      </c>
      <c r="F149" s="21">
        <v>0.03</v>
      </c>
      <c r="H149">
        <v>3.5</v>
      </c>
      <c r="I149">
        <f t="shared" si="1"/>
        <v>3.9999989999999999</v>
      </c>
      <c r="J149" t="s">
        <v>21</v>
      </c>
      <c r="K149" t="s">
        <v>34</v>
      </c>
      <c r="L149" s="21">
        <v>0.03</v>
      </c>
    </row>
    <row r="150" spans="2:12">
      <c r="B150">
        <v>2</v>
      </c>
      <c r="C150">
        <f t="shared" si="0"/>
        <v>2.2499989999999999</v>
      </c>
      <c r="D150" t="s">
        <v>18</v>
      </c>
      <c r="E150" t="s">
        <v>35</v>
      </c>
      <c r="F150" s="21">
        <v>0.04</v>
      </c>
      <c r="H150">
        <v>3</v>
      </c>
      <c r="I150">
        <f t="shared" si="1"/>
        <v>3.4999989999999999</v>
      </c>
      <c r="J150" t="s">
        <v>18</v>
      </c>
      <c r="K150" t="s">
        <v>35</v>
      </c>
      <c r="L150" s="21">
        <v>0.04</v>
      </c>
    </row>
    <row r="151" spans="2:12">
      <c r="B151">
        <v>1.75</v>
      </c>
      <c r="C151">
        <f t="shared" si="0"/>
        <v>1.9999990000000001</v>
      </c>
      <c r="D151" t="s">
        <v>20</v>
      </c>
      <c r="E151" t="s">
        <v>37</v>
      </c>
      <c r="F151" s="21">
        <v>5.5E-2</v>
      </c>
      <c r="H151">
        <v>2.5</v>
      </c>
      <c r="I151">
        <f t="shared" si="1"/>
        <v>2.9999989999999999</v>
      </c>
      <c r="J151" t="s">
        <v>20</v>
      </c>
      <c r="K151" t="s">
        <v>37</v>
      </c>
      <c r="L151" s="21">
        <v>5.5E-2</v>
      </c>
    </row>
    <row r="152" spans="2:12">
      <c r="B152">
        <v>1.5</v>
      </c>
      <c r="C152">
        <f t="shared" si="0"/>
        <v>1.7499990000000001</v>
      </c>
      <c r="D152" t="s">
        <v>7</v>
      </c>
      <c r="E152" t="s">
        <v>38</v>
      </c>
      <c r="F152" s="21">
        <v>6.5000000000000002E-2</v>
      </c>
      <c r="H152">
        <v>2</v>
      </c>
      <c r="I152">
        <f t="shared" si="1"/>
        <v>2.4999989999999999</v>
      </c>
      <c r="J152" t="s">
        <v>7</v>
      </c>
      <c r="K152" t="s">
        <v>38</v>
      </c>
      <c r="L152" s="21">
        <v>6.5000000000000002E-2</v>
      </c>
    </row>
    <row r="153" spans="2:12">
      <c r="B153">
        <v>1.25</v>
      </c>
      <c r="C153">
        <f t="shared" si="0"/>
        <v>1.4999990000000001</v>
      </c>
      <c r="D153" t="s">
        <v>16</v>
      </c>
      <c r="E153" t="s">
        <v>39</v>
      </c>
      <c r="F153" s="21">
        <v>7.2499999999999995E-2</v>
      </c>
      <c r="H153">
        <v>1.5</v>
      </c>
      <c r="I153">
        <f t="shared" si="1"/>
        <v>1.9999990000000001</v>
      </c>
      <c r="J153" t="s">
        <v>16</v>
      </c>
      <c r="K153" t="s">
        <v>39</v>
      </c>
      <c r="L153" s="21">
        <v>7.2499999999999995E-2</v>
      </c>
    </row>
    <row r="154" spans="2:12">
      <c r="B154">
        <v>0.8</v>
      </c>
      <c r="C154">
        <f t="shared" si="0"/>
        <v>1.2499990000000001</v>
      </c>
      <c r="D154" t="s">
        <v>22</v>
      </c>
      <c r="E154" t="s">
        <v>295</v>
      </c>
      <c r="F154" s="21">
        <v>8.7499999999999994E-2</v>
      </c>
      <c r="H154">
        <v>1.25</v>
      </c>
      <c r="I154">
        <f t="shared" si="1"/>
        <v>1.4999990000000001</v>
      </c>
      <c r="J154" t="s">
        <v>22</v>
      </c>
      <c r="K154" t="s">
        <v>295</v>
      </c>
      <c r="L154" s="21">
        <v>8.7499999999999994E-2</v>
      </c>
    </row>
    <row r="155" spans="2:12">
      <c r="B155">
        <v>0.65</v>
      </c>
      <c r="C155">
        <f t="shared" si="0"/>
        <v>0.79999900000000002</v>
      </c>
      <c r="D155" t="s">
        <v>493</v>
      </c>
      <c r="E155" t="s">
        <v>496</v>
      </c>
      <c r="F155" s="21">
        <v>9.5000000000000001E-2</v>
      </c>
      <c r="H155">
        <v>0.8</v>
      </c>
      <c r="I155">
        <f t="shared" si="1"/>
        <v>1.2499990000000001</v>
      </c>
      <c r="J155" t="s">
        <v>493</v>
      </c>
      <c r="K155" t="s">
        <v>496</v>
      </c>
      <c r="L155" s="21">
        <v>9.5000000000000001E-2</v>
      </c>
    </row>
    <row r="156" spans="2:12">
      <c r="B156">
        <v>0.2</v>
      </c>
      <c r="C156">
        <f t="shared" si="0"/>
        <v>0.64999899999999999</v>
      </c>
      <c r="D156" t="s">
        <v>494</v>
      </c>
      <c r="E156" t="s">
        <v>497</v>
      </c>
      <c r="F156" s="21">
        <v>0.105</v>
      </c>
      <c r="H156">
        <v>0.5</v>
      </c>
      <c r="I156">
        <f t="shared" si="1"/>
        <v>0.79999900000000002</v>
      </c>
      <c r="J156" t="s">
        <v>494</v>
      </c>
      <c r="K156" t="s">
        <v>497</v>
      </c>
      <c r="L156" s="21">
        <v>0.105</v>
      </c>
    </row>
    <row r="157" spans="2:12">
      <c r="B157">
        <v>-100000</v>
      </c>
      <c r="C157">
        <f>B156-0.000001</f>
        <v>0.19999900000000001</v>
      </c>
      <c r="D157" t="s">
        <v>495</v>
      </c>
      <c r="E157" t="s">
        <v>498</v>
      </c>
      <c r="F157" s="21">
        <v>0.12</v>
      </c>
      <c r="H157">
        <v>-100000</v>
      </c>
      <c r="I157">
        <f t="shared" si="1"/>
        <v>0.49999900000000003</v>
      </c>
      <c r="J157" t="s">
        <v>495</v>
      </c>
      <c r="K157" t="s">
        <v>498</v>
      </c>
      <c r="L157" s="21">
        <v>0.12</v>
      </c>
    </row>
  </sheetData>
  <mergeCells count="4">
    <mergeCell ref="B2:B4"/>
    <mergeCell ref="B7:D7"/>
    <mergeCell ref="F7:H7"/>
    <mergeCell ref="J7:L7"/>
  </mergeCells>
  <hyperlinks>
    <hyperlink ref="D3" location="Summary!B3" display="Summary"/>
    <hyperlink ref="F3" location="Investments!B3" display="Investments"/>
    <hyperlink ref="G3" location="'Country &amp; region data'!B3" display="Country &amp; region"/>
    <hyperlink ref="E3" location="'Models &amp; inputs'!B3" display="Models &amp;  inputs"/>
  </hyperlinks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89"/>
  <sheetViews>
    <sheetView showGridLines="0" topLeftCell="A5" zoomScale="85" zoomScaleNormal="85" workbookViewId="0">
      <selection activeCell="B20" sqref="B20:B25"/>
    </sheetView>
  </sheetViews>
  <sheetFormatPr defaultRowHeight="15"/>
  <cols>
    <col min="1" max="1" width="2.28515625" customWidth="1"/>
    <col min="2" max="2" width="22.85546875" bestFit="1" customWidth="1"/>
    <col min="3" max="3" width="22.85546875" customWidth="1"/>
    <col min="4" max="4" width="9.42578125" bestFit="1" customWidth="1"/>
    <col min="5" max="10" width="23.5703125" customWidth="1"/>
    <col min="11" max="11" width="9.42578125" customWidth="1"/>
    <col min="12" max="12" width="13.28515625" bestFit="1" customWidth="1"/>
    <col min="13" max="14" width="16.42578125" customWidth="1"/>
    <col min="15" max="16" width="13.85546875" customWidth="1"/>
    <col min="18" max="23" width="11" customWidth="1"/>
  </cols>
  <sheetData>
    <row r="1" spans="2:15" ht="4.5" customHeight="1">
      <c r="B1" s="1"/>
      <c r="C1" s="1"/>
    </row>
    <row r="2" spans="2:15" s="2" customFormat="1" ht="9.75" customHeight="1">
      <c r="B2" s="186" t="s">
        <v>234</v>
      </c>
      <c r="C2" s="68"/>
    </row>
    <row r="3" spans="2:15" s="2" customFormat="1" ht="57" customHeight="1" thickBot="1">
      <c r="B3" s="186"/>
      <c r="C3" s="68"/>
      <c r="D3" s="23"/>
      <c r="E3" s="25" t="s">
        <v>206</v>
      </c>
      <c r="F3" s="25" t="s">
        <v>243</v>
      </c>
      <c r="G3" s="26" t="s">
        <v>207</v>
      </c>
      <c r="H3" s="26" t="s">
        <v>208</v>
      </c>
      <c r="I3" s="24"/>
      <c r="J3" s="22"/>
      <c r="K3" s="22"/>
      <c r="L3" s="22"/>
      <c r="M3" s="22"/>
      <c r="N3" s="22"/>
      <c r="O3" s="22"/>
    </row>
    <row r="4" spans="2:15" s="2" customFormat="1" ht="9.75" customHeight="1" thickTop="1">
      <c r="B4" s="186"/>
      <c r="C4" s="68"/>
    </row>
    <row r="5" spans="2:15" ht="7.5" customHeight="1">
      <c r="B5" s="1"/>
      <c r="C5" s="1"/>
    </row>
    <row r="7" spans="2:15">
      <c r="B7" t="s">
        <v>231</v>
      </c>
      <c r="C7" t="s">
        <v>414</v>
      </c>
      <c r="E7" t="s">
        <v>259</v>
      </c>
      <c r="G7" t="s">
        <v>297</v>
      </c>
    </row>
    <row r="8" spans="2:15" ht="15.75">
      <c r="B8" t="s">
        <v>232</v>
      </c>
      <c r="E8" t="s">
        <v>260</v>
      </c>
      <c r="G8" s="75" t="s">
        <v>320</v>
      </c>
    </row>
    <row r="9" spans="2:15" ht="15.75">
      <c r="B9" t="s">
        <v>238</v>
      </c>
      <c r="C9" t="s">
        <v>418</v>
      </c>
      <c r="E9" t="s">
        <v>261</v>
      </c>
      <c r="G9" s="75" t="s">
        <v>321</v>
      </c>
    </row>
    <row r="10" spans="2:15" ht="15.75">
      <c r="B10" t="s">
        <v>237</v>
      </c>
      <c r="G10" s="75" t="s">
        <v>322</v>
      </c>
    </row>
    <row r="11" spans="2:15" ht="15.75">
      <c r="B11" t="s">
        <v>233</v>
      </c>
      <c r="E11" t="s">
        <v>280</v>
      </c>
      <c r="G11" s="75" t="s">
        <v>323</v>
      </c>
    </row>
    <row r="12" spans="2:15" ht="15.75">
      <c r="B12" t="s">
        <v>235</v>
      </c>
      <c r="E12" s="20">
        <v>0.67</v>
      </c>
      <c r="G12" s="75" t="s">
        <v>324</v>
      </c>
    </row>
    <row r="13" spans="2:15" ht="15.75">
      <c r="B13" t="s">
        <v>236</v>
      </c>
      <c r="E13" s="20">
        <v>0.95</v>
      </c>
      <c r="G13" s="75" t="s">
        <v>325</v>
      </c>
    </row>
    <row r="14" spans="2:15" ht="15.75">
      <c r="B14" t="s">
        <v>242</v>
      </c>
      <c r="C14" t="s">
        <v>416</v>
      </c>
      <c r="G14" s="75" t="s">
        <v>326</v>
      </c>
    </row>
    <row r="15" spans="2:15" ht="15.75">
      <c r="B15" t="s">
        <v>240</v>
      </c>
      <c r="C15" t="s">
        <v>416</v>
      </c>
      <c r="G15" s="75" t="s">
        <v>327</v>
      </c>
    </row>
    <row r="16" spans="2:15" ht="15.75">
      <c r="B16" t="s">
        <v>241</v>
      </c>
      <c r="C16" t="s">
        <v>417</v>
      </c>
      <c r="G16" s="75" t="s">
        <v>328</v>
      </c>
    </row>
    <row r="17" spans="2:7" ht="15.75">
      <c r="B17" t="s">
        <v>239</v>
      </c>
      <c r="G17" s="75" t="s">
        <v>329</v>
      </c>
    </row>
    <row r="18" spans="2:7" ht="15.75">
      <c r="G18" s="75" t="s">
        <v>330</v>
      </c>
    </row>
    <row r="19" spans="2:7" ht="15.75">
      <c r="B19" t="s">
        <v>419</v>
      </c>
      <c r="C19" t="s">
        <v>414</v>
      </c>
      <c r="D19" t="s">
        <v>436</v>
      </c>
      <c r="G19" s="75" t="s">
        <v>331</v>
      </c>
    </row>
    <row r="20" spans="2:7" ht="15.75">
      <c r="B20" t="s">
        <v>241</v>
      </c>
      <c r="C20" t="s">
        <v>417</v>
      </c>
      <c r="D20" s="73" t="s">
        <v>438</v>
      </c>
      <c r="G20" s="75" t="s">
        <v>332</v>
      </c>
    </row>
    <row r="21" spans="2:7" ht="15.75">
      <c r="B21" t="s">
        <v>420</v>
      </c>
      <c r="C21" t="s">
        <v>424</v>
      </c>
      <c r="D21" s="73" t="s">
        <v>437</v>
      </c>
      <c r="G21" s="75" t="s">
        <v>333</v>
      </c>
    </row>
    <row r="22" spans="2:7" ht="15.75">
      <c r="B22" t="s">
        <v>415</v>
      </c>
      <c r="C22" t="s">
        <v>416</v>
      </c>
      <c r="D22" s="73" t="s">
        <v>439</v>
      </c>
      <c r="G22" s="75" t="s">
        <v>334</v>
      </c>
    </row>
    <row r="23" spans="2:7" ht="15.75">
      <c r="B23" t="s">
        <v>408</v>
      </c>
      <c r="C23" t="s">
        <v>423</v>
      </c>
      <c r="D23" s="73" t="s">
        <v>442</v>
      </c>
      <c r="G23" s="75" t="s">
        <v>335</v>
      </c>
    </row>
    <row r="24" spans="2:7" ht="15.75">
      <c r="B24" t="s">
        <v>282</v>
      </c>
      <c r="C24" t="s">
        <v>422</v>
      </c>
      <c r="D24" s="73" t="s">
        <v>440</v>
      </c>
      <c r="G24" s="75" t="s">
        <v>336</v>
      </c>
    </row>
    <row r="25" spans="2:7" ht="15.75">
      <c r="B25" t="s">
        <v>283</v>
      </c>
      <c r="C25" t="s">
        <v>421</v>
      </c>
      <c r="D25" s="73" t="s">
        <v>441</v>
      </c>
      <c r="G25" s="75" t="s">
        <v>337</v>
      </c>
    </row>
    <row r="26" spans="2:7" ht="15.75">
      <c r="G26" s="75" t="s">
        <v>338</v>
      </c>
    </row>
    <row r="27" spans="2:7" ht="15.75">
      <c r="G27" s="75" t="s">
        <v>339</v>
      </c>
    </row>
    <row r="28" spans="2:7" ht="15.75">
      <c r="G28" s="75" t="s">
        <v>340</v>
      </c>
    </row>
    <row r="29" spans="2:7" ht="15.75">
      <c r="G29" s="75" t="s">
        <v>341</v>
      </c>
    </row>
    <row r="30" spans="2:7" ht="15.75">
      <c r="G30" s="75" t="s">
        <v>342</v>
      </c>
    </row>
    <row r="31" spans="2:7" ht="15.75">
      <c r="G31" s="75" t="s">
        <v>343</v>
      </c>
    </row>
    <row r="32" spans="2:7" ht="15.75">
      <c r="G32" s="75" t="s">
        <v>344</v>
      </c>
    </row>
    <row r="33" spans="7:7" ht="15.75">
      <c r="G33" s="75" t="s">
        <v>345</v>
      </c>
    </row>
    <row r="34" spans="7:7" ht="15.75">
      <c r="G34" s="75" t="s">
        <v>346</v>
      </c>
    </row>
    <row r="35" spans="7:7" ht="15.75">
      <c r="G35" s="75" t="s">
        <v>347</v>
      </c>
    </row>
    <row r="36" spans="7:7" ht="15.75">
      <c r="G36" s="75" t="s">
        <v>348</v>
      </c>
    </row>
    <row r="37" spans="7:7" ht="15.75">
      <c r="G37" s="75" t="s">
        <v>349</v>
      </c>
    </row>
    <row r="38" spans="7:7" ht="15.75">
      <c r="G38" s="75" t="s">
        <v>350</v>
      </c>
    </row>
    <row r="39" spans="7:7" ht="15.75">
      <c r="G39" s="75" t="s">
        <v>351</v>
      </c>
    </row>
    <row r="40" spans="7:7" ht="15.75">
      <c r="G40" s="75" t="s">
        <v>352</v>
      </c>
    </row>
    <row r="41" spans="7:7" ht="15.75">
      <c r="G41" s="75" t="s">
        <v>353</v>
      </c>
    </row>
    <row r="42" spans="7:7" ht="15.75">
      <c r="G42" s="75" t="s">
        <v>354</v>
      </c>
    </row>
    <row r="43" spans="7:7" ht="15.75">
      <c r="G43" s="75" t="s">
        <v>355</v>
      </c>
    </row>
    <row r="44" spans="7:7" ht="15.75">
      <c r="G44" s="75" t="s">
        <v>356</v>
      </c>
    </row>
    <row r="45" spans="7:7" ht="15.75">
      <c r="G45" s="75" t="s">
        <v>357</v>
      </c>
    </row>
    <row r="46" spans="7:7" ht="15.75">
      <c r="G46" s="75" t="s">
        <v>358</v>
      </c>
    </row>
    <row r="47" spans="7:7" ht="15.75">
      <c r="G47" s="75" t="s">
        <v>359</v>
      </c>
    </row>
    <row r="48" spans="7:7" ht="15.75">
      <c r="G48" s="75" t="s">
        <v>360</v>
      </c>
    </row>
    <row r="49" spans="7:7" ht="15.75">
      <c r="G49" s="75" t="s">
        <v>361</v>
      </c>
    </row>
    <row r="50" spans="7:7" ht="15.75">
      <c r="G50" s="75" t="s">
        <v>362</v>
      </c>
    </row>
    <row r="51" spans="7:7" ht="15.75">
      <c r="G51" s="75" t="s">
        <v>363</v>
      </c>
    </row>
    <row r="52" spans="7:7" ht="15.75">
      <c r="G52" s="75" t="s">
        <v>364</v>
      </c>
    </row>
    <row r="53" spans="7:7" ht="15.75">
      <c r="G53" s="75" t="s">
        <v>365</v>
      </c>
    </row>
    <row r="54" spans="7:7" ht="15.75">
      <c r="G54" s="75" t="s">
        <v>366</v>
      </c>
    </row>
    <row r="55" spans="7:7" ht="15.75">
      <c r="G55" s="75" t="s">
        <v>367</v>
      </c>
    </row>
    <row r="56" spans="7:7" ht="15.75">
      <c r="G56" s="75" t="s">
        <v>368</v>
      </c>
    </row>
    <row r="57" spans="7:7" ht="15.75">
      <c r="G57" s="75" t="s">
        <v>369</v>
      </c>
    </row>
    <row r="58" spans="7:7" ht="15.75">
      <c r="G58" s="75" t="s">
        <v>370</v>
      </c>
    </row>
    <row r="59" spans="7:7" ht="15.75">
      <c r="G59" s="75" t="s">
        <v>371</v>
      </c>
    </row>
    <row r="60" spans="7:7" ht="15.75">
      <c r="G60" s="75" t="s">
        <v>372</v>
      </c>
    </row>
    <row r="61" spans="7:7" ht="15.75">
      <c r="G61" s="75" t="s">
        <v>373</v>
      </c>
    </row>
    <row r="62" spans="7:7" ht="15.75">
      <c r="G62" s="75" t="s">
        <v>403</v>
      </c>
    </row>
    <row r="63" spans="7:7" ht="15.75">
      <c r="G63" s="75" t="s">
        <v>374</v>
      </c>
    </row>
    <row r="64" spans="7:7" ht="15.75">
      <c r="G64" s="75" t="s">
        <v>376</v>
      </c>
    </row>
    <row r="65" spans="7:7" ht="15.75">
      <c r="G65" s="75" t="s">
        <v>377</v>
      </c>
    </row>
    <row r="66" spans="7:7" ht="15.75">
      <c r="G66" s="75" t="s">
        <v>378</v>
      </c>
    </row>
    <row r="67" spans="7:7" ht="15.75">
      <c r="G67" s="75" t="s">
        <v>379</v>
      </c>
    </row>
    <row r="68" spans="7:7" ht="15.75">
      <c r="G68" s="75" t="s">
        <v>380</v>
      </c>
    </row>
    <row r="69" spans="7:7" ht="15.75">
      <c r="G69" s="75" t="s">
        <v>381</v>
      </c>
    </row>
    <row r="70" spans="7:7" ht="15.75">
      <c r="G70" s="75" t="s">
        <v>382</v>
      </c>
    </row>
    <row r="71" spans="7:7" ht="15.75">
      <c r="G71" s="75" t="s">
        <v>383</v>
      </c>
    </row>
    <row r="72" spans="7:7" ht="15.75">
      <c r="G72" s="75" t="s">
        <v>384</v>
      </c>
    </row>
    <row r="73" spans="7:7" ht="15.75">
      <c r="G73" s="75" t="s">
        <v>385</v>
      </c>
    </row>
    <row r="74" spans="7:7" ht="15.75">
      <c r="G74" s="75" t="s">
        <v>386</v>
      </c>
    </row>
    <row r="75" spans="7:7" ht="15.75">
      <c r="G75" s="75" t="s">
        <v>387</v>
      </c>
    </row>
    <row r="76" spans="7:7" ht="30.75" customHeight="1">
      <c r="G76" s="75" t="s">
        <v>388</v>
      </c>
    </row>
    <row r="77" spans="7:7" ht="15.75">
      <c r="G77" s="75" t="s">
        <v>389</v>
      </c>
    </row>
    <row r="78" spans="7:7" ht="15.75">
      <c r="G78" s="75" t="s">
        <v>390</v>
      </c>
    </row>
    <row r="79" spans="7:7" ht="15.75">
      <c r="G79" s="75" t="s">
        <v>391</v>
      </c>
    </row>
    <row r="80" spans="7:7" ht="15.75">
      <c r="G80" s="75" t="s">
        <v>392</v>
      </c>
    </row>
    <row r="81" spans="7:7" ht="15.75">
      <c r="G81" s="75" t="s">
        <v>393</v>
      </c>
    </row>
    <row r="82" spans="7:7" ht="15.75">
      <c r="G82" s="75" t="s">
        <v>394</v>
      </c>
    </row>
    <row r="83" spans="7:7" ht="15.75">
      <c r="G83" s="75" t="s">
        <v>395</v>
      </c>
    </row>
    <row r="84" spans="7:7" ht="15.75">
      <c r="G84" s="75" t="s">
        <v>396</v>
      </c>
    </row>
    <row r="85" spans="7:7" ht="15.75">
      <c r="G85" s="75" t="s">
        <v>397</v>
      </c>
    </row>
    <row r="86" spans="7:7" ht="15.75">
      <c r="G86" s="75" t="s">
        <v>404</v>
      </c>
    </row>
    <row r="87" spans="7:7" ht="15.75">
      <c r="G87" s="75" t="s">
        <v>399</v>
      </c>
    </row>
    <row r="88" spans="7:7" ht="15.75">
      <c r="G88" s="75" t="s">
        <v>400</v>
      </c>
    </row>
    <row r="89" spans="7:7" ht="15.75">
      <c r="G89" s="75" t="s">
        <v>401</v>
      </c>
    </row>
  </sheetData>
  <mergeCells count="1">
    <mergeCell ref="B2:B4"/>
  </mergeCells>
  <hyperlinks>
    <hyperlink ref="E3" location="Summary!B3" display="Summary"/>
    <hyperlink ref="G3" location="Investments!B3" display="Investments"/>
    <hyperlink ref="H3" location="'Country &amp; region data'!B3" display="Country &amp; region"/>
    <hyperlink ref="F3" location="'Models &amp; inputs'!B3" display="Models &amp;  inputs"/>
  </hyperlinks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Kalkylblad</vt:lpstr>
      </vt:variant>
      <vt:variant>
        <vt:i4>9</vt:i4>
      </vt:variant>
      <vt:variant>
        <vt:lpstr>Namngivna områden</vt:lpstr>
      </vt:variant>
      <vt:variant>
        <vt:i4>19</vt:i4>
      </vt:variant>
    </vt:vector>
  </HeadingPairs>
  <TitlesOfParts>
    <vt:vector size="28" baseType="lpstr">
      <vt:lpstr>Template</vt:lpstr>
      <vt:lpstr>Summary</vt:lpstr>
      <vt:lpstr>Company data</vt:lpstr>
      <vt:lpstr>Models &amp; inputs</vt:lpstr>
      <vt:lpstr>Investments</vt:lpstr>
      <vt:lpstr>Industry averages</vt:lpstr>
      <vt:lpstr>Country &amp; region data</vt:lpstr>
      <vt:lpstr>Raw rankings</vt:lpstr>
      <vt:lpstr>Input data &amp; validation</vt:lpstr>
      <vt:lpstr>Beta_Levered</vt:lpstr>
      <vt:lpstr>Beta_Regression</vt:lpstr>
      <vt:lpstr>Beta_Standard_Error</vt:lpstr>
      <vt:lpstr>Beta_Unlevered</vt:lpstr>
      <vt:lpstr>Company_Debt</vt:lpstr>
      <vt:lpstr>Company_EBIT</vt:lpstr>
      <vt:lpstr>Company_Equity</vt:lpstr>
      <vt:lpstr>Company_Interest_Expenses</vt:lpstr>
      <vt:lpstr>Company_Market_Cap</vt:lpstr>
      <vt:lpstr>Company_Tax_Rate</vt:lpstr>
      <vt:lpstr>Confidence_interval</vt:lpstr>
      <vt:lpstr>'Company data'!Data_Validation_Regions</vt:lpstr>
      <vt:lpstr>Estimated_Firm_Value</vt:lpstr>
      <vt:lpstr>Industry_Average</vt:lpstr>
      <vt:lpstr>'Industry averages'!Input_Confidence_Interval</vt:lpstr>
      <vt:lpstr>Input_Confidence_Interval</vt:lpstr>
      <vt:lpstr>'Industry averages'!Input_Industries</vt:lpstr>
      <vt:lpstr>Input_Industries</vt:lpstr>
      <vt:lpstr>Investments_Country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Tobias Genborg</dc:creator>
  <cp:lastModifiedBy>Tobias Genborg</cp:lastModifiedBy>
  <dcterms:created xsi:type="dcterms:W3CDTF">2014-08-28T23:44:16Z</dcterms:created>
  <dcterms:modified xsi:type="dcterms:W3CDTF">2014-09-03T11:01:00Z</dcterms:modified>
</cp:coreProperties>
</file>