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Fishery\dredge\2018\curve\"/>
    </mc:Choice>
  </mc:AlternateContent>
  <bookViews>
    <workbookView xWindow="0" yWindow="0" windowWidth="19200" windowHeight="7095" activeTab="3"/>
  </bookViews>
  <sheets>
    <sheet name="ctfreqraw" sheetId="15" r:id="rId1"/>
    <sheet name="wpsizefreqraw" sheetId="14" r:id="rId2"/>
    <sheet name="sizefreqcat" sheetId="7" r:id="rId3"/>
    <sheet name="Logistic curve" sheetId="1" r:id="rId4"/>
    <sheet name="Richard curve" sheetId="2" r:id="rId5"/>
    <sheet name="Encounter probability model" sheetId="3" r:id="rId6"/>
    <sheet name="Logistic curve (88.9S)" sheetId="4" r:id="rId7"/>
    <sheet name="Richard curve (88.9S)" sheetId="5" r:id="rId8"/>
    <sheet name="Encounter probability (88.9S)" sheetId="6" r:id="rId9"/>
    <sheet name="Logistic curve (82.6R) " sheetId="8" r:id="rId10"/>
    <sheet name="Richard curve (82.6R) " sheetId="9" r:id="rId11"/>
    <sheet name="Encounter probability (82.6R)" sheetId="10" r:id="rId12"/>
    <sheet name="Logistic curve (82.6S) " sheetId="11" r:id="rId13"/>
    <sheet name="Richard curve (82.6S)" sheetId="12" r:id="rId14"/>
    <sheet name="Encounter probability (82.6S)" sheetId="13" r:id="rId15"/>
  </sheets>
  <definedNames>
    <definedName name="solver_adj" localSheetId="11" hidden="1">'Encounter probability (82.6R)'!$F$4:$F$6</definedName>
    <definedName name="solver_adj" localSheetId="14" hidden="1">'Encounter probability (82.6S)'!$F$4:$F$6</definedName>
    <definedName name="solver_adj" localSheetId="8" hidden="1">'Encounter probability (88.9S)'!$F$4:$F$6</definedName>
    <definedName name="solver_adj" localSheetId="5" hidden="1">'Encounter probability model'!$F$4:$F$6</definedName>
    <definedName name="solver_adj" localSheetId="3" hidden="1">'Logistic curve'!$F$4:$F$5</definedName>
    <definedName name="solver_adj" localSheetId="9" hidden="1">'Logistic curve (82.6R) '!$F$4:$F$5</definedName>
    <definedName name="solver_adj" localSheetId="12" hidden="1">'Logistic curve (82.6S) '!$F$4:$F$5</definedName>
    <definedName name="solver_adj" localSheetId="6" hidden="1">'Logistic curve (88.9S)'!$F$4:$F$5</definedName>
    <definedName name="solver_adj" localSheetId="4" hidden="1">'Richard curve'!$F$4:$F$6</definedName>
    <definedName name="solver_adj" localSheetId="10" hidden="1">'Richard curve (82.6R) '!$F$4:$F$6</definedName>
    <definedName name="solver_adj" localSheetId="13" hidden="1">'Richard curve (82.6S)'!$F$4:$F$6</definedName>
    <definedName name="solver_adj" localSheetId="7" hidden="1">'Richard curve (88.9S)'!$F$4:$F$6</definedName>
    <definedName name="solver_cvg" localSheetId="11" hidden="1">0.0001</definedName>
    <definedName name="solver_cvg" localSheetId="14" hidden="1">0.0001</definedName>
    <definedName name="solver_cvg" localSheetId="8" hidden="1">0.0001</definedName>
    <definedName name="solver_cvg" localSheetId="5" hidden="1">0.0001</definedName>
    <definedName name="solver_cvg" localSheetId="3" hidden="1">0.0001</definedName>
    <definedName name="solver_cvg" localSheetId="9" hidden="1">0.0001</definedName>
    <definedName name="solver_cvg" localSheetId="12" hidden="1">0.0001</definedName>
    <definedName name="solver_cvg" localSheetId="6" hidden="1">0.0001</definedName>
    <definedName name="solver_cvg" localSheetId="4" hidden="1">0.0001</definedName>
    <definedName name="solver_cvg" localSheetId="10" hidden="1">0.0001</definedName>
    <definedName name="solver_cvg" localSheetId="13" hidden="1">0.0001</definedName>
    <definedName name="solver_cvg" localSheetId="7" hidden="1">0.0001</definedName>
    <definedName name="solver_drv" localSheetId="11" hidden="1">1</definedName>
    <definedName name="solver_drv" localSheetId="14" hidden="1">1</definedName>
    <definedName name="solver_drv" localSheetId="8" hidden="1">1</definedName>
    <definedName name="solver_drv" localSheetId="5" hidden="1">1</definedName>
    <definedName name="solver_drv" localSheetId="3" hidden="1">2</definedName>
    <definedName name="solver_drv" localSheetId="9" hidden="1">2</definedName>
    <definedName name="solver_drv" localSheetId="12" hidden="1">2</definedName>
    <definedName name="solver_drv" localSheetId="6" hidden="1">2</definedName>
    <definedName name="solver_drv" localSheetId="4" hidden="1">2</definedName>
    <definedName name="solver_drv" localSheetId="10" hidden="1">2</definedName>
    <definedName name="solver_drv" localSheetId="13" hidden="1">2</definedName>
    <definedName name="solver_drv" localSheetId="7" hidden="1">2</definedName>
    <definedName name="solver_eng" localSheetId="11" hidden="1">1</definedName>
    <definedName name="solver_eng" localSheetId="14" hidden="1">1</definedName>
    <definedName name="solver_eng" localSheetId="8" hidden="1">1</definedName>
    <definedName name="solver_eng" localSheetId="5" hidden="1">1</definedName>
    <definedName name="solver_eng" localSheetId="3" hidden="1">1</definedName>
    <definedName name="solver_eng" localSheetId="9" hidden="1">1</definedName>
    <definedName name="solver_eng" localSheetId="12" hidden="1">1</definedName>
    <definedName name="solver_eng" localSheetId="6" hidden="1">1</definedName>
    <definedName name="solver_eng" localSheetId="4" hidden="1">1</definedName>
    <definedName name="solver_eng" localSheetId="10" hidden="1">1</definedName>
    <definedName name="solver_eng" localSheetId="13" hidden="1">1</definedName>
    <definedName name="solver_eng" localSheetId="7" hidden="1">1</definedName>
    <definedName name="solver_est" localSheetId="11" hidden="1">1</definedName>
    <definedName name="solver_est" localSheetId="14" hidden="1">1</definedName>
    <definedName name="solver_est" localSheetId="8" hidden="1">1</definedName>
    <definedName name="solver_est" localSheetId="5" hidden="1">1</definedName>
    <definedName name="solver_est" localSheetId="3" hidden="1">1</definedName>
    <definedName name="solver_est" localSheetId="9" hidden="1">1</definedName>
    <definedName name="solver_est" localSheetId="12" hidden="1">1</definedName>
    <definedName name="solver_est" localSheetId="6" hidden="1">1</definedName>
    <definedName name="solver_est" localSheetId="4" hidden="1">1</definedName>
    <definedName name="solver_est" localSheetId="10" hidden="1">1</definedName>
    <definedName name="solver_est" localSheetId="13" hidden="1">1</definedName>
    <definedName name="solver_est" localSheetId="7" hidden="1">1</definedName>
    <definedName name="solver_itr" localSheetId="11" hidden="1">2147483647</definedName>
    <definedName name="solver_itr" localSheetId="14" hidden="1">2147483647</definedName>
    <definedName name="solver_itr" localSheetId="8" hidden="1">2147483647</definedName>
    <definedName name="solver_itr" localSheetId="5" hidden="1">2147483647</definedName>
    <definedName name="solver_itr" localSheetId="3" hidden="1">2147483647</definedName>
    <definedName name="solver_itr" localSheetId="9" hidden="1">2147483647</definedName>
    <definedName name="solver_itr" localSheetId="12" hidden="1">2147483647</definedName>
    <definedName name="solver_itr" localSheetId="6" hidden="1">2147483647</definedName>
    <definedName name="solver_itr" localSheetId="4" hidden="1">2147483647</definedName>
    <definedName name="solver_itr" localSheetId="10" hidden="1">2147483647</definedName>
    <definedName name="solver_itr" localSheetId="13" hidden="1">2147483647</definedName>
    <definedName name="solver_itr" localSheetId="7" hidden="1">2147483647</definedName>
    <definedName name="solver_lhs1" localSheetId="11" hidden="1">'Encounter probability (82.6R)'!$F$4</definedName>
    <definedName name="solver_lhs1" localSheetId="14" hidden="1">'Encounter probability (82.6S)'!$F$4</definedName>
    <definedName name="solver_lhs1" localSheetId="8" hidden="1">'Encounter probability (88.9S)'!$F$4</definedName>
    <definedName name="solver_lhs1" localSheetId="5" hidden="1">'Encounter probability model'!$F$4</definedName>
    <definedName name="solver_lhs1" localSheetId="3" hidden="1">'Logistic curve'!$F$4</definedName>
    <definedName name="solver_lhs1" localSheetId="9" hidden="1">'Logistic curve (82.6R) '!$F$4</definedName>
    <definedName name="solver_lhs1" localSheetId="12" hidden="1">'Logistic curve (82.6S) '!$F$4</definedName>
    <definedName name="solver_lhs1" localSheetId="6" hidden="1">'Logistic curve (88.9S)'!$F$4</definedName>
    <definedName name="solver_lhs1" localSheetId="4" hidden="1">'Richard curve'!$F$4</definedName>
    <definedName name="solver_lhs1" localSheetId="10" hidden="1">'Richard curve (82.6R) '!$F$4</definedName>
    <definedName name="solver_lhs1" localSheetId="13" hidden="1">'Richard curve (82.6S)'!$F$4</definedName>
    <definedName name="solver_lhs1" localSheetId="7" hidden="1">'Richard curve (88.9S)'!$F$4</definedName>
    <definedName name="solver_mip" localSheetId="11" hidden="1">2147483647</definedName>
    <definedName name="solver_mip" localSheetId="14" hidden="1">2147483647</definedName>
    <definedName name="solver_mip" localSheetId="8" hidden="1">2147483647</definedName>
    <definedName name="solver_mip" localSheetId="5" hidden="1">2147483647</definedName>
    <definedName name="solver_mip" localSheetId="3" hidden="1">2147483647</definedName>
    <definedName name="solver_mip" localSheetId="9" hidden="1">2147483647</definedName>
    <definedName name="solver_mip" localSheetId="12" hidden="1">2147483647</definedName>
    <definedName name="solver_mip" localSheetId="6" hidden="1">2147483647</definedName>
    <definedName name="solver_mip" localSheetId="4" hidden="1">2147483647</definedName>
    <definedName name="solver_mip" localSheetId="10" hidden="1">2147483647</definedName>
    <definedName name="solver_mip" localSheetId="13" hidden="1">2147483647</definedName>
    <definedName name="solver_mip" localSheetId="7" hidden="1">2147483647</definedName>
    <definedName name="solver_mni" localSheetId="11" hidden="1">30</definedName>
    <definedName name="solver_mni" localSheetId="14" hidden="1">30</definedName>
    <definedName name="solver_mni" localSheetId="8" hidden="1">30</definedName>
    <definedName name="solver_mni" localSheetId="5" hidden="1">30</definedName>
    <definedName name="solver_mni" localSheetId="3" hidden="1">30</definedName>
    <definedName name="solver_mni" localSheetId="9" hidden="1">30</definedName>
    <definedName name="solver_mni" localSheetId="12" hidden="1">30</definedName>
    <definedName name="solver_mni" localSheetId="6" hidden="1">30</definedName>
    <definedName name="solver_mni" localSheetId="4" hidden="1">30</definedName>
    <definedName name="solver_mni" localSheetId="10" hidden="1">30</definedName>
    <definedName name="solver_mni" localSheetId="13" hidden="1">30</definedName>
    <definedName name="solver_mni" localSheetId="7" hidden="1">30</definedName>
    <definedName name="solver_mrt" localSheetId="11" hidden="1">0.075</definedName>
    <definedName name="solver_mrt" localSheetId="14" hidden="1">0.075</definedName>
    <definedName name="solver_mrt" localSheetId="8" hidden="1">0.075</definedName>
    <definedName name="solver_mrt" localSheetId="5" hidden="1">0.075</definedName>
    <definedName name="solver_mrt" localSheetId="3" hidden="1">0.075</definedName>
    <definedName name="solver_mrt" localSheetId="9" hidden="1">0.075</definedName>
    <definedName name="solver_mrt" localSheetId="12" hidden="1">0.075</definedName>
    <definedName name="solver_mrt" localSheetId="6" hidden="1">0.075</definedName>
    <definedName name="solver_mrt" localSheetId="4" hidden="1">0.075</definedName>
    <definedName name="solver_mrt" localSheetId="10" hidden="1">0.075</definedName>
    <definedName name="solver_mrt" localSheetId="13" hidden="1">0.075</definedName>
    <definedName name="solver_mrt" localSheetId="7" hidden="1">0.075</definedName>
    <definedName name="solver_msl" localSheetId="11" hidden="1">2</definedName>
    <definedName name="solver_msl" localSheetId="14" hidden="1">2</definedName>
    <definedName name="solver_msl" localSheetId="8" hidden="1">2</definedName>
    <definedName name="solver_msl" localSheetId="5" hidden="1">2</definedName>
    <definedName name="solver_msl" localSheetId="3" hidden="1">2</definedName>
    <definedName name="solver_msl" localSheetId="9" hidden="1">2</definedName>
    <definedName name="solver_msl" localSheetId="12" hidden="1">2</definedName>
    <definedName name="solver_msl" localSheetId="6" hidden="1">2</definedName>
    <definedName name="solver_msl" localSheetId="4" hidden="1">2</definedName>
    <definedName name="solver_msl" localSheetId="10" hidden="1">2</definedName>
    <definedName name="solver_msl" localSheetId="13" hidden="1">2</definedName>
    <definedName name="solver_msl" localSheetId="7" hidden="1">2</definedName>
    <definedName name="solver_neg" localSheetId="11" hidden="1">2</definedName>
    <definedName name="solver_neg" localSheetId="14" hidden="1">2</definedName>
    <definedName name="solver_neg" localSheetId="8" hidden="1">2</definedName>
    <definedName name="solver_neg" localSheetId="5" hidden="1">2</definedName>
    <definedName name="solver_neg" localSheetId="3" hidden="1">2</definedName>
    <definedName name="solver_neg" localSheetId="9" hidden="1">2</definedName>
    <definedName name="solver_neg" localSheetId="12" hidden="1">2</definedName>
    <definedName name="solver_neg" localSheetId="6" hidden="1">2</definedName>
    <definedName name="solver_neg" localSheetId="4" hidden="1">2</definedName>
    <definedName name="solver_neg" localSheetId="10" hidden="1">2</definedName>
    <definedName name="solver_neg" localSheetId="13" hidden="1">2</definedName>
    <definedName name="solver_neg" localSheetId="7" hidden="1">2</definedName>
    <definedName name="solver_nod" localSheetId="11" hidden="1">2147483647</definedName>
    <definedName name="solver_nod" localSheetId="14" hidden="1">2147483647</definedName>
    <definedName name="solver_nod" localSheetId="8" hidden="1">2147483647</definedName>
    <definedName name="solver_nod" localSheetId="5" hidden="1">2147483647</definedName>
    <definedName name="solver_nod" localSheetId="3" hidden="1">2147483647</definedName>
    <definedName name="solver_nod" localSheetId="9" hidden="1">2147483647</definedName>
    <definedName name="solver_nod" localSheetId="12" hidden="1">2147483647</definedName>
    <definedName name="solver_nod" localSheetId="6" hidden="1">2147483647</definedName>
    <definedName name="solver_nod" localSheetId="4" hidden="1">2147483647</definedName>
    <definedName name="solver_nod" localSheetId="10" hidden="1">2147483647</definedName>
    <definedName name="solver_nod" localSheetId="13" hidden="1">2147483647</definedName>
    <definedName name="solver_nod" localSheetId="7" hidden="1">2147483647</definedName>
    <definedName name="solver_num" localSheetId="11" hidden="1">1</definedName>
    <definedName name="solver_num" localSheetId="14" hidden="1">1</definedName>
    <definedName name="solver_num" localSheetId="8" hidden="1">1</definedName>
    <definedName name="solver_num" localSheetId="5" hidden="1">1</definedName>
    <definedName name="solver_num" localSheetId="3" hidden="1">1</definedName>
    <definedName name="solver_num" localSheetId="9" hidden="1">1</definedName>
    <definedName name="solver_num" localSheetId="12" hidden="1">1</definedName>
    <definedName name="solver_num" localSheetId="6" hidden="1">1</definedName>
    <definedName name="solver_num" localSheetId="4" hidden="1">1</definedName>
    <definedName name="solver_num" localSheetId="10" hidden="1">1</definedName>
    <definedName name="solver_num" localSheetId="13" hidden="1">1</definedName>
    <definedName name="solver_num" localSheetId="7" hidden="1">1</definedName>
    <definedName name="solver_nwt" localSheetId="11" hidden="1">1</definedName>
    <definedName name="solver_nwt" localSheetId="14" hidden="1">1</definedName>
    <definedName name="solver_nwt" localSheetId="8" hidden="1">1</definedName>
    <definedName name="solver_nwt" localSheetId="5" hidden="1">1</definedName>
    <definedName name="solver_nwt" localSheetId="3" hidden="1">1</definedName>
    <definedName name="solver_nwt" localSheetId="9" hidden="1">1</definedName>
    <definedName name="solver_nwt" localSheetId="12" hidden="1">1</definedName>
    <definedName name="solver_nwt" localSheetId="6" hidden="1">1</definedName>
    <definedName name="solver_nwt" localSheetId="4" hidden="1">1</definedName>
    <definedName name="solver_nwt" localSheetId="10" hidden="1">1</definedName>
    <definedName name="solver_nwt" localSheetId="13" hidden="1">1</definedName>
    <definedName name="solver_nwt" localSheetId="7" hidden="1">1</definedName>
    <definedName name="solver_opt" localSheetId="11" hidden="1">'Encounter probability (82.6R)'!$H$8</definedName>
    <definedName name="solver_opt" localSheetId="14" hidden="1">'Encounter probability (82.6S)'!$H$8</definedName>
    <definedName name="solver_opt" localSheetId="8" hidden="1">'Encounter probability (88.9S)'!$H$8</definedName>
    <definedName name="solver_opt" localSheetId="5" hidden="1">'Encounter probability model'!$H$8</definedName>
    <definedName name="solver_opt" localSheetId="3" hidden="1">'Logistic curve'!$H$8</definedName>
    <definedName name="solver_opt" localSheetId="9" hidden="1">'Logistic curve (82.6R) '!$H$8</definedName>
    <definedName name="solver_opt" localSheetId="12" hidden="1">'Logistic curve (82.6S) '!$H$8</definedName>
    <definedName name="solver_opt" localSheetId="6" hidden="1">'Logistic curve (88.9S)'!$H$8</definedName>
    <definedName name="solver_opt" localSheetId="4" hidden="1">'Richard curve'!$H$8</definedName>
    <definedName name="solver_opt" localSheetId="10" hidden="1">'Richard curve (82.6R) '!$H$8</definedName>
    <definedName name="solver_opt" localSheetId="13" hidden="1">'Richard curve (82.6S)'!$H$8</definedName>
    <definedName name="solver_opt" localSheetId="7" hidden="1">'Richard curve (88.9S)'!$H$8</definedName>
    <definedName name="solver_pre" localSheetId="11" hidden="1">0.000001</definedName>
    <definedName name="solver_pre" localSheetId="14" hidden="1">0.000001</definedName>
    <definedName name="solver_pre" localSheetId="8" hidden="1">0.000001</definedName>
    <definedName name="solver_pre" localSheetId="5" hidden="1">0.000001</definedName>
    <definedName name="solver_pre" localSheetId="3" hidden="1">0.000001</definedName>
    <definedName name="solver_pre" localSheetId="9" hidden="1">0.000001</definedName>
    <definedName name="solver_pre" localSheetId="12" hidden="1">0.000001</definedName>
    <definedName name="solver_pre" localSheetId="6" hidden="1">0.000001</definedName>
    <definedName name="solver_pre" localSheetId="4" hidden="1">0.000001</definedName>
    <definedName name="solver_pre" localSheetId="10" hidden="1">0.000001</definedName>
    <definedName name="solver_pre" localSheetId="13" hidden="1">0.000001</definedName>
    <definedName name="solver_pre" localSheetId="7" hidden="1">0.000001</definedName>
    <definedName name="solver_rbv" localSheetId="11" hidden="1">1</definedName>
    <definedName name="solver_rbv" localSheetId="14" hidden="1">1</definedName>
    <definedName name="solver_rbv" localSheetId="8" hidden="1">1</definedName>
    <definedName name="solver_rbv" localSheetId="5" hidden="1">1</definedName>
    <definedName name="solver_rbv" localSheetId="3" hidden="1">2</definedName>
    <definedName name="solver_rbv" localSheetId="9" hidden="1">2</definedName>
    <definedName name="solver_rbv" localSheetId="12" hidden="1">2</definedName>
    <definedName name="solver_rbv" localSheetId="6" hidden="1">2</definedName>
    <definedName name="solver_rbv" localSheetId="4" hidden="1">2</definedName>
    <definedName name="solver_rbv" localSheetId="10" hidden="1">2</definedName>
    <definedName name="solver_rbv" localSheetId="13" hidden="1">2</definedName>
    <definedName name="solver_rbv" localSheetId="7" hidden="1">2</definedName>
    <definedName name="solver_rel1" localSheetId="11" hidden="1">1</definedName>
    <definedName name="solver_rel1" localSheetId="14" hidden="1">1</definedName>
    <definedName name="solver_rel1" localSheetId="8" hidden="1">1</definedName>
    <definedName name="solver_rel1" localSheetId="5" hidden="1">1</definedName>
    <definedName name="solver_rel1" localSheetId="3" hidden="1">1</definedName>
    <definedName name="solver_rel1" localSheetId="9" hidden="1">1</definedName>
    <definedName name="solver_rel1" localSheetId="12" hidden="1">1</definedName>
    <definedName name="solver_rel1" localSheetId="6" hidden="1">1</definedName>
    <definedName name="solver_rel1" localSheetId="4" hidden="1">1</definedName>
    <definedName name="solver_rel1" localSheetId="10" hidden="1">1</definedName>
    <definedName name="solver_rel1" localSheetId="13" hidden="1">1</definedName>
    <definedName name="solver_rel1" localSheetId="7" hidden="1">1</definedName>
    <definedName name="solver_rhs1" localSheetId="11" hidden="1">0</definedName>
    <definedName name="solver_rhs1" localSheetId="14" hidden="1">0</definedName>
    <definedName name="solver_rhs1" localSheetId="8" hidden="1">0</definedName>
    <definedName name="solver_rhs1" localSheetId="5" hidden="1">0</definedName>
    <definedName name="solver_rhs1" localSheetId="3" hidden="1">0</definedName>
    <definedName name="solver_rhs1" localSheetId="9" hidden="1">0</definedName>
    <definedName name="solver_rhs1" localSheetId="12" hidden="1">0</definedName>
    <definedName name="solver_rhs1" localSheetId="6" hidden="1">0</definedName>
    <definedName name="solver_rhs1" localSheetId="4" hidden="1">0</definedName>
    <definedName name="solver_rhs1" localSheetId="10" hidden="1">0</definedName>
    <definedName name="solver_rhs1" localSheetId="13" hidden="1">0</definedName>
    <definedName name="solver_rhs1" localSheetId="7" hidden="1">0</definedName>
    <definedName name="solver_rlx" localSheetId="11" hidden="1">2</definedName>
    <definedName name="solver_rlx" localSheetId="14" hidden="1">2</definedName>
    <definedName name="solver_rlx" localSheetId="8" hidden="1">2</definedName>
    <definedName name="solver_rlx" localSheetId="5" hidden="1">2</definedName>
    <definedName name="solver_rlx" localSheetId="3" hidden="1">2</definedName>
    <definedName name="solver_rlx" localSheetId="9" hidden="1">2</definedName>
    <definedName name="solver_rlx" localSheetId="12" hidden="1">2</definedName>
    <definedName name="solver_rlx" localSheetId="6" hidden="1">2</definedName>
    <definedName name="solver_rlx" localSheetId="4" hidden="1">2</definedName>
    <definedName name="solver_rlx" localSheetId="10" hidden="1">2</definedName>
    <definedName name="solver_rlx" localSheetId="13" hidden="1">2</definedName>
    <definedName name="solver_rlx" localSheetId="7" hidden="1">2</definedName>
    <definedName name="solver_rsd" localSheetId="11" hidden="1">0</definedName>
    <definedName name="solver_rsd" localSheetId="14" hidden="1">0</definedName>
    <definedName name="solver_rsd" localSheetId="8" hidden="1">0</definedName>
    <definedName name="solver_rsd" localSheetId="5" hidden="1">0</definedName>
    <definedName name="solver_rsd" localSheetId="3" hidden="1">0</definedName>
    <definedName name="solver_rsd" localSheetId="9" hidden="1">0</definedName>
    <definedName name="solver_rsd" localSheetId="12" hidden="1">0</definedName>
    <definedName name="solver_rsd" localSheetId="6" hidden="1">0</definedName>
    <definedName name="solver_rsd" localSheetId="4" hidden="1">0</definedName>
    <definedName name="solver_rsd" localSheetId="10" hidden="1">0</definedName>
    <definedName name="solver_rsd" localSheetId="13" hidden="1">0</definedName>
    <definedName name="solver_rsd" localSheetId="7" hidden="1">0</definedName>
    <definedName name="solver_scl" localSheetId="11" hidden="1">1</definedName>
    <definedName name="solver_scl" localSheetId="14" hidden="1">1</definedName>
    <definedName name="solver_scl" localSheetId="8" hidden="1">1</definedName>
    <definedName name="solver_scl" localSheetId="5" hidden="1">1</definedName>
    <definedName name="solver_scl" localSheetId="3" hidden="1">2</definedName>
    <definedName name="solver_scl" localSheetId="9" hidden="1">2</definedName>
    <definedName name="solver_scl" localSheetId="12" hidden="1">2</definedName>
    <definedName name="solver_scl" localSheetId="6" hidden="1">2</definedName>
    <definedName name="solver_scl" localSheetId="4" hidden="1">2</definedName>
    <definedName name="solver_scl" localSheetId="10" hidden="1">2</definedName>
    <definedName name="solver_scl" localSheetId="13" hidden="1">2</definedName>
    <definedName name="solver_scl" localSheetId="7" hidden="1">2</definedName>
    <definedName name="solver_sho" localSheetId="11" hidden="1">2</definedName>
    <definedName name="solver_sho" localSheetId="14" hidden="1">2</definedName>
    <definedName name="solver_sho" localSheetId="8" hidden="1">2</definedName>
    <definedName name="solver_sho" localSheetId="5" hidden="1">2</definedName>
    <definedName name="solver_sho" localSheetId="3" hidden="1">2</definedName>
    <definedName name="solver_sho" localSheetId="9" hidden="1">2</definedName>
    <definedName name="solver_sho" localSheetId="12" hidden="1">2</definedName>
    <definedName name="solver_sho" localSheetId="6" hidden="1">2</definedName>
    <definedName name="solver_sho" localSheetId="4" hidden="1">2</definedName>
    <definedName name="solver_sho" localSheetId="10" hidden="1">2</definedName>
    <definedName name="solver_sho" localSheetId="13" hidden="1">2</definedName>
    <definedName name="solver_sho" localSheetId="7" hidden="1">2</definedName>
    <definedName name="solver_ssz" localSheetId="11" hidden="1">100</definedName>
    <definedName name="solver_ssz" localSheetId="14" hidden="1">100</definedName>
    <definedName name="solver_ssz" localSheetId="8" hidden="1">100</definedName>
    <definedName name="solver_ssz" localSheetId="5" hidden="1">100</definedName>
    <definedName name="solver_ssz" localSheetId="3" hidden="1">100</definedName>
    <definedName name="solver_ssz" localSheetId="9" hidden="1">100</definedName>
    <definedName name="solver_ssz" localSheetId="12" hidden="1">100</definedName>
    <definedName name="solver_ssz" localSheetId="6" hidden="1">100</definedName>
    <definedName name="solver_ssz" localSheetId="4" hidden="1">100</definedName>
    <definedName name="solver_ssz" localSheetId="10" hidden="1">100</definedName>
    <definedName name="solver_ssz" localSheetId="13" hidden="1">100</definedName>
    <definedName name="solver_ssz" localSheetId="7" hidden="1">100</definedName>
    <definedName name="solver_tim" localSheetId="11" hidden="1">2147483647</definedName>
    <definedName name="solver_tim" localSheetId="14" hidden="1">2147483647</definedName>
    <definedName name="solver_tim" localSheetId="8" hidden="1">2147483647</definedName>
    <definedName name="solver_tim" localSheetId="5" hidden="1">2147483647</definedName>
    <definedName name="solver_tim" localSheetId="3" hidden="1">2147483647</definedName>
    <definedName name="solver_tim" localSheetId="9" hidden="1">2147483647</definedName>
    <definedName name="solver_tim" localSheetId="12" hidden="1">2147483647</definedName>
    <definedName name="solver_tim" localSheetId="6" hidden="1">2147483647</definedName>
    <definedName name="solver_tim" localSheetId="4" hidden="1">2147483647</definedName>
    <definedName name="solver_tim" localSheetId="10" hidden="1">2147483647</definedName>
    <definedName name="solver_tim" localSheetId="13" hidden="1">2147483647</definedName>
    <definedName name="solver_tim" localSheetId="7" hidden="1">2147483647</definedName>
    <definedName name="solver_tol" localSheetId="11" hidden="1">0.01</definedName>
    <definedName name="solver_tol" localSheetId="14" hidden="1">0.01</definedName>
    <definedName name="solver_tol" localSheetId="8" hidden="1">0.01</definedName>
    <definedName name="solver_tol" localSheetId="5" hidden="1">0.01</definedName>
    <definedName name="solver_tol" localSheetId="3" hidden="1">0.01</definedName>
    <definedName name="solver_tol" localSheetId="9" hidden="1">0.01</definedName>
    <definedName name="solver_tol" localSheetId="12" hidden="1">0.01</definedName>
    <definedName name="solver_tol" localSheetId="6" hidden="1">0.01</definedName>
    <definedName name="solver_tol" localSheetId="4" hidden="1">0.01</definedName>
    <definedName name="solver_tol" localSheetId="10" hidden="1">0.01</definedName>
    <definedName name="solver_tol" localSheetId="13" hidden="1">0.01</definedName>
    <definedName name="solver_tol" localSheetId="7" hidden="1">0.01</definedName>
    <definedName name="solver_typ" localSheetId="11" hidden="1">1</definedName>
    <definedName name="solver_typ" localSheetId="14" hidden="1">1</definedName>
    <definedName name="solver_typ" localSheetId="8" hidden="1">1</definedName>
    <definedName name="solver_typ" localSheetId="5" hidden="1">1</definedName>
    <definedName name="solver_typ" localSheetId="3" hidden="1">1</definedName>
    <definedName name="solver_typ" localSheetId="9" hidden="1">1</definedName>
    <definedName name="solver_typ" localSheetId="12" hidden="1">1</definedName>
    <definedName name="solver_typ" localSheetId="6" hidden="1">1</definedName>
    <definedName name="solver_typ" localSheetId="4" hidden="1">1</definedName>
    <definedName name="solver_typ" localSheetId="10" hidden="1">1</definedName>
    <definedName name="solver_typ" localSheetId="13" hidden="1">1</definedName>
    <definedName name="solver_typ" localSheetId="7" hidden="1">1</definedName>
    <definedName name="solver_val" localSheetId="11" hidden="1">0</definedName>
    <definedName name="solver_val" localSheetId="14" hidden="1">0</definedName>
    <definedName name="solver_val" localSheetId="8" hidden="1">0</definedName>
    <definedName name="solver_val" localSheetId="5" hidden="1">0</definedName>
    <definedName name="solver_val" localSheetId="3" hidden="1">0</definedName>
    <definedName name="solver_val" localSheetId="9" hidden="1">0</definedName>
    <definedName name="solver_val" localSheetId="12" hidden="1">0</definedName>
    <definedName name="solver_val" localSheetId="6" hidden="1">0</definedName>
    <definedName name="solver_val" localSheetId="4" hidden="1">0</definedName>
    <definedName name="solver_val" localSheetId="10" hidden="1">0</definedName>
    <definedName name="solver_val" localSheetId="13" hidden="1">0</definedName>
    <definedName name="solver_val" localSheetId="7" hidden="1">0</definedName>
    <definedName name="solver_ver" localSheetId="11" hidden="1">3</definedName>
    <definedName name="solver_ver" localSheetId="14" hidden="1">3</definedName>
    <definedName name="solver_ver" localSheetId="8" hidden="1">3</definedName>
    <definedName name="solver_ver" localSheetId="5" hidden="1">3</definedName>
    <definedName name="solver_ver" localSheetId="3" hidden="1">3</definedName>
    <definedName name="solver_ver" localSheetId="9" hidden="1">3</definedName>
    <definedName name="solver_ver" localSheetId="12" hidden="1">3</definedName>
    <definedName name="solver_ver" localSheetId="6" hidden="1">3</definedName>
    <definedName name="solver_ver" localSheetId="4" hidden="1">3</definedName>
    <definedName name="solver_ver" localSheetId="10" hidden="1">3</definedName>
    <definedName name="solver_ver" localSheetId="13" hidden="1">3</definedName>
    <definedName name="solver_ver" localSheetId="7" hidden="1">3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5" i="2"/>
  <c r="K5" i="8"/>
  <c r="K5" i="1"/>
  <c r="K5" i="11" l="1"/>
  <c r="F38" i="13"/>
  <c r="E38" i="13"/>
  <c r="D38" i="13"/>
  <c r="F37" i="13"/>
  <c r="E37" i="13"/>
  <c r="D37" i="13"/>
  <c r="F36" i="13"/>
  <c r="E36" i="13"/>
  <c r="D36" i="13"/>
  <c r="F35" i="13"/>
  <c r="H35" i="13" s="1"/>
  <c r="I35" i="13" s="1"/>
  <c r="E35" i="13"/>
  <c r="D35" i="13"/>
  <c r="F34" i="13"/>
  <c r="E34" i="13"/>
  <c r="D34" i="13"/>
  <c r="F33" i="13"/>
  <c r="E33" i="13"/>
  <c r="D33" i="13"/>
  <c r="F32" i="13"/>
  <c r="E32" i="13"/>
  <c r="D32" i="13"/>
  <c r="F31" i="13"/>
  <c r="H31" i="13" s="1"/>
  <c r="I31" i="13" s="1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H19" i="13" s="1"/>
  <c r="I19" i="13" s="1"/>
  <c r="E19" i="13"/>
  <c r="D19" i="13"/>
  <c r="F18" i="13"/>
  <c r="E18" i="13"/>
  <c r="D18" i="13"/>
  <c r="F17" i="13"/>
  <c r="E17" i="13"/>
  <c r="D17" i="13"/>
  <c r="F16" i="13"/>
  <c r="E16" i="13"/>
  <c r="D16" i="13"/>
  <c r="F15" i="13"/>
  <c r="H15" i="13" s="1"/>
  <c r="I15" i="13" s="1"/>
  <c r="E15" i="13"/>
  <c r="D15" i="13"/>
  <c r="F14" i="13"/>
  <c r="E14" i="13"/>
  <c r="D14" i="13"/>
  <c r="F9" i="13"/>
  <c r="F8" i="13"/>
  <c r="H5" i="13"/>
  <c r="H4" i="13" s="1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E30" i="12"/>
  <c r="D30" i="12"/>
  <c r="F29" i="12"/>
  <c r="E29" i="12"/>
  <c r="D29" i="12"/>
  <c r="F28" i="12"/>
  <c r="E28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9" i="12"/>
  <c r="F8" i="12"/>
  <c r="H5" i="12"/>
  <c r="H4" i="12" s="1"/>
  <c r="F38" i="11"/>
  <c r="H38" i="11" s="1"/>
  <c r="I38" i="11" s="1"/>
  <c r="E38" i="11"/>
  <c r="D38" i="11"/>
  <c r="F37" i="11"/>
  <c r="E37" i="11"/>
  <c r="D37" i="11"/>
  <c r="F36" i="11"/>
  <c r="E36" i="11"/>
  <c r="D36" i="11"/>
  <c r="F35" i="11"/>
  <c r="E35" i="11"/>
  <c r="D35" i="11"/>
  <c r="F34" i="11"/>
  <c r="H34" i="11" s="1"/>
  <c r="I34" i="11" s="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H22" i="11" s="1"/>
  <c r="I22" i="11" s="1"/>
  <c r="E22" i="11"/>
  <c r="D22" i="11"/>
  <c r="F21" i="11"/>
  <c r="E21" i="11"/>
  <c r="D21" i="11"/>
  <c r="F20" i="11"/>
  <c r="E20" i="11"/>
  <c r="D20" i="11"/>
  <c r="F19" i="11"/>
  <c r="E19" i="11"/>
  <c r="D19" i="11"/>
  <c r="F18" i="11"/>
  <c r="H18" i="11" s="1"/>
  <c r="I18" i="11" s="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9" i="11"/>
  <c r="F8" i="11"/>
  <c r="H5" i="11"/>
  <c r="H4" i="11" s="1"/>
  <c r="F38" i="10"/>
  <c r="H38" i="10" s="1"/>
  <c r="I38" i="10" s="1"/>
  <c r="E38" i="10"/>
  <c r="D38" i="10"/>
  <c r="F37" i="10"/>
  <c r="E37" i="10"/>
  <c r="D37" i="10"/>
  <c r="F36" i="10"/>
  <c r="E36" i="10"/>
  <c r="D36" i="10"/>
  <c r="F35" i="10"/>
  <c r="E35" i="10"/>
  <c r="D35" i="10"/>
  <c r="F34" i="10"/>
  <c r="H34" i="10" s="1"/>
  <c r="I34" i="10" s="1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H26" i="10" s="1"/>
  <c r="I26" i="10" s="1"/>
  <c r="E26" i="10"/>
  <c r="D26" i="10"/>
  <c r="F25" i="10"/>
  <c r="E25" i="10"/>
  <c r="D25" i="10"/>
  <c r="F24" i="10"/>
  <c r="E24" i="10"/>
  <c r="D24" i="10"/>
  <c r="F23" i="10"/>
  <c r="E23" i="10"/>
  <c r="D23" i="10"/>
  <c r="F22" i="10"/>
  <c r="H22" i="10" s="1"/>
  <c r="I22" i="10" s="1"/>
  <c r="E22" i="10"/>
  <c r="D22" i="10"/>
  <c r="F21" i="10"/>
  <c r="E21" i="10"/>
  <c r="D21" i="10"/>
  <c r="F20" i="10"/>
  <c r="E20" i="10"/>
  <c r="D20" i="10"/>
  <c r="F19" i="10"/>
  <c r="E19" i="10"/>
  <c r="D19" i="10"/>
  <c r="F18" i="10"/>
  <c r="H18" i="10" s="1"/>
  <c r="I18" i="10" s="1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9" i="10"/>
  <c r="F8" i="10"/>
  <c r="H5" i="10"/>
  <c r="H4" i="10" s="1"/>
  <c r="F38" i="9"/>
  <c r="H38" i="9" s="1"/>
  <c r="I38" i="9" s="1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H26" i="9" s="1"/>
  <c r="I26" i="9" s="1"/>
  <c r="E26" i="9"/>
  <c r="D26" i="9"/>
  <c r="F25" i="9"/>
  <c r="E25" i="9"/>
  <c r="D25" i="9"/>
  <c r="F24" i="9"/>
  <c r="E24" i="9"/>
  <c r="D24" i="9"/>
  <c r="F23" i="9"/>
  <c r="E23" i="9"/>
  <c r="D23" i="9"/>
  <c r="F22" i="9"/>
  <c r="H22" i="9" s="1"/>
  <c r="I22" i="9" s="1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9" i="9"/>
  <c r="F8" i="9"/>
  <c r="H5" i="9"/>
  <c r="H4" i="9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9" i="8"/>
  <c r="F8" i="8"/>
  <c r="H5" i="8"/>
  <c r="H4" i="8" s="1"/>
  <c r="H14" i="13" l="1"/>
  <c r="I14" i="13" s="1"/>
  <c r="H18" i="13"/>
  <c r="I18" i="13" s="1"/>
  <c r="H26" i="13"/>
  <c r="I26" i="13" s="1"/>
  <c r="H30" i="13"/>
  <c r="I30" i="13" s="1"/>
  <c r="H34" i="13"/>
  <c r="I34" i="13" s="1"/>
  <c r="H14" i="12"/>
  <c r="I14" i="12" s="1"/>
  <c r="H18" i="12"/>
  <c r="I18" i="12" s="1"/>
  <c r="H30" i="12"/>
  <c r="I30" i="12" s="1"/>
  <c r="H34" i="12"/>
  <c r="I34" i="12" s="1"/>
  <c r="H23" i="11"/>
  <c r="I23" i="11" s="1"/>
  <c r="H27" i="11"/>
  <c r="I27" i="11" s="1"/>
  <c r="H23" i="10"/>
  <c r="I23" i="10" s="1"/>
  <c r="H27" i="10"/>
  <c r="I27" i="10" s="1"/>
  <c r="H17" i="9"/>
  <c r="I17" i="9" s="1"/>
  <c r="H21" i="9"/>
  <c r="I21" i="9" s="1"/>
  <c r="H20" i="13"/>
  <c r="I20" i="13" s="1"/>
  <c r="H24" i="13"/>
  <c r="I24" i="13" s="1"/>
  <c r="H36" i="13"/>
  <c r="I36" i="13" s="1"/>
  <c r="H24" i="12"/>
  <c r="I24" i="12" s="1"/>
  <c r="H28" i="12"/>
  <c r="I28" i="12" s="1"/>
  <c r="H19" i="12"/>
  <c r="I19" i="12" s="1"/>
  <c r="H23" i="12"/>
  <c r="I23" i="12" s="1"/>
  <c r="H35" i="12"/>
  <c r="I35" i="12" s="1"/>
  <c r="H16" i="11"/>
  <c r="I16" i="11" s="1"/>
  <c r="H28" i="11"/>
  <c r="I28" i="11" s="1"/>
  <c r="H32" i="11"/>
  <c r="I32" i="11" s="1"/>
  <c r="H16" i="10"/>
  <c r="I16" i="10" s="1"/>
  <c r="H28" i="10"/>
  <c r="I28" i="10" s="1"/>
  <c r="H32" i="10"/>
  <c r="I32" i="10" s="1"/>
  <c r="H16" i="9"/>
  <c r="I16" i="9" s="1"/>
  <c r="H20" i="9"/>
  <c r="I20" i="9" s="1"/>
  <c r="H28" i="9"/>
  <c r="I28" i="9" s="1"/>
  <c r="H32" i="9"/>
  <c r="I32" i="9" s="1"/>
  <c r="H36" i="9"/>
  <c r="I36" i="9" s="1"/>
  <c r="H33" i="9"/>
  <c r="I33" i="9" s="1"/>
  <c r="H37" i="9"/>
  <c r="I37" i="9" s="1"/>
  <c r="H14" i="8"/>
  <c r="I14" i="8" s="1"/>
  <c r="H18" i="8"/>
  <c r="I18" i="8" s="1"/>
  <c r="H22" i="8"/>
  <c r="I22" i="8" s="1"/>
  <c r="H26" i="8"/>
  <c r="I26" i="8" s="1"/>
  <c r="H30" i="8"/>
  <c r="I30" i="8" s="1"/>
  <c r="H34" i="8"/>
  <c r="I34" i="8" s="1"/>
  <c r="H38" i="8"/>
  <c r="I38" i="8" s="1"/>
  <c r="H22" i="13"/>
  <c r="I22" i="13" s="1"/>
  <c r="H33" i="13"/>
  <c r="I33" i="13" s="1"/>
  <c r="H38" i="13"/>
  <c r="I38" i="13" s="1"/>
  <c r="H17" i="13"/>
  <c r="I17" i="13" s="1"/>
  <c r="H37" i="13"/>
  <c r="I37" i="13" s="1"/>
  <c r="H21" i="13"/>
  <c r="I21" i="13" s="1"/>
  <c r="H25" i="13"/>
  <c r="I25" i="13" s="1"/>
  <c r="H29" i="13"/>
  <c r="I29" i="13" s="1"/>
  <c r="H38" i="12"/>
  <c r="I38" i="12" s="1"/>
  <c r="H33" i="12"/>
  <c r="I33" i="12" s="1"/>
  <c r="H21" i="12"/>
  <c r="I21" i="12" s="1"/>
  <c r="H25" i="12"/>
  <c r="I25" i="12" s="1"/>
  <c r="H29" i="12"/>
  <c r="I29" i="12" s="1"/>
  <c r="H37" i="12"/>
  <c r="I37" i="12" s="1"/>
  <c r="H17" i="12"/>
  <c r="I17" i="12" s="1"/>
  <c r="H22" i="12"/>
  <c r="I22" i="12" s="1"/>
  <c r="H26" i="12"/>
  <c r="I26" i="12" s="1"/>
  <c r="H26" i="11"/>
  <c r="I26" i="11" s="1"/>
  <c r="H30" i="11"/>
  <c r="I30" i="11" s="1"/>
  <c r="H21" i="11"/>
  <c r="I21" i="11" s="1"/>
  <c r="H25" i="11"/>
  <c r="I25" i="11" s="1"/>
  <c r="H29" i="11"/>
  <c r="I29" i="11" s="1"/>
  <c r="H33" i="11"/>
  <c r="I33" i="11" s="1"/>
  <c r="H14" i="11"/>
  <c r="I14" i="11" s="1"/>
  <c r="H37" i="11"/>
  <c r="I37" i="11" s="1"/>
  <c r="H17" i="11"/>
  <c r="I17" i="11" s="1"/>
  <c r="H23" i="13"/>
  <c r="I23" i="13" s="1"/>
  <c r="H28" i="13"/>
  <c r="I28" i="13" s="1"/>
  <c r="H16" i="13"/>
  <c r="I16" i="13" s="1"/>
  <c r="H8" i="13" s="1"/>
  <c r="J8" i="13" s="1"/>
  <c r="H27" i="13"/>
  <c r="I27" i="13" s="1"/>
  <c r="H32" i="13"/>
  <c r="I32" i="13" s="1"/>
  <c r="H16" i="12"/>
  <c r="I16" i="12" s="1"/>
  <c r="H27" i="12"/>
  <c r="I27" i="12" s="1"/>
  <c r="H32" i="12"/>
  <c r="I32" i="12" s="1"/>
  <c r="H15" i="12"/>
  <c r="I15" i="12" s="1"/>
  <c r="H20" i="12"/>
  <c r="I20" i="12" s="1"/>
  <c r="H31" i="12"/>
  <c r="I31" i="12" s="1"/>
  <c r="H36" i="12"/>
  <c r="I36" i="12" s="1"/>
  <c r="H15" i="11"/>
  <c r="I15" i="11" s="1"/>
  <c r="H20" i="11"/>
  <c r="I20" i="11" s="1"/>
  <c r="H31" i="11"/>
  <c r="I31" i="11" s="1"/>
  <c r="H36" i="11"/>
  <c r="I36" i="11" s="1"/>
  <c r="H19" i="11"/>
  <c r="I19" i="11" s="1"/>
  <c r="H24" i="11"/>
  <c r="I24" i="11" s="1"/>
  <c r="H35" i="11"/>
  <c r="I35" i="11" s="1"/>
  <c r="H30" i="10"/>
  <c r="I30" i="10" s="1"/>
  <c r="H21" i="10"/>
  <c r="I21" i="10" s="1"/>
  <c r="H25" i="10"/>
  <c r="I25" i="10" s="1"/>
  <c r="H14" i="10"/>
  <c r="I14" i="10" s="1"/>
  <c r="H29" i="10"/>
  <c r="I29" i="10" s="1"/>
  <c r="H33" i="10"/>
  <c r="I33" i="10" s="1"/>
  <c r="H17" i="10"/>
  <c r="I17" i="10" s="1"/>
  <c r="H37" i="10"/>
  <c r="I37" i="10" s="1"/>
  <c r="H31" i="9"/>
  <c r="I31" i="9" s="1"/>
  <c r="H35" i="9"/>
  <c r="I35" i="9" s="1"/>
  <c r="H15" i="9"/>
  <c r="I15" i="9" s="1"/>
  <c r="H19" i="9"/>
  <c r="I19" i="9" s="1"/>
  <c r="H24" i="9"/>
  <c r="I24" i="9" s="1"/>
  <c r="H23" i="9"/>
  <c r="I23" i="9" s="1"/>
  <c r="H27" i="9"/>
  <c r="I27" i="9" s="1"/>
  <c r="H37" i="8"/>
  <c r="I37" i="8" s="1"/>
  <c r="H15" i="8"/>
  <c r="I15" i="8" s="1"/>
  <c r="H27" i="8"/>
  <c r="I27" i="8" s="1"/>
  <c r="H32" i="8"/>
  <c r="I32" i="8" s="1"/>
  <c r="H36" i="8"/>
  <c r="I36" i="8" s="1"/>
  <c r="H21" i="8"/>
  <c r="I21" i="8" s="1"/>
  <c r="H31" i="8"/>
  <c r="I31" i="8" s="1"/>
  <c r="H16" i="8"/>
  <c r="I16" i="8" s="1"/>
  <c r="H20" i="8"/>
  <c r="I20" i="8" s="1"/>
  <c r="H25" i="8"/>
  <c r="I25" i="8" s="1"/>
  <c r="H19" i="8"/>
  <c r="I19" i="8" s="1"/>
  <c r="H24" i="8"/>
  <c r="I24" i="8" s="1"/>
  <c r="H29" i="8"/>
  <c r="I29" i="8" s="1"/>
  <c r="H35" i="8"/>
  <c r="I35" i="8" s="1"/>
  <c r="H17" i="8"/>
  <c r="I17" i="8" s="1"/>
  <c r="H23" i="8"/>
  <c r="I23" i="8" s="1"/>
  <c r="H28" i="8"/>
  <c r="I28" i="8" s="1"/>
  <c r="H33" i="8"/>
  <c r="I33" i="8" s="1"/>
  <c r="H15" i="10"/>
  <c r="I15" i="10" s="1"/>
  <c r="H20" i="10"/>
  <c r="I20" i="10" s="1"/>
  <c r="H31" i="10"/>
  <c r="I31" i="10" s="1"/>
  <c r="H36" i="10"/>
  <c r="I36" i="10" s="1"/>
  <c r="H19" i="10"/>
  <c r="I19" i="10" s="1"/>
  <c r="H24" i="10"/>
  <c r="I24" i="10" s="1"/>
  <c r="H35" i="10"/>
  <c r="I35" i="10" s="1"/>
  <c r="H14" i="9"/>
  <c r="I14" i="9" s="1"/>
  <c r="H25" i="9"/>
  <c r="I25" i="9" s="1"/>
  <c r="H30" i="9"/>
  <c r="I30" i="9" s="1"/>
  <c r="H18" i="9"/>
  <c r="I18" i="9" s="1"/>
  <c r="H29" i="9"/>
  <c r="I29" i="9" s="1"/>
  <c r="H34" i="9"/>
  <c r="I34" i="9" s="1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12" l="1"/>
  <c r="J8" i="12" s="1"/>
  <c r="H8" i="11"/>
  <c r="J8" i="11" s="1"/>
  <c r="H8" i="10"/>
  <c r="J8" i="10" s="1"/>
  <c r="H8" i="9"/>
  <c r="J8" i="9" s="1"/>
  <c r="H8" i="8"/>
  <c r="J8" i="8" s="1"/>
  <c r="F38" i="6"/>
  <c r="H38" i="6" s="1"/>
  <c r="I38" i="6" s="1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H30" i="6" s="1"/>
  <c r="I30" i="6" s="1"/>
  <c r="E30" i="6"/>
  <c r="D30" i="6"/>
  <c r="F29" i="6"/>
  <c r="E29" i="6"/>
  <c r="D29" i="6"/>
  <c r="F28" i="6"/>
  <c r="E28" i="6"/>
  <c r="D28" i="6"/>
  <c r="F27" i="6"/>
  <c r="E27" i="6"/>
  <c r="D27" i="6"/>
  <c r="F26" i="6"/>
  <c r="H26" i="6" s="1"/>
  <c r="I26" i="6" s="1"/>
  <c r="E26" i="6"/>
  <c r="D26" i="6"/>
  <c r="F25" i="6"/>
  <c r="E25" i="6"/>
  <c r="D25" i="6"/>
  <c r="F24" i="6"/>
  <c r="E24" i="6"/>
  <c r="D24" i="6"/>
  <c r="F23" i="6"/>
  <c r="E23" i="6"/>
  <c r="D23" i="6"/>
  <c r="F22" i="6"/>
  <c r="H22" i="6" s="1"/>
  <c r="I22" i="6" s="1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H14" i="6" s="1"/>
  <c r="I14" i="6" s="1"/>
  <c r="E14" i="6"/>
  <c r="D14" i="6"/>
  <c r="F9" i="6"/>
  <c r="F8" i="6"/>
  <c r="H5" i="6"/>
  <c r="H4" i="6" s="1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9" i="5"/>
  <c r="F8" i="5"/>
  <c r="H5" i="5"/>
  <c r="H4" i="5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9" i="4"/>
  <c r="F8" i="4"/>
  <c r="H5" i="4"/>
  <c r="H4" i="4" s="1"/>
  <c r="H37" i="4" l="1"/>
  <c r="I37" i="4" s="1"/>
  <c r="H16" i="5"/>
  <c r="I16" i="5" s="1"/>
  <c r="H28" i="5"/>
  <c r="I28" i="5" s="1"/>
  <c r="H32" i="5"/>
  <c r="I32" i="5" s="1"/>
  <c r="H36" i="5"/>
  <c r="I36" i="5" s="1"/>
  <c r="H16" i="6"/>
  <c r="I16" i="6" s="1"/>
  <c r="H20" i="6"/>
  <c r="I20" i="6" s="1"/>
  <c r="H32" i="6"/>
  <c r="I32" i="6" s="1"/>
  <c r="H36" i="6"/>
  <c r="I36" i="6" s="1"/>
  <c r="H15" i="6"/>
  <c r="I15" i="6" s="1"/>
  <c r="H27" i="6"/>
  <c r="I27" i="6" s="1"/>
  <c r="H31" i="6"/>
  <c r="I31" i="6" s="1"/>
  <c r="H22" i="5"/>
  <c r="I22" i="5" s="1"/>
  <c r="H26" i="5"/>
  <c r="I26" i="5" s="1"/>
  <c r="H38" i="5"/>
  <c r="I38" i="5" s="1"/>
  <c r="H17" i="5"/>
  <c r="I17" i="5" s="1"/>
  <c r="H33" i="5"/>
  <c r="I33" i="5" s="1"/>
  <c r="H37" i="5"/>
  <c r="I37" i="5" s="1"/>
  <c r="H20" i="4"/>
  <c r="I20" i="4" s="1"/>
  <c r="H24" i="4"/>
  <c r="I24" i="4" s="1"/>
  <c r="H36" i="4"/>
  <c r="I36" i="4" s="1"/>
  <c r="H15" i="4"/>
  <c r="I15" i="4" s="1"/>
  <c r="H19" i="4"/>
  <c r="I19" i="4" s="1"/>
  <c r="H31" i="4"/>
  <c r="I31" i="4" s="1"/>
  <c r="H35" i="4"/>
  <c r="I35" i="4" s="1"/>
  <c r="H14" i="4"/>
  <c r="I14" i="4" s="1"/>
  <c r="H18" i="4"/>
  <c r="I18" i="4" s="1"/>
  <c r="H26" i="4"/>
  <c r="I26" i="4" s="1"/>
  <c r="H30" i="4"/>
  <c r="I30" i="4" s="1"/>
  <c r="H34" i="4"/>
  <c r="I34" i="4" s="1"/>
  <c r="H18" i="6"/>
  <c r="I18" i="6" s="1"/>
  <c r="H34" i="6"/>
  <c r="I34" i="6" s="1"/>
  <c r="H29" i="6"/>
  <c r="I29" i="6" s="1"/>
  <c r="H33" i="6"/>
  <c r="I33" i="6" s="1"/>
  <c r="H37" i="6"/>
  <c r="I37" i="6" s="1"/>
  <c r="H17" i="6"/>
  <c r="I17" i="6" s="1"/>
  <c r="H21" i="6"/>
  <c r="I21" i="6" s="1"/>
  <c r="H25" i="6"/>
  <c r="I25" i="6" s="1"/>
  <c r="H24" i="5"/>
  <c r="I24" i="5" s="1"/>
  <c r="H15" i="5"/>
  <c r="I15" i="5" s="1"/>
  <c r="H20" i="5"/>
  <c r="I20" i="5" s="1"/>
  <c r="H31" i="5"/>
  <c r="I31" i="5" s="1"/>
  <c r="H35" i="5"/>
  <c r="I35" i="5" s="1"/>
  <c r="H19" i="5"/>
  <c r="I19" i="5" s="1"/>
  <c r="H23" i="5"/>
  <c r="I23" i="5" s="1"/>
  <c r="H27" i="5"/>
  <c r="I27" i="5" s="1"/>
  <c r="H22" i="4"/>
  <c r="I22" i="4" s="1"/>
  <c r="H17" i="4"/>
  <c r="I17" i="4" s="1"/>
  <c r="H21" i="4"/>
  <c r="I21" i="4" s="1"/>
  <c r="H25" i="4"/>
  <c r="I25" i="4" s="1"/>
  <c r="H29" i="4"/>
  <c r="I29" i="4" s="1"/>
  <c r="H33" i="4"/>
  <c r="I33" i="4" s="1"/>
  <c r="H38" i="4"/>
  <c r="I38" i="4" s="1"/>
  <c r="H19" i="6"/>
  <c r="I19" i="6" s="1"/>
  <c r="H24" i="6"/>
  <c r="I24" i="6" s="1"/>
  <c r="H35" i="6"/>
  <c r="I35" i="6" s="1"/>
  <c r="H23" i="6"/>
  <c r="I23" i="6" s="1"/>
  <c r="H28" i="6"/>
  <c r="I28" i="6" s="1"/>
  <c r="H21" i="5"/>
  <c r="I21" i="5" s="1"/>
  <c r="H14" i="5"/>
  <c r="I14" i="5" s="1"/>
  <c r="H25" i="5"/>
  <c r="I25" i="5" s="1"/>
  <c r="H30" i="5"/>
  <c r="I30" i="5" s="1"/>
  <c r="H18" i="5"/>
  <c r="I18" i="5" s="1"/>
  <c r="H29" i="5"/>
  <c r="I29" i="5" s="1"/>
  <c r="H34" i="5"/>
  <c r="I34" i="5" s="1"/>
  <c r="H23" i="4"/>
  <c r="I23" i="4" s="1"/>
  <c r="H28" i="4"/>
  <c r="I28" i="4" s="1"/>
  <c r="H16" i="4"/>
  <c r="I16" i="4" s="1"/>
  <c r="H27" i="4"/>
  <c r="I27" i="4" s="1"/>
  <c r="H32" i="4"/>
  <c r="I32" i="4" s="1"/>
  <c r="F38" i="3"/>
  <c r="D38" i="3"/>
  <c r="E38" i="3"/>
  <c r="F37" i="3"/>
  <c r="D37" i="3"/>
  <c r="E37" i="3"/>
  <c r="F36" i="3"/>
  <c r="D36" i="3"/>
  <c r="E36" i="3"/>
  <c r="F35" i="3"/>
  <c r="D35" i="3"/>
  <c r="E35" i="3"/>
  <c r="F34" i="3"/>
  <c r="D34" i="3"/>
  <c r="E34" i="3"/>
  <c r="F33" i="3"/>
  <c r="D33" i="3"/>
  <c r="E33" i="3"/>
  <c r="F32" i="3"/>
  <c r="D32" i="3"/>
  <c r="E32" i="3"/>
  <c r="F31" i="3"/>
  <c r="D31" i="3"/>
  <c r="E31" i="3"/>
  <c r="F30" i="3"/>
  <c r="D30" i="3"/>
  <c r="E30" i="3"/>
  <c r="F29" i="3"/>
  <c r="D29" i="3"/>
  <c r="E29" i="3"/>
  <c r="F28" i="3"/>
  <c r="D28" i="3"/>
  <c r="E28" i="3"/>
  <c r="F27" i="3"/>
  <c r="D27" i="3"/>
  <c r="E27" i="3"/>
  <c r="F26" i="3"/>
  <c r="D26" i="3"/>
  <c r="E26" i="3"/>
  <c r="F25" i="3"/>
  <c r="D25" i="3"/>
  <c r="E25" i="3"/>
  <c r="F24" i="3"/>
  <c r="D24" i="3"/>
  <c r="E24" i="3"/>
  <c r="F23" i="3"/>
  <c r="D23" i="3"/>
  <c r="E23" i="3"/>
  <c r="F22" i="3"/>
  <c r="D22" i="3"/>
  <c r="E22" i="3"/>
  <c r="F21" i="3"/>
  <c r="D21" i="3"/>
  <c r="E21" i="3"/>
  <c r="F20" i="3"/>
  <c r="D20" i="3"/>
  <c r="E20" i="3"/>
  <c r="F19" i="3"/>
  <c r="D19" i="3"/>
  <c r="E19" i="3"/>
  <c r="F18" i="3"/>
  <c r="D18" i="3"/>
  <c r="E18" i="3"/>
  <c r="F17" i="3"/>
  <c r="D17" i="3"/>
  <c r="E17" i="3"/>
  <c r="F16" i="3"/>
  <c r="D16" i="3"/>
  <c r="E16" i="3"/>
  <c r="F15" i="3"/>
  <c r="E15" i="3"/>
  <c r="F14" i="3"/>
  <c r="E14" i="3"/>
  <c r="F9" i="3"/>
  <c r="F8" i="3"/>
  <c r="H5" i="3"/>
  <c r="H4" i="3" s="1"/>
  <c r="D38" i="2"/>
  <c r="F38" i="2"/>
  <c r="D37" i="2"/>
  <c r="F37" i="2"/>
  <c r="D36" i="2"/>
  <c r="F36" i="2"/>
  <c r="D35" i="2"/>
  <c r="F35" i="2"/>
  <c r="D34" i="2"/>
  <c r="F34" i="2"/>
  <c r="D33" i="2"/>
  <c r="F33" i="2"/>
  <c r="D32" i="2"/>
  <c r="F32" i="2"/>
  <c r="D31" i="2"/>
  <c r="F31" i="2"/>
  <c r="D30" i="2"/>
  <c r="F30" i="2"/>
  <c r="D29" i="2"/>
  <c r="F29" i="2"/>
  <c r="D28" i="2"/>
  <c r="F28" i="2"/>
  <c r="D27" i="2"/>
  <c r="F27" i="2"/>
  <c r="D26" i="2"/>
  <c r="F26" i="2"/>
  <c r="D25" i="2"/>
  <c r="F25" i="2"/>
  <c r="D24" i="2"/>
  <c r="F24" i="2"/>
  <c r="D23" i="2"/>
  <c r="F23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F9" i="2"/>
  <c r="F8" i="2"/>
  <c r="H5" i="2"/>
  <c r="H4" i="2"/>
  <c r="H8" i="6" l="1"/>
  <c r="J8" i="6" s="1"/>
  <c r="H8" i="4"/>
  <c r="J8" i="4" s="1"/>
  <c r="H8" i="5"/>
  <c r="J8" i="5" s="1"/>
  <c r="H18" i="3"/>
  <c r="I18" i="3" s="1"/>
  <c r="H22" i="3"/>
  <c r="I22" i="3" s="1"/>
  <c r="H26" i="3"/>
  <c r="I26" i="3" s="1"/>
  <c r="H30" i="3"/>
  <c r="I30" i="3" s="1"/>
  <c r="H34" i="3"/>
  <c r="I34" i="3" s="1"/>
  <c r="H17" i="3"/>
  <c r="I17" i="3" s="1"/>
  <c r="H21" i="3"/>
  <c r="I21" i="3" s="1"/>
  <c r="H25" i="3"/>
  <c r="I25" i="3" s="1"/>
  <c r="H29" i="3"/>
  <c r="I29" i="3" s="1"/>
  <c r="H33" i="3"/>
  <c r="I33" i="3" s="1"/>
  <c r="H37" i="3"/>
  <c r="I37" i="3" s="1"/>
  <c r="H38" i="3"/>
  <c r="I38" i="3" s="1"/>
  <c r="H16" i="3"/>
  <c r="I16" i="3" s="1"/>
  <c r="H20" i="3"/>
  <c r="I20" i="3" s="1"/>
  <c r="H24" i="3"/>
  <c r="I24" i="3" s="1"/>
  <c r="H28" i="3"/>
  <c r="I28" i="3" s="1"/>
  <c r="H32" i="3"/>
  <c r="I32" i="3" s="1"/>
  <c r="H36" i="3"/>
  <c r="I36" i="3" s="1"/>
  <c r="H19" i="3"/>
  <c r="I19" i="3" s="1"/>
  <c r="H23" i="3"/>
  <c r="I23" i="3" s="1"/>
  <c r="H27" i="3"/>
  <c r="I27" i="3" s="1"/>
  <c r="H31" i="3"/>
  <c r="I31" i="3" s="1"/>
  <c r="H35" i="3"/>
  <c r="I35" i="3" s="1"/>
  <c r="D14" i="3"/>
  <c r="H14" i="3" s="1"/>
  <c r="I14" i="3" s="1"/>
  <c r="H8" i="3" s="1"/>
  <c r="D15" i="3"/>
  <c r="H15" i="3" s="1"/>
  <c r="I15" i="3" s="1"/>
  <c r="H15" i="2"/>
  <c r="I15" i="2" s="1"/>
  <c r="H19" i="2"/>
  <c r="I19" i="2" s="1"/>
  <c r="H23" i="2"/>
  <c r="I23" i="2" s="1"/>
  <c r="H27" i="2"/>
  <c r="I27" i="2" s="1"/>
  <c r="H31" i="2"/>
  <c r="I31" i="2" s="1"/>
  <c r="H35" i="2"/>
  <c r="I35" i="2" s="1"/>
  <c r="H14" i="2"/>
  <c r="I14" i="2" s="1"/>
  <c r="H18" i="2"/>
  <c r="I18" i="2" s="1"/>
  <c r="H22" i="2"/>
  <c r="I22" i="2" s="1"/>
  <c r="H26" i="2"/>
  <c r="I26" i="2" s="1"/>
  <c r="H30" i="2"/>
  <c r="I30" i="2" s="1"/>
  <c r="H34" i="2"/>
  <c r="I34" i="2" s="1"/>
  <c r="H38" i="2"/>
  <c r="I38" i="2" s="1"/>
  <c r="H17" i="2"/>
  <c r="I17" i="2" s="1"/>
  <c r="H21" i="2"/>
  <c r="I21" i="2" s="1"/>
  <c r="H25" i="2"/>
  <c r="I25" i="2" s="1"/>
  <c r="H29" i="2"/>
  <c r="I29" i="2" s="1"/>
  <c r="H33" i="2"/>
  <c r="I33" i="2" s="1"/>
  <c r="H37" i="2"/>
  <c r="I37" i="2" s="1"/>
  <c r="H16" i="2"/>
  <c r="I16" i="2" s="1"/>
  <c r="H20" i="2"/>
  <c r="I20" i="2" s="1"/>
  <c r="H24" i="2"/>
  <c r="I24" i="2" s="1"/>
  <c r="H28" i="2"/>
  <c r="I28" i="2" s="1"/>
  <c r="H32" i="2"/>
  <c r="I32" i="2" s="1"/>
  <c r="H36" i="2"/>
  <c r="I36" i="2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H30" i="1" s="1"/>
  <c r="I30" i="1" s="1"/>
  <c r="E30" i="1"/>
  <c r="D30" i="1"/>
  <c r="F29" i="1"/>
  <c r="E29" i="1"/>
  <c r="D29" i="1"/>
  <c r="F28" i="1"/>
  <c r="E28" i="1"/>
  <c r="D28" i="1"/>
  <c r="F27" i="1"/>
  <c r="E27" i="1"/>
  <c r="D27" i="1"/>
  <c r="F26" i="1"/>
  <c r="H26" i="1" s="1"/>
  <c r="I26" i="1" s="1"/>
  <c r="E26" i="1"/>
  <c r="D26" i="1"/>
  <c r="F25" i="1"/>
  <c r="E25" i="1"/>
  <c r="D25" i="1"/>
  <c r="F24" i="1"/>
  <c r="E24" i="1"/>
  <c r="D24" i="1"/>
  <c r="F23" i="1"/>
  <c r="E23" i="1"/>
  <c r="D23" i="1"/>
  <c r="F22" i="1"/>
  <c r="H22" i="1" s="1"/>
  <c r="I22" i="1" s="1"/>
  <c r="E22" i="1"/>
  <c r="D22" i="1"/>
  <c r="F21" i="1"/>
  <c r="E21" i="1"/>
  <c r="D21" i="1"/>
  <c r="F20" i="1"/>
  <c r="E20" i="1"/>
  <c r="D20" i="1"/>
  <c r="F19" i="1"/>
  <c r="E19" i="1"/>
  <c r="D19" i="1"/>
  <c r="F18" i="1"/>
  <c r="H18" i="1" s="1"/>
  <c r="I18" i="1" s="1"/>
  <c r="E18" i="1"/>
  <c r="D18" i="1"/>
  <c r="F17" i="1"/>
  <c r="E17" i="1"/>
  <c r="D17" i="1"/>
  <c r="F16" i="1"/>
  <c r="E16" i="1"/>
  <c r="D16" i="1"/>
  <c r="F15" i="1"/>
  <c r="E15" i="1"/>
  <c r="D15" i="1"/>
  <c r="F14" i="1"/>
  <c r="H14" i="1" s="1"/>
  <c r="I14" i="1" s="1"/>
  <c r="E14" i="1"/>
  <c r="D14" i="1"/>
  <c r="F9" i="1"/>
  <c r="F8" i="1"/>
  <c r="H5" i="1"/>
  <c r="H4" i="1" s="1"/>
  <c r="H34" i="1" l="1"/>
  <c r="I34" i="1" s="1"/>
  <c r="H17" i="1"/>
  <c r="I17" i="1" s="1"/>
  <c r="H21" i="1"/>
  <c r="I21" i="1" s="1"/>
  <c r="H25" i="1"/>
  <c r="I25" i="1" s="1"/>
  <c r="H29" i="1"/>
  <c r="I29" i="1" s="1"/>
  <c r="H33" i="1"/>
  <c r="I33" i="1" s="1"/>
  <c r="H16" i="1"/>
  <c r="I16" i="1" s="1"/>
  <c r="H20" i="1"/>
  <c r="I20" i="1" s="1"/>
  <c r="H24" i="1"/>
  <c r="I24" i="1" s="1"/>
  <c r="H28" i="1"/>
  <c r="I28" i="1" s="1"/>
  <c r="H32" i="1"/>
  <c r="I32" i="1" s="1"/>
  <c r="J8" i="3"/>
  <c r="H8" i="2"/>
  <c r="J8" i="2" s="1"/>
  <c r="H35" i="1"/>
  <c r="I35" i="1" s="1"/>
  <c r="H19" i="1"/>
  <c r="I19" i="1" s="1"/>
  <c r="H23" i="1"/>
  <c r="I23" i="1" s="1"/>
  <c r="H27" i="1"/>
  <c r="I27" i="1" s="1"/>
  <c r="H15" i="1"/>
  <c r="I15" i="1" s="1"/>
  <c r="H31" i="1"/>
  <c r="I31" i="1" s="1"/>
  <c r="H8" i="1" l="1"/>
  <c r="J8" i="1" s="1"/>
</calcChain>
</file>

<file path=xl/sharedStrings.xml><?xml version="1.0" encoding="utf-8"?>
<sst xmlns="http://schemas.openxmlformats.org/spreadsheetml/2006/main" count="644" uniqueCount="55">
  <si>
    <t>Maximum log-likelihood estimates of logistic parameters with Solver on MS-EXCEL</t>
  </si>
  <si>
    <t>Logistic equation r(l)=exp(a + bl) / [1+exp(a + bl)]</t>
  </si>
  <si>
    <t>Parameters</t>
  </si>
  <si>
    <t>Initial value</t>
  </si>
  <si>
    <t>Parameters estimated by eye</t>
  </si>
  <si>
    <t>West Point Selectivity study-2018</t>
  </si>
  <si>
    <t>a =</t>
  </si>
  <si>
    <t>L50% =</t>
  </si>
  <si>
    <t>Monique Niles</t>
  </si>
  <si>
    <t>b =</t>
  </si>
  <si>
    <t>S.R. =</t>
  </si>
  <si>
    <t>88.9R=88.9mm ring mesh with rubber washers</t>
  </si>
  <si>
    <t>14L=a4mm mesh liner</t>
  </si>
  <si>
    <t xml:space="preserve">Akaike's Information Criterion </t>
  </si>
  <si>
    <t>Sum of log-likelihood</t>
  </si>
  <si>
    <t>Value of AIC</t>
  </si>
  <si>
    <t>S.P. =</t>
  </si>
  <si>
    <t>Catch number of</t>
  </si>
  <si>
    <t>Propotion</t>
  </si>
  <si>
    <t>Selectivity</t>
  </si>
  <si>
    <t>Likelihood</t>
  </si>
  <si>
    <t>log(likelihood)</t>
  </si>
  <si>
    <t>Length(mm)</t>
  </si>
  <si>
    <t>88.9R</t>
  </si>
  <si>
    <t>14L</t>
  </si>
  <si>
    <t>Total</t>
  </si>
  <si>
    <t>retained in codend</t>
  </si>
  <si>
    <t xml:space="preserve">from logistic </t>
  </si>
  <si>
    <t>of each length class</t>
  </si>
  <si>
    <t>Maximum log-likelihood estimates of Richard curve parameters with Solver on MS-EXCEL</t>
  </si>
  <si>
    <r>
      <t>Richard curve equation r(l) = { exp(a + bl) / [1+exp(a + bl)] }</t>
    </r>
    <r>
      <rPr>
        <vertAlign val="superscript"/>
        <sz val="18"/>
        <rFont val="Times New Roman"/>
        <family val="1"/>
      </rPr>
      <t>1/</t>
    </r>
    <r>
      <rPr>
        <vertAlign val="superscript"/>
        <sz val="18"/>
        <rFont val="Symbol"/>
        <family val="1"/>
        <charset val="2"/>
      </rPr>
      <t>d</t>
    </r>
  </si>
  <si>
    <r>
      <t xml:space="preserve"> </t>
    </r>
    <r>
      <rPr>
        <sz val="12"/>
        <rFont val="Symbol"/>
        <family val="1"/>
        <charset val="2"/>
      </rPr>
      <t xml:space="preserve">d </t>
    </r>
    <r>
      <rPr>
        <sz val="12"/>
        <rFont val="Times New Roman"/>
        <family val="1"/>
      </rPr>
      <t>=</t>
    </r>
  </si>
  <si>
    <t>Length(cm)</t>
  </si>
  <si>
    <t>Catch data for haddock in 60 min. coverd codend hauls with 113 mm experimental mesh (see Table 6.5.2a in page 49 of ICENS manual)</t>
  </si>
  <si>
    <t>Data from Clark, J.R. 1957.  Effect of length of haul on codend escapement.  ICNAF/ICES/FAO workshop on selectivity, Lisbon. Paper S25.</t>
  </si>
  <si>
    <t>Maximum log-likelihood estimates of Encounter probability model parameters with Solver on MS-EXCEL</t>
  </si>
  <si>
    <r>
      <t xml:space="preserve">Encounter probability </t>
    </r>
    <r>
      <rPr>
        <b/>
        <sz val="16"/>
        <rFont val="Times New Roman"/>
        <family val="1"/>
      </rPr>
      <t>model  r(l) = p exp(a + bl) / [1+exp(a + bl)]  +1 - p</t>
    </r>
  </si>
  <si>
    <t xml:space="preserve">(See TOKAI et al.(1996) Fish. Res. 27, 51-60.) </t>
  </si>
  <si>
    <r>
      <t xml:space="preserve"> p</t>
    </r>
    <r>
      <rPr>
        <sz val="12"/>
        <rFont val="Symbol"/>
        <family val="1"/>
        <charset val="2"/>
      </rPr>
      <t xml:space="preserve"> </t>
    </r>
    <r>
      <rPr>
        <sz val="12"/>
        <rFont val="Times New Roman"/>
        <family val="1"/>
      </rPr>
      <t>=</t>
    </r>
  </si>
  <si>
    <t>site</t>
  </si>
  <si>
    <t>midLengths</t>
  </si>
  <si>
    <t>classes.num</t>
  </si>
  <si>
    <t>82.6R</t>
  </si>
  <si>
    <t>82.6S</t>
  </si>
  <si>
    <t>88.9S</t>
  </si>
  <si>
    <t>wp</t>
  </si>
  <si>
    <t>ct</t>
  </si>
  <si>
    <t>lcat5</t>
  </si>
  <si>
    <t>ring_type</t>
  </si>
  <si>
    <t>catch</t>
  </si>
  <si>
    <t>Sum of catch</t>
  </si>
  <si>
    <t>Column Labels</t>
  </si>
  <si>
    <t>Row Labels</t>
  </si>
  <si>
    <t>Grand 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</si>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</sst>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8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name val="Times New Roman"/>
      <family val="1"/>
    </font>
    <font>
      <sz val="12"/>
      <name val="ＭＳ 明朝"/>
      <family val="1"/>
      <charset val="128"/>
    </font>
    <font>
      <vertAlign val="superscript"/>
      <sz val="18"/>
      <name val="Times New Roman"/>
      <family val="1"/>
    </font>
    <font>
      <vertAlign val="superscript"/>
      <sz val="18"/>
      <name val="Symbol"/>
      <family val="1"/>
      <charset val="2"/>
    </font>
    <font>
      <sz val="12"/>
      <name val="Symbol"/>
      <family val="1"/>
      <charset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0" borderId="1" xfId="0" applyNumberFormat="1" applyFont="1" applyBorder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2" xfId="0" applyNumberFormat="1" applyFont="1" applyBorder="1"/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3" xfId="0" applyNumberFormat="1" applyFont="1" applyFill="1" applyBorder="1"/>
    <xf numFmtId="0" fontId="3" fillId="0" borderId="0" xfId="0" applyFont="1" applyAlignment="1">
      <alignment vertical="center" wrapText="1"/>
    </xf>
    <xf numFmtId="164" fontId="2" fillId="0" borderId="0" xfId="0" applyNumberFormat="1" applyFont="1" applyFill="1" applyBorder="1"/>
    <xf numFmtId="165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0" fontId="2" fillId="0" borderId="0" xfId="0" applyNumberFormat="1" applyFont="1"/>
    <xf numFmtId="0" fontId="0" fillId="0" borderId="0" xfId="0" applyNumberFormat="1"/>
    <xf numFmtId="0" fontId="2" fillId="0" borderId="4" xfId="0" applyNumberFormat="1" applyFont="1" applyBorder="1"/>
    <xf numFmtId="0" fontId="0" fillId="0" borderId="0" xfId="0" applyAlignment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701554693283053E-2"/>
          <c:w val="0.78240152812798458"/>
          <c:h val="0.767591417485067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</c:numCache>
            </c:numRef>
          </c:xVal>
          <c:yVal>
            <c:numRef>
              <c:f>'Logistic curve'!$B$14:$B$38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17</c:v>
                </c:pt>
                <c:pt idx="9">
                  <c:v>35</c:v>
                </c:pt>
                <c:pt idx="10">
                  <c:v>26</c:v>
                </c:pt>
                <c:pt idx="11">
                  <c:v>28</c:v>
                </c:pt>
                <c:pt idx="12">
                  <c:v>75</c:v>
                </c:pt>
                <c:pt idx="13">
                  <c:v>140</c:v>
                </c:pt>
                <c:pt idx="14">
                  <c:v>266</c:v>
                </c:pt>
                <c:pt idx="15">
                  <c:v>410</c:v>
                </c:pt>
                <c:pt idx="16">
                  <c:v>423</c:v>
                </c:pt>
                <c:pt idx="17">
                  <c:v>233</c:v>
                </c:pt>
                <c:pt idx="18">
                  <c:v>86</c:v>
                </c:pt>
                <c:pt idx="19">
                  <c:v>14</c:v>
                </c:pt>
                <c:pt idx="20">
                  <c:v>2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B-46AC-B62A-751116E0EAAC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</c:numCache>
            </c:numRef>
          </c:xVal>
          <c:yVal>
            <c:numRef>
              <c:f>'Logistic curve'!$C$14:$C$38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B-46AC-B62A-751116E0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00248"/>
        <c:axId val="1"/>
      </c:scatterChart>
      <c:valAx>
        <c:axId val="550300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8812517212"/>
              <c:y val="0.91684530421827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200037500073243E-2"/>
              <c:y val="0.26865699611977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03002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6566853578"/>
          <c:y val="5.3497969261373769E-2"/>
          <c:w val="0.84129493187756699"/>
          <c:h val="0.7757205542899195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(88.9S)'!$E$14:$E$38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2.4390243902439025E-2</c:v>
                </c:pt>
                <c:pt idx="6">
                  <c:v>4.3478260869565216E-2</c:v>
                </c:pt>
                <c:pt idx="7">
                  <c:v>4.0816326530612242E-2</c:v>
                </c:pt>
                <c:pt idx="8">
                  <c:v>9.2436974789915971E-2</c:v>
                </c:pt>
                <c:pt idx="9">
                  <c:v>8.1081081081081086E-2</c:v>
                </c:pt>
                <c:pt idx="10">
                  <c:v>0.11764705882352941</c:v>
                </c:pt>
                <c:pt idx="11">
                  <c:v>0.19685039370078741</c:v>
                </c:pt>
                <c:pt idx="12">
                  <c:v>0.2303370786516854</c:v>
                </c:pt>
                <c:pt idx="13">
                  <c:v>0.24299065420560748</c:v>
                </c:pt>
                <c:pt idx="14">
                  <c:v>0.27750410509031198</c:v>
                </c:pt>
                <c:pt idx="15">
                  <c:v>0.29789590254706533</c:v>
                </c:pt>
                <c:pt idx="16">
                  <c:v>0.35365853658536583</c:v>
                </c:pt>
                <c:pt idx="17">
                  <c:v>0.44243792325056436</c:v>
                </c:pt>
                <c:pt idx="18">
                  <c:v>0.52542372881355937</c:v>
                </c:pt>
                <c:pt idx="19">
                  <c:v>0.61764705882352944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7-41FC-8330-BF2CCF0137BA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'Richard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(88.9S)'!$F$14:$F$38</c:f>
              <c:numCache>
                <c:formatCode>General</c:formatCode>
                <c:ptCount val="25"/>
                <c:pt idx="0">
                  <c:v>6.1205852335960084E-3</c:v>
                </c:pt>
                <c:pt idx="1">
                  <c:v>7.9414689888000801E-3</c:v>
                </c:pt>
                <c:pt idx="2">
                  <c:v>1.0303802608641213E-2</c:v>
                </c:pt>
                <c:pt idx="3">
                  <c:v>1.3368311354429282E-2</c:v>
                </c:pt>
                <c:pt idx="4">
                  <c:v>1.7343140355032E-2</c:v>
                </c:pt>
                <c:pt idx="5">
                  <c:v>2.2497542174531714E-2</c:v>
                </c:pt>
                <c:pt idx="6">
                  <c:v>2.9179198151759306E-2</c:v>
                </c:pt>
                <c:pt idx="7">
                  <c:v>3.7835801910608917E-2</c:v>
                </c:pt>
                <c:pt idx="8">
                  <c:v>4.9041260627016289E-2</c:v>
                </c:pt>
                <c:pt idx="9">
                  <c:v>6.3526064767463308E-2</c:v>
                </c:pt>
                <c:pt idx="10">
                  <c:v>8.2209474469909449E-2</c:v>
                </c:pt>
                <c:pt idx="11">
                  <c:v>0.10622714437073423</c:v>
                </c:pt>
                <c:pt idx="12">
                  <c:v>0.13693999183376412</c:v>
                </c:pt>
                <c:pt idx="13">
                  <c:v>0.175896377378814</c:v>
                </c:pt>
                <c:pt idx="14">
                  <c:v>0.22469907578427525</c:v>
                </c:pt>
                <c:pt idx="15">
                  <c:v>0.28470700046681868</c:v>
                </c:pt>
                <c:pt idx="16">
                  <c:v>0.35650457015441811</c:v>
                </c:pt>
                <c:pt idx="17">
                  <c:v>0.43915690935523033</c:v>
                </c:pt>
                <c:pt idx="18">
                  <c:v>0.52950009419649358</c:v>
                </c:pt>
                <c:pt idx="19">
                  <c:v>0.62202064565821702</c:v>
                </c:pt>
                <c:pt idx="20">
                  <c:v>0.70987691533817521</c:v>
                </c:pt>
                <c:pt idx="21">
                  <c:v>0.7869013078680096</c:v>
                </c:pt>
                <c:pt idx="22">
                  <c:v>0.84944993498856136</c:v>
                </c:pt>
                <c:pt idx="23">
                  <c:v>0.89695588953778027</c:v>
                </c:pt>
                <c:pt idx="24">
                  <c:v>0.93114734973337043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7-41FC-8330-BF2CCF01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6848"/>
        <c:axId val="1"/>
      </c:scatterChart>
      <c:valAx>
        <c:axId val="486856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68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82909103998222E-2"/>
          <c:w val="0.78240152812798458"/>
          <c:h val="0.767094417262629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(88.9S)'!$B$14:$B$38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41</c:v>
                </c:pt>
                <c:pt idx="13">
                  <c:v>78</c:v>
                </c:pt>
                <c:pt idx="14">
                  <c:v>169</c:v>
                </c:pt>
                <c:pt idx="15">
                  <c:v>269</c:v>
                </c:pt>
                <c:pt idx="16">
                  <c:v>290</c:v>
                </c:pt>
                <c:pt idx="17">
                  <c:v>196</c:v>
                </c:pt>
                <c:pt idx="18">
                  <c:v>62</c:v>
                </c:pt>
                <c:pt idx="19">
                  <c:v>21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7-444B-808A-55C537C5281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(88.9S)'!$C$14:$C$38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7-444B-808A-55C537C5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6432"/>
        <c:axId val="1"/>
      </c:scatterChart>
      <c:valAx>
        <c:axId val="48713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666722990098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67094048866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6432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5363224945718"/>
          <c:y val="5.3497969261373769E-2"/>
          <c:w val="0.77484971355324772"/>
          <c:h val="0.7431119479630264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'Encounter probability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(88.9S)'!$E$14:$E$38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2.4390243902439025E-2</c:v>
                </c:pt>
                <c:pt idx="6">
                  <c:v>4.3478260869565216E-2</c:v>
                </c:pt>
                <c:pt idx="7">
                  <c:v>4.0816326530612242E-2</c:v>
                </c:pt>
                <c:pt idx="8">
                  <c:v>9.2436974789915971E-2</c:v>
                </c:pt>
                <c:pt idx="9">
                  <c:v>8.1081081081081086E-2</c:v>
                </c:pt>
                <c:pt idx="10">
                  <c:v>0.11764705882352941</c:v>
                </c:pt>
                <c:pt idx="11">
                  <c:v>0.19685039370078741</c:v>
                </c:pt>
                <c:pt idx="12">
                  <c:v>0.2303370786516854</c:v>
                </c:pt>
                <c:pt idx="13">
                  <c:v>0.24299065420560748</c:v>
                </c:pt>
                <c:pt idx="14">
                  <c:v>0.27750410509031198</c:v>
                </c:pt>
                <c:pt idx="15">
                  <c:v>0.29789590254706533</c:v>
                </c:pt>
                <c:pt idx="16">
                  <c:v>0.35365853658536583</c:v>
                </c:pt>
                <c:pt idx="17">
                  <c:v>0.44243792325056436</c:v>
                </c:pt>
                <c:pt idx="18">
                  <c:v>0.52542372881355937</c:v>
                </c:pt>
                <c:pt idx="19">
                  <c:v>0.61764705882352944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4D23-9AEB-F8809CF6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8072"/>
        <c:axId val="1"/>
      </c:scatterChart>
      <c:scatterChart>
        <c:scatterStyle val="smoothMarker"/>
        <c:varyColors val="0"/>
        <c:ser>
          <c:idx val="2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'Encounter probability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(88.9S)'!$F$14:$F$38</c:f>
              <c:numCache>
                <c:formatCode>General</c:formatCode>
                <c:ptCount val="25"/>
                <c:pt idx="0">
                  <c:v>-7.1389603292971504E-2</c:v>
                </c:pt>
                <c:pt idx="1">
                  <c:v>-7.0744913967967893E-2</c:v>
                </c:pt>
                <c:pt idx="2">
                  <c:v>-6.9789179932246759E-2</c:v>
                </c:pt>
                <c:pt idx="3">
                  <c:v>-6.8373353942882797E-2</c:v>
                </c:pt>
                <c:pt idx="4">
                  <c:v>-6.6278190029926076E-2</c:v>
                </c:pt>
                <c:pt idx="5">
                  <c:v>-6.3182634267130666E-2</c:v>
                </c:pt>
                <c:pt idx="6">
                  <c:v>-5.8619703507073906E-2</c:v>
                </c:pt>
                <c:pt idx="7">
                  <c:v>-5.1916949863550332E-2</c:v>
                </c:pt>
                <c:pt idx="8">
                  <c:v>-4.2120537914081435E-2</c:v>
                </c:pt>
                <c:pt idx="9">
                  <c:v>-2.7907871006256357E-2</c:v>
                </c:pt>
                <c:pt idx="10">
                  <c:v>-7.5073321776104596E-3</c:v>
                </c:pt>
                <c:pt idx="11">
                  <c:v>2.1330286535961918E-2</c:v>
                </c:pt>
                <c:pt idx="12">
                  <c:v>6.122439600146623E-2</c:v>
                </c:pt>
                <c:pt idx="13">
                  <c:v>0.11479799415568581</c:v>
                </c:pt>
                <c:pt idx="14">
                  <c:v>0.18394072464766009</c:v>
                </c:pt>
                <c:pt idx="15">
                  <c:v>0.26874343185511318</c:v>
                </c:pt>
                <c:pt idx="16">
                  <c:v>0.36648527515541862</c:v>
                </c:pt>
                <c:pt idx="17">
                  <c:v>0.47138735379858909</c:v>
                </c:pt>
                <c:pt idx="18">
                  <c:v>0.57569985525954515</c:v>
                </c:pt>
                <c:pt idx="19">
                  <c:v>0.67184265085990624</c:v>
                </c:pt>
                <c:pt idx="20">
                  <c:v>0.75445008808011638</c:v>
                </c:pt>
                <c:pt idx="21">
                  <c:v>0.82125481196035932</c:v>
                </c:pt>
                <c:pt idx="22">
                  <c:v>0.87268201855758765</c:v>
                </c:pt>
                <c:pt idx="23">
                  <c:v>0.91078950631576916</c:v>
                </c:pt>
                <c:pt idx="24">
                  <c:v>0.93823621517627842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2-4D23-9AEB-F8809CF6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8544"/>
        <c:axId val="585270680"/>
      </c:scatterChart>
      <c:valAx>
        <c:axId val="487138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8072"/>
        <c:crossesAt val="0"/>
        <c:crossBetween val="midCat"/>
      </c:valAx>
      <c:valAx>
        <c:axId val="585270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5258544"/>
        <c:crosses val="max"/>
        <c:crossBetween val="midCat"/>
      </c:valAx>
      <c:valAx>
        <c:axId val="585258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852706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701554693283053E-2"/>
          <c:w val="0.78240152812798458"/>
          <c:h val="0.767591417485067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(82.6R) '!$B$14:$B$38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14</c:v>
                </c:pt>
                <c:pt idx="9">
                  <c:v>47</c:v>
                </c:pt>
                <c:pt idx="10">
                  <c:v>51</c:v>
                </c:pt>
                <c:pt idx="11">
                  <c:v>37</c:v>
                </c:pt>
                <c:pt idx="12">
                  <c:v>96</c:v>
                </c:pt>
                <c:pt idx="13">
                  <c:v>248</c:v>
                </c:pt>
                <c:pt idx="14">
                  <c:v>562</c:v>
                </c:pt>
                <c:pt idx="15">
                  <c:v>847</c:v>
                </c:pt>
                <c:pt idx="16">
                  <c:v>742</c:v>
                </c:pt>
                <c:pt idx="17">
                  <c:v>288</c:v>
                </c:pt>
                <c:pt idx="18">
                  <c:v>77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4-4A2F-BAC3-503901617A4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(82.6R) 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4-4A2F-BAC3-50390161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00248"/>
        <c:axId val="1"/>
      </c:scatterChart>
      <c:valAx>
        <c:axId val="550300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8812517212"/>
              <c:y val="0.91684530421827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200037500073243E-2"/>
              <c:y val="0.26865699611977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03002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2232802011593"/>
          <c:y val="6.1320825334455764E-2"/>
          <c:w val="0.8105122396614769"/>
          <c:h val="0.7289578811186683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(82.6R) '!$E$14:$E$38</c:f>
              <c:numCache>
                <c:formatCode>General</c:formatCode>
                <c:ptCount val="25"/>
                <c:pt idx="0">
                  <c:v>0</c:v>
                </c:pt>
                <c:pt idx="1">
                  <c:v>7.1428571428571425E-2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2.8846153846153848E-2</c:v>
                </c:pt>
                <c:pt idx="5">
                  <c:v>6.9767441860465115E-2</c:v>
                </c:pt>
                <c:pt idx="6">
                  <c:v>8.3333333333333329E-2</c:v>
                </c:pt>
                <c:pt idx="7">
                  <c:v>0.06</c:v>
                </c:pt>
                <c:pt idx="8">
                  <c:v>0.11475409836065574</c:v>
                </c:pt>
                <c:pt idx="9">
                  <c:v>0.21658986175115208</c:v>
                </c:pt>
                <c:pt idx="10">
                  <c:v>0.27419354838709675</c:v>
                </c:pt>
                <c:pt idx="11">
                  <c:v>0.26618705035971224</c:v>
                </c:pt>
                <c:pt idx="12">
                  <c:v>0.41201716738197425</c:v>
                </c:pt>
                <c:pt idx="13">
                  <c:v>0.50509164969450104</c:v>
                </c:pt>
                <c:pt idx="14">
                  <c:v>0.56087824351297411</c:v>
                </c:pt>
                <c:pt idx="15">
                  <c:v>0.5719108710330858</c:v>
                </c:pt>
                <c:pt idx="16">
                  <c:v>0.58333333333333337</c:v>
                </c:pt>
                <c:pt idx="17">
                  <c:v>0.53831775700934581</c:v>
                </c:pt>
                <c:pt idx="18">
                  <c:v>0.57894736842105265</c:v>
                </c:pt>
                <c:pt idx="19">
                  <c:v>0.5</c:v>
                </c:pt>
                <c:pt idx="20">
                  <c:v>0.42857142857142855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7-4018-B6CC-9654BF4343D7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'Logistic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(82.6R) '!$F$14:$F$38</c:f>
              <c:numCache>
                <c:formatCode>General</c:formatCode>
                <c:ptCount val="25"/>
                <c:pt idx="0">
                  <c:v>1.5519756578408888E-2</c:v>
                </c:pt>
                <c:pt idx="1">
                  <c:v>2.0836344518680414E-2</c:v>
                </c:pt>
                <c:pt idx="2">
                  <c:v>2.7922573784073004E-2</c:v>
                </c:pt>
                <c:pt idx="3">
                  <c:v>3.732688734412945E-2</c:v>
                </c:pt>
                <c:pt idx="4">
                  <c:v>4.9736511558556719E-2</c:v>
                </c:pt>
                <c:pt idx="5">
                  <c:v>6.5989009491218761E-2</c:v>
                </c:pt>
                <c:pt idx="6">
                  <c:v>8.7065772440271222E-2</c:v>
                </c:pt>
                <c:pt idx="7">
                  <c:v>0.11405238127979081</c:v>
                </c:pt>
                <c:pt idx="8">
                  <c:v>0.14804719803168942</c:v>
                </c:pt>
                <c:pt idx="9">
                  <c:v>0.1900015660153129</c:v>
                </c:pt>
                <c:pt idx="10">
                  <c:v>0.24048908305088887</c:v>
                </c:pt>
                <c:pt idx="11">
                  <c:v>0.29943285752602694</c:v>
                </c:pt>
                <c:pt idx="12">
                  <c:v>0.3658644089891992</c:v>
                </c:pt>
                <c:pt idx="13">
                  <c:v>0.43782349911420171</c:v>
                </c:pt>
                <c:pt idx="14">
                  <c:v>0.51249739648421033</c:v>
                </c:pt>
                <c:pt idx="15">
                  <c:v>0.58661757891732991</c:v>
                </c:pt>
                <c:pt idx="16">
                  <c:v>0.65701046267349872</c:v>
                </c:pt>
                <c:pt idx="17">
                  <c:v>0.72111517802286296</c:v>
                </c:pt>
                <c:pt idx="18">
                  <c:v>0.77729986117469108</c:v>
                </c:pt>
                <c:pt idx="19">
                  <c:v>0.82491373183596017</c:v>
                </c:pt>
                <c:pt idx="20">
                  <c:v>0.86412710299090567</c:v>
                </c:pt>
                <c:pt idx="21">
                  <c:v>0.89566877688099866</c:v>
                </c:pt>
                <c:pt idx="22">
                  <c:v>0.92056145081602159</c:v>
                </c:pt>
                <c:pt idx="23">
                  <c:v>0.93991334982599239</c:v>
                </c:pt>
                <c:pt idx="24">
                  <c:v>0.95478252651671247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7-4018-B6CC-9654BF43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59096"/>
        <c:axId val="1"/>
      </c:scatterChart>
      <c:valAx>
        <c:axId val="608359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496331868989"/>
              <c:y val="0.90801991360636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665668535779E-2"/>
              <c:y val="0.31132111323646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08359096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8091462852523416E-2"/>
          <c:w val="0.78240152812798458"/>
          <c:h val="0.7738612729996869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(82.6R) '!$B$14:$B$38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14</c:v>
                </c:pt>
                <c:pt idx="9">
                  <c:v>47</c:v>
                </c:pt>
                <c:pt idx="10">
                  <c:v>51</c:v>
                </c:pt>
                <c:pt idx="11">
                  <c:v>37</c:v>
                </c:pt>
                <c:pt idx="12">
                  <c:v>96</c:v>
                </c:pt>
                <c:pt idx="13">
                  <c:v>248</c:v>
                </c:pt>
                <c:pt idx="14">
                  <c:v>562</c:v>
                </c:pt>
                <c:pt idx="15">
                  <c:v>847</c:v>
                </c:pt>
                <c:pt idx="16">
                  <c:v>742</c:v>
                </c:pt>
                <c:pt idx="17">
                  <c:v>288</c:v>
                </c:pt>
                <c:pt idx="18">
                  <c:v>77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9-48D2-9FC6-935AB65194AC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(82.6R) 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9-48D2-9FC6-935AB651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4880"/>
        <c:axId val="1"/>
      </c:scatterChart>
      <c:valAx>
        <c:axId val="48685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90898950131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738599081364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4880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6566853578"/>
          <c:y val="5.3497969261373769E-2"/>
          <c:w val="0.84129493187756699"/>
          <c:h val="0.7757205542899195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(82.6R) '!$E$14:$E$38</c:f>
              <c:numCache>
                <c:formatCode>General</c:formatCode>
                <c:ptCount val="25"/>
                <c:pt idx="0">
                  <c:v>0</c:v>
                </c:pt>
                <c:pt idx="1">
                  <c:v>7.1428571428571425E-2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2.8846153846153848E-2</c:v>
                </c:pt>
                <c:pt idx="5">
                  <c:v>6.9767441860465115E-2</c:v>
                </c:pt>
                <c:pt idx="6">
                  <c:v>8.3333333333333329E-2</c:v>
                </c:pt>
                <c:pt idx="7">
                  <c:v>0.06</c:v>
                </c:pt>
                <c:pt idx="8">
                  <c:v>0.11475409836065574</c:v>
                </c:pt>
                <c:pt idx="9">
                  <c:v>0.21658986175115208</c:v>
                </c:pt>
                <c:pt idx="10">
                  <c:v>0.27419354838709675</c:v>
                </c:pt>
                <c:pt idx="11">
                  <c:v>0.26618705035971224</c:v>
                </c:pt>
                <c:pt idx="12">
                  <c:v>0.41201716738197425</c:v>
                </c:pt>
                <c:pt idx="13">
                  <c:v>0.50509164969450104</c:v>
                </c:pt>
                <c:pt idx="14">
                  <c:v>0.56087824351297411</c:v>
                </c:pt>
                <c:pt idx="15">
                  <c:v>0.5719108710330858</c:v>
                </c:pt>
                <c:pt idx="16">
                  <c:v>0.58333333333333337</c:v>
                </c:pt>
                <c:pt idx="17">
                  <c:v>0.53831775700934581</c:v>
                </c:pt>
                <c:pt idx="18">
                  <c:v>0.57894736842105265</c:v>
                </c:pt>
                <c:pt idx="19">
                  <c:v>0.5</c:v>
                </c:pt>
                <c:pt idx="20">
                  <c:v>0.42857142857142855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F-49A5-ABF9-7AD3C09C5A78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'Richard curve (82.6R)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(82.6R) '!$F$14:$F$38</c:f>
              <c:numCache>
                <c:formatCode>General</c:formatCode>
                <c:ptCount val="25"/>
                <c:pt idx="0">
                  <c:v>4.2924838960538834E-4</c:v>
                </c:pt>
                <c:pt idx="1">
                  <c:v>1.3863593943209702E-3</c:v>
                </c:pt>
                <c:pt idx="2">
                  <c:v>3.8410099147349421E-3</c:v>
                </c:pt>
                <c:pt idx="3">
                  <c:v>9.2537310040722784E-3</c:v>
                </c:pt>
                <c:pt idx="4">
                  <c:v>1.9662286236362909E-2</c:v>
                </c:pt>
                <c:pt idx="5">
                  <c:v>3.7370674397767215E-2</c:v>
                </c:pt>
                <c:pt idx="6">
                  <c:v>6.4406396823817894E-2</c:v>
                </c:pt>
                <c:pt idx="7">
                  <c:v>0.10195052512788148</c:v>
                </c:pt>
                <c:pt idx="8">
                  <c:v>0.14997489903077535</c:v>
                </c:pt>
                <c:pt idx="9">
                  <c:v>0.20721338832083461</c:v>
                </c:pt>
                <c:pt idx="10">
                  <c:v>0.27143743884050231</c:v>
                </c:pt>
                <c:pt idx="11">
                  <c:v>0.33989911446641768</c:v>
                </c:pt>
                <c:pt idx="12">
                  <c:v>0.40978572816424047</c:v>
                </c:pt>
                <c:pt idx="13">
                  <c:v>0.47857577230094106</c:v>
                </c:pt>
                <c:pt idx="14">
                  <c:v>0.54425143905057749</c:v>
                </c:pt>
                <c:pt idx="15">
                  <c:v>0.60537546996186942</c:v>
                </c:pt>
                <c:pt idx="16">
                  <c:v>0.66106764807308183</c:v>
                </c:pt>
                <c:pt idx="17">
                  <c:v>0.71092233603954758</c:v>
                </c:pt>
                <c:pt idx="18">
                  <c:v>0.75490197304247464</c:v>
                </c:pt>
                <c:pt idx="19">
                  <c:v>0.79323044403089915</c:v>
                </c:pt>
                <c:pt idx="20">
                  <c:v>0.82629971386363477</c:v>
                </c:pt>
                <c:pt idx="21">
                  <c:v>0.85459519591674127</c:v>
                </c:pt>
                <c:pt idx="22">
                  <c:v>0.87864030236874424</c:v>
                </c:pt>
                <c:pt idx="23">
                  <c:v>0.89895796563569708</c:v>
                </c:pt>
                <c:pt idx="24">
                  <c:v>0.91604587792870384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F-49A5-ABF9-7AD3C09C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6848"/>
        <c:axId val="1"/>
      </c:scatterChart>
      <c:valAx>
        <c:axId val="486856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68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82909103998222E-2"/>
          <c:w val="0.78240152812798458"/>
          <c:h val="0.767094417262629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(82.6R)'!$A$14:$A$38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(82.6R)'!$B$14:$B$38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14</c:v>
                </c:pt>
                <c:pt idx="9">
                  <c:v>47</c:v>
                </c:pt>
                <c:pt idx="10">
                  <c:v>51</c:v>
                </c:pt>
                <c:pt idx="11">
                  <c:v>37</c:v>
                </c:pt>
                <c:pt idx="12">
                  <c:v>96</c:v>
                </c:pt>
                <c:pt idx="13">
                  <c:v>248</c:v>
                </c:pt>
                <c:pt idx="14">
                  <c:v>562</c:v>
                </c:pt>
                <c:pt idx="15">
                  <c:v>847</c:v>
                </c:pt>
                <c:pt idx="16">
                  <c:v>742</c:v>
                </c:pt>
                <c:pt idx="17">
                  <c:v>288</c:v>
                </c:pt>
                <c:pt idx="18">
                  <c:v>77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6-4425-B606-5653E3B9B42F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(82.6R)'!$A$14:$A$38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(82.6R)'!$C$14:$C$38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6-4425-B606-5653E3B9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6432"/>
        <c:axId val="1"/>
      </c:scatterChart>
      <c:valAx>
        <c:axId val="48713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666722990098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67094048866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6432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5363224945718"/>
          <c:y val="5.3497969261373769E-2"/>
          <c:w val="0.77484971355324772"/>
          <c:h val="0.7431119479630264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'Encounter probability (82.6R)'!$A$14:$A$38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(82.6R)'!$E$14:$E$38</c:f>
              <c:numCache>
                <c:formatCode>General</c:formatCode>
                <c:ptCount val="25"/>
                <c:pt idx="0">
                  <c:v>0</c:v>
                </c:pt>
                <c:pt idx="1">
                  <c:v>7.1428571428571425E-2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2.8846153846153848E-2</c:v>
                </c:pt>
                <c:pt idx="5">
                  <c:v>6.9767441860465115E-2</c:v>
                </c:pt>
                <c:pt idx="6">
                  <c:v>8.3333333333333329E-2</c:v>
                </c:pt>
                <c:pt idx="7">
                  <c:v>0.06</c:v>
                </c:pt>
                <c:pt idx="8">
                  <c:v>0.11475409836065574</c:v>
                </c:pt>
                <c:pt idx="9">
                  <c:v>0.21658986175115208</c:v>
                </c:pt>
                <c:pt idx="10">
                  <c:v>0.27419354838709675</c:v>
                </c:pt>
                <c:pt idx="11">
                  <c:v>0.26618705035971224</c:v>
                </c:pt>
                <c:pt idx="12">
                  <c:v>0.41201716738197425</c:v>
                </c:pt>
                <c:pt idx="13">
                  <c:v>0.50509164969450104</c:v>
                </c:pt>
                <c:pt idx="14">
                  <c:v>0.56087824351297411</c:v>
                </c:pt>
                <c:pt idx="15">
                  <c:v>0.5719108710330858</c:v>
                </c:pt>
                <c:pt idx="16">
                  <c:v>0.58333333333333337</c:v>
                </c:pt>
                <c:pt idx="17">
                  <c:v>0.53831775700934581</c:v>
                </c:pt>
                <c:pt idx="18">
                  <c:v>0.57894736842105265</c:v>
                </c:pt>
                <c:pt idx="19">
                  <c:v>0.5</c:v>
                </c:pt>
                <c:pt idx="20">
                  <c:v>0.42857142857142855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F-4284-AC91-950BA88D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8072"/>
        <c:axId val="1"/>
      </c:scatterChart>
      <c:scatterChart>
        <c:scatterStyle val="smoothMarker"/>
        <c:varyColors val="0"/>
        <c:ser>
          <c:idx val="2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'Encounter probability (82.6R)'!$A$14:$A$38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(82.6R)'!$F$14:$F$38</c:f>
              <c:numCache>
                <c:formatCode>General</c:formatCode>
                <c:ptCount val="25"/>
                <c:pt idx="0">
                  <c:v>-9.368818767746534E-3</c:v>
                </c:pt>
                <c:pt idx="1">
                  <c:v>-9.294211623024573E-3</c:v>
                </c:pt>
                <c:pt idx="2">
                  <c:v>-9.1872942394011226E-3</c:v>
                </c:pt>
                <c:pt idx="3">
                  <c:v>-9.0340859051376565E-3</c:v>
                </c:pt>
                <c:pt idx="4">
                  <c:v>-8.8145689976724118E-3</c:v>
                </c:pt>
                <c:pt idx="5">
                  <c:v>-8.50009546771191E-3</c:v>
                </c:pt>
                <c:pt idx="6">
                  <c:v>-8.0496930580948867E-3</c:v>
                </c:pt>
                <c:pt idx="7">
                  <c:v>-7.4048191594127122E-3</c:v>
                </c:pt>
                <c:pt idx="8">
                  <c:v>-6.4819399604971739E-3</c:v>
                </c:pt>
                <c:pt idx="9">
                  <c:v>-5.1620949055422027E-3</c:v>
                </c:pt>
                <c:pt idx="10">
                  <c:v>-3.2763473633341533E-3</c:v>
                </c:pt>
                <c:pt idx="11">
                  <c:v>-5.8575579386177523E-4</c:v>
                </c:pt>
                <c:pt idx="12">
                  <c:v>3.2456781657241862E-3</c:v>
                </c:pt>
                <c:pt idx="13">
                  <c:v>8.6864944877265149E-3</c:v>
                </c:pt>
                <c:pt idx="14">
                  <c:v>1.6382198060428621E-2</c:v>
                </c:pt>
                <c:pt idx="15">
                  <c:v>2.7206600652350588E-2</c:v>
                </c:pt>
                <c:pt idx="16">
                  <c:v>4.2312527469678951E-2</c:v>
                </c:pt>
                <c:pt idx="17">
                  <c:v>6.3163981944634795E-2</c:v>
                </c:pt>
                <c:pt idx="18">
                  <c:v>9.151548515575314E-2</c:v>
                </c:pt>
                <c:pt idx="19">
                  <c:v>0.12928442856747258</c:v>
                </c:pt>
                <c:pt idx="20">
                  <c:v>0.17825129877213763</c:v>
                </c:pt>
                <c:pt idx="21">
                  <c:v>0.23954888190575474</c:v>
                </c:pt>
                <c:pt idx="22">
                  <c:v>0.31300132385421309</c:v>
                </c:pt>
                <c:pt idx="23">
                  <c:v>0.39654707128022104</c:v>
                </c:pt>
                <c:pt idx="24">
                  <c:v>0.486119895167618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F-4284-AC91-950BA88D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8544"/>
        <c:axId val="585270680"/>
      </c:scatterChart>
      <c:valAx>
        <c:axId val="487138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8072"/>
        <c:crossesAt val="0"/>
        <c:crossBetween val="midCat"/>
      </c:valAx>
      <c:valAx>
        <c:axId val="585270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5258544"/>
        <c:crosses val="max"/>
        <c:crossBetween val="midCat"/>
      </c:valAx>
      <c:valAx>
        <c:axId val="585258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852706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701554693283053E-2"/>
          <c:w val="0.78240152812798458"/>
          <c:h val="0.767591417485067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(82.6S)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(82.6S) 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23</c:v>
                </c:pt>
                <c:pt idx="9">
                  <c:v>54</c:v>
                </c:pt>
                <c:pt idx="10">
                  <c:v>54</c:v>
                </c:pt>
                <c:pt idx="11">
                  <c:v>47</c:v>
                </c:pt>
                <c:pt idx="12">
                  <c:v>97</c:v>
                </c:pt>
                <c:pt idx="13">
                  <c:v>200</c:v>
                </c:pt>
                <c:pt idx="14">
                  <c:v>490</c:v>
                </c:pt>
                <c:pt idx="15">
                  <c:v>803</c:v>
                </c:pt>
                <c:pt idx="16">
                  <c:v>699</c:v>
                </c:pt>
                <c:pt idx="17">
                  <c:v>328</c:v>
                </c:pt>
                <c:pt idx="18">
                  <c:v>81</c:v>
                </c:pt>
                <c:pt idx="19">
                  <c:v>28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C-49EA-B373-5B8F0342A26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(82.6S)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(82.6S) 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C-49EA-B373-5B8F0342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00248"/>
        <c:axId val="1"/>
      </c:scatterChart>
      <c:valAx>
        <c:axId val="550300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8812517212"/>
              <c:y val="0.91684530421827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200037500073243E-2"/>
              <c:y val="0.26865699611977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03002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2232802011593"/>
          <c:y val="6.1320825334455764E-2"/>
          <c:w val="0.8105122396614769"/>
          <c:h val="0.7289578811186683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</c:numCache>
            </c:numRef>
          </c:xVal>
          <c:yVal>
            <c:numRef>
              <c:f>'Logistic curve'!$E$14:$E$38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9.0909090909090912E-2</c:v>
                </c:pt>
                <c:pt idx="4">
                  <c:v>4.716981132075472E-2</c:v>
                </c:pt>
                <c:pt idx="5">
                  <c:v>5.8823529411764705E-2</c:v>
                </c:pt>
                <c:pt idx="6">
                  <c:v>4.3478260869565216E-2</c:v>
                </c:pt>
                <c:pt idx="7">
                  <c:v>0.14545454545454545</c:v>
                </c:pt>
                <c:pt idx="8">
                  <c:v>0.13600000000000001</c:v>
                </c:pt>
                <c:pt idx="9">
                  <c:v>0.17073170731707318</c:v>
                </c:pt>
                <c:pt idx="10">
                  <c:v>0.16149068322981366</c:v>
                </c:pt>
                <c:pt idx="11">
                  <c:v>0.2153846153846154</c:v>
                </c:pt>
                <c:pt idx="12">
                  <c:v>0.35377358490566035</c:v>
                </c:pt>
                <c:pt idx="13">
                  <c:v>0.36553524804177545</c:v>
                </c:pt>
                <c:pt idx="14">
                  <c:v>0.37677053824362605</c:v>
                </c:pt>
                <c:pt idx="15">
                  <c:v>0.39272030651340994</c:v>
                </c:pt>
                <c:pt idx="16">
                  <c:v>0.44386149003147951</c:v>
                </c:pt>
                <c:pt idx="17">
                  <c:v>0.48541666666666666</c:v>
                </c:pt>
                <c:pt idx="18">
                  <c:v>0.60563380281690138</c:v>
                </c:pt>
                <c:pt idx="19">
                  <c:v>0.51851851851851849</c:v>
                </c:pt>
                <c:pt idx="20">
                  <c:v>0.33333333333333331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3-4FDD-9FE4-AD756B9E2A1B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'Logistic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</c:numCache>
            </c:numRef>
          </c:xVal>
          <c:yVal>
            <c:numRef>
              <c:f>'Logistic curve'!$F$14:$F$38</c:f>
              <c:numCache>
                <c:formatCode>General</c:formatCode>
                <c:ptCount val="25"/>
                <c:pt idx="0">
                  <c:v>2.6339319625283381E-2</c:v>
                </c:pt>
                <c:pt idx="1">
                  <c:v>3.1984397489533252E-2</c:v>
                </c:pt>
                <c:pt idx="2">
                  <c:v>3.8791134460236028E-2</c:v>
                </c:pt>
                <c:pt idx="3">
                  <c:v>4.6976145678283523E-2</c:v>
                </c:pt>
                <c:pt idx="4">
                  <c:v>5.6786180808788458E-2</c:v>
                </c:pt>
                <c:pt idx="5">
                  <c:v>6.8497603724326075E-2</c:v>
                </c:pt>
                <c:pt idx="6">
                  <c:v>8.2413318127912777E-2</c:v>
                </c:pt>
                <c:pt idx="7">
                  <c:v>9.8856073178169371E-2</c:v>
                </c:pt>
                <c:pt idx="8">
                  <c:v>0.11815697780926952</c:v>
                </c:pt>
                <c:pt idx="9">
                  <c:v>0.14063812573413417</c:v>
                </c:pt>
                <c:pt idx="10">
                  <c:v>0.16658861357545959</c:v>
                </c:pt>
                <c:pt idx="11">
                  <c:v>0.19623405636577909</c:v>
                </c:pt>
                <c:pt idx="12">
                  <c:v>0.22970105095339804</c:v>
                </c:pt>
                <c:pt idx="13">
                  <c:v>0.26697985076114239</c:v>
                </c:pt>
                <c:pt idx="14">
                  <c:v>0.30789049569821181</c:v>
                </c:pt>
                <c:pt idx="15">
                  <c:v>0.35205919791934964</c:v>
                </c:pt>
                <c:pt idx="16">
                  <c:v>0.39891212115163022</c:v>
                </c:pt>
                <c:pt idx="17">
                  <c:v>0.44769209042567459</c:v>
                </c:pt>
                <c:pt idx="18">
                  <c:v>0.49750002083312483</c:v>
                </c:pt>
                <c:pt idx="19">
                  <c:v>0.54735761814308914</c:v>
                </c:pt>
                <c:pt idx="20">
                  <c:v>0.59628269929678779</c:v>
                </c:pt>
                <c:pt idx="21">
                  <c:v>0.64336514569440162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3-4FDD-9FE4-AD756B9E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59096"/>
        <c:axId val="1"/>
      </c:scatterChart>
      <c:valAx>
        <c:axId val="608359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496331868989"/>
              <c:y val="0.90801991360636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665668535779E-2"/>
              <c:y val="0.31132111323646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08359096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2232802011593"/>
          <c:y val="6.1320825334455764E-2"/>
          <c:w val="0.8105122396614769"/>
          <c:h val="0.7289578811186683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(82.6S)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(82.6S) 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  <c:pt idx="4">
                  <c:v>3.8095238095238099E-2</c:v>
                </c:pt>
                <c:pt idx="5">
                  <c:v>2.4390243902439025E-2</c:v>
                </c:pt>
                <c:pt idx="6">
                  <c:v>2.2222222222222223E-2</c:v>
                </c:pt>
                <c:pt idx="7">
                  <c:v>0.12962962962962962</c:v>
                </c:pt>
                <c:pt idx="8">
                  <c:v>0.17557251908396945</c:v>
                </c:pt>
                <c:pt idx="9">
                  <c:v>0.24107142857142858</c:v>
                </c:pt>
                <c:pt idx="10">
                  <c:v>0.2857142857142857</c:v>
                </c:pt>
                <c:pt idx="11">
                  <c:v>0.31543624161073824</c:v>
                </c:pt>
                <c:pt idx="12">
                  <c:v>0.41452991452991456</c:v>
                </c:pt>
                <c:pt idx="13">
                  <c:v>0.45146726862302483</c:v>
                </c:pt>
                <c:pt idx="14">
                  <c:v>0.5268817204301075</c:v>
                </c:pt>
                <c:pt idx="15">
                  <c:v>0.55880306193458595</c:v>
                </c:pt>
                <c:pt idx="16">
                  <c:v>0.56875508543531328</c:v>
                </c:pt>
                <c:pt idx="17">
                  <c:v>0.57043478260869562</c:v>
                </c:pt>
                <c:pt idx="18">
                  <c:v>0.59124087591240881</c:v>
                </c:pt>
                <c:pt idx="19">
                  <c:v>0.68292682926829273</c:v>
                </c:pt>
                <c:pt idx="20">
                  <c:v>0.42857142857142855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C-4A53-BBDB-D444CFA2BC97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'Logistic curve (82.6S) 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(82.6S) '!$F$14:$F$38</c:f>
              <c:numCache>
                <c:formatCode>General</c:formatCode>
                <c:ptCount val="25"/>
                <c:pt idx="0">
                  <c:v>1.8982863584691E-2</c:v>
                </c:pt>
                <c:pt idx="1">
                  <c:v>2.4257687697822283E-2</c:v>
                </c:pt>
                <c:pt idx="2">
                  <c:v>3.0951997530688252E-2</c:v>
                </c:pt>
                <c:pt idx="3">
                  <c:v>3.9419079343828968E-2</c:v>
                </c:pt>
                <c:pt idx="4">
                  <c:v>5.008266854526363E-2</c:v>
                </c:pt>
                <c:pt idx="5">
                  <c:v>6.3440439142969665E-2</c:v>
                </c:pt>
                <c:pt idx="6">
                  <c:v>8.0060648687411695E-2</c:v>
                </c:pt>
                <c:pt idx="7">
                  <c:v>0.10056749151307361</c:v>
                </c:pt>
                <c:pt idx="8">
                  <c:v>0.12560978069591258</c:v>
                </c:pt>
                <c:pt idx="9">
                  <c:v>0.15580762894032699</c:v>
                </c:pt>
                <c:pt idx="10">
                  <c:v>0.1916739167617631</c:v>
                </c:pt>
                <c:pt idx="11">
                  <c:v>0.2335127048311986</c:v>
                </c:pt>
                <c:pt idx="12">
                  <c:v>0.28130586346786995</c:v>
                </c:pt>
                <c:pt idx="13">
                  <c:v>0.33461059764886414</c:v>
                </c:pt>
                <c:pt idx="14">
                  <c:v>0.39249975973830326</c:v>
                </c:pt>
                <c:pt idx="15">
                  <c:v>0.45357700997891076</c:v>
                </c:pt>
                <c:pt idx="16">
                  <c:v>0.51608445211130727</c:v>
                </c:pt>
                <c:pt idx="17">
                  <c:v>0.57809263439090808</c:v>
                </c:pt>
                <c:pt idx="18">
                  <c:v>0.63773264994526291</c:v>
                </c:pt>
                <c:pt idx="19">
                  <c:v>0.69341316804345354</c:v>
                </c:pt>
                <c:pt idx="20">
                  <c:v>0.74397138112912142</c:v>
                </c:pt>
                <c:pt idx="21">
                  <c:v>0.78873242402787225</c:v>
                </c:pt>
                <c:pt idx="22">
                  <c:v>0.82748260274277186</c:v>
                </c:pt>
                <c:pt idx="23">
                  <c:v>0.86038343833707942</c:v>
                </c:pt>
                <c:pt idx="24">
                  <c:v>0.88786006738766188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C-4A53-BBDB-D444CFA2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59096"/>
        <c:axId val="1"/>
      </c:scatterChart>
      <c:valAx>
        <c:axId val="608359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496331868989"/>
              <c:y val="0.90801991360636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665668535779E-2"/>
              <c:y val="0.31132111323646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08359096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8091462852523416E-2"/>
          <c:w val="0.78240152812798458"/>
          <c:h val="0.7738612729996869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(82.6S)'!$B$14:$B$38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23</c:v>
                </c:pt>
                <c:pt idx="9">
                  <c:v>54</c:v>
                </c:pt>
                <c:pt idx="10">
                  <c:v>54</c:v>
                </c:pt>
                <c:pt idx="11">
                  <c:v>47</c:v>
                </c:pt>
                <c:pt idx="12">
                  <c:v>97</c:v>
                </c:pt>
                <c:pt idx="13">
                  <c:v>200</c:v>
                </c:pt>
                <c:pt idx="14">
                  <c:v>490</c:v>
                </c:pt>
                <c:pt idx="15">
                  <c:v>803</c:v>
                </c:pt>
                <c:pt idx="16">
                  <c:v>699</c:v>
                </c:pt>
                <c:pt idx="17">
                  <c:v>328</c:v>
                </c:pt>
                <c:pt idx="18">
                  <c:v>81</c:v>
                </c:pt>
                <c:pt idx="19">
                  <c:v>28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2-4494-BC9F-F447F8316D9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(82.6S)'!$C$14:$C$38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2-4494-BC9F-F447F831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4880"/>
        <c:axId val="1"/>
      </c:scatterChart>
      <c:valAx>
        <c:axId val="48685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90898950131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738599081364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4880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6566853578"/>
          <c:y val="5.3497969261373769E-2"/>
          <c:w val="0.84129493187756699"/>
          <c:h val="0.7757205542899195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(82.6S)'!$E$14:$E$38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  <c:pt idx="4">
                  <c:v>3.8095238095238099E-2</c:v>
                </c:pt>
                <c:pt idx="5">
                  <c:v>2.4390243902439025E-2</c:v>
                </c:pt>
                <c:pt idx="6">
                  <c:v>2.2222222222222223E-2</c:v>
                </c:pt>
                <c:pt idx="7">
                  <c:v>0.12962962962962962</c:v>
                </c:pt>
                <c:pt idx="8">
                  <c:v>0.17557251908396945</c:v>
                </c:pt>
                <c:pt idx="9">
                  <c:v>0.24107142857142858</c:v>
                </c:pt>
                <c:pt idx="10">
                  <c:v>0.2857142857142857</c:v>
                </c:pt>
                <c:pt idx="11">
                  <c:v>0.31543624161073824</c:v>
                </c:pt>
                <c:pt idx="12">
                  <c:v>0.41452991452991456</c:v>
                </c:pt>
                <c:pt idx="13">
                  <c:v>0.45146726862302483</c:v>
                </c:pt>
                <c:pt idx="14">
                  <c:v>0.5268817204301075</c:v>
                </c:pt>
                <c:pt idx="15">
                  <c:v>0.55880306193458595</c:v>
                </c:pt>
                <c:pt idx="16">
                  <c:v>0.56875508543531328</c:v>
                </c:pt>
                <c:pt idx="17">
                  <c:v>0.57043478260869562</c:v>
                </c:pt>
                <c:pt idx="18">
                  <c:v>0.59124087591240881</c:v>
                </c:pt>
                <c:pt idx="19">
                  <c:v>0.68292682926829273</c:v>
                </c:pt>
                <c:pt idx="20">
                  <c:v>0.42857142857142855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4-4E9D-A246-8A947D54E8ED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'Richard curve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(82.6S)'!$F$14:$F$38</c:f>
              <c:numCache>
                <c:formatCode>General</c:formatCode>
                <c:ptCount val="25"/>
                <c:pt idx="0">
                  <c:v>8.2397220123928885E-3</c:v>
                </c:pt>
                <c:pt idx="1">
                  <c:v>1.2140036798459188E-2</c:v>
                </c:pt>
                <c:pt idx="2">
                  <c:v>1.7677133177973554E-2</c:v>
                </c:pt>
                <c:pt idx="3">
                  <c:v>2.540018211579434E-2</c:v>
                </c:pt>
                <c:pt idx="4">
                  <c:v>3.5960940331532201E-2</c:v>
                </c:pt>
                <c:pt idx="5">
                  <c:v>5.0088755996473666E-2</c:v>
                </c:pt>
                <c:pt idx="6">
                  <c:v>6.8540437651593816E-2</c:v>
                </c:pt>
                <c:pt idx="7">
                  <c:v>9.2023701158893079E-2</c:v>
                </c:pt>
                <c:pt idx="8">
                  <c:v>0.12109992857198217</c:v>
                </c:pt>
                <c:pt idx="9">
                  <c:v>0.15608037584195153</c:v>
                </c:pt>
                <c:pt idx="10">
                  <c:v>0.19693675098408439</c:v>
                </c:pt>
                <c:pt idx="11">
                  <c:v>0.24324872453693691</c:v>
                </c:pt>
                <c:pt idx="12">
                  <c:v>0.29420524714904839</c:v>
                </c:pt>
                <c:pt idx="13">
                  <c:v>0.34866436986317506</c:v>
                </c:pt>
                <c:pt idx="14">
                  <c:v>0.40526161213424211</c:v>
                </c:pt>
                <c:pt idx="15">
                  <c:v>0.46254522158536832</c:v>
                </c:pt>
                <c:pt idx="16">
                  <c:v>0.51911200508644761</c:v>
                </c:pt>
                <c:pt idx="17">
                  <c:v>0.57372062978716221</c:v>
                </c:pt>
                <c:pt idx="18">
                  <c:v>0.6253680426136744</c:v>
                </c:pt>
                <c:pt idx="19">
                  <c:v>0.67332504700880613</c:v>
                </c:pt>
                <c:pt idx="20">
                  <c:v>0.71713567311759485</c:v>
                </c:pt>
                <c:pt idx="21">
                  <c:v>0.75658999595983123</c:v>
                </c:pt>
                <c:pt idx="22">
                  <c:v>0.79168143039623573</c:v>
                </c:pt>
                <c:pt idx="23">
                  <c:v>0.82255827446500418</c:v>
                </c:pt>
                <c:pt idx="24">
                  <c:v>0.84947669823988359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4-4E9D-A246-8A947D54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6848"/>
        <c:axId val="1"/>
      </c:scatterChart>
      <c:valAx>
        <c:axId val="486856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68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82909103998222E-2"/>
          <c:w val="0.78240152812798458"/>
          <c:h val="0.767094417262629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(82.6S)'!$B$14:$B$38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23</c:v>
                </c:pt>
                <c:pt idx="9">
                  <c:v>54</c:v>
                </c:pt>
                <c:pt idx="10">
                  <c:v>54</c:v>
                </c:pt>
                <c:pt idx="11">
                  <c:v>47</c:v>
                </c:pt>
                <c:pt idx="12">
                  <c:v>97</c:v>
                </c:pt>
                <c:pt idx="13">
                  <c:v>200</c:v>
                </c:pt>
                <c:pt idx="14">
                  <c:v>490</c:v>
                </c:pt>
                <c:pt idx="15">
                  <c:v>803</c:v>
                </c:pt>
                <c:pt idx="16">
                  <c:v>699</c:v>
                </c:pt>
                <c:pt idx="17">
                  <c:v>328</c:v>
                </c:pt>
                <c:pt idx="18">
                  <c:v>81</c:v>
                </c:pt>
                <c:pt idx="19">
                  <c:v>28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6-444B-A841-00081DFCA293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(82.6S)'!$C$14:$C$38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6-444B-A841-00081DFC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6432"/>
        <c:axId val="1"/>
      </c:scatterChart>
      <c:valAx>
        <c:axId val="48713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666722990098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67094048866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6432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5363224945718"/>
          <c:y val="5.3497969261373769E-2"/>
          <c:w val="0.77484971355324772"/>
          <c:h val="0.7431119479630264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'Encounter probability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(82.6S)'!$E$14:$E$38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  <c:pt idx="4">
                  <c:v>3.8095238095238099E-2</c:v>
                </c:pt>
                <c:pt idx="5">
                  <c:v>2.4390243902439025E-2</c:v>
                </c:pt>
                <c:pt idx="6">
                  <c:v>2.2222222222222223E-2</c:v>
                </c:pt>
                <c:pt idx="7">
                  <c:v>0.12962962962962962</c:v>
                </c:pt>
                <c:pt idx="8">
                  <c:v>0.17557251908396945</c:v>
                </c:pt>
                <c:pt idx="9">
                  <c:v>0.24107142857142858</c:v>
                </c:pt>
                <c:pt idx="10">
                  <c:v>0.2857142857142857</c:v>
                </c:pt>
                <c:pt idx="11">
                  <c:v>0.31543624161073824</c:v>
                </c:pt>
                <c:pt idx="12">
                  <c:v>0.41452991452991456</c:v>
                </c:pt>
                <c:pt idx="13">
                  <c:v>0.45146726862302483</c:v>
                </c:pt>
                <c:pt idx="14">
                  <c:v>0.5268817204301075</c:v>
                </c:pt>
                <c:pt idx="15">
                  <c:v>0.55880306193458595</c:v>
                </c:pt>
                <c:pt idx="16">
                  <c:v>0.56875508543531328</c:v>
                </c:pt>
                <c:pt idx="17">
                  <c:v>0.57043478260869562</c:v>
                </c:pt>
                <c:pt idx="18">
                  <c:v>0.59124087591240881</c:v>
                </c:pt>
                <c:pt idx="19">
                  <c:v>0.68292682926829273</c:v>
                </c:pt>
                <c:pt idx="20">
                  <c:v>0.42857142857142855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2-40BE-BC84-2E70BFB5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8072"/>
        <c:axId val="1"/>
      </c:scatterChart>
      <c:scatterChart>
        <c:scatterStyle val="smoothMarker"/>
        <c:varyColors val="0"/>
        <c:ser>
          <c:idx val="2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'Encounter probability (82.6S)'!$A$14:$A$38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(82.6S)'!$F$14:$F$38</c:f>
              <c:numCache>
                <c:formatCode>General</c:formatCode>
                <c:ptCount val="25"/>
                <c:pt idx="0">
                  <c:v>-9.8867378030413455E-2</c:v>
                </c:pt>
                <c:pt idx="1">
                  <c:v>-9.8233573947044572E-2</c:v>
                </c:pt>
                <c:pt idx="2">
                  <c:v>-9.7245988234734515E-2</c:v>
                </c:pt>
                <c:pt idx="3">
                  <c:v>-9.5708413893545563E-2</c:v>
                </c:pt>
                <c:pt idx="4">
                  <c:v>-9.3317634418389472E-2</c:v>
                </c:pt>
                <c:pt idx="5">
                  <c:v>-8.960761914070825E-2</c:v>
                </c:pt>
                <c:pt idx="6">
                  <c:v>-8.3868214167787336E-2</c:v>
                </c:pt>
                <c:pt idx="7">
                  <c:v>-7.5031738841807138E-2</c:v>
                </c:pt>
                <c:pt idx="8">
                  <c:v>-6.1526739366489558E-2</c:v>
                </c:pt>
                <c:pt idx="9">
                  <c:v>-4.1117165519676702E-2</c:v>
                </c:pt>
                <c:pt idx="10">
                  <c:v>-1.0790463864216893E-2</c:v>
                </c:pt>
                <c:pt idx="11">
                  <c:v>3.3157847510250305E-2</c:v>
                </c:pt>
                <c:pt idx="12">
                  <c:v>9.4588894659823453E-2</c:v>
                </c:pt>
                <c:pt idx="13">
                  <c:v>0.17626258492783142</c:v>
                </c:pt>
                <c:pt idx="14">
                  <c:v>0.27790844029773321</c:v>
                </c:pt>
                <c:pt idx="15">
                  <c:v>0.39450201752651926</c:v>
                </c:pt>
                <c:pt idx="16">
                  <c:v>0.51636260695740854</c:v>
                </c:pt>
                <c:pt idx="17">
                  <c:v>0.63195161462149541</c:v>
                </c:pt>
                <c:pt idx="18">
                  <c:v>0.73192996710910352</c:v>
                </c:pt>
                <c:pt idx="19">
                  <c:v>0.81173518211906481</c:v>
                </c:pt>
                <c:pt idx="20">
                  <c:v>0.87145319382830211</c:v>
                </c:pt>
                <c:pt idx="21">
                  <c:v>0.9140149909239117</c:v>
                </c:pt>
                <c:pt idx="22">
                  <c:v>0.94330699953709596</c:v>
                </c:pt>
                <c:pt idx="23">
                  <c:v>0.96298453387333804</c:v>
                </c:pt>
                <c:pt idx="24">
                  <c:v>0.97598938849481787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2-40BE-BC84-2E70BFB5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8544"/>
        <c:axId val="585270680"/>
      </c:scatterChart>
      <c:valAx>
        <c:axId val="487138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8072"/>
        <c:crossesAt val="0"/>
        <c:crossBetween val="midCat"/>
      </c:valAx>
      <c:valAx>
        <c:axId val="585270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5258544"/>
        <c:crosses val="max"/>
        <c:crossBetween val="midCat"/>
      </c:valAx>
      <c:valAx>
        <c:axId val="585258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852706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8091462852523416E-2"/>
          <c:w val="0.78240152812798458"/>
          <c:h val="0.7738612729996869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17</c:v>
                </c:pt>
                <c:pt idx="9">
                  <c:v>35</c:v>
                </c:pt>
                <c:pt idx="10">
                  <c:v>26</c:v>
                </c:pt>
                <c:pt idx="11">
                  <c:v>28</c:v>
                </c:pt>
                <c:pt idx="12">
                  <c:v>75</c:v>
                </c:pt>
                <c:pt idx="13">
                  <c:v>140</c:v>
                </c:pt>
                <c:pt idx="14">
                  <c:v>266</c:v>
                </c:pt>
                <c:pt idx="15">
                  <c:v>410</c:v>
                </c:pt>
                <c:pt idx="16">
                  <c:v>423</c:v>
                </c:pt>
                <c:pt idx="17">
                  <c:v>233</c:v>
                </c:pt>
                <c:pt idx="18">
                  <c:v>86</c:v>
                </c:pt>
                <c:pt idx="19">
                  <c:v>14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7-4625-9760-762BFF693BF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7-4625-9760-762BFF69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4880"/>
        <c:axId val="1"/>
      </c:scatterChart>
      <c:valAx>
        <c:axId val="48685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90898950131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738599081364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4880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6566853578"/>
          <c:y val="5.3497969261373769E-2"/>
          <c:w val="0.84129493187756699"/>
          <c:h val="0.7757205542899195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9.0909090909090912E-2</c:v>
                </c:pt>
                <c:pt idx="4">
                  <c:v>4.716981132075472E-2</c:v>
                </c:pt>
                <c:pt idx="5">
                  <c:v>5.8823529411764705E-2</c:v>
                </c:pt>
                <c:pt idx="6">
                  <c:v>4.3478260869565216E-2</c:v>
                </c:pt>
                <c:pt idx="7">
                  <c:v>0.14545454545454545</c:v>
                </c:pt>
                <c:pt idx="8">
                  <c:v>0.13600000000000001</c:v>
                </c:pt>
                <c:pt idx="9">
                  <c:v>0.17073170731707318</c:v>
                </c:pt>
                <c:pt idx="10">
                  <c:v>0.16149068322981366</c:v>
                </c:pt>
                <c:pt idx="11">
                  <c:v>0.2153846153846154</c:v>
                </c:pt>
                <c:pt idx="12">
                  <c:v>0.35377358490566035</c:v>
                </c:pt>
                <c:pt idx="13">
                  <c:v>0.36553524804177545</c:v>
                </c:pt>
                <c:pt idx="14">
                  <c:v>0.37677053824362605</c:v>
                </c:pt>
                <c:pt idx="15">
                  <c:v>0.39272030651340994</c:v>
                </c:pt>
                <c:pt idx="16">
                  <c:v>0.44386149003147951</c:v>
                </c:pt>
                <c:pt idx="17">
                  <c:v>0.48541666666666666</c:v>
                </c:pt>
                <c:pt idx="18">
                  <c:v>0.60563380281690138</c:v>
                </c:pt>
                <c:pt idx="19">
                  <c:v>0.51851851851851849</c:v>
                </c:pt>
                <c:pt idx="20">
                  <c:v>0.33333333333333331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8-4F0C-81E0-3CEA1EA71B04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'Richard curve'!$A$14:$A$38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curve'!$F$14:$F$38</c:f>
              <c:numCache>
                <c:formatCode>General</c:formatCode>
                <c:ptCount val="25"/>
                <c:pt idx="0">
                  <c:v>6.0030237616494515E-3</c:v>
                </c:pt>
                <c:pt idx="1">
                  <c:v>8.4004214401448094E-3</c:v>
                </c:pt>
                <c:pt idx="2">
                  <c:v>1.171830454955862E-2</c:v>
                </c:pt>
                <c:pt idx="3">
                  <c:v>1.6283048399858085E-2</c:v>
                </c:pt>
                <c:pt idx="4">
                  <c:v>2.2517595895780864E-2</c:v>
                </c:pt>
                <c:pt idx="5">
                  <c:v>3.0956926821710699E-2</c:v>
                </c:pt>
                <c:pt idx="6">
                  <c:v>4.2256934833634921E-2</c:v>
                </c:pt>
                <c:pt idx="7">
                  <c:v>5.7189580501689666E-2</c:v>
                </c:pt>
                <c:pt idx="8">
                  <c:v>7.6615075755663828E-2</c:v>
                </c:pt>
                <c:pt idx="9">
                  <c:v>0.10142140483121115</c:v>
                </c:pt>
                <c:pt idx="10">
                  <c:v>0.13242470265806566</c:v>
                </c:pt>
                <c:pt idx="11">
                  <c:v>0.17023279940615244</c:v>
                </c:pt>
                <c:pt idx="12">
                  <c:v>0.21508877482668787</c:v>
                </c:pt>
                <c:pt idx="13">
                  <c:v>0.26672807422780853</c:v>
                </c:pt>
                <c:pt idx="14">
                  <c:v>0.3242936484133116</c:v>
                </c:pt>
                <c:pt idx="15">
                  <c:v>0.38634926210052434</c:v>
                </c:pt>
                <c:pt idx="16">
                  <c:v>0.45100727955557807</c:v>
                </c:pt>
                <c:pt idx="17">
                  <c:v>0.51615066428713274</c:v>
                </c:pt>
                <c:pt idx="18">
                  <c:v>0.57969626663321938</c:v>
                </c:pt>
                <c:pt idx="19">
                  <c:v>0.63983430629440807</c:v>
                </c:pt>
                <c:pt idx="20">
                  <c:v>0.69519245890315495</c:v>
                </c:pt>
                <c:pt idx="21">
                  <c:v>0.74490297451720999</c:v>
                </c:pt>
                <c:pt idx="22">
                  <c:v>0.78858188049743594</c:v>
                </c:pt>
                <c:pt idx="23">
                  <c:v>0.82624843917534163</c:v>
                </c:pt>
                <c:pt idx="24">
                  <c:v>0.85821753013862656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8-4F0C-81E0-3CEA1EA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6848"/>
        <c:axId val="1"/>
      </c:scatterChart>
      <c:valAx>
        <c:axId val="486856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68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82909103998222E-2"/>
          <c:w val="0.78240152812798458"/>
          <c:h val="0.767094417262629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model'!$A$14:$A$38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model'!$B$14:$B$38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17</c:v>
                </c:pt>
                <c:pt idx="9">
                  <c:v>35</c:v>
                </c:pt>
                <c:pt idx="10">
                  <c:v>26</c:v>
                </c:pt>
                <c:pt idx="11">
                  <c:v>28</c:v>
                </c:pt>
                <c:pt idx="12">
                  <c:v>75</c:v>
                </c:pt>
                <c:pt idx="13">
                  <c:v>140</c:v>
                </c:pt>
                <c:pt idx="14">
                  <c:v>266</c:v>
                </c:pt>
                <c:pt idx="15">
                  <c:v>410</c:v>
                </c:pt>
                <c:pt idx="16">
                  <c:v>423</c:v>
                </c:pt>
                <c:pt idx="17">
                  <c:v>233</c:v>
                </c:pt>
                <c:pt idx="18">
                  <c:v>86</c:v>
                </c:pt>
                <c:pt idx="19">
                  <c:v>14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0-40F3-B7CF-61F9608F2B2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'Encounter probability model'!$A$14:$A$38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model'!$C$14:$C$38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0-40F3-B7CF-61F9608F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6432"/>
        <c:axId val="1"/>
      </c:scatterChart>
      <c:valAx>
        <c:axId val="48713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666722990098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67094048866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6432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5363224945718"/>
          <c:y val="5.3497969261373769E-2"/>
          <c:w val="0.77484971355324772"/>
          <c:h val="0.7431119479630264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'Encounter probability model'!$A$14:$A$38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model'!$E$14:$E$38</c:f>
              <c:numCache>
                <c:formatCode>General</c:formatCode>
                <c:ptCount val="25"/>
                <c:pt idx="0">
                  <c:v>0.5</c:v>
                </c:pt>
                <c:pt idx="1">
                  <c:v>7.1428571428571425E-2</c:v>
                </c:pt>
                <c:pt idx="2">
                  <c:v>0</c:v>
                </c:pt>
                <c:pt idx="3">
                  <c:v>9.0909090909090912E-2</c:v>
                </c:pt>
                <c:pt idx="4">
                  <c:v>4.716981132075472E-2</c:v>
                </c:pt>
                <c:pt idx="5">
                  <c:v>5.8823529411764705E-2</c:v>
                </c:pt>
                <c:pt idx="6">
                  <c:v>4.3478260869565216E-2</c:v>
                </c:pt>
                <c:pt idx="7">
                  <c:v>0.14545454545454545</c:v>
                </c:pt>
                <c:pt idx="8">
                  <c:v>0.13600000000000001</c:v>
                </c:pt>
                <c:pt idx="9">
                  <c:v>0.17073170731707318</c:v>
                </c:pt>
                <c:pt idx="10">
                  <c:v>0.16149068322981366</c:v>
                </c:pt>
                <c:pt idx="11">
                  <c:v>0.2153846153846154</c:v>
                </c:pt>
                <c:pt idx="12">
                  <c:v>0.35377358490566035</c:v>
                </c:pt>
                <c:pt idx="13">
                  <c:v>0.36553524804177545</c:v>
                </c:pt>
                <c:pt idx="14">
                  <c:v>0.37677053824362605</c:v>
                </c:pt>
                <c:pt idx="15">
                  <c:v>0.39272030651340994</c:v>
                </c:pt>
                <c:pt idx="16">
                  <c:v>0.44386149003147951</c:v>
                </c:pt>
                <c:pt idx="17">
                  <c:v>0.48541666666666666</c:v>
                </c:pt>
                <c:pt idx="18">
                  <c:v>0.60563380281690138</c:v>
                </c:pt>
                <c:pt idx="19">
                  <c:v>0.51851851851851849</c:v>
                </c:pt>
                <c:pt idx="20">
                  <c:v>0.33333333333333331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DF1-92DD-61D37A5D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38072"/>
        <c:axId val="1"/>
      </c:scatterChart>
      <c:scatterChart>
        <c:scatterStyle val="smoothMarker"/>
        <c:varyColors val="0"/>
        <c:ser>
          <c:idx val="2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'Encounter probability model'!$A$14:$A$38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'Encounter probability model'!$F$14:$F$38</c:f>
              <c:numCache>
                <c:formatCode>General</c:formatCode>
                <c:ptCount val="25"/>
                <c:pt idx="0">
                  <c:v>-5.6700595398639919E-2</c:v>
                </c:pt>
                <c:pt idx="1">
                  <c:v>-4.8594109088262671E-2</c:v>
                </c:pt>
                <c:pt idx="2">
                  <c:v>-3.8905566955204529E-2</c:v>
                </c:pt>
                <c:pt idx="3">
                  <c:v>-2.7366306014719788E-2</c:v>
                </c:pt>
                <c:pt idx="4">
                  <c:v>-1.3679433771223604E-2</c:v>
                </c:pt>
                <c:pt idx="5">
                  <c:v>2.4754612590878189E-3</c:v>
                </c:pt>
                <c:pt idx="6">
                  <c:v>2.1433589935231145E-2</c:v>
                </c:pt>
                <c:pt idx="7">
                  <c:v>4.3531152165884546E-2</c:v>
                </c:pt>
                <c:pt idx="8">
                  <c:v>6.9085540760310149E-2</c:v>
                </c:pt>
                <c:pt idx="9">
                  <c:v>9.8369181498800362E-2</c:v>
                </c:pt>
                <c:pt idx="10">
                  <c:v>0.13157758343447568</c:v>
                </c:pt>
                <c:pt idx="11">
                  <c:v>0.1687935900288462</c:v>
                </c:pt>
                <c:pt idx="12">
                  <c:v>0.20995157583942614</c:v>
                </c:pt>
                <c:pt idx="13">
                  <c:v>0.25480706679149612</c:v>
                </c:pt>
                <c:pt idx="14">
                  <c:v>0.30291837805180077</c:v>
                </c:pt>
                <c:pt idx="15">
                  <c:v>0.35364665637513859</c:v>
                </c:pt>
                <c:pt idx="16">
                  <c:v>0.40617865803790076</c:v>
                </c:pt>
                <c:pt idx="17">
                  <c:v>0.45957270983908272</c:v>
                </c:pt>
                <c:pt idx="18">
                  <c:v>0.51282339038145164</c:v>
                </c:pt>
                <c:pt idx="19">
                  <c:v>0.56493598659089761</c:v>
                </c:pt>
                <c:pt idx="20">
                  <c:v>0.61499928652423153</c:v>
                </c:pt>
                <c:pt idx="21">
                  <c:v>0.66224570083377055</c:v>
                </c:pt>
                <c:pt idx="22">
                  <c:v>0.70609089672078396</c:v>
                </c:pt>
                <c:pt idx="23">
                  <c:v>0.74614989887187866</c:v>
                </c:pt>
                <c:pt idx="24">
                  <c:v>0.78223135781980435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2-4DF1-92DD-61D37A5D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8544"/>
        <c:axId val="585270680"/>
      </c:scatterChart>
      <c:valAx>
        <c:axId val="487138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500631865459"/>
              <c:y val="0.9197534663676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723048507826E-2"/>
              <c:y val="0.33539116342265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7138072"/>
        <c:crossesAt val="0"/>
        <c:crossBetween val="midCat"/>
      </c:valAx>
      <c:valAx>
        <c:axId val="585270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85258544"/>
        <c:crosses val="max"/>
        <c:crossBetween val="midCat"/>
      </c:valAx>
      <c:valAx>
        <c:axId val="585258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852706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9701554693283053E-2"/>
          <c:w val="0.78240152812798458"/>
          <c:h val="0.767591417485067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(88.9S)'!$B$14:$B$38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41</c:v>
                </c:pt>
                <c:pt idx="13">
                  <c:v>78</c:v>
                </c:pt>
                <c:pt idx="14">
                  <c:v>169</c:v>
                </c:pt>
                <c:pt idx="15">
                  <c:v>269</c:v>
                </c:pt>
                <c:pt idx="16">
                  <c:v>290</c:v>
                </c:pt>
                <c:pt idx="17">
                  <c:v>196</c:v>
                </c:pt>
                <c:pt idx="18">
                  <c:v>62</c:v>
                </c:pt>
                <c:pt idx="19">
                  <c:v>21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2-4698-9DCC-73F35A1019F4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(88.9S)'!$C$14:$C$38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2-4698-9DCC-73F35A10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00248"/>
        <c:axId val="1"/>
      </c:scatterChart>
      <c:valAx>
        <c:axId val="550300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8812517212"/>
              <c:y val="0.91684530421827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200037500073243E-2"/>
              <c:y val="0.26865699611977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03002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2232802011593"/>
          <c:y val="6.1320825334455764E-2"/>
          <c:w val="0.8105122396614769"/>
          <c:h val="0.7289578811186683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'Logistic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(88.9S)'!$E$14:$E$38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2.4390243902439025E-2</c:v>
                </c:pt>
                <c:pt idx="6">
                  <c:v>4.3478260869565216E-2</c:v>
                </c:pt>
                <c:pt idx="7">
                  <c:v>4.0816326530612242E-2</c:v>
                </c:pt>
                <c:pt idx="8">
                  <c:v>9.2436974789915971E-2</c:v>
                </c:pt>
                <c:pt idx="9">
                  <c:v>8.1081081081081086E-2</c:v>
                </c:pt>
                <c:pt idx="10">
                  <c:v>0.11764705882352941</c:v>
                </c:pt>
                <c:pt idx="11">
                  <c:v>0.19685039370078741</c:v>
                </c:pt>
                <c:pt idx="12">
                  <c:v>0.2303370786516854</c:v>
                </c:pt>
                <c:pt idx="13">
                  <c:v>0.24299065420560748</c:v>
                </c:pt>
                <c:pt idx="14">
                  <c:v>0.27750410509031198</c:v>
                </c:pt>
                <c:pt idx="15">
                  <c:v>0.29789590254706533</c:v>
                </c:pt>
                <c:pt idx="16">
                  <c:v>0.35365853658536583</c:v>
                </c:pt>
                <c:pt idx="17">
                  <c:v>0.44243792325056436</c:v>
                </c:pt>
                <c:pt idx="18">
                  <c:v>0.52542372881355937</c:v>
                </c:pt>
                <c:pt idx="19">
                  <c:v>0.61764705882352944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8-49EC-9BA1-501F79923207}"/>
            </c:ext>
          </c:extLst>
        </c:ser>
        <c:ser>
          <c:idx val="2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'Logistic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'Logistic curve (88.9S)'!$F$14:$F$38</c:f>
              <c:numCache>
                <c:formatCode>General</c:formatCode>
                <c:ptCount val="25"/>
                <c:pt idx="0">
                  <c:v>3.4311469824103795E-3</c:v>
                </c:pt>
                <c:pt idx="1">
                  <c:v>4.7193256722894341E-3</c:v>
                </c:pt>
                <c:pt idx="2">
                  <c:v>6.4879854044621052E-3</c:v>
                </c:pt>
                <c:pt idx="3">
                  <c:v>8.9135487429012894E-3</c:v>
                </c:pt>
                <c:pt idx="4">
                  <c:v>1.2234753124845791E-2</c:v>
                </c:pt>
                <c:pt idx="5">
                  <c:v>1.6772501845734457E-2</c:v>
                </c:pt>
                <c:pt idx="6">
                  <c:v>2.2954146136787507E-2</c:v>
                </c:pt>
                <c:pt idx="7">
                  <c:v>3.134146335580118E-2</c:v>
                </c:pt>
                <c:pt idx="8">
                  <c:v>4.2659649976833885E-2</c:v>
                </c:pt>
                <c:pt idx="9">
                  <c:v>5.7821139152064577E-2</c:v>
                </c:pt>
                <c:pt idx="10">
                  <c:v>7.7932459956778583E-2</c:v>
                </c:pt>
                <c:pt idx="11">
                  <c:v>0.10426478751134889</c:v>
                </c:pt>
                <c:pt idx="12">
                  <c:v>0.13816128899624816</c:v>
                </c:pt>
                <c:pt idx="13">
                  <c:v>0.18085261478763773</c:v>
                </c:pt>
                <c:pt idx="14">
                  <c:v>0.23316651250001719</c:v>
                </c:pt>
                <c:pt idx="15">
                  <c:v>0.29516024499723265</c:v>
                </c:pt>
                <c:pt idx="16">
                  <c:v>0.36577455802168019</c:v>
                </c:pt>
                <c:pt idx="17">
                  <c:v>0.44267257259668119</c:v>
                </c:pt>
                <c:pt idx="18">
                  <c:v>0.52242051615248553</c:v>
                </c:pt>
                <c:pt idx="19">
                  <c:v>0.60104160413092689</c:v>
                </c:pt>
                <c:pt idx="20">
                  <c:v>0.67477713657596328</c:v>
                </c:pt>
                <c:pt idx="21">
                  <c:v>0.74076271643603242</c:v>
                </c:pt>
                <c:pt idx="22">
                  <c:v>0.79738036830276005</c:v>
                </c:pt>
                <c:pt idx="23">
                  <c:v>0.84423285246327584</c:v>
                </c:pt>
                <c:pt idx="24">
                  <c:v>0.88185665770974875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8-49EC-9BA1-501F7992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59096"/>
        <c:axId val="1"/>
      </c:scatterChart>
      <c:valAx>
        <c:axId val="608359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Length (ｃm)</a:t>
                </a:r>
              </a:p>
            </c:rich>
          </c:tx>
          <c:layout>
            <c:manualLayout>
              <c:xMode val="edge"/>
              <c:yMode val="edge"/>
              <c:x val="0.45300496331868989"/>
              <c:y val="0.90801991360636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Selectivity</a:t>
                </a:r>
              </a:p>
            </c:rich>
          </c:tx>
          <c:layout>
            <c:manualLayout>
              <c:xMode val="edge"/>
              <c:yMode val="edge"/>
              <c:x val="1.2326665668535779E-2"/>
              <c:y val="0.31132111323646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08359096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0030312559205"/>
          <c:y val="5.8091462852523416E-2"/>
          <c:w val="0.78240152812798458"/>
          <c:h val="0.7738612729996869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(88.9S)'!$B$14:$B$38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41</c:v>
                </c:pt>
                <c:pt idx="13">
                  <c:v>78</c:v>
                </c:pt>
                <c:pt idx="14">
                  <c:v>169</c:v>
                </c:pt>
                <c:pt idx="15">
                  <c:v>269</c:v>
                </c:pt>
                <c:pt idx="16">
                  <c:v>290</c:v>
                </c:pt>
                <c:pt idx="17">
                  <c:v>196</c:v>
                </c:pt>
                <c:pt idx="18">
                  <c:v>62</c:v>
                </c:pt>
                <c:pt idx="19">
                  <c:v>21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04C-9824-A735BC9D4E0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'Richard curve (88.9S)'!$A$14:$A$38</c:f>
              <c:numCache>
                <c:formatCode>General</c:formatCode>
                <c:ptCount val="25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  <c:pt idx="14">
                  <c:v>82.5</c:v>
                </c:pt>
                <c:pt idx="15">
                  <c:v>87.5</c:v>
                </c:pt>
                <c:pt idx="16">
                  <c:v>92.5</c:v>
                </c:pt>
                <c:pt idx="17">
                  <c:v>97.5</c:v>
                </c:pt>
                <c:pt idx="18">
                  <c:v>102.5</c:v>
                </c:pt>
                <c:pt idx="19">
                  <c:v>107.5</c:v>
                </c:pt>
                <c:pt idx="20">
                  <c:v>112.5</c:v>
                </c:pt>
                <c:pt idx="21">
                  <c:v>117.5</c:v>
                </c:pt>
                <c:pt idx="22">
                  <c:v>122.5</c:v>
                </c:pt>
                <c:pt idx="23">
                  <c:v>127.5</c:v>
                </c:pt>
                <c:pt idx="24">
                  <c:v>132.5</c:v>
                </c:pt>
              </c:numCache>
            </c:numRef>
          </c:xVal>
          <c:yVal>
            <c:numRef>
              <c:f>'Richard curve (88.9S)'!$C$14:$C$38</c:f>
              <c:numCache>
                <c:formatCode>General</c:formatCode>
                <c:ptCount val="2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30</c:v>
                </c:pt>
                <c:pt idx="4">
                  <c:v>101</c:v>
                </c:pt>
                <c:pt idx="5">
                  <c:v>80</c:v>
                </c:pt>
                <c:pt idx="6">
                  <c:v>44</c:v>
                </c:pt>
                <c:pt idx="7">
                  <c:v>47</c:v>
                </c:pt>
                <c:pt idx="8">
                  <c:v>108</c:v>
                </c:pt>
                <c:pt idx="9">
                  <c:v>170</c:v>
                </c:pt>
                <c:pt idx="10">
                  <c:v>135</c:v>
                </c:pt>
                <c:pt idx="11">
                  <c:v>102</c:v>
                </c:pt>
                <c:pt idx="12">
                  <c:v>137</c:v>
                </c:pt>
                <c:pt idx="13">
                  <c:v>243</c:v>
                </c:pt>
                <c:pt idx="14">
                  <c:v>440</c:v>
                </c:pt>
                <c:pt idx="15">
                  <c:v>634</c:v>
                </c:pt>
                <c:pt idx="16">
                  <c:v>530</c:v>
                </c:pt>
                <c:pt idx="17">
                  <c:v>247</c:v>
                </c:pt>
                <c:pt idx="18">
                  <c:v>56</c:v>
                </c:pt>
                <c:pt idx="19">
                  <c:v>13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1-404C-9824-A735BC9D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4880"/>
        <c:axId val="1"/>
      </c:scatterChart>
      <c:valAx>
        <c:axId val="48685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Length (ｃm)</a:t>
                </a:r>
              </a:p>
            </c:rich>
          </c:tx>
          <c:layout>
            <c:manualLayout>
              <c:xMode val="edge"/>
              <c:yMode val="edge"/>
              <c:x val="0.45120078740157482"/>
              <c:y val="0.9190898950131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CA"/>
                  <a:t>Individual number</a:t>
                </a:r>
              </a:p>
            </c:rich>
          </c:tx>
          <c:layout>
            <c:manualLayout>
              <c:xMode val="edge"/>
              <c:yMode val="edge"/>
              <c:x val="1.9199979810216032E-2"/>
              <c:y val="0.2738599081364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486854880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0</xdr:row>
      <xdr:rowOff>0</xdr:rowOff>
    </xdr:from>
    <xdr:to>
      <xdr:col>18</xdr:col>
      <xdr:colOff>539750</xdr:colOff>
      <xdr:row>15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241299</xdr:colOff>
      <xdr:row>16</xdr:row>
      <xdr:rowOff>38099</xdr:rowOff>
    </xdr:from>
    <xdr:to>
      <xdr:col>19</xdr:col>
      <xdr:colOff>111124</xdr:colOff>
      <xdr:row>31</xdr:row>
      <xdr:rowOff>174625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5</xdr:row>
      <xdr:rowOff>63500</xdr:rowOff>
    </xdr:from>
    <xdr:to>
      <xdr:col>6</xdr:col>
      <xdr:colOff>628650</xdr:colOff>
      <xdr:row>6</xdr:row>
      <xdr:rowOff>114300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527550" y="1181100"/>
          <a:ext cx="1295400" cy="1041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14255750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6267450" y="2609850"/>
          <a:ext cx="2444750" cy="361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0</xdr:row>
      <xdr:rowOff>0</xdr:rowOff>
    </xdr:from>
    <xdr:to>
      <xdr:col>17</xdr:col>
      <xdr:colOff>57150</xdr:colOff>
      <xdr:row>14</xdr:row>
      <xdr:rowOff>6350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82550</xdr:colOff>
      <xdr:row>15</xdr:row>
      <xdr:rowOff>149224</xdr:rowOff>
    </xdr:from>
    <xdr:to>
      <xdr:col>17</xdr:col>
      <xdr:colOff>381000</xdr:colOff>
      <xdr:row>31</xdr:row>
      <xdr:rowOff>-1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5</xdr:row>
      <xdr:rowOff>63500</xdr:rowOff>
    </xdr:from>
    <xdr:to>
      <xdr:col>6</xdr:col>
      <xdr:colOff>628650</xdr:colOff>
      <xdr:row>6</xdr:row>
      <xdr:rowOff>114300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076700" y="1181100"/>
          <a:ext cx="1638300" cy="14351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14255750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5867400" y="2952750"/>
          <a:ext cx="2692400" cy="361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88900</xdr:rowOff>
    </xdr:from>
    <xdr:to>
      <xdr:col>16</xdr:col>
      <xdr:colOff>749300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114300</xdr:colOff>
      <xdr:row>32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40335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85420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114300</xdr:rowOff>
    </xdr:from>
    <xdr:to>
      <xdr:col>21</xdr:col>
      <xdr:colOff>457200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19</xdr:row>
      <xdr:rowOff>114300</xdr:rowOff>
    </xdr:from>
    <xdr:to>
      <xdr:col>21</xdr:col>
      <xdr:colOff>584200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32080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77165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88900</xdr:rowOff>
    </xdr:from>
    <xdr:to>
      <xdr:col>16</xdr:col>
      <xdr:colOff>749300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114300</xdr:colOff>
      <xdr:row>32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584700" y="1403350"/>
          <a:ext cx="1295400" cy="228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6267450" y="1898650"/>
          <a:ext cx="24447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114300</xdr:rowOff>
    </xdr:from>
    <xdr:to>
      <xdr:col>21</xdr:col>
      <xdr:colOff>457200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19</xdr:row>
      <xdr:rowOff>114300</xdr:rowOff>
    </xdr:from>
    <xdr:to>
      <xdr:col>21</xdr:col>
      <xdr:colOff>584200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584700" y="1320800"/>
          <a:ext cx="1295400" cy="228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6267450" y="1816100"/>
          <a:ext cx="24447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0</xdr:row>
      <xdr:rowOff>0</xdr:rowOff>
    </xdr:from>
    <xdr:to>
      <xdr:col>17</xdr:col>
      <xdr:colOff>57150</xdr:colOff>
      <xdr:row>14</xdr:row>
      <xdr:rowOff>6350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82550</xdr:colOff>
      <xdr:row>15</xdr:row>
      <xdr:rowOff>149224</xdr:rowOff>
    </xdr:from>
    <xdr:to>
      <xdr:col>17</xdr:col>
      <xdr:colOff>381000</xdr:colOff>
      <xdr:row>31</xdr:row>
      <xdr:rowOff>-1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5</xdr:row>
      <xdr:rowOff>63500</xdr:rowOff>
    </xdr:from>
    <xdr:to>
      <xdr:col>6</xdr:col>
      <xdr:colOff>628650</xdr:colOff>
      <xdr:row>6</xdr:row>
      <xdr:rowOff>114300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076700" y="1181100"/>
          <a:ext cx="1638300" cy="14351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14255750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5867400" y="2952750"/>
          <a:ext cx="2692400" cy="361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88900</xdr:rowOff>
    </xdr:from>
    <xdr:to>
      <xdr:col>16</xdr:col>
      <xdr:colOff>749300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114300</xdr:colOff>
      <xdr:row>32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40335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85420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114300</xdr:rowOff>
    </xdr:from>
    <xdr:to>
      <xdr:col>21</xdr:col>
      <xdr:colOff>457200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19</xdr:row>
      <xdr:rowOff>114300</xdr:rowOff>
    </xdr:from>
    <xdr:to>
      <xdr:col>21</xdr:col>
      <xdr:colOff>584200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32080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77165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120649</xdr:colOff>
      <xdr:row>0</xdr:row>
      <xdr:rowOff>0</xdr:rowOff>
    </xdr:from>
    <xdr:to>
      <xdr:col>19</xdr:col>
      <xdr:colOff>555625</xdr:colOff>
      <xdr:row>14</xdr:row>
      <xdr:rowOff>142875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15</xdr:row>
      <xdr:rowOff>85724</xdr:rowOff>
    </xdr:from>
    <xdr:to>
      <xdr:col>19</xdr:col>
      <xdr:colOff>380999</xdr:colOff>
      <xdr:row>31</xdr:row>
      <xdr:rowOff>79375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5</xdr:row>
      <xdr:rowOff>63500</xdr:rowOff>
    </xdr:from>
    <xdr:to>
      <xdr:col>6</xdr:col>
      <xdr:colOff>628650</xdr:colOff>
      <xdr:row>6</xdr:row>
      <xdr:rowOff>114300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4076700" y="1181100"/>
          <a:ext cx="1638300" cy="14351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14255750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5867400" y="2952750"/>
          <a:ext cx="2692400" cy="361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88900</xdr:rowOff>
    </xdr:from>
    <xdr:to>
      <xdr:col>16</xdr:col>
      <xdr:colOff>749300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114300</xdr:colOff>
      <xdr:row>32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40335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85420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114300</xdr:rowOff>
    </xdr:from>
    <xdr:to>
      <xdr:col>21</xdr:col>
      <xdr:colOff>457200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19</xdr:row>
      <xdr:rowOff>114300</xdr:rowOff>
    </xdr:from>
    <xdr:to>
      <xdr:col>21</xdr:col>
      <xdr:colOff>584200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6</xdr:row>
      <xdr:rowOff>6350</xdr:rowOff>
    </xdr:from>
    <xdr:to>
      <xdr:col>6</xdr:col>
      <xdr:colOff>685800</xdr:colOff>
      <xdr:row>6</xdr:row>
      <xdr:rowOff>234950</xdr:rowOff>
    </xdr:to>
    <xdr:sp macro="" textlink="">
      <xdr:nvSpPr>
        <xdr:cNvPr id="4" name="テキスト 5"/>
        <xdr:cNvSpPr>
          <a:spLocks noChangeArrowheads="1"/>
        </xdr:cNvSpPr>
      </xdr:nvSpPr>
      <xdr:spPr bwMode="auto">
        <a:xfrm>
          <a:off x="3244850" y="1320800"/>
          <a:ext cx="1022350" cy="2032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Changing cells</a:t>
          </a:r>
        </a:p>
      </xdr:txBody>
    </xdr:sp>
    <xdr:clientData/>
  </xdr:twoCellAnchor>
  <xdr:twoCellAnchor>
    <xdr:from>
      <xdr:col>7</xdr:col>
      <xdr:colOff>152400</xdr:colOff>
      <xdr:row>8</xdr:row>
      <xdr:rowOff>38100</xdr:rowOff>
    </xdr:from>
    <xdr:to>
      <xdr:col>9</xdr:col>
      <xdr:colOff>577850</xdr:colOff>
      <xdr:row>9</xdr:row>
      <xdr:rowOff>82550</xdr:rowOff>
    </xdr:to>
    <xdr:sp macro="" textlink="">
      <xdr:nvSpPr>
        <xdr:cNvPr id="5" name="テキスト 6"/>
        <xdr:cNvSpPr>
          <a:spLocks noChangeArrowheads="1"/>
        </xdr:cNvSpPr>
      </xdr:nvSpPr>
      <xdr:spPr bwMode="auto">
        <a:xfrm>
          <a:off x="4419600" y="1771650"/>
          <a:ext cx="164465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CA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Target cell should be maximized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izefreqcat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lesMM\Desktop\selectivity%20study\ctfreq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FO-MPO" refreshedDate="43549.606141087963" createdVersion="6" refreshedVersion="6" minRefreshableVersion="3" recordCount="99">
  <cacheSource type="worksheet">
    <worksheetSource ref="A1:C100" sheet="sizefreqcat" r:id="rId2"/>
  </cacheSource>
  <cacheFields count="3">
    <cacheField name="lcat5" numFmtId="0">
      <sharedItems containsSemiMixedTypes="0" containsString="0" containsNumber="1" containsInteger="1" minValue="10" maxValue="130" count="24"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30"/>
      </sharedItems>
    </cacheField>
    <cacheField name="ring_type" numFmtId="0">
      <sharedItems count="5">
        <s v="82.6S"/>
        <s v="88.9S"/>
        <s v="14L"/>
        <s v="82.6R"/>
        <s v="88.9R"/>
      </sharedItems>
    </cacheField>
    <cacheField name="catch" numFmtId="0">
      <sharedItems containsSemiMixedTypes="0" containsString="0" containsNumber="1" containsInteger="1" minValue="1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FO-MPO" refreshedDate="43549.613976157409" createdVersion="6" refreshedVersion="6" minRefreshableVersion="3" recordCount="97">
  <cacheSource type="worksheet">
    <worksheetSource ref="A1:C98" sheet="ctfreq" r:id="rId2"/>
  </cacheSource>
  <cacheFields count="3">
    <cacheField name="lcat5" numFmtId="0">
      <sharedItems containsSemiMixedTypes="0" containsString="0" containsNumber="1" containsInteger="1" minValue="10" maxValue="115" count="22"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</sharedItems>
    </cacheField>
    <cacheField name="ring_type" numFmtId="0">
      <sharedItems count="5">
        <s v="14L"/>
        <s v="82.6S"/>
        <s v="88.9R"/>
        <s v="82.6R"/>
        <s v="88.9S"/>
      </sharedItems>
    </cacheField>
    <cacheField name="catch" numFmtId="0">
      <sharedItems containsSemiMixedTypes="0" containsString="0" containsNumber="1" containsInteger="1" minValue="1" maxValue="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n v="1"/>
  </r>
  <r>
    <x v="0"/>
    <x v="1"/>
    <n v="2"/>
  </r>
  <r>
    <x v="1"/>
    <x v="2"/>
    <n v="11"/>
  </r>
  <r>
    <x v="1"/>
    <x v="0"/>
    <n v="1"/>
  </r>
  <r>
    <x v="2"/>
    <x v="2"/>
    <n v="43"/>
  </r>
  <r>
    <x v="2"/>
    <x v="3"/>
    <n v="1"/>
  </r>
  <r>
    <x v="2"/>
    <x v="4"/>
    <n v="1"/>
  </r>
  <r>
    <x v="3"/>
    <x v="2"/>
    <n v="54"/>
  </r>
  <r>
    <x v="3"/>
    <x v="3"/>
    <n v="5"/>
  </r>
  <r>
    <x v="3"/>
    <x v="0"/>
    <n v="2"/>
  </r>
  <r>
    <x v="4"/>
    <x v="2"/>
    <n v="26"/>
  </r>
  <r>
    <x v="4"/>
    <x v="3"/>
    <n v="3"/>
  </r>
  <r>
    <x v="4"/>
    <x v="4"/>
    <n v="2"/>
  </r>
  <r>
    <x v="5"/>
    <x v="2"/>
    <n v="29"/>
  </r>
  <r>
    <x v="5"/>
    <x v="3"/>
    <n v="8"/>
  </r>
  <r>
    <x v="5"/>
    <x v="0"/>
    <n v="1"/>
  </r>
  <r>
    <x v="6"/>
    <x v="2"/>
    <n v="46"/>
  </r>
  <r>
    <x v="6"/>
    <x v="3"/>
    <n v="4"/>
  </r>
  <r>
    <x v="6"/>
    <x v="0"/>
    <n v="1"/>
  </r>
  <r>
    <x v="6"/>
    <x v="1"/>
    <n v="2"/>
  </r>
  <r>
    <x v="7"/>
    <x v="2"/>
    <n v="27"/>
  </r>
  <r>
    <x v="7"/>
    <x v="3"/>
    <n v="5"/>
  </r>
  <r>
    <x v="7"/>
    <x v="0"/>
    <n v="3"/>
  </r>
  <r>
    <x v="7"/>
    <x v="4"/>
    <n v="1"/>
  </r>
  <r>
    <x v="7"/>
    <x v="1"/>
    <n v="1"/>
  </r>
  <r>
    <x v="8"/>
    <x v="2"/>
    <n v="11"/>
  </r>
  <r>
    <x v="8"/>
    <x v="3"/>
    <n v="2"/>
  </r>
  <r>
    <x v="8"/>
    <x v="0"/>
    <n v="3"/>
  </r>
  <r>
    <x v="8"/>
    <x v="4"/>
    <n v="3"/>
  </r>
  <r>
    <x v="8"/>
    <x v="1"/>
    <n v="2"/>
  </r>
  <r>
    <x v="9"/>
    <x v="2"/>
    <n v="17"/>
  </r>
  <r>
    <x v="9"/>
    <x v="3"/>
    <n v="10"/>
  </r>
  <r>
    <x v="9"/>
    <x v="0"/>
    <n v="6"/>
  </r>
  <r>
    <x v="9"/>
    <x v="4"/>
    <n v="5"/>
  </r>
  <r>
    <x v="10"/>
    <x v="2"/>
    <n v="20"/>
  </r>
  <r>
    <x v="10"/>
    <x v="3"/>
    <n v="9"/>
  </r>
  <r>
    <x v="10"/>
    <x v="0"/>
    <n v="3"/>
  </r>
  <r>
    <x v="10"/>
    <x v="4"/>
    <n v="6"/>
  </r>
  <r>
    <x v="10"/>
    <x v="1"/>
    <n v="6"/>
  </r>
  <r>
    <x v="11"/>
    <x v="2"/>
    <n v="38"/>
  </r>
  <r>
    <x v="11"/>
    <x v="3"/>
    <n v="35"/>
  </r>
  <r>
    <x v="11"/>
    <x v="0"/>
    <n v="13"/>
  </r>
  <r>
    <x v="11"/>
    <x v="4"/>
    <n v="10"/>
  </r>
  <r>
    <x v="11"/>
    <x v="1"/>
    <n v="9"/>
  </r>
  <r>
    <x v="12"/>
    <x v="2"/>
    <n v="76"/>
  </r>
  <r>
    <x v="12"/>
    <x v="3"/>
    <n v="50"/>
  </r>
  <r>
    <x v="12"/>
    <x v="0"/>
    <n v="21"/>
  </r>
  <r>
    <x v="12"/>
    <x v="4"/>
    <n v="19"/>
  </r>
  <r>
    <x v="12"/>
    <x v="1"/>
    <n v="9"/>
  </r>
  <r>
    <x v="13"/>
    <x v="2"/>
    <n v="80"/>
  </r>
  <r>
    <x v="13"/>
    <x v="3"/>
    <n v="62"/>
  </r>
  <r>
    <x v="13"/>
    <x v="0"/>
    <n v="27"/>
  </r>
  <r>
    <x v="13"/>
    <x v="4"/>
    <n v="24"/>
  </r>
  <r>
    <x v="13"/>
    <x v="1"/>
    <n v="14"/>
  </r>
  <r>
    <x v="14"/>
    <x v="2"/>
    <n v="96"/>
  </r>
  <r>
    <x v="14"/>
    <x v="3"/>
    <n v="89"/>
  </r>
  <r>
    <x v="14"/>
    <x v="0"/>
    <n v="52"/>
  </r>
  <r>
    <x v="14"/>
    <x v="4"/>
    <n v="24"/>
  </r>
  <r>
    <x v="14"/>
    <x v="1"/>
    <n v="14"/>
  </r>
  <r>
    <x v="15"/>
    <x v="2"/>
    <n v="110"/>
  </r>
  <r>
    <x v="15"/>
    <x v="3"/>
    <n v="145"/>
  </r>
  <r>
    <x v="15"/>
    <x v="0"/>
    <n v="109"/>
  </r>
  <r>
    <x v="15"/>
    <x v="4"/>
    <n v="70"/>
  </r>
  <r>
    <x v="15"/>
    <x v="1"/>
    <n v="30"/>
  </r>
  <r>
    <x v="16"/>
    <x v="2"/>
    <n v="99"/>
  </r>
  <r>
    <x v="16"/>
    <x v="3"/>
    <n v="192"/>
  </r>
  <r>
    <x v="16"/>
    <x v="0"/>
    <n v="179"/>
  </r>
  <r>
    <x v="16"/>
    <x v="4"/>
    <n v="99"/>
  </r>
  <r>
    <x v="16"/>
    <x v="1"/>
    <n v="61"/>
  </r>
  <r>
    <x v="17"/>
    <x v="2"/>
    <n v="109"/>
  </r>
  <r>
    <x v="17"/>
    <x v="3"/>
    <n v="176"/>
  </r>
  <r>
    <x v="17"/>
    <x v="0"/>
    <n v="161"/>
  </r>
  <r>
    <x v="17"/>
    <x v="4"/>
    <n v="134"/>
  </r>
  <r>
    <x v="17"/>
    <x v="1"/>
    <n v="101"/>
  </r>
  <r>
    <x v="18"/>
    <x v="2"/>
    <n v="77"/>
  </r>
  <r>
    <x v="18"/>
    <x v="3"/>
    <n v="112"/>
  </r>
  <r>
    <x v="18"/>
    <x v="0"/>
    <n v="102"/>
  </r>
  <r>
    <x v="18"/>
    <x v="4"/>
    <n v="111"/>
  </r>
  <r>
    <x v="18"/>
    <x v="1"/>
    <n v="101"/>
  </r>
  <r>
    <x v="19"/>
    <x v="2"/>
    <n v="31"/>
  </r>
  <r>
    <x v="19"/>
    <x v="3"/>
    <n v="50"/>
  </r>
  <r>
    <x v="19"/>
    <x v="0"/>
    <n v="43"/>
  </r>
  <r>
    <x v="19"/>
    <x v="4"/>
    <n v="50"/>
  </r>
  <r>
    <x v="19"/>
    <x v="1"/>
    <n v="57"/>
  </r>
  <r>
    <x v="20"/>
    <x v="2"/>
    <n v="6"/>
  </r>
  <r>
    <x v="20"/>
    <x v="3"/>
    <n v="14"/>
  </r>
  <r>
    <x v="20"/>
    <x v="0"/>
    <n v="6"/>
  </r>
  <r>
    <x v="20"/>
    <x v="4"/>
    <n v="15"/>
  </r>
  <r>
    <x v="20"/>
    <x v="1"/>
    <n v="10"/>
  </r>
  <r>
    <x v="21"/>
    <x v="2"/>
    <n v="3"/>
  </r>
  <r>
    <x v="21"/>
    <x v="3"/>
    <n v="4"/>
  </r>
  <r>
    <x v="21"/>
    <x v="0"/>
    <n v="3"/>
  </r>
  <r>
    <x v="21"/>
    <x v="4"/>
    <n v="2"/>
  </r>
  <r>
    <x v="21"/>
    <x v="1"/>
    <n v="4"/>
  </r>
  <r>
    <x v="22"/>
    <x v="2"/>
    <n v="3"/>
  </r>
  <r>
    <x v="22"/>
    <x v="0"/>
    <n v="1"/>
  </r>
  <r>
    <x v="22"/>
    <x v="4"/>
    <n v="1"/>
  </r>
  <r>
    <x v="22"/>
    <x v="1"/>
    <n v="2"/>
  </r>
  <r>
    <x v="23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x v="0"/>
    <n v="1"/>
  </r>
  <r>
    <x v="0"/>
    <x v="1"/>
    <n v="1"/>
  </r>
  <r>
    <x v="0"/>
    <x v="2"/>
    <n v="1"/>
  </r>
  <r>
    <x v="1"/>
    <x v="0"/>
    <n v="13"/>
  </r>
  <r>
    <x v="1"/>
    <x v="3"/>
    <n v="1"/>
  </r>
  <r>
    <x v="1"/>
    <x v="1"/>
    <n v="1"/>
  </r>
  <r>
    <x v="1"/>
    <x v="2"/>
    <n v="1"/>
  </r>
  <r>
    <x v="2"/>
    <x v="0"/>
    <n v="11"/>
  </r>
  <r>
    <x v="3"/>
    <x v="0"/>
    <n v="30"/>
  </r>
  <r>
    <x v="3"/>
    <x v="3"/>
    <n v="1"/>
  </r>
  <r>
    <x v="3"/>
    <x v="2"/>
    <n v="3"/>
  </r>
  <r>
    <x v="4"/>
    <x v="0"/>
    <n v="101"/>
  </r>
  <r>
    <x v="4"/>
    <x v="3"/>
    <n v="3"/>
  </r>
  <r>
    <x v="4"/>
    <x v="1"/>
    <n v="4"/>
  </r>
  <r>
    <x v="4"/>
    <x v="2"/>
    <n v="5"/>
  </r>
  <r>
    <x v="5"/>
    <x v="0"/>
    <n v="80"/>
  </r>
  <r>
    <x v="5"/>
    <x v="3"/>
    <n v="6"/>
  </r>
  <r>
    <x v="5"/>
    <x v="1"/>
    <n v="2"/>
  </r>
  <r>
    <x v="5"/>
    <x v="2"/>
    <n v="5"/>
  </r>
  <r>
    <x v="5"/>
    <x v="4"/>
    <n v="2"/>
  </r>
  <r>
    <x v="6"/>
    <x v="0"/>
    <n v="44"/>
  </r>
  <r>
    <x v="6"/>
    <x v="3"/>
    <n v="4"/>
  </r>
  <r>
    <x v="6"/>
    <x v="1"/>
    <n v="1"/>
  </r>
  <r>
    <x v="6"/>
    <x v="2"/>
    <n v="2"/>
  </r>
  <r>
    <x v="6"/>
    <x v="4"/>
    <n v="2"/>
  </r>
  <r>
    <x v="7"/>
    <x v="0"/>
    <n v="47"/>
  </r>
  <r>
    <x v="7"/>
    <x v="3"/>
    <n v="3"/>
  </r>
  <r>
    <x v="7"/>
    <x v="1"/>
    <n v="7"/>
  </r>
  <r>
    <x v="7"/>
    <x v="2"/>
    <n v="8"/>
  </r>
  <r>
    <x v="7"/>
    <x v="4"/>
    <n v="2"/>
  </r>
  <r>
    <x v="8"/>
    <x v="0"/>
    <n v="108"/>
  </r>
  <r>
    <x v="8"/>
    <x v="3"/>
    <n v="14"/>
  </r>
  <r>
    <x v="8"/>
    <x v="1"/>
    <n v="23"/>
  </r>
  <r>
    <x v="8"/>
    <x v="2"/>
    <n v="17"/>
  </r>
  <r>
    <x v="8"/>
    <x v="4"/>
    <n v="11"/>
  </r>
  <r>
    <x v="9"/>
    <x v="0"/>
    <n v="170"/>
  </r>
  <r>
    <x v="9"/>
    <x v="3"/>
    <n v="47"/>
  </r>
  <r>
    <x v="9"/>
    <x v="1"/>
    <n v="54"/>
  </r>
  <r>
    <x v="9"/>
    <x v="2"/>
    <n v="35"/>
  </r>
  <r>
    <x v="9"/>
    <x v="4"/>
    <n v="15"/>
  </r>
  <r>
    <x v="10"/>
    <x v="0"/>
    <n v="135"/>
  </r>
  <r>
    <x v="10"/>
    <x v="3"/>
    <n v="51"/>
  </r>
  <r>
    <x v="10"/>
    <x v="1"/>
    <n v="54"/>
  </r>
  <r>
    <x v="10"/>
    <x v="2"/>
    <n v="26"/>
  </r>
  <r>
    <x v="10"/>
    <x v="4"/>
    <n v="18"/>
  </r>
  <r>
    <x v="11"/>
    <x v="0"/>
    <n v="102"/>
  </r>
  <r>
    <x v="11"/>
    <x v="3"/>
    <n v="37"/>
  </r>
  <r>
    <x v="11"/>
    <x v="1"/>
    <n v="47"/>
  </r>
  <r>
    <x v="11"/>
    <x v="2"/>
    <n v="28"/>
  </r>
  <r>
    <x v="11"/>
    <x v="4"/>
    <n v="25"/>
  </r>
  <r>
    <x v="12"/>
    <x v="0"/>
    <n v="137"/>
  </r>
  <r>
    <x v="12"/>
    <x v="3"/>
    <n v="96"/>
  </r>
  <r>
    <x v="12"/>
    <x v="1"/>
    <n v="97"/>
  </r>
  <r>
    <x v="12"/>
    <x v="2"/>
    <n v="75"/>
  </r>
  <r>
    <x v="12"/>
    <x v="4"/>
    <n v="41"/>
  </r>
  <r>
    <x v="13"/>
    <x v="0"/>
    <n v="243"/>
  </r>
  <r>
    <x v="13"/>
    <x v="3"/>
    <n v="248"/>
  </r>
  <r>
    <x v="13"/>
    <x v="1"/>
    <n v="200"/>
  </r>
  <r>
    <x v="13"/>
    <x v="2"/>
    <n v="140"/>
  </r>
  <r>
    <x v="13"/>
    <x v="4"/>
    <n v="78"/>
  </r>
  <r>
    <x v="14"/>
    <x v="0"/>
    <n v="440"/>
  </r>
  <r>
    <x v="14"/>
    <x v="3"/>
    <n v="562"/>
  </r>
  <r>
    <x v="14"/>
    <x v="1"/>
    <n v="490"/>
  </r>
  <r>
    <x v="14"/>
    <x v="2"/>
    <n v="266"/>
  </r>
  <r>
    <x v="14"/>
    <x v="4"/>
    <n v="169"/>
  </r>
  <r>
    <x v="15"/>
    <x v="0"/>
    <n v="634"/>
  </r>
  <r>
    <x v="15"/>
    <x v="3"/>
    <n v="847"/>
  </r>
  <r>
    <x v="15"/>
    <x v="1"/>
    <n v="803"/>
  </r>
  <r>
    <x v="15"/>
    <x v="2"/>
    <n v="410"/>
  </r>
  <r>
    <x v="15"/>
    <x v="4"/>
    <n v="269"/>
  </r>
  <r>
    <x v="16"/>
    <x v="0"/>
    <n v="530"/>
  </r>
  <r>
    <x v="16"/>
    <x v="3"/>
    <n v="742"/>
  </r>
  <r>
    <x v="16"/>
    <x v="1"/>
    <n v="699"/>
  </r>
  <r>
    <x v="16"/>
    <x v="2"/>
    <n v="423"/>
  </r>
  <r>
    <x v="16"/>
    <x v="4"/>
    <n v="290"/>
  </r>
  <r>
    <x v="17"/>
    <x v="0"/>
    <n v="247"/>
  </r>
  <r>
    <x v="17"/>
    <x v="3"/>
    <n v="288"/>
  </r>
  <r>
    <x v="17"/>
    <x v="1"/>
    <n v="328"/>
  </r>
  <r>
    <x v="17"/>
    <x v="2"/>
    <n v="233"/>
  </r>
  <r>
    <x v="17"/>
    <x v="4"/>
    <n v="196"/>
  </r>
  <r>
    <x v="18"/>
    <x v="0"/>
    <n v="56"/>
  </r>
  <r>
    <x v="18"/>
    <x v="3"/>
    <n v="77"/>
  </r>
  <r>
    <x v="18"/>
    <x v="1"/>
    <n v="81"/>
  </r>
  <r>
    <x v="18"/>
    <x v="2"/>
    <n v="86"/>
  </r>
  <r>
    <x v="18"/>
    <x v="4"/>
    <n v="62"/>
  </r>
  <r>
    <x v="19"/>
    <x v="0"/>
    <n v="13"/>
  </r>
  <r>
    <x v="19"/>
    <x v="3"/>
    <n v="13"/>
  </r>
  <r>
    <x v="19"/>
    <x v="1"/>
    <n v="28"/>
  </r>
  <r>
    <x v="19"/>
    <x v="2"/>
    <n v="14"/>
  </r>
  <r>
    <x v="19"/>
    <x v="4"/>
    <n v="21"/>
  </r>
  <r>
    <x v="20"/>
    <x v="0"/>
    <n v="4"/>
  </r>
  <r>
    <x v="20"/>
    <x v="3"/>
    <n v="3"/>
  </r>
  <r>
    <x v="20"/>
    <x v="1"/>
    <n v="3"/>
  </r>
  <r>
    <x v="20"/>
    <x v="2"/>
    <n v="2"/>
  </r>
  <r>
    <x v="20"/>
    <x v="4"/>
    <n v="1"/>
  </r>
  <r>
    <x v="21"/>
    <x v="1"/>
    <n v="1"/>
  </r>
  <r>
    <x v="2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H1:M25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catc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:O28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2"/>
        <item x="3"/>
        <item x="0"/>
        <item x="4"/>
        <item x="1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catc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H35" sqref="H35"/>
    </sheetView>
  </sheetViews>
  <sheetFormatPr defaultRowHeight="15"/>
  <cols>
    <col min="8" max="8" width="12.42578125" bestFit="1" customWidth="1"/>
    <col min="9" max="9" width="15.28515625" customWidth="1"/>
    <col min="10" max="10" width="5.42578125" customWidth="1"/>
    <col min="11" max="11" width="5.28515625" customWidth="1"/>
    <col min="12" max="12" width="5.42578125" customWidth="1"/>
    <col min="13" max="13" width="5.28515625" customWidth="1"/>
    <col min="14" max="14" width="10.7109375" bestFit="1" customWidth="1"/>
  </cols>
  <sheetData>
    <row r="1" spans="1:13">
      <c r="A1" t="s">
        <v>47</v>
      </c>
      <c r="B1" t="s">
        <v>48</v>
      </c>
      <c r="C1" t="s">
        <v>49</v>
      </c>
      <c r="H1" t="s">
        <v>50</v>
      </c>
      <c r="I1" t="s">
        <v>51</v>
      </c>
    </row>
    <row r="2" spans="1:13">
      <c r="A2">
        <v>10</v>
      </c>
      <c r="B2" t="s">
        <v>24</v>
      </c>
      <c r="C2">
        <v>1</v>
      </c>
      <c r="H2" t="s">
        <v>52</v>
      </c>
      <c r="I2" t="s">
        <v>24</v>
      </c>
      <c r="J2" t="s">
        <v>42</v>
      </c>
      <c r="K2" t="s">
        <v>43</v>
      </c>
      <c r="L2" t="s">
        <v>23</v>
      </c>
      <c r="M2" t="s">
        <v>44</v>
      </c>
    </row>
    <row r="3" spans="1:13">
      <c r="A3">
        <v>10</v>
      </c>
      <c r="B3" t="s">
        <v>43</v>
      </c>
      <c r="C3">
        <v>1</v>
      </c>
      <c r="H3" s="28">
        <v>10</v>
      </c>
      <c r="I3" s="21">
        <v>1</v>
      </c>
      <c r="J3" s="21"/>
      <c r="K3" s="21">
        <v>1</v>
      </c>
      <c r="L3" s="21">
        <v>1</v>
      </c>
      <c r="M3" s="21"/>
    </row>
    <row r="4" spans="1:13">
      <c r="A4">
        <v>10</v>
      </c>
      <c r="B4" t="s">
        <v>23</v>
      </c>
      <c r="C4">
        <v>1</v>
      </c>
      <c r="H4" s="28">
        <v>15</v>
      </c>
      <c r="I4" s="21">
        <v>13</v>
      </c>
      <c r="J4" s="21">
        <v>1</v>
      </c>
      <c r="K4" s="21">
        <v>1</v>
      </c>
      <c r="L4" s="21">
        <v>1</v>
      </c>
      <c r="M4" s="21"/>
    </row>
    <row r="5" spans="1:13">
      <c r="A5">
        <v>15</v>
      </c>
      <c r="B5" t="s">
        <v>24</v>
      </c>
      <c r="C5">
        <v>13</v>
      </c>
      <c r="H5" s="28">
        <v>20</v>
      </c>
      <c r="I5" s="21">
        <v>11</v>
      </c>
      <c r="J5" s="21"/>
      <c r="K5" s="21"/>
      <c r="L5" s="21"/>
      <c r="M5" s="21"/>
    </row>
    <row r="6" spans="1:13">
      <c r="A6">
        <v>15</v>
      </c>
      <c r="B6" t="s">
        <v>42</v>
      </c>
      <c r="C6">
        <v>1</v>
      </c>
      <c r="H6" s="28">
        <v>25</v>
      </c>
      <c r="I6" s="21">
        <v>30</v>
      </c>
      <c r="J6" s="21">
        <v>1</v>
      </c>
      <c r="K6" s="21"/>
      <c r="L6" s="21">
        <v>3</v>
      </c>
      <c r="M6" s="21"/>
    </row>
    <row r="7" spans="1:13">
      <c r="A7">
        <v>15</v>
      </c>
      <c r="B7" t="s">
        <v>43</v>
      </c>
      <c r="C7">
        <v>1</v>
      </c>
      <c r="H7" s="28">
        <v>30</v>
      </c>
      <c r="I7" s="21">
        <v>101</v>
      </c>
      <c r="J7" s="21">
        <v>3</v>
      </c>
      <c r="K7" s="21">
        <v>4</v>
      </c>
      <c r="L7" s="21">
        <v>5</v>
      </c>
      <c r="M7" s="21"/>
    </row>
    <row r="8" spans="1:13">
      <c r="A8">
        <v>15</v>
      </c>
      <c r="B8" t="s">
        <v>23</v>
      </c>
      <c r="C8">
        <v>1</v>
      </c>
      <c r="H8" s="28">
        <v>35</v>
      </c>
      <c r="I8" s="21">
        <v>80</v>
      </c>
      <c r="J8" s="21">
        <v>6</v>
      </c>
      <c r="K8" s="21">
        <v>2</v>
      </c>
      <c r="L8" s="21">
        <v>5</v>
      </c>
      <c r="M8" s="21">
        <v>2</v>
      </c>
    </row>
    <row r="9" spans="1:13">
      <c r="A9">
        <v>20</v>
      </c>
      <c r="B9" t="s">
        <v>24</v>
      </c>
      <c r="C9">
        <v>11</v>
      </c>
      <c r="H9" s="28">
        <v>40</v>
      </c>
      <c r="I9" s="21">
        <v>44</v>
      </c>
      <c r="J9" s="21">
        <v>4</v>
      </c>
      <c r="K9" s="21">
        <v>1</v>
      </c>
      <c r="L9" s="21">
        <v>2</v>
      </c>
      <c r="M9" s="21">
        <v>2</v>
      </c>
    </row>
    <row r="10" spans="1:13">
      <c r="A10">
        <v>25</v>
      </c>
      <c r="B10" t="s">
        <v>24</v>
      </c>
      <c r="C10">
        <v>30</v>
      </c>
      <c r="H10" s="28">
        <v>45</v>
      </c>
      <c r="I10" s="21">
        <v>47</v>
      </c>
      <c r="J10" s="21">
        <v>3</v>
      </c>
      <c r="K10" s="21">
        <v>7</v>
      </c>
      <c r="L10" s="21">
        <v>8</v>
      </c>
      <c r="M10" s="21">
        <v>2</v>
      </c>
    </row>
    <row r="11" spans="1:13">
      <c r="A11">
        <v>25</v>
      </c>
      <c r="B11" t="s">
        <v>42</v>
      </c>
      <c r="C11">
        <v>1</v>
      </c>
      <c r="H11" s="28">
        <v>50</v>
      </c>
      <c r="I11" s="21">
        <v>108</v>
      </c>
      <c r="J11" s="21">
        <v>14</v>
      </c>
      <c r="K11" s="21">
        <v>23</v>
      </c>
      <c r="L11" s="21">
        <v>17</v>
      </c>
      <c r="M11" s="21">
        <v>11</v>
      </c>
    </row>
    <row r="12" spans="1:13">
      <c r="A12">
        <v>25</v>
      </c>
      <c r="B12" t="s">
        <v>23</v>
      </c>
      <c r="C12">
        <v>3</v>
      </c>
      <c r="H12" s="28">
        <v>55</v>
      </c>
      <c r="I12" s="21">
        <v>170</v>
      </c>
      <c r="J12" s="21">
        <v>47</v>
      </c>
      <c r="K12" s="21">
        <v>54</v>
      </c>
      <c r="L12" s="21">
        <v>35</v>
      </c>
      <c r="M12" s="21">
        <v>15</v>
      </c>
    </row>
    <row r="13" spans="1:13">
      <c r="A13">
        <v>30</v>
      </c>
      <c r="B13" t="s">
        <v>24</v>
      </c>
      <c r="C13">
        <v>101</v>
      </c>
      <c r="H13" s="28">
        <v>60</v>
      </c>
      <c r="I13" s="21">
        <v>135</v>
      </c>
      <c r="J13" s="21">
        <v>51</v>
      </c>
      <c r="K13" s="21">
        <v>54</v>
      </c>
      <c r="L13" s="21">
        <v>26</v>
      </c>
      <c r="M13" s="21">
        <v>18</v>
      </c>
    </row>
    <row r="14" spans="1:13">
      <c r="A14">
        <v>30</v>
      </c>
      <c r="B14" t="s">
        <v>42</v>
      </c>
      <c r="C14">
        <v>3</v>
      </c>
      <c r="H14" s="28">
        <v>65</v>
      </c>
      <c r="I14" s="21">
        <v>102</v>
      </c>
      <c r="J14" s="21">
        <v>37</v>
      </c>
      <c r="K14" s="21">
        <v>47</v>
      </c>
      <c r="L14" s="21">
        <v>28</v>
      </c>
      <c r="M14" s="21">
        <v>25</v>
      </c>
    </row>
    <row r="15" spans="1:13">
      <c r="A15">
        <v>30</v>
      </c>
      <c r="B15" t="s">
        <v>43</v>
      </c>
      <c r="C15">
        <v>4</v>
      </c>
      <c r="H15" s="28">
        <v>70</v>
      </c>
      <c r="I15" s="21">
        <v>137</v>
      </c>
      <c r="J15" s="21">
        <v>96</v>
      </c>
      <c r="K15" s="21">
        <v>97</v>
      </c>
      <c r="L15" s="21">
        <v>75</v>
      </c>
      <c r="M15" s="21">
        <v>41</v>
      </c>
    </row>
    <row r="16" spans="1:13">
      <c r="A16">
        <v>30</v>
      </c>
      <c r="B16" t="s">
        <v>23</v>
      </c>
      <c r="C16">
        <v>5</v>
      </c>
      <c r="H16" s="28">
        <v>75</v>
      </c>
      <c r="I16" s="21">
        <v>243</v>
      </c>
      <c r="J16" s="21">
        <v>248</v>
      </c>
      <c r="K16" s="21">
        <v>200</v>
      </c>
      <c r="L16" s="21">
        <v>140</v>
      </c>
      <c r="M16" s="21">
        <v>78</v>
      </c>
    </row>
    <row r="17" spans="1:13">
      <c r="A17">
        <v>35</v>
      </c>
      <c r="B17" t="s">
        <v>24</v>
      </c>
      <c r="C17">
        <v>80</v>
      </c>
      <c r="H17" s="28">
        <v>80</v>
      </c>
      <c r="I17" s="21">
        <v>440</v>
      </c>
      <c r="J17" s="21">
        <v>562</v>
      </c>
      <c r="K17" s="21">
        <v>490</v>
      </c>
      <c r="L17" s="21">
        <v>266</v>
      </c>
      <c r="M17" s="21">
        <v>169</v>
      </c>
    </row>
    <row r="18" spans="1:13">
      <c r="A18">
        <v>35</v>
      </c>
      <c r="B18" t="s">
        <v>42</v>
      </c>
      <c r="C18">
        <v>6</v>
      </c>
      <c r="H18" s="28">
        <v>85</v>
      </c>
      <c r="I18" s="21">
        <v>634</v>
      </c>
      <c r="J18" s="21">
        <v>847</v>
      </c>
      <c r="K18" s="21">
        <v>803</v>
      </c>
      <c r="L18" s="21">
        <v>410</v>
      </c>
      <c r="M18" s="21">
        <v>269</v>
      </c>
    </row>
    <row r="19" spans="1:13">
      <c r="A19">
        <v>35</v>
      </c>
      <c r="B19" t="s">
        <v>43</v>
      </c>
      <c r="C19">
        <v>2</v>
      </c>
      <c r="H19" s="28">
        <v>90</v>
      </c>
      <c r="I19" s="21">
        <v>530</v>
      </c>
      <c r="J19" s="21">
        <v>742</v>
      </c>
      <c r="K19" s="21">
        <v>699</v>
      </c>
      <c r="L19" s="21">
        <v>423</v>
      </c>
      <c r="M19" s="21">
        <v>290</v>
      </c>
    </row>
    <row r="20" spans="1:13">
      <c r="A20">
        <v>35</v>
      </c>
      <c r="B20" t="s">
        <v>23</v>
      </c>
      <c r="C20">
        <v>5</v>
      </c>
      <c r="H20" s="28">
        <v>95</v>
      </c>
      <c r="I20" s="21">
        <v>247</v>
      </c>
      <c r="J20" s="21">
        <v>288</v>
      </c>
      <c r="K20" s="21">
        <v>328</v>
      </c>
      <c r="L20" s="21">
        <v>233</v>
      </c>
      <c r="M20" s="21">
        <v>196</v>
      </c>
    </row>
    <row r="21" spans="1:13">
      <c r="A21">
        <v>35</v>
      </c>
      <c r="B21" t="s">
        <v>44</v>
      </c>
      <c r="C21">
        <v>2</v>
      </c>
      <c r="H21" s="28">
        <v>100</v>
      </c>
      <c r="I21" s="21">
        <v>56</v>
      </c>
      <c r="J21" s="21">
        <v>77</v>
      </c>
      <c r="K21" s="21">
        <v>81</v>
      </c>
      <c r="L21" s="21">
        <v>86</v>
      </c>
      <c r="M21" s="21">
        <v>62</v>
      </c>
    </row>
    <row r="22" spans="1:13">
      <c r="A22">
        <v>40</v>
      </c>
      <c r="B22" t="s">
        <v>24</v>
      </c>
      <c r="C22">
        <v>44</v>
      </c>
      <c r="H22" s="28">
        <v>105</v>
      </c>
      <c r="I22" s="21">
        <v>13</v>
      </c>
      <c r="J22" s="21">
        <v>13</v>
      </c>
      <c r="K22" s="21">
        <v>28</v>
      </c>
      <c r="L22" s="21">
        <v>14</v>
      </c>
      <c r="M22" s="21">
        <v>21</v>
      </c>
    </row>
    <row r="23" spans="1:13">
      <c r="A23">
        <v>40</v>
      </c>
      <c r="B23" t="s">
        <v>42</v>
      </c>
      <c r="C23">
        <v>4</v>
      </c>
      <c r="H23" s="28">
        <v>110</v>
      </c>
      <c r="I23" s="21">
        <v>4</v>
      </c>
      <c r="J23" s="21">
        <v>3</v>
      </c>
      <c r="K23" s="21">
        <v>3</v>
      </c>
      <c r="L23" s="21">
        <v>2</v>
      </c>
      <c r="M23" s="21">
        <v>1</v>
      </c>
    </row>
    <row r="24" spans="1:13">
      <c r="A24">
        <v>40</v>
      </c>
      <c r="B24" t="s">
        <v>43</v>
      </c>
      <c r="C24">
        <v>1</v>
      </c>
      <c r="H24" s="28">
        <v>115</v>
      </c>
      <c r="I24" s="21"/>
      <c r="J24" s="21"/>
      <c r="K24" s="21">
        <v>1</v>
      </c>
      <c r="L24" s="21">
        <v>1</v>
      </c>
      <c r="M24" s="21"/>
    </row>
    <row r="25" spans="1:13">
      <c r="A25">
        <v>40</v>
      </c>
      <c r="B25" t="s">
        <v>23</v>
      </c>
      <c r="C25">
        <v>2</v>
      </c>
      <c r="H25" s="28" t="s">
        <v>53</v>
      </c>
      <c r="I25" s="21">
        <v>3146</v>
      </c>
      <c r="J25" s="21">
        <v>3043</v>
      </c>
      <c r="K25" s="21">
        <v>2924</v>
      </c>
      <c r="L25" s="21">
        <v>1781</v>
      </c>
      <c r="M25" s="21">
        <v>1202</v>
      </c>
    </row>
    <row r="26" spans="1:13">
      <c r="A26">
        <v>40</v>
      </c>
      <c r="B26" t="s">
        <v>44</v>
      </c>
      <c r="C26">
        <v>2</v>
      </c>
    </row>
    <row r="27" spans="1:13">
      <c r="A27">
        <v>45</v>
      </c>
      <c r="B27" t="s">
        <v>24</v>
      </c>
      <c r="C27">
        <v>47</v>
      </c>
    </row>
    <row r="28" spans="1:13">
      <c r="A28">
        <v>45</v>
      </c>
      <c r="B28" t="s">
        <v>42</v>
      </c>
      <c r="C28">
        <v>3</v>
      </c>
    </row>
    <row r="29" spans="1:13">
      <c r="A29">
        <v>45</v>
      </c>
      <c r="B29" t="s">
        <v>43</v>
      </c>
      <c r="C29">
        <v>7</v>
      </c>
    </row>
    <row r="30" spans="1:13">
      <c r="A30">
        <v>45</v>
      </c>
      <c r="B30" t="s">
        <v>23</v>
      </c>
      <c r="C30">
        <v>8</v>
      </c>
    </row>
    <row r="31" spans="1:13">
      <c r="A31">
        <v>45</v>
      </c>
      <c r="B31" t="s">
        <v>44</v>
      </c>
      <c r="C31">
        <v>2</v>
      </c>
    </row>
    <row r="32" spans="1:13">
      <c r="A32">
        <v>50</v>
      </c>
      <c r="B32" t="s">
        <v>24</v>
      </c>
      <c r="C32">
        <v>108</v>
      </c>
    </row>
    <row r="33" spans="1:3">
      <c r="A33">
        <v>50</v>
      </c>
      <c r="B33" t="s">
        <v>42</v>
      </c>
      <c r="C33">
        <v>14</v>
      </c>
    </row>
    <row r="34" spans="1:3">
      <c r="A34">
        <v>50</v>
      </c>
      <c r="B34" t="s">
        <v>43</v>
      </c>
      <c r="C34">
        <v>23</v>
      </c>
    </row>
    <row r="35" spans="1:3">
      <c r="A35">
        <v>50</v>
      </c>
      <c r="B35" t="s">
        <v>23</v>
      </c>
      <c r="C35">
        <v>17</v>
      </c>
    </row>
    <row r="36" spans="1:3">
      <c r="A36">
        <v>50</v>
      </c>
      <c r="B36" t="s">
        <v>44</v>
      </c>
      <c r="C36">
        <v>11</v>
      </c>
    </row>
    <row r="37" spans="1:3">
      <c r="A37">
        <v>55</v>
      </c>
      <c r="B37" t="s">
        <v>24</v>
      </c>
      <c r="C37">
        <v>170</v>
      </c>
    </row>
    <row r="38" spans="1:3">
      <c r="A38">
        <v>55</v>
      </c>
      <c r="B38" t="s">
        <v>42</v>
      </c>
      <c r="C38">
        <v>47</v>
      </c>
    </row>
    <row r="39" spans="1:3">
      <c r="A39">
        <v>55</v>
      </c>
      <c r="B39" t="s">
        <v>43</v>
      </c>
      <c r="C39">
        <v>54</v>
      </c>
    </row>
    <row r="40" spans="1:3">
      <c r="A40">
        <v>55</v>
      </c>
      <c r="B40" t="s">
        <v>23</v>
      </c>
      <c r="C40">
        <v>35</v>
      </c>
    </row>
    <row r="41" spans="1:3">
      <c r="A41">
        <v>55</v>
      </c>
      <c r="B41" t="s">
        <v>44</v>
      </c>
      <c r="C41">
        <v>15</v>
      </c>
    </row>
    <row r="42" spans="1:3">
      <c r="A42">
        <v>60</v>
      </c>
      <c r="B42" t="s">
        <v>24</v>
      </c>
      <c r="C42">
        <v>135</v>
      </c>
    </row>
    <row r="43" spans="1:3">
      <c r="A43">
        <v>60</v>
      </c>
      <c r="B43" t="s">
        <v>42</v>
      </c>
      <c r="C43">
        <v>51</v>
      </c>
    </row>
    <row r="44" spans="1:3">
      <c r="A44">
        <v>60</v>
      </c>
      <c r="B44" t="s">
        <v>43</v>
      </c>
      <c r="C44">
        <v>54</v>
      </c>
    </row>
    <row r="45" spans="1:3">
      <c r="A45">
        <v>60</v>
      </c>
      <c r="B45" t="s">
        <v>23</v>
      </c>
      <c r="C45">
        <v>26</v>
      </c>
    </row>
    <row r="46" spans="1:3">
      <c r="A46">
        <v>60</v>
      </c>
      <c r="B46" t="s">
        <v>44</v>
      </c>
      <c r="C46">
        <v>18</v>
      </c>
    </row>
    <row r="47" spans="1:3">
      <c r="A47">
        <v>65</v>
      </c>
      <c r="B47" t="s">
        <v>24</v>
      </c>
      <c r="C47">
        <v>102</v>
      </c>
    </row>
    <row r="48" spans="1:3">
      <c r="A48">
        <v>65</v>
      </c>
      <c r="B48" t="s">
        <v>42</v>
      </c>
      <c r="C48">
        <v>37</v>
      </c>
    </row>
    <row r="49" spans="1:3">
      <c r="A49">
        <v>65</v>
      </c>
      <c r="B49" t="s">
        <v>43</v>
      </c>
      <c r="C49">
        <v>47</v>
      </c>
    </row>
    <row r="50" spans="1:3">
      <c r="A50">
        <v>65</v>
      </c>
      <c r="B50" t="s">
        <v>23</v>
      </c>
      <c r="C50">
        <v>28</v>
      </c>
    </row>
    <row r="51" spans="1:3">
      <c r="A51">
        <v>65</v>
      </c>
      <c r="B51" t="s">
        <v>44</v>
      </c>
      <c r="C51">
        <v>25</v>
      </c>
    </row>
    <row r="52" spans="1:3">
      <c r="A52">
        <v>70</v>
      </c>
      <c r="B52" t="s">
        <v>24</v>
      </c>
      <c r="C52">
        <v>137</v>
      </c>
    </row>
    <row r="53" spans="1:3">
      <c r="A53">
        <v>70</v>
      </c>
      <c r="B53" t="s">
        <v>42</v>
      </c>
      <c r="C53">
        <v>96</v>
      </c>
    </row>
    <row r="54" spans="1:3">
      <c r="A54">
        <v>70</v>
      </c>
      <c r="B54" t="s">
        <v>43</v>
      </c>
      <c r="C54">
        <v>97</v>
      </c>
    </row>
    <row r="55" spans="1:3">
      <c r="A55">
        <v>70</v>
      </c>
      <c r="B55" t="s">
        <v>23</v>
      </c>
      <c r="C55">
        <v>75</v>
      </c>
    </row>
    <row r="56" spans="1:3">
      <c r="A56">
        <v>70</v>
      </c>
      <c r="B56" t="s">
        <v>44</v>
      </c>
      <c r="C56">
        <v>41</v>
      </c>
    </row>
    <row r="57" spans="1:3">
      <c r="A57">
        <v>75</v>
      </c>
      <c r="B57" t="s">
        <v>24</v>
      </c>
      <c r="C57">
        <v>243</v>
      </c>
    </row>
    <row r="58" spans="1:3">
      <c r="A58">
        <v>75</v>
      </c>
      <c r="B58" t="s">
        <v>42</v>
      </c>
      <c r="C58">
        <v>248</v>
      </c>
    </row>
    <row r="59" spans="1:3">
      <c r="A59">
        <v>75</v>
      </c>
      <c r="B59" t="s">
        <v>43</v>
      </c>
      <c r="C59">
        <v>200</v>
      </c>
    </row>
    <row r="60" spans="1:3">
      <c r="A60">
        <v>75</v>
      </c>
      <c r="B60" t="s">
        <v>23</v>
      </c>
      <c r="C60">
        <v>140</v>
      </c>
    </row>
    <row r="61" spans="1:3">
      <c r="A61">
        <v>75</v>
      </c>
      <c r="B61" t="s">
        <v>44</v>
      </c>
      <c r="C61">
        <v>78</v>
      </c>
    </row>
    <row r="62" spans="1:3">
      <c r="A62">
        <v>80</v>
      </c>
      <c r="B62" t="s">
        <v>24</v>
      </c>
      <c r="C62">
        <v>440</v>
      </c>
    </row>
    <row r="63" spans="1:3">
      <c r="A63">
        <v>80</v>
      </c>
      <c r="B63" t="s">
        <v>42</v>
      </c>
      <c r="C63">
        <v>562</v>
      </c>
    </row>
    <row r="64" spans="1:3">
      <c r="A64">
        <v>80</v>
      </c>
      <c r="B64" t="s">
        <v>43</v>
      </c>
      <c r="C64">
        <v>490</v>
      </c>
    </row>
    <row r="65" spans="1:3">
      <c r="A65">
        <v>80</v>
      </c>
      <c r="B65" t="s">
        <v>23</v>
      </c>
      <c r="C65">
        <v>266</v>
      </c>
    </row>
    <row r="66" spans="1:3">
      <c r="A66">
        <v>80</v>
      </c>
      <c r="B66" t="s">
        <v>44</v>
      </c>
      <c r="C66">
        <v>169</v>
      </c>
    </row>
    <row r="67" spans="1:3">
      <c r="A67">
        <v>85</v>
      </c>
      <c r="B67" t="s">
        <v>24</v>
      </c>
      <c r="C67">
        <v>634</v>
      </c>
    </row>
    <row r="68" spans="1:3">
      <c r="A68">
        <v>85</v>
      </c>
      <c r="B68" t="s">
        <v>42</v>
      </c>
      <c r="C68">
        <v>847</v>
      </c>
    </row>
    <row r="69" spans="1:3">
      <c r="A69">
        <v>85</v>
      </c>
      <c r="B69" t="s">
        <v>43</v>
      </c>
      <c r="C69">
        <v>803</v>
      </c>
    </row>
    <row r="70" spans="1:3">
      <c r="A70">
        <v>85</v>
      </c>
      <c r="B70" t="s">
        <v>23</v>
      </c>
      <c r="C70">
        <v>410</v>
      </c>
    </row>
    <row r="71" spans="1:3">
      <c r="A71">
        <v>85</v>
      </c>
      <c r="B71" t="s">
        <v>44</v>
      </c>
      <c r="C71">
        <v>269</v>
      </c>
    </row>
    <row r="72" spans="1:3">
      <c r="A72">
        <v>90</v>
      </c>
      <c r="B72" t="s">
        <v>24</v>
      </c>
      <c r="C72">
        <v>530</v>
      </c>
    </row>
    <row r="73" spans="1:3">
      <c r="A73">
        <v>90</v>
      </c>
      <c r="B73" t="s">
        <v>42</v>
      </c>
      <c r="C73">
        <v>742</v>
      </c>
    </row>
    <row r="74" spans="1:3">
      <c r="A74">
        <v>90</v>
      </c>
      <c r="B74" t="s">
        <v>43</v>
      </c>
      <c r="C74">
        <v>699</v>
      </c>
    </row>
    <row r="75" spans="1:3">
      <c r="A75">
        <v>90</v>
      </c>
      <c r="B75" t="s">
        <v>23</v>
      </c>
      <c r="C75">
        <v>423</v>
      </c>
    </row>
    <row r="76" spans="1:3">
      <c r="A76">
        <v>90</v>
      </c>
      <c r="B76" t="s">
        <v>44</v>
      </c>
      <c r="C76">
        <v>290</v>
      </c>
    </row>
    <row r="77" spans="1:3">
      <c r="A77">
        <v>95</v>
      </c>
      <c r="B77" t="s">
        <v>24</v>
      </c>
      <c r="C77">
        <v>247</v>
      </c>
    </row>
    <row r="78" spans="1:3">
      <c r="A78">
        <v>95</v>
      </c>
      <c r="B78" t="s">
        <v>42</v>
      </c>
      <c r="C78">
        <v>288</v>
      </c>
    </row>
    <row r="79" spans="1:3">
      <c r="A79">
        <v>95</v>
      </c>
      <c r="B79" t="s">
        <v>43</v>
      </c>
      <c r="C79">
        <v>328</v>
      </c>
    </row>
    <row r="80" spans="1:3">
      <c r="A80">
        <v>95</v>
      </c>
      <c r="B80" t="s">
        <v>23</v>
      </c>
      <c r="C80">
        <v>233</v>
      </c>
    </row>
    <row r="81" spans="1:3">
      <c r="A81">
        <v>95</v>
      </c>
      <c r="B81" t="s">
        <v>44</v>
      </c>
      <c r="C81">
        <v>196</v>
      </c>
    </row>
    <row r="82" spans="1:3">
      <c r="A82">
        <v>100</v>
      </c>
      <c r="B82" t="s">
        <v>24</v>
      </c>
      <c r="C82">
        <v>56</v>
      </c>
    </row>
    <row r="83" spans="1:3">
      <c r="A83">
        <v>100</v>
      </c>
      <c r="B83" t="s">
        <v>42</v>
      </c>
      <c r="C83">
        <v>77</v>
      </c>
    </row>
    <row r="84" spans="1:3">
      <c r="A84">
        <v>100</v>
      </c>
      <c r="B84" t="s">
        <v>43</v>
      </c>
      <c r="C84">
        <v>81</v>
      </c>
    </row>
    <row r="85" spans="1:3">
      <c r="A85">
        <v>100</v>
      </c>
      <c r="B85" t="s">
        <v>23</v>
      </c>
      <c r="C85">
        <v>86</v>
      </c>
    </row>
    <row r="86" spans="1:3">
      <c r="A86">
        <v>100</v>
      </c>
      <c r="B86" t="s">
        <v>44</v>
      </c>
      <c r="C86">
        <v>62</v>
      </c>
    </row>
    <row r="87" spans="1:3">
      <c r="A87">
        <v>105</v>
      </c>
      <c r="B87" t="s">
        <v>24</v>
      </c>
      <c r="C87">
        <v>13</v>
      </c>
    </row>
    <row r="88" spans="1:3">
      <c r="A88">
        <v>105</v>
      </c>
      <c r="B88" t="s">
        <v>42</v>
      </c>
      <c r="C88">
        <v>13</v>
      </c>
    </row>
    <row r="89" spans="1:3">
      <c r="A89">
        <v>105</v>
      </c>
      <c r="B89" t="s">
        <v>43</v>
      </c>
      <c r="C89">
        <v>28</v>
      </c>
    </row>
    <row r="90" spans="1:3">
      <c r="A90">
        <v>105</v>
      </c>
      <c r="B90" t="s">
        <v>23</v>
      </c>
      <c r="C90">
        <v>14</v>
      </c>
    </row>
    <row r="91" spans="1:3">
      <c r="A91">
        <v>105</v>
      </c>
      <c r="B91" t="s">
        <v>44</v>
      </c>
      <c r="C91">
        <v>21</v>
      </c>
    </row>
    <row r="92" spans="1:3">
      <c r="A92">
        <v>110</v>
      </c>
      <c r="B92" t="s">
        <v>24</v>
      </c>
      <c r="C92">
        <v>4</v>
      </c>
    </row>
    <row r="93" spans="1:3">
      <c r="A93">
        <v>110</v>
      </c>
      <c r="B93" t="s">
        <v>42</v>
      </c>
      <c r="C93">
        <v>3</v>
      </c>
    </row>
    <row r="94" spans="1:3">
      <c r="A94">
        <v>110</v>
      </c>
      <c r="B94" t="s">
        <v>43</v>
      </c>
      <c r="C94">
        <v>3</v>
      </c>
    </row>
    <row r="95" spans="1:3">
      <c r="A95">
        <v>110</v>
      </c>
      <c r="B95" t="s">
        <v>23</v>
      </c>
      <c r="C95">
        <v>2</v>
      </c>
    </row>
    <row r="96" spans="1:3">
      <c r="A96">
        <v>110</v>
      </c>
      <c r="B96" t="s">
        <v>44</v>
      </c>
      <c r="C96">
        <v>1</v>
      </c>
    </row>
    <row r="97" spans="1:3">
      <c r="A97">
        <v>115</v>
      </c>
      <c r="B97" t="s">
        <v>43</v>
      </c>
      <c r="C97">
        <v>1</v>
      </c>
    </row>
    <row r="98" spans="1:3">
      <c r="A98">
        <v>115</v>
      </c>
      <c r="B98" t="s">
        <v>23</v>
      </c>
      <c r="C9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60" zoomScaleNormal="60" workbookViewId="0">
      <selection activeCell="V16" sqref="V16"/>
    </sheetView>
  </sheetViews>
  <sheetFormatPr defaultRowHeight="15"/>
  <cols>
    <col min="5" max="5" width="21.42578125" bestFit="1" customWidth="1"/>
    <col min="6" max="6" width="16.7109375" bestFit="1" customWidth="1"/>
    <col min="8" max="8" width="23.7109375" bestFit="1" customWidth="1"/>
  </cols>
  <sheetData>
    <row r="1" spans="1:1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20.25">
      <c r="B2" s="1" t="s">
        <v>1</v>
      </c>
      <c r="C2" s="2"/>
      <c r="D2" s="2"/>
      <c r="G2" s="2"/>
      <c r="H2" s="3"/>
      <c r="I2" s="2"/>
      <c r="J2" s="2"/>
    </row>
    <row r="3" spans="1:11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1" ht="16.5" thickTop="1">
      <c r="A4" s="4" t="s">
        <v>5</v>
      </c>
      <c r="B4" s="5"/>
      <c r="C4" s="5"/>
      <c r="D4" s="5"/>
      <c r="E4" s="6" t="s">
        <v>6</v>
      </c>
      <c r="F4" s="7">
        <v>-4.9000000000000004</v>
      </c>
      <c r="G4" s="2"/>
      <c r="H4" s="8">
        <f>-J4*H5</f>
        <v>-3.9949537769749446</v>
      </c>
      <c r="I4" s="6" t="s">
        <v>7</v>
      </c>
      <c r="J4" s="9">
        <v>100</v>
      </c>
    </row>
    <row r="5" spans="1:11" ht="16.5" thickBot="1">
      <c r="A5" s="5" t="s">
        <v>8</v>
      </c>
      <c r="B5" s="5"/>
      <c r="C5" s="5"/>
      <c r="D5" s="5"/>
      <c r="E5" s="6" t="s">
        <v>9</v>
      </c>
      <c r="F5" s="10">
        <v>0.06</v>
      </c>
      <c r="G5" s="2"/>
      <c r="H5" s="8">
        <f>2*LN(3)/J5</f>
        <v>3.9949537769749445E-2</v>
      </c>
      <c r="I5" s="6" t="s">
        <v>10</v>
      </c>
      <c r="J5" s="9">
        <v>55</v>
      </c>
      <c r="K5">
        <f>117-62</f>
        <v>55</v>
      </c>
    </row>
    <row r="6" spans="1:11" ht="95.25" thickTop="1">
      <c r="A6" s="11" t="s">
        <v>11</v>
      </c>
      <c r="B6" s="12" t="s">
        <v>12</v>
      </c>
      <c r="C6" s="12"/>
      <c r="D6" s="12"/>
      <c r="E6" s="6"/>
      <c r="F6" s="2"/>
      <c r="G6" s="2"/>
      <c r="H6" s="9"/>
      <c r="I6" s="2"/>
      <c r="J6" s="2" t="s">
        <v>13</v>
      </c>
    </row>
    <row r="7" spans="1:11" ht="16.5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1" ht="17.25" thickTop="1" thickBot="1">
      <c r="A8" s="13"/>
      <c r="B8" s="13"/>
      <c r="C8" s="13"/>
      <c r="D8" s="13"/>
      <c r="E8" s="6" t="s">
        <v>7</v>
      </c>
      <c r="F8" s="2">
        <f>-F4/F5</f>
        <v>81.666666666666671</v>
      </c>
      <c r="G8" s="2"/>
      <c r="H8" s="14" t="e">
        <f>SUM(I14:I38)</f>
        <v>#NUM!</v>
      </c>
      <c r="I8" s="2"/>
      <c r="J8" s="2" t="e">
        <f>-2*H8+2*2</f>
        <v>#NUM!</v>
      </c>
    </row>
    <row r="9" spans="1:11" ht="17.25" thickTop="1">
      <c r="A9" s="15"/>
      <c r="B9" s="15"/>
      <c r="C9" s="15"/>
      <c r="D9" s="15"/>
      <c r="E9" s="6" t="s">
        <v>16</v>
      </c>
      <c r="F9" s="16">
        <f>2*LN(3)/F5</f>
        <v>36.62040962227033</v>
      </c>
      <c r="G9" s="2"/>
      <c r="H9" s="17"/>
      <c r="I9" s="2"/>
      <c r="J9" s="2"/>
    </row>
    <row r="10" spans="1:11" ht="15.75">
      <c r="A10" s="18"/>
      <c r="B10" s="19"/>
      <c r="C10" s="19"/>
      <c r="D10" s="19"/>
      <c r="E10" s="19"/>
      <c r="F10" s="19"/>
      <c r="G10" s="2"/>
      <c r="H10" s="17"/>
      <c r="I10" s="2"/>
      <c r="J10" s="2"/>
    </row>
    <row r="11" spans="1:11" ht="15.75">
      <c r="A11" s="19"/>
      <c r="B11" s="19"/>
      <c r="C11" s="19"/>
      <c r="D11" s="19"/>
      <c r="E11" s="19"/>
      <c r="F11" s="19"/>
      <c r="G11" s="2"/>
      <c r="H11" s="17"/>
      <c r="I11" s="16"/>
      <c r="J11" s="2"/>
    </row>
    <row r="12" spans="1:11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1" ht="15.75">
      <c r="A13" s="2" t="s">
        <v>22</v>
      </c>
      <c r="B13" t="s">
        <v>42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1" ht="15.75">
      <c r="A14">
        <v>12.5</v>
      </c>
      <c r="B14" s="21">
        <v>0</v>
      </c>
      <c r="C14" s="21">
        <v>1</v>
      </c>
      <c r="D14" s="2">
        <f>+C14+B14</f>
        <v>1</v>
      </c>
      <c r="E14" s="8">
        <f t="shared" ref="E14:E38" si="0">+B14/(C14+B14)</f>
        <v>0</v>
      </c>
      <c r="F14" s="8">
        <f>EXP($F$4+$F$5*A14)/(1+EXP($F$4+$F$5*A14))</f>
        <v>1.5519756578408888E-2</v>
      </c>
      <c r="G14" s="8"/>
      <c r="H14" s="8">
        <f>COMBIN(D14,B14)*(F14^B14)*((1-F14)^C14)</f>
        <v>0.98448024342159113</v>
      </c>
      <c r="I14" s="8">
        <f>LN(H14)</f>
        <v>-1.5641448730935838E-2</v>
      </c>
      <c r="J14" s="2"/>
    </row>
    <row r="15" spans="1:11" ht="15.75">
      <c r="A15">
        <v>17.5</v>
      </c>
      <c r="B15" s="21">
        <v>1</v>
      </c>
      <c r="C15" s="21">
        <v>13</v>
      </c>
      <c r="D15" s="2">
        <f>+C15+B15</f>
        <v>14</v>
      </c>
      <c r="E15" s="8">
        <f t="shared" si="0"/>
        <v>7.1428571428571425E-2</v>
      </c>
      <c r="F15" s="8">
        <f t="shared" ref="F15:F38" si="1">EXP($F$4+$F$5*A15)/(1+EXP($F$4+$F$5*A15))</f>
        <v>2.0836344518680414E-2</v>
      </c>
      <c r="G15" s="8"/>
      <c r="H15" s="8">
        <f>COMBIN(D15,B15)*(F15^B15)*((1-F15)^C15)</f>
        <v>0.22185451433690281</v>
      </c>
      <c r="I15" s="8">
        <f>LN(H15)</f>
        <v>-1.5057334527642809</v>
      </c>
      <c r="J15" s="2"/>
    </row>
    <row r="16" spans="1:11" ht="15.75">
      <c r="A16">
        <v>22.5</v>
      </c>
      <c r="B16" s="21">
        <v>0</v>
      </c>
      <c r="C16" s="21">
        <v>11</v>
      </c>
      <c r="D16" s="2">
        <f>+C16+B16</f>
        <v>11</v>
      </c>
      <c r="E16" s="8">
        <f t="shared" si="0"/>
        <v>0</v>
      </c>
      <c r="F16" s="8">
        <f t="shared" si="1"/>
        <v>2.7922573784073004E-2</v>
      </c>
      <c r="G16" s="8"/>
      <c r="H16" s="8">
        <f>COMBIN(D16,B16)*(F16^B16)*((1-F16)^C16)</f>
        <v>0.73233440491250523</v>
      </c>
      <c r="I16" s="8">
        <f>LN(H16)</f>
        <v>-0.31151803202705497</v>
      </c>
      <c r="J16" s="2"/>
    </row>
    <row r="17" spans="1:10" ht="15.75">
      <c r="A17">
        <v>27.5</v>
      </c>
      <c r="B17" s="21">
        <v>1</v>
      </c>
      <c r="C17" s="21">
        <v>30</v>
      </c>
      <c r="D17" s="2">
        <f>+C17+B17</f>
        <v>31</v>
      </c>
      <c r="E17" s="8">
        <f t="shared" si="0"/>
        <v>3.2258064516129031E-2</v>
      </c>
      <c r="F17" s="8">
        <f t="shared" si="1"/>
        <v>3.732688734412945E-2</v>
      </c>
      <c r="G17" s="8"/>
      <c r="H17" s="8">
        <f>COMBIN(D17,B17)*(F17^B17)*((1-F17)^C17)</f>
        <v>0.36961427473713837</v>
      </c>
      <c r="I17" s="8">
        <f t="shared" ref="I17:I38" si="2">LN(H17)</f>
        <v>-0.9952953178361309</v>
      </c>
      <c r="J17" s="2"/>
    </row>
    <row r="18" spans="1:10" ht="15.75">
      <c r="A18">
        <v>32.5</v>
      </c>
      <c r="B18" s="21">
        <v>3</v>
      </c>
      <c r="C18" s="21">
        <v>101</v>
      </c>
      <c r="D18" s="2">
        <f t="shared" ref="D18:D38" si="3">+C18+B18</f>
        <v>104</v>
      </c>
      <c r="E18" s="8">
        <f t="shared" si="0"/>
        <v>2.8846153846153848E-2</v>
      </c>
      <c r="F18" s="8">
        <f t="shared" si="1"/>
        <v>4.9736511558556719E-2</v>
      </c>
      <c r="G18" s="8"/>
      <c r="H18" s="8">
        <f t="shared" ref="H18:H38" si="4">COMBIN(D18,B18)*(F18^B18)*((1-F18)^C18)</f>
        <v>0.12959665133213127</v>
      </c>
      <c r="I18" s="8">
        <f t="shared" si="2"/>
        <v>-2.0433283338844235</v>
      </c>
      <c r="J18" s="2"/>
    </row>
    <row r="19" spans="1:10" ht="15.75">
      <c r="A19">
        <v>37.5</v>
      </c>
      <c r="B19" s="21">
        <v>6</v>
      </c>
      <c r="C19" s="21">
        <v>80</v>
      </c>
      <c r="D19" s="2">
        <f t="shared" si="3"/>
        <v>86</v>
      </c>
      <c r="E19" s="8">
        <f t="shared" si="0"/>
        <v>6.9767441860465115E-2</v>
      </c>
      <c r="F19" s="8">
        <f t="shared" si="1"/>
        <v>6.5989009491218761E-2</v>
      </c>
      <c r="G19" s="8"/>
      <c r="H19" s="8">
        <f t="shared" si="4"/>
        <v>0.16490344018489012</v>
      </c>
      <c r="I19" s="8">
        <f t="shared" si="2"/>
        <v>-1.8023951873850155</v>
      </c>
      <c r="J19" s="2"/>
    </row>
    <row r="20" spans="1:10" ht="15.75">
      <c r="A20">
        <v>42.5</v>
      </c>
      <c r="B20" s="21">
        <v>4</v>
      </c>
      <c r="C20" s="21">
        <v>44</v>
      </c>
      <c r="D20" s="2">
        <f t="shared" si="3"/>
        <v>48</v>
      </c>
      <c r="E20" s="8">
        <f t="shared" si="0"/>
        <v>8.3333333333333329E-2</v>
      </c>
      <c r="F20" s="8">
        <f t="shared" si="1"/>
        <v>8.7065772440271222E-2</v>
      </c>
      <c r="G20" s="8"/>
      <c r="H20" s="8">
        <f t="shared" si="4"/>
        <v>0.20315409597707124</v>
      </c>
      <c r="I20" s="8">
        <f>LN(H20)</f>
        <v>-1.5937904944229788</v>
      </c>
      <c r="J20" s="2"/>
    </row>
    <row r="21" spans="1:10" ht="15.75">
      <c r="A21">
        <v>47.5</v>
      </c>
      <c r="B21" s="21">
        <v>3</v>
      </c>
      <c r="C21" s="21">
        <v>47</v>
      </c>
      <c r="D21" s="2">
        <f t="shared" si="3"/>
        <v>50</v>
      </c>
      <c r="E21" s="8">
        <f t="shared" si="0"/>
        <v>0.06</v>
      </c>
      <c r="F21" s="8">
        <f t="shared" si="1"/>
        <v>0.11405238127979081</v>
      </c>
      <c r="G21" s="8"/>
      <c r="H21" s="8">
        <f t="shared" si="4"/>
        <v>9.8117678940705305E-2</v>
      </c>
      <c r="I21" s="8">
        <f t="shared" si="2"/>
        <v>-2.3215877151844682</v>
      </c>
      <c r="J21" s="2"/>
    </row>
    <row r="22" spans="1:10" ht="15.75">
      <c r="A22">
        <v>52.5</v>
      </c>
      <c r="B22" s="21">
        <v>14</v>
      </c>
      <c r="C22" s="21">
        <v>108</v>
      </c>
      <c r="D22" s="2">
        <f t="shared" si="3"/>
        <v>122</v>
      </c>
      <c r="E22" s="8">
        <f t="shared" si="0"/>
        <v>0.11475409836065574</v>
      </c>
      <c r="F22" s="8">
        <f t="shared" si="1"/>
        <v>0.14804719803168942</v>
      </c>
      <c r="G22" s="8"/>
      <c r="H22" s="8">
        <f t="shared" si="4"/>
        <v>6.3461856189894139E-2</v>
      </c>
      <c r="I22" s="8">
        <f t="shared" si="2"/>
        <v>-2.7573162434928911</v>
      </c>
      <c r="J22" s="2"/>
    </row>
    <row r="23" spans="1:10" ht="15.75">
      <c r="A23">
        <v>57.5</v>
      </c>
      <c r="B23" s="21">
        <v>47</v>
      </c>
      <c r="C23" s="21">
        <v>170</v>
      </c>
      <c r="D23" s="2">
        <f t="shared" si="3"/>
        <v>217</v>
      </c>
      <c r="E23" s="8">
        <f t="shared" si="0"/>
        <v>0.21658986175115208</v>
      </c>
      <c r="F23" s="8">
        <f t="shared" si="1"/>
        <v>0.1900015660153129</v>
      </c>
      <c r="G23" s="8"/>
      <c r="H23" s="8">
        <f t="shared" si="4"/>
        <v>4.0531685047513644E-2</v>
      </c>
      <c r="I23" s="8">
        <f t="shared" si="2"/>
        <v>-3.2056712638912308</v>
      </c>
      <c r="J23" s="2"/>
    </row>
    <row r="24" spans="1:10" ht="15.75">
      <c r="A24">
        <v>62.5</v>
      </c>
      <c r="B24" s="21">
        <v>51</v>
      </c>
      <c r="C24" s="21">
        <v>135</v>
      </c>
      <c r="D24" s="2">
        <f t="shared" si="3"/>
        <v>186</v>
      </c>
      <c r="E24" s="8">
        <f t="shared" si="0"/>
        <v>0.27419354838709675</v>
      </c>
      <c r="F24" s="8">
        <f t="shared" si="1"/>
        <v>0.24048908305088887</v>
      </c>
      <c r="G24" s="8"/>
      <c r="H24" s="8">
        <f t="shared" si="4"/>
        <v>3.7338581040737888E-2</v>
      </c>
      <c r="I24" s="8">
        <f t="shared" si="2"/>
        <v>-3.2877281426420946</v>
      </c>
      <c r="J24" s="2"/>
    </row>
    <row r="25" spans="1:10" ht="15.75">
      <c r="A25">
        <v>67.5</v>
      </c>
      <c r="B25" s="21">
        <v>37</v>
      </c>
      <c r="C25" s="21">
        <v>102</v>
      </c>
      <c r="D25" s="2">
        <f t="shared" si="3"/>
        <v>139</v>
      </c>
      <c r="E25" s="8">
        <f t="shared" si="0"/>
        <v>0.26618705035971224</v>
      </c>
      <c r="F25" s="8">
        <f t="shared" si="1"/>
        <v>0.29943285752602694</v>
      </c>
      <c r="G25" s="8"/>
      <c r="H25" s="8">
        <f t="shared" si="4"/>
        <v>5.2514070821006897E-2</v>
      </c>
      <c r="I25" s="8">
        <f t="shared" si="2"/>
        <v>-2.9466741296561074</v>
      </c>
      <c r="J25" s="2"/>
    </row>
    <row r="26" spans="1:10" ht="15.75">
      <c r="A26">
        <v>72.5</v>
      </c>
      <c r="B26" s="21">
        <v>96</v>
      </c>
      <c r="C26" s="21">
        <v>137</v>
      </c>
      <c r="D26" s="2">
        <f t="shared" si="3"/>
        <v>233</v>
      </c>
      <c r="E26" s="8">
        <f t="shared" si="0"/>
        <v>0.41201716738197425</v>
      </c>
      <c r="F26" s="8">
        <f t="shared" si="1"/>
        <v>0.3658644089891992</v>
      </c>
      <c r="G26" s="8"/>
      <c r="H26" s="8">
        <f t="shared" si="4"/>
        <v>1.8512589684640243E-2</v>
      </c>
      <c r="I26" s="8">
        <f t="shared" si="2"/>
        <v>-3.9893042548549045</v>
      </c>
      <c r="J26" s="2"/>
    </row>
    <row r="27" spans="1:10" ht="15.75">
      <c r="A27">
        <v>77.5</v>
      </c>
      <c r="B27" s="21">
        <v>248</v>
      </c>
      <c r="C27" s="21">
        <v>243</v>
      </c>
      <c r="D27" s="2">
        <f t="shared" si="3"/>
        <v>491</v>
      </c>
      <c r="E27" s="8">
        <f t="shared" si="0"/>
        <v>0.50509164969450104</v>
      </c>
      <c r="F27" s="8">
        <f t="shared" si="1"/>
        <v>0.43782349911420171</v>
      </c>
      <c r="G27" s="8"/>
      <c r="H27" s="8">
        <f t="shared" si="4"/>
        <v>4.0935860830567826E-4</v>
      </c>
      <c r="I27" s="8">
        <f t="shared" si="2"/>
        <v>-7.8009189931564338</v>
      </c>
      <c r="J27" s="2"/>
    </row>
    <row r="28" spans="1:10" ht="15.75">
      <c r="A28">
        <v>82.5</v>
      </c>
      <c r="B28" s="21">
        <v>562</v>
      </c>
      <c r="C28" s="21">
        <v>440</v>
      </c>
      <c r="D28" s="2">
        <f t="shared" si="3"/>
        <v>1002</v>
      </c>
      <c r="E28" s="8">
        <f t="shared" si="0"/>
        <v>0.56087824351297411</v>
      </c>
      <c r="F28" s="8">
        <f t="shared" si="1"/>
        <v>0.51249739648421033</v>
      </c>
      <c r="G28" s="8"/>
      <c r="H28" s="8">
        <f t="shared" si="4"/>
        <v>2.2891649524066869E-4</v>
      </c>
      <c r="I28" s="8">
        <f t="shared" si="2"/>
        <v>-8.3821532705149355</v>
      </c>
      <c r="J28" s="2"/>
    </row>
    <row r="29" spans="1:10" ht="15.75">
      <c r="A29">
        <v>87.5</v>
      </c>
      <c r="B29" s="21">
        <v>847</v>
      </c>
      <c r="C29" s="21">
        <v>634</v>
      </c>
      <c r="D29" s="2">
        <f t="shared" si="3"/>
        <v>1481</v>
      </c>
      <c r="E29" s="8">
        <f t="shared" si="0"/>
        <v>0.5719108710330858</v>
      </c>
      <c r="F29" s="8">
        <f t="shared" si="1"/>
        <v>0.58661757891732991</v>
      </c>
      <c r="G29" s="8"/>
      <c r="H29" s="8" t="e">
        <f t="shared" si="4"/>
        <v>#NUM!</v>
      </c>
      <c r="I29" s="8" t="e">
        <f t="shared" si="2"/>
        <v>#NUM!</v>
      </c>
      <c r="J29" s="2"/>
    </row>
    <row r="30" spans="1:10" ht="15.75">
      <c r="A30">
        <v>92.5</v>
      </c>
      <c r="B30" s="21">
        <v>742</v>
      </c>
      <c r="C30" s="21">
        <v>530</v>
      </c>
      <c r="D30" s="2">
        <f t="shared" si="3"/>
        <v>1272</v>
      </c>
      <c r="E30" s="8">
        <f t="shared" si="0"/>
        <v>0.58333333333333337</v>
      </c>
      <c r="F30" s="8">
        <f t="shared" si="1"/>
        <v>0.65701046267349872</v>
      </c>
      <c r="G30" s="8"/>
      <c r="H30" s="8" t="e">
        <f t="shared" si="4"/>
        <v>#NUM!</v>
      </c>
      <c r="I30" s="8" t="e">
        <f t="shared" si="2"/>
        <v>#NUM!</v>
      </c>
      <c r="J30" s="2"/>
    </row>
    <row r="31" spans="1:10" ht="15.75">
      <c r="A31">
        <v>97.5</v>
      </c>
      <c r="B31" s="21">
        <v>288</v>
      </c>
      <c r="C31" s="21">
        <v>247</v>
      </c>
      <c r="D31" s="2">
        <f t="shared" si="3"/>
        <v>535</v>
      </c>
      <c r="E31" s="8">
        <f t="shared" si="0"/>
        <v>0.53831775700934581</v>
      </c>
      <c r="F31" s="8">
        <f t="shared" si="1"/>
        <v>0.72111517802286296</v>
      </c>
      <c r="G31" s="8"/>
      <c r="H31" s="8">
        <f t="shared" si="4"/>
        <v>1.0769798906263829E-19</v>
      </c>
      <c r="I31" s="8">
        <f t="shared" si="2"/>
        <v>-43.67495604054303</v>
      </c>
      <c r="J31" s="2"/>
    </row>
    <row r="32" spans="1:10" ht="15.75">
      <c r="A32">
        <v>102.5</v>
      </c>
      <c r="B32" s="21">
        <v>77</v>
      </c>
      <c r="C32" s="21">
        <v>56</v>
      </c>
      <c r="D32" s="2">
        <f t="shared" si="3"/>
        <v>133</v>
      </c>
      <c r="E32" s="8">
        <f t="shared" si="0"/>
        <v>0.57894736842105265</v>
      </c>
      <c r="F32" s="8">
        <f t="shared" si="1"/>
        <v>0.77729986117469108</v>
      </c>
      <c r="G32" s="2"/>
      <c r="H32" s="8">
        <f t="shared" si="4"/>
        <v>1.607955404804836E-7</v>
      </c>
      <c r="I32" s="8">
        <f t="shared" si="2"/>
        <v>-15.643132213916447</v>
      </c>
      <c r="J32" s="2"/>
    </row>
    <row r="33" spans="1:10" ht="15.75">
      <c r="A33">
        <v>107.5</v>
      </c>
      <c r="B33" s="21">
        <v>13</v>
      </c>
      <c r="C33" s="21">
        <v>13</v>
      </c>
      <c r="D33" s="2">
        <f t="shared" si="3"/>
        <v>26</v>
      </c>
      <c r="E33" s="8">
        <f t="shared" si="0"/>
        <v>0.5</v>
      </c>
      <c r="F33" s="8">
        <f t="shared" si="1"/>
        <v>0.82491373183596017</v>
      </c>
      <c r="G33" s="20"/>
      <c r="H33" s="8">
        <f t="shared" si="4"/>
        <v>1.2377885023237445E-4</v>
      </c>
      <c r="I33" s="8">
        <f t="shared" si="2"/>
        <v>-8.9970140504958884</v>
      </c>
      <c r="J33" s="2"/>
    </row>
    <row r="34" spans="1:10" ht="15.75">
      <c r="A34">
        <v>112.5</v>
      </c>
      <c r="B34" s="21">
        <v>3</v>
      </c>
      <c r="C34" s="21">
        <v>4</v>
      </c>
      <c r="D34" s="2">
        <f t="shared" si="3"/>
        <v>7</v>
      </c>
      <c r="E34" s="8">
        <f t="shared" si="0"/>
        <v>0.42857142857142855</v>
      </c>
      <c r="F34" s="8">
        <f t="shared" si="1"/>
        <v>0.86412710299090567</v>
      </c>
      <c r="G34" s="20"/>
      <c r="H34" s="8">
        <f t="shared" si="4"/>
        <v>7.6971910460503805E-3</v>
      </c>
      <c r="I34" s="8">
        <f t="shared" si="2"/>
        <v>-4.8668998158921557</v>
      </c>
      <c r="J34" s="2"/>
    </row>
    <row r="35" spans="1:10" ht="15.75">
      <c r="A35">
        <v>117.5</v>
      </c>
      <c r="B35" s="21">
        <v>0</v>
      </c>
      <c r="C35" s="21">
        <v>0</v>
      </c>
      <c r="D35" s="2">
        <f t="shared" si="3"/>
        <v>0</v>
      </c>
      <c r="E35" s="8" t="e">
        <f t="shared" si="0"/>
        <v>#DIV/0!</v>
      </c>
      <c r="F35" s="8">
        <f t="shared" si="1"/>
        <v>0.89566877688099866</v>
      </c>
      <c r="G35" s="20"/>
      <c r="H35" s="8">
        <f t="shared" si="4"/>
        <v>1</v>
      </c>
      <c r="I35" s="8">
        <f t="shared" si="2"/>
        <v>0</v>
      </c>
      <c r="J35" s="2"/>
    </row>
    <row r="36" spans="1:10" ht="15.75">
      <c r="A36">
        <v>122.5</v>
      </c>
      <c r="B36">
        <v>0</v>
      </c>
      <c r="C36">
        <v>0</v>
      </c>
      <c r="D36" s="2">
        <f t="shared" si="3"/>
        <v>0</v>
      </c>
      <c r="E36" s="8" t="e">
        <f t="shared" si="0"/>
        <v>#DIV/0!</v>
      </c>
      <c r="F36" s="8">
        <f t="shared" si="1"/>
        <v>0.92056145081602159</v>
      </c>
      <c r="G36" s="20"/>
      <c r="H36" s="8">
        <f t="shared" si="4"/>
        <v>1</v>
      </c>
      <c r="I36" s="8">
        <f t="shared" si="2"/>
        <v>0</v>
      </c>
      <c r="J36" s="2"/>
    </row>
    <row r="37" spans="1:10" ht="15.75">
      <c r="A37">
        <v>127.5</v>
      </c>
      <c r="B37">
        <v>0</v>
      </c>
      <c r="C37">
        <v>0</v>
      </c>
      <c r="D37" s="2">
        <f t="shared" si="3"/>
        <v>0</v>
      </c>
      <c r="E37" s="8" t="e">
        <f t="shared" si="0"/>
        <v>#DIV/0!</v>
      </c>
      <c r="F37" s="8">
        <f t="shared" si="1"/>
        <v>0.93991334982599239</v>
      </c>
      <c r="G37" s="2"/>
      <c r="H37" s="8">
        <f t="shared" si="4"/>
        <v>1</v>
      </c>
      <c r="I37" s="8">
        <f t="shared" si="2"/>
        <v>0</v>
      </c>
      <c r="J37" s="2"/>
    </row>
    <row r="38" spans="1:10" ht="15.75">
      <c r="A38">
        <v>132.5</v>
      </c>
      <c r="B38">
        <v>0</v>
      </c>
      <c r="C38">
        <v>0</v>
      </c>
      <c r="D38" s="2">
        <f t="shared" si="3"/>
        <v>0</v>
      </c>
      <c r="E38" s="8" t="e">
        <f t="shared" si="0"/>
        <v>#DIV/0!</v>
      </c>
      <c r="F38" s="8">
        <f t="shared" si="1"/>
        <v>0.95478252651671247</v>
      </c>
      <c r="G38" s="2"/>
      <c r="H38" s="8">
        <f t="shared" si="4"/>
        <v>1</v>
      </c>
      <c r="I38" s="8">
        <f t="shared" si="2"/>
        <v>0</v>
      </c>
      <c r="J38" s="2"/>
    </row>
    <row r="39" spans="1:10" ht="15.75">
      <c r="B39" s="21"/>
      <c r="C39" s="21"/>
      <c r="D39" s="2"/>
      <c r="E39" s="8"/>
      <c r="F39" s="8"/>
      <c r="G39" s="2"/>
      <c r="H39" s="8"/>
      <c r="I39" s="8"/>
      <c r="J39" s="2"/>
    </row>
    <row r="40" spans="1:10" ht="15.75">
      <c r="B40" s="21"/>
      <c r="C40" s="21"/>
      <c r="D40" s="2"/>
      <c r="E40" s="8"/>
      <c r="F40" s="8"/>
      <c r="G40" s="2"/>
      <c r="H40" s="8"/>
      <c r="I40" s="8"/>
      <c r="J40" s="2"/>
    </row>
    <row r="41" spans="1:10" ht="15.75">
      <c r="B41" s="21"/>
      <c r="C41" s="21"/>
      <c r="D41" s="2"/>
      <c r="E41" s="8"/>
      <c r="F41" s="8"/>
      <c r="G41" s="2"/>
      <c r="H41" s="8"/>
      <c r="I41" s="8"/>
      <c r="J41" s="2"/>
    </row>
    <row r="42" spans="1:10" ht="15.75">
      <c r="B42" s="21"/>
      <c r="C42" s="21"/>
      <c r="D42" s="2"/>
      <c r="E42" s="8"/>
      <c r="F42" s="8"/>
      <c r="G42" s="2"/>
      <c r="H42" s="8"/>
      <c r="I42" s="8"/>
      <c r="J42" s="2"/>
    </row>
    <row r="43" spans="1:10" ht="15.75">
      <c r="B43" s="21"/>
      <c r="C43" s="21"/>
      <c r="D43" s="2"/>
      <c r="E43" s="8"/>
      <c r="F43" s="8"/>
      <c r="G43" s="2"/>
      <c r="H43" s="8"/>
      <c r="I43" s="8"/>
      <c r="J43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" zoomScale="70" zoomScaleNormal="70" workbookViewId="0">
      <selection activeCell="F6" sqref="F6"/>
    </sheetView>
  </sheetViews>
  <sheetFormatPr defaultRowHeight="15"/>
  <sheetData>
    <row r="1" spans="1:10" ht="2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ht="27.75">
      <c r="B2" s="1" t="s">
        <v>30</v>
      </c>
      <c r="C2" s="2"/>
      <c r="D2" s="2"/>
      <c r="G2" s="2"/>
      <c r="H2" s="3"/>
      <c r="I2" s="2"/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0.26</v>
      </c>
      <c r="G4" s="2"/>
      <c r="H4" s="8">
        <f>-J4*H5</f>
        <v>-7.6902860206767683</v>
      </c>
      <c r="I4" s="6" t="s">
        <v>7</v>
      </c>
      <c r="J4" s="9">
        <v>87.5</v>
      </c>
    </row>
    <row r="5" spans="1:10" ht="15.75">
      <c r="A5" s="2"/>
      <c r="B5" s="2"/>
      <c r="C5" s="2"/>
      <c r="D5" s="2"/>
      <c r="E5" s="6" t="s">
        <v>9</v>
      </c>
      <c r="F5" s="22">
        <v>3.9E-2</v>
      </c>
      <c r="G5" s="2"/>
      <c r="H5" s="8">
        <f>2*LN(3)/J5</f>
        <v>8.788898309344878E-2</v>
      </c>
      <c r="I5" s="6" t="s">
        <v>10</v>
      </c>
      <c r="J5" s="9">
        <v>25</v>
      </c>
    </row>
    <row r="6" spans="1:10" ht="16.5" thickBot="1">
      <c r="B6" s="23"/>
      <c r="C6" s="23"/>
      <c r="D6" s="23"/>
      <c r="E6" s="6" t="s">
        <v>31</v>
      </c>
      <c r="F6" s="24">
        <v>0.05</v>
      </c>
      <c r="G6" s="2"/>
      <c r="H6" s="9"/>
      <c r="I6" s="2"/>
      <c r="J6" s="2" t="s">
        <v>13</v>
      </c>
    </row>
    <row r="7" spans="1:10" ht="17.25" thickTop="1" thickBot="1">
      <c r="A7" s="23"/>
      <c r="B7" s="23"/>
      <c r="C7" s="23"/>
      <c r="D7" s="2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23"/>
      <c r="B8" s="23"/>
      <c r="C8" s="23"/>
      <c r="D8" s="23"/>
      <c r="E8" s="6" t="s">
        <v>7</v>
      </c>
      <c r="F8" s="2">
        <f>(LN(0.5^$F6/(1-0.5^$F6))-$F4)/$F5</f>
        <v>79.099140203426742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23"/>
      <c r="B9" s="23"/>
      <c r="C9" s="23"/>
      <c r="D9" s="23"/>
      <c r="E9" s="6" t="s">
        <v>16</v>
      </c>
      <c r="F9" s="16">
        <f>(LN(0.75^$F6/(1-0.75^$F6))-LN(0.25^$F6/(1-0.25^$F6)))/$F5</f>
        <v>41.030524377525921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42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0</v>
      </c>
      <c r="C14" s="21">
        <v>1</v>
      </c>
      <c r="D14" s="2">
        <f t="shared" ref="D14:D38" si="0">+C14+B14</f>
        <v>1</v>
      </c>
      <c r="E14" s="8">
        <f t="shared" ref="E14:E38" si="1">+B14/(C14+B14)</f>
        <v>0</v>
      </c>
      <c r="F14" s="8">
        <f>(EXP($F$4+$F$5*A14)/(1+EXP($F$4+$F$5*A14)))^(1/$F$6)</f>
        <v>4.2924838960538834E-4</v>
      </c>
      <c r="G14" s="8"/>
      <c r="H14" s="8">
        <f t="shared" ref="H14:H38" si="2">COMBIN(D14,B14)*(F14^B14)*((1-F14)^C14)</f>
        <v>0.99957075161039466</v>
      </c>
      <c r="I14" s="8">
        <f t="shared" ref="I14:I38" si="3">LN(H14)</f>
        <v>-4.2934054306742421E-4</v>
      </c>
      <c r="J14" s="2"/>
    </row>
    <row r="15" spans="1:10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(EXP($F$4+$F$5*A15)/(1+EXP($F$4+$F$5*A15)))^(1/$F$6)</f>
        <v>1.3863593943209702E-3</v>
      </c>
      <c r="G15" s="8"/>
      <c r="H15" s="8">
        <f t="shared" si="2"/>
        <v>1.9062123882073349E-2</v>
      </c>
      <c r="I15" s="8">
        <f t="shared" si="3"/>
        <v>-3.9600519555856413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3.8410099147349421E-3</v>
      </c>
      <c r="G16" s="8"/>
      <c r="H16" s="8">
        <f t="shared" si="2"/>
        <v>0.95855104683999659</v>
      </c>
      <c r="I16" s="8">
        <f t="shared" si="3"/>
        <v>-4.2332460908807275E-2</v>
      </c>
      <c r="J16" s="2"/>
    </row>
    <row r="17" spans="1:10" ht="15.75">
      <c r="A17" s="2">
        <v>27.5</v>
      </c>
      <c r="B17" s="21">
        <v>1</v>
      </c>
      <c r="C17" s="21">
        <v>30</v>
      </c>
      <c r="D17" s="2">
        <f t="shared" si="0"/>
        <v>31</v>
      </c>
      <c r="E17" s="8">
        <f t="shared" si="1"/>
        <v>3.2258064516129031E-2</v>
      </c>
      <c r="F17" s="8">
        <f t="shared" si="4"/>
        <v>9.2537310040722784E-3</v>
      </c>
      <c r="G17" s="8"/>
      <c r="H17" s="8">
        <f t="shared" si="2"/>
        <v>0.21704607187078237</v>
      </c>
      <c r="I17" s="8">
        <f t="shared" si="3"/>
        <v>-1.5276456352082615</v>
      </c>
      <c r="J17" s="2"/>
    </row>
    <row r="18" spans="1:10" ht="15.75">
      <c r="A18" s="2">
        <v>32.5</v>
      </c>
      <c r="B18" s="21">
        <v>3</v>
      </c>
      <c r="C18" s="21">
        <v>101</v>
      </c>
      <c r="D18" s="2">
        <f t="shared" si="0"/>
        <v>104</v>
      </c>
      <c r="E18" s="8">
        <f t="shared" si="1"/>
        <v>2.8846153846153848E-2</v>
      </c>
      <c r="F18" s="8">
        <f t="shared" si="4"/>
        <v>1.9662286236362909E-2</v>
      </c>
      <c r="G18" s="8"/>
      <c r="H18" s="8">
        <f t="shared" si="2"/>
        <v>0.18628087638993343</v>
      </c>
      <c r="I18" s="8">
        <f t="shared" si="3"/>
        <v>-1.6804996561875232</v>
      </c>
      <c r="J18" s="2"/>
    </row>
    <row r="19" spans="1:10" ht="15.75">
      <c r="A19" s="2">
        <v>37.5</v>
      </c>
      <c r="B19" s="21">
        <v>6</v>
      </c>
      <c r="C19" s="21">
        <v>80</v>
      </c>
      <c r="D19" s="2">
        <f t="shared" si="0"/>
        <v>86</v>
      </c>
      <c r="E19" s="8">
        <f t="shared" si="1"/>
        <v>6.9767441860465115E-2</v>
      </c>
      <c r="F19" s="8">
        <f t="shared" si="4"/>
        <v>3.7370674397767215E-2</v>
      </c>
      <c r="G19" s="8"/>
      <c r="H19" s="8">
        <f t="shared" si="2"/>
        <v>6.0835036832015875E-2</v>
      </c>
      <c r="I19" s="8">
        <f t="shared" si="3"/>
        <v>-2.7995893923017001</v>
      </c>
      <c r="J19" s="2"/>
    </row>
    <row r="20" spans="1:10" ht="15.75">
      <c r="A20" s="2">
        <v>42.5</v>
      </c>
      <c r="B20" s="21">
        <v>4</v>
      </c>
      <c r="C20" s="21">
        <v>44</v>
      </c>
      <c r="D20" s="2">
        <f t="shared" si="0"/>
        <v>48</v>
      </c>
      <c r="E20" s="8">
        <f t="shared" si="1"/>
        <v>8.3333333333333329E-2</v>
      </c>
      <c r="F20" s="8">
        <f t="shared" si="4"/>
        <v>6.4406396823817894E-2</v>
      </c>
      <c r="G20" s="8"/>
      <c r="H20" s="8">
        <f t="shared" si="2"/>
        <v>0.17891754899558443</v>
      </c>
      <c r="I20" s="8">
        <f t="shared" si="3"/>
        <v>-1.7208301993958248</v>
      </c>
      <c r="J20" s="2"/>
    </row>
    <row r="21" spans="1:10" ht="15.75">
      <c r="A21" s="2">
        <v>47.5</v>
      </c>
      <c r="B21" s="21">
        <v>3</v>
      </c>
      <c r="C21" s="21">
        <v>47</v>
      </c>
      <c r="D21" s="2">
        <f t="shared" si="0"/>
        <v>50</v>
      </c>
      <c r="E21" s="8">
        <f t="shared" si="1"/>
        <v>0.06</v>
      </c>
      <c r="F21" s="8">
        <f t="shared" si="4"/>
        <v>0.10195052512788148</v>
      </c>
      <c r="G21" s="8"/>
      <c r="H21" s="8">
        <f t="shared" si="2"/>
        <v>0.13259796087061299</v>
      </c>
      <c r="I21" s="8">
        <f t="shared" si="3"/>
        <v>-2.0204335793982944</v>
      </c>
      <c r="J21" s="2"/>
    </row>
    <row r="22" spans="1:10" ht="15.75">
      <c r="A22" s="2">
        <v>52.5</v>
      </c>
      <c r="B22" s="21">
        <v>14</v>
      </c>
      <c r="C22" s="21">
        <v>108</v>
      </c>
      <c r="D22" s="2">
        <f t="shared" si="0"/>
        <v>122</v>
      </c>
      <c r="E22" s="8">
        <f t="shared" si="1"/>
        <v>0.11475409836065574</v>
      </c>
      <c r="F22" s="8">
        <f t="shared" si="4"/>
        <v>0.14997489903077535</v>
      </c>
      <c r="G22" s="8"/>
      <c r="H22" s="8">
        <f t="shared" si="2"/>
        <v>5.9555432299546719E-2</v>
      </c>
      <c r="I22" s="8">
        <f t="shared" si="3"/>
        <v>-2.8208477648468593</v>
      </c>
      <c r="J22" s="2"/>
    </row>
    <row r="23" spans="1:10" ht="15.75">
      <c r="A23" s="2">
        <v>57.5</v>
      </c>
      <c r="B23" s="21">
        <v>47</v>
      </c>
      <c r="C23" s="21">
        <v>170</v>
      </c>
      <c r="D23" s="2">
        <f t="shared" si="0"/>
        <v>217</v>
      </c>
      <c r="E23" s="8">
        <f t="shared" si="1"/>
        <v>0.21658986175115208</v>
      </c>
      <c r="F23" s="8">
        <f t="shared" si="4"/>
        <v>0.20721338832083461</v>
      </c>
      <c r="G23" s="8"/>
      <c r="H23" s="8">
        <f t="shared" si="2"/>
        <v>6.195924671807311E-2</v>
      </c>
      <c r="I23" s="8">
        <f t="shared" si="3"/>
        <v>-2.781278421059453</v>
      </c>
      <c r="J23" s="2"/>
    </row>
    <row r="24" spans="1:10" ht="15.75">
      <c r="A24" s="2">
        <v>62.5</v>
      </c>
      <c r="B24" s="21">
        <v>51</v>
      </c>
      <c r="C24" s="21">
        <v>135</v>
      </c>
      <c r="D24" s="2">
        <f t="shared" si="0"/>
        <v>186</v>
      </c>
      <c r="E24" s="8">
        <f t="shared" si="1"/>
        <v>0.27419354838709675</v>
      </c>
      <c r="F24" s="8">
        <f t="shared" si="4"/>
        <v>0.27143743884050231</v>
      </c>
      <c r="G24" s="8"/>
      <c r="H24" s="8">
        <f t="shared" si="2"/>
        <v>6.5220378034999998E-2</v>
      </c>
      <c r="I24" s="8">
        <f t="shared" si="3"/>
        <v>-2.7299833123329482</v>
      </c>
      <c r="J24" s="2"/>
    </row>
    <row r="25" spans="1:10" ht="15.75">
      <c r="A25" s="2">
        <v>67.5</v>
      </c>
      <c r="B25" s="21">
        <v>37</v>
      </c>
      <c r="C25" s="21">
        <v>102</v>
      </c>
      <c r="D25" s="2">
        <f t="shared" si="0"/>
        <v>139</v>
      </c>
      <c r="E25" s="8">
        <f t="shared" si="1"/>
        <v>0.26618705035971224</v>
      </c>
      <c r="F25" s="8">
        <f t="shared" si="4"/>
        <v>0.33989911446641768</v>
      </c>
      <c r="G25" s="8"/>
      <c r="H25" s="8">
        <f t="shared" si="2"/>
        <v>1.3228885948405104E-2</v>
      </c>
      <c r="I25" s="8">
        <f t="shared" si="3"/>
        <v>-4.3253525108705944</v>
      </c>
      <c r="J25" s="2"/>
    </row>
    <row r="26" spans="1:10" ht="15.75">
      <c r="A26" s="2">
        <v>72.5</v>
      </c>
      <c r="B26" s="21">
        <v>96</v>
      </c>
      <c r="C26" s="21">
        <v>137</v>
      </c>
      <c r="D26" s="2">
        <f t="shared" si="0"/>
        <v>233</v>
      </c>
      <c r="E26" s="8">
        <f t="shared" si="1"/>
        <v>0.41201716738197425</v>
      </c>
      <c r="F26" s="8">
        <f t="shared" si="4"/>
        <v>0.40978572816424047</v>
      </c>
      <c r="G26" s="8"/>
      <c r="H26" s="8">
        <f t="shared" si="2"/>
        <v>5.291334743862737E-2</v>
      </c>
      <c r="I26" s="8">
        <f t="shared" si="3"/>
        <v>-2.9390996574140229</v>
      </c>
      <c r="J26" s="2"/>
    </row>
    <row r="27" spans="1:10" ht="15.75">
      <c r="A27" s="2">
        <v>77.5</v>
      </c>
      <c r="B27" s="21">
        <v>248</v>
      </c>
      <c r="C27" s="21">
        <v>243</v>
      </c>
      <c r="D27" s="2">
        <f t="shared" si="0"/>
        <v>491</v>
      </c>
      <c r="E27" s="8">
        <f t="shared" si="1"/>
        <v>0.50509164969450104</v>
      </c>
      <c r="F27" s="8">
        <f t="shared" si="4"/>
        <v>0.47857577230094106</v>
      </c>
      <c r="G27" s="8"/>
      <c r="H27" s="8">
        <f t="shared" si="2"/>
        <v>1.8034785073838815E-2</v>
      </c>
      <c r="I27" s="8">
        <f t="shared" si="3"/>
        <v>-4.0154528818676578</v>
      </c>
      <c r="J27" s="2"/>
    </row>
    <row r="28" spans="1:10" ht="15.75">
      <c r="A28" s="2">
        <v>82.5</v>
      </c>
      <c r="B28" s="21">
        <v>562</v>
      </c>
      <c r="C28" s="21">
        <v>440</v>
      </c>
      <c r="D28" s="2">
        <f t="shared" si="0"/>
        <v>1002</v>
      </c>
      <c r="E28" s="8">
        <f t="shared" si="1"/>
        <v>0.56087824351297411</v>
      </c>
      <c r="F28" s="8">
        <f t="shared" si="4"/>
        <v>0.54425143905057749</v>
      </c>
      <c r="G28" s="8"/>
      <c r="H28" s="8">
        <f t="shared" si="2"/>
        <v>1.4508110935251468E-2</v>
      </c>
      <c r="I28" s="8">
        <f t="shared" si="3"/>
        <v>-4.2330474111024694</v>
      </c>
      <c r="J28" s="2"/>
    </row>
    <row r="29" spans="1:10" ht="15.75">
      <c r="A29" s="2">
        <v>87.5</v>
      </c>
      <c r="B29" s="21">
        <v>847</v>
      </c>
      <c r="C29" s="21">
        <v>634</v>
      </c>
      <c r="D29" s="2">
        <f t="shared" si="0"/>
        <v>1481</v>
      </c>
      <c r="E29" s="8">
        <f t="shared" si="1"/>
        <v>0.5719108710330858</v>
      </c>
      <c r="F29" s="8">
        <f t="shared" si="4"/>
        <v>0.60537546996186942</v>
      </c>
      <c r="G29" s="8"/>
      <c r="H29" s="8" t="e">
        <f t="shared" si="2"/>
        <v>#NUM!</v>
      </c>
      <c r="I29" s="8" t="e">
        <f t="shared" si="3"/>
        <v>#NUM!</v>
      </c>
      <c r="J29" s="2"/>
    </row>
    <row r="30" spans="1:10" ht="15.75">
      <c r="A30" s="2">
        <v>92.5</v>
      </c>
      <c r="B30" s="21">
        <v>742</v>
      </c>
      <c r="C30" s="21">
        <v>530</v>
      </c>
      <c r="D30" s="2">
        <f t="shared" si="0"/>
        <v>1272</v>
      </c>
      <c r="E30" s="8">
        <f t="shared" si="1"/>
        <v>0.58333333333333337</v>
      </c>
      <c r="F30" s="8">
        <f t="shared" si="4"/>
        <v>0.66106764807308183</v>
      </c>
      <c r="G30" s="8"/>
      <c r="H30" s="8" t="e">
        <f t="shared" si="2"/>
        <v>#NUM!</v>
      </c>
      <c r="I30" s="8" t="e">
        <f t="shared" si="3"/>
        <v>#NUM!</v>
      </c>
      <c r="J30" s="2"/>
    </row>
    <row r="31" spans="1:10" ht="15.75">
      <c r="A31" s="2">
        <v>97.5</v>
      </c>
      <c r="B31" s="21">
        <v>288</v>
      </c>
      <c r="C31" s="21">
        <v>247</v>
      </c>
      <c r="D31" s="2">
        <f t="shared" si="0"/>
        <v>535</v>
      </c>
      <c r="E31" s="8">
        <f t="shared" si="1"/>
        <v>0.53831775700934581</v>
      </c>
      <c r="F31" s="8">
        <f t="shared" si="4"/>
        <v>0.71092233603954758</v>
      </c>
      <c r="G31" s="8"/>
      <c r="H31" s="8">
        <f t="shared" si="2"/>
        <v>1.2656089614530031E-17</v>
      </c>
      <c r="I31" s="8">
        <f t="shared" si="3"/>
        <v>-38.9083931820985</v>
      </c>
      <c r="J31" s="2"/>
    </row>
    <row r="32" spans="1:10" ht="15.75">
      <c r="A32" s="2">
        <v>102.5</v>
      </c>
      <c r="B32" s="21">
        <v>77</v>
      </c>
      <c r="C32" s="21">
        <v>56</v>
      </c>
      <c r="D32" s="2">
        <f t="shared" si="0"/>
        <v>133</v>
      </c>
      <c r="E32" s="8">
        <f t="shared" si="1"/>
        <v>0.57894736842105265</v>
      </c>
      <c r="F32" s="8">
        <f t="shared" si="4"/>
        <v>0.75490197304247464</v>
      </c>
      <c r="G32" s="2"/>
      <c r="H32" s="8">
        <f t="shared" si="2"/>
        <v>3.6241657399435891E-6</v>
      </c>
      <c r="I32" s="8">
        <f t="shared" si="3"/>
        <v>-12.527886436849288</v>
      </c>
      <c r="J32" s="2"/>
    </row>
    <row r="33" spans="1:10" ht="15.75">
      <c r="A33" s="2">
        <v>107.5</v>
      </c>
      <c r="B33" s="21">
        <v>13</v>
      </c>
      <c r="C33" s="21">
        <v>13</v>
      </c>
      <c r="D33" s="2">
        <f t="shared" si="0"/>
        <v>26</v>
      </c>
      <c r="E33" s="8">
        <f t="shared" si="1"/>
        <v>0.5</v>
      </c>
      <c r="F33" s="8">
        <f t="shared" si="4"/>
        <v>0.79323044403089915</v>
      </c>
      <c r="G33" s="20"/>
      <c r="H33" s="8">
        <f t="shared" si="2"/>
        <v>6.4651111003062871E-4</v>
      </c>
      <c r="I33" s="8">
        <f t="shared" si="3"/>
        <v>-7.3439201750111902</v>
      </c>
      <c r="J33" s="2"/>
    </row>
    <row r="34" spans="1:10" ht="15.75">
      <c r="A34" s="2">
        <v>112.5</v>
      </c>
      <c r="B34" s="21">
        <v>3</v>
      </c>
      <c r="C34" s="21">
        <v>4</v>
      </c>
      <c r="D34" s="2">
        <f t="shared" si="0"/>
        <v>7</v>
      </c>
      <c r="E34" s="8">
        <f t="shared" si="1"/>
        <v>0.42857142857142855</v>
      </c>
      <c r="F34" s="8">
        <f t="shared" si="4"/>
        <v>0.82629971386363477</v>
      </c>
      <c r="G34" s="20"/>
      <c r="H34" s="8">
        <f t="shared" si="2"/>
        <v>1.7975583090466971E-2</v>
      </c>
      <c r="I34" s="8">
        <f t="shared" si="3"/>
        <v>-4.0187409369322031</v>
      </c>
      <c r="J34" s="2"/>
    </row>
    <row r="35" spans="1:10" ht="15.75">
      <c r="A35" s="2">
        <v>117.5</v>
      </c>
      <c r="B35" s="21">
        <v>0</v>
      </c>
      <c r="C35" s="21">
        <v>0</v>
      </c>
      <c r="D35" s="2">
        <f t="shared" si="0"/>
        <v>0</v>
      </c>
      <c r="E35" s="8" t="e">
        <f t="shared" si="1"/>
        <v>#DIV/0!</v>
      </c>
      <c r="F35" s="8">
        <f t="shared" si="4"/>
        <v>0.85459519591674127</v>
      </c>
      <c r="G35" s="20"/>
      <c r="H35" s="8">
        <f t="shared" si="2"/>
        <v>1</v>
      </c>
      <c r="I35" s="8">
        <f t="shared" si="3"/>
        <v>0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0.87864030236874424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0.89895796563569708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0.91604587792870384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ht="15.7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>
      <c r="A58" s="2"/>
      <c r="B58" s="2"/>
      <c r="C58" s="2"/>
      <c r="D58" s="2"/>
      <c r="E58" s="2"/>
      <c r="F58" s="2"/>
      <c r="G58" s="2"/>
      <c r="H58" s="2"/>
      <c r="I58" s="2"/>
      <c r="J58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50" zoomScaleNormal="50" workbookViewId="0">
      <selection activeCell="L19" sqref="L19"/>
    </sheetView>
  </sheetViews>
  <sheetFormatPr defaultRowHeight="15"/>
  <sheetData>
    <row r="1" spans="1:10" ht="20.25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</row>
    <row r="2" spans="1:10" ht="20.25">
      <c r="B2" s="1" t="s">
        <v>36</v>
      </c>
      <c r="C2" s="2"/>
      <c r="D2" s="2"/>
      <c r="G2" s="2"/>
      <c r="H2" s="3"/>
      <c r="I2" s="27" t="s">
        <v>37</v>
      </c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-9.5760978992530621</v>
      </c>
      <c r="G4" s="2"/>
      <c r="H4" s="8">
        <f>-J4*H5</f>
        <v>-7.6902860206767683</v>
      </c>
      <c r="I4" s="6" t="s">
        <v>7</v>
      </c>
      <c r="J4" s="9">
        <v>87.5</v>
      </c>
    </row>
    <row r="5" spans="1:10" ht="15.75">
      <c r="A5" s="2"/>
      <c r="B5" s="2"/>
      <c r="C5" s="2"/>
      <c r="D5" s="2"/>
      <c r="E5" s="6" t="s">
        <v>9</v>
      </c>
      <c r="F5" s="22">
        <v>7.1999999999999995E-2</v>
      </c>
      <c r="G5" s="2"/>
      <c r="H5" s="8">
        <f>2*LN(3)/J5</f>
        <v>8.788898309344878E-2</v>
      </c>
      <c r="I5" s="6" t="s">
        <v>10</v>
      </c>
      <c r="J5" s="9">
        <v>25</v>
      </c>
    </row>
    <row r="6" spans="1:10" ht="16.5" thickBot="1">
      <c r="B6" s="13"/>
      <c r="C6" s="13"/>
      <c r="D6" s="13"/>
      <c r="E6" s="6" t="s">
        <v>38</v>
      </c>
      <c r="F6" s="24">
        <v>1.0095410327630621</v>
      </c>
      <c r="G6" s="2"/>
      <c r="H6" s="9"/>
      <c r="I6" s="2"/>
      <c r="J6" s="2" t="s">
        <v>13</v>
      </c>
    </row>
    <row r="7" spans="1:10" ht="17.25" thickTop="1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13"/>
      <c r="B8" s="13"/>
      <c r="C8" s="13"/>
      <c r="D8" s="13"/>
      <c r="E8" s="6" t="s">
        <v>7</v>
      </c>
      <c r="F8" s="2">
        <f>-F4/F5</f>
        <v>133.0013597118481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13"/>
      <c r="B9" s="13"/>
      <c r="C9" s="13"/>
      <c r="D9" s="13"/>
      <c r="E9" s="6" t="s">
        <v>16</v>
      </c>
      <c r="F9" s="16">
        <f>2*LN(3)/F5</f>
        <v>30.517008018558606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42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0</v>
      </c>
      <c r="C14" s="21">
        <v>1</v>
      </c>
      <c r="D14" s="2">
        <f t="shared" ref="D14:D38" si="0">+C14+B14</f>
        <v>1</v>
      </c>
      <c r="E14" s="8">
        <f t="shared" ref="E14:E38" si="1">+B14/(C14+B14)</f>
        <v>0</v>
      </c>
      <c r="F14" s="8">
        <f>$F$6*EXP($F$4+$F$5*A14)/(1+EXP($F$4+$F$5*A14))+1-$F$6</f>
        <v>-9.368818767746534E-3</v>
      </c>
      <c r="G14" s="8"/>
      <c r="H14" s="8">
        <f t="shared" ref="H14:H38" si="2">COMBIN(D14,B14)*(F14^B14)*((1-F14)^C14)</f>
        <v>1.0093688187677465</v>
      </c>
      <c r="I14" s="8">
        <f t="shared" ref="I14:I38" si="3">LN(H14)</f>
        <v>9.325203588706055E-3</v>
      </c>
      <c r="J14" s="2"/>
    </row>
    <row r="15" spans="1:10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$F$6*EXP($F$4+$F$5*A15)/(1+EXP($F$4+$F$5*A15))+1-$F$6</f>
        <v>-9.294211623024573E-3</v>
      </c>
      <c r="G15" s="8"/>
      <c r="H15" s="8">
        <f t="shared" si="2"/>
        <v>-0.14674785626694034</v>
      </c>
      <c r="I15" s="8" t="e">
        <f t="shared" si="3"/>
        <v>#NUM!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-9.1872942394011226E-3</v>
      </c>
      <c r="G16" s="8"/>
      <c r="H16" s="8">
        <f t="shared" si="2"/>
        <v>1.1058329207903055</v>
      </c>
      <c r="I16" s="8">
        <f t="shared" si="3"/>
        <v>0.10059882549528255</v>
      </c>
      <c r="J16" s="2"/>
    </row>
    <row r="17" spans="1:10" ht="15.75">
      <c r="A17" s="2">
        <v>27.5</v>
      </c>
      <c r="B17" s="21">
        <v>1</v>
      </c>
      <c r="C17" s="21">
        <v>30</v>
      </c>
      <c r="D17" s="2">
        <f t="shared" si="0"/>
        <v>31</v>
      </c>
      <c r="E17" s="8">
        <f t="shared" si="1"/>
        <v>3.2258064516129031E-2</v>
      </c>
      <c r="F17" s="8">
        <f t="shared" si="4"/>
        <v>-9.0340859051376565E-3</v>
      </c>
      <c r="G17" s="8"/>
      <c r="H17" s="8">
        <f t="shared" si="2"/>
        <v>-0.36679299068700483</v>
      </c>
      <c r="I17" s="8" t="e">
        <f t="shared" si="3"/>
        <v>#NUM!</v>
      </c>
      <c r="J17" s="2"/>
    </row>
    <row r="18" spans="1:10" ht="15.75">
      <c r="A18" s="2">
        <v>32.5</v>
      </c>
      <c r="B18" s="21">
        <v>3</v>
      </c>
      <c r="C18" s="21">
        <v>101</v>
      </c>
      <c r="D18" s="2">
        <f t="shared" si="0"/>
        <v>104</v>
      </c>
      <c r="E18" s="8">
        <f t="shared" si="1"/>
        <v>2.8846153846153848E-2</v>
      </c>
      <c r="F18" s="8">
        <f t="shared" si="4"/>
        <v>-8.8145689976724118E-3</v>
      </c>
      <c r="G18" s="8"/>
      <c r="H18" s="8">
        <f t="shared" si="2"/>
        <v>-0.30259979673672077</v>
      </c>
      <c r="I18" s="8" t="e">
        <f t="shared" si="3"/>
        <v>#NUM!</v>
      </c>
      <c r="J18" s="2"/>
    </row>
    <row r="19" spans="1:10" ht="15.75">
      <c r="A19" s="2">
        <v>37.5</v>
      </c>
      <c r="B19" s="21">
        <v>6</v>
      </c>
      <c r="C19" s="21">
        <v>80</v>
      </c>
      <c r="D19" s="2">
        <f t="shared" si="0"/>
        <v>86</v>
      </c>
      <c r="E19" s="8">
        <f t="shared" si="1"/>
        <v>6.9767441860465115E-2</v>
      </c>
      <c r="F19" s="8">
        <f t="shared" si="4"/>
        <v>-8.50009546771191E-3</v>
      </c>
      <c r="G19" s="8"/>
      <c r="H19" s="8">
        <f t="shared" si="2"/>
        <v>3.4902733711253148E-4</v>
      </c>
      <c r="I19" s="8">
        <f t="shared" si="3"/>
        <v>-7.9603603089941348</v>
      </c>
      <c r="J19" s="2"/>
    </row>
    <row r="20" spans="1:10" ht="15.75">
      <c r="A20" s="2">
        <v>42.5</v>
      </c>
      <c r="B20" s="21">
        <v>4</v>
      </c>
      <c r="C20" s="21">
        <v>44</v>
      </c>
      <c r="D20" s="2">
        <f t="shared" si="0"/>
        <v>48</v>
      </c>
      <c r="E20" s="8">
        <f t="shared" si="1"/>
        <v>8.3333333333333329E-2</v>
      </c>
      <c r="F20" s="8">
        <f t="shared" si="4"/>
        <v>-8.0496930580948867E-3</v>
      </c>
      <c r="G20" s="8"/>
      <c r="H20" s="8">
        <f t="shared" si="2"/>
        <v>1.1625748333743912E-3</v>
      </c>
      <c r="I20" s="8">
        <f t="shared" si="3"/>
        <v>-6.757118049779427</v>
      </c>
      <c r="J20" s="2"/>
    </row>
    <row r="21" spans="1:10" ht="15.75">
      <c r="A21" s="2">
        <v>47.5</v>
      </c>
      <c r="B21" s="21">
        <v>3</v>
      </c>
      <c r="C21" s="21">
        <v>47</v>
      </c>
      <c r="D21" s="2">
        <f t="shared" si="0"/>
        <v>50</v>
      </c>
      <c r="E21" s="8">
        <f t="shared" si="1"/>
        <v>0.06</v>
      </c>
      <c r="F21" s="8">
        <f t="shared" si="4"/>
        <v>-7.4048191594127122E-3</v>
      </c>
      <c r="G21" s="8"/>
      <c r="H21" s="8">
        <f t="shared" si="2"/>
        <v>-1.1256116332527535E-2</v>
      </c>
      <c r="I21" s="8" t="e">
        <f t="shared" si="3"/>
        <v>#NUM!</v>
      </c>
      <c r="J21" s="2"/>
    </row>
    <row r="22" spans="1:10" ht="15.75">
      <c r="A22" s="2">
        <v>52.5</v>
      </c>
      <c r="B22" s="21">
        <v>14</v>
      </c>
      <c r="C22" s="21">
        <v>108</v>
      </c>
      <c r="D22" s="2">
        <f t="shared" si="0"/>
        <v>122</v>
      </c>
      <c r="E22" s="8">
        <f t="shared" si="1"/>
        <v>0.11475409836065574</v>
      </c>
      <c r="F22" s="8">
        <f t="shared" si="4"/>
        <v>-6.4819399604971739E-3</v>
      </c>
      <c r="G22" s="8"/>
      <c r="H22" s="8">
        <f t="shared" si="2"/>
        <v>3.9714474960271509E-13</v>
      </c>
      <c r="I22" s="8">
        <f t="shared" si="3"/>
        <v>-28.554475572105975</v>
      </c>
      <c r="J22" s="2"/>
    </row>
    <row r="23" spans="1:10" ht="15.75">
      <c r="A23" s="2">
        <v>57.5</v>
      </c>
      <c r="B23" s="21">
        <v>47</v>
      </c>
      <c r="C23" s="21">
        <v>170</v>
      </c>
      <c r="D23" s="2">
        <f t="shared" si="0"/>
        <v>217</v>
      </c>
      <c r="E23" s="8">
        <f t="shared" si="1"/>
        <v>0.21658986175115208</v>
      </c>
      <c r="F23" s="8">
        <f t="shared" si="4"/>
        <v>-5.1620949055422027E-3</v>
      </c>
      <c r="G23" s="8"/>
      <c r="H23" s="8">
        <f t="shared" si="2"/>
        <v>-8.8482109794540922E-60</v>
      </c>
      <c r="I23" s="8" t="e">
        <f t="shared" si="3"/>
        <v>#NUM!</v>
      </c>
      <c r="J23" s="2"/>
    </row>
    <row r="24" spans="1:10" ht="15.75">
      <c r="A24" s="2">
        <v>62.5</v>
      </c>
      <c r="B24" s="21">
        <v>51</v>
      </c>
      <c r="C24" s="21">
        <v>135</v>
      </c>
      <c r="D24" s="2">
        <f t="shared" si="0"/>
        <v>186</v>
      </c>
      <c r="E24" s="8">
        <f t="shared" si="1"/>
        <v>0.27419354838709675</v>
      </c>
      <c r="F24" s="8">
        <f t="shared" si="4"/>
        <v>-3.2763473633341533E-3</v>
      </c>
      <c r="G24" s="8"/>
      <c r="H24" s="8">
        <f t="shared" si="2"/>
        <v>-5.5063742822190718E-81</v>
      </c>
      <c r="I24" s="8" t="e">
        <f t="shared" si="3"/>
        <v>#NUM!</v>
      </c>
      <c r="J24" s="2"/>
    </row>
    <row r="25" spans="1:10" ht="15.75">
      <c r="A25" s="2">
        <v>67.5</v>
      </c>
      <c r="B25" s="21">
        <v>37</v>
      </c>
      <c r="C25" s="21">
        <v>102</v>
      </c>
      <c r="D25" s="2">
        <f t="shared" si="0"/>
        <v>139</v>
      </c>
      <c r="E25" s="8">
        <f t="shared" si="1"/>
        <v>0.26618705035971224</v>
      </c>
      <c r="F25" s="8">
        <f t="shared" si="4"/>
        <v>-5.8575579386177523E-4</v>
      </c>
      <c r="G25" s="8"/>
      <c r="H25" s="8">
        <f t="shared" si="2"/>
        <v>-1.9623390950607041E-86</v>
      </c>
      <c r="I25" s="8" t="e">
        <f t="shared" si="3"/>
        <v>#NUM!</v>
      </c>
      <c r="J25" s="2"/>
    </row>
    <row r="26" spans="1:10" ht="15.75">
      <c r="A26" s="2">
        <v>72.5</v>
      </c>
      <c r="B26" s="21">
        <v>96</v>
      </c>
      <c r="C26" s="21">
        <v>137</v>
      </c>
      <c r="D26" s="2">
        <f t="shared" si="0"/>
        <v>233</v>
      </c>
      <c r="E26" s="8">
        <f t="shared" si="1"/>
        <v>0.41201716738197425</v>
      </c>
      <c r="F26" s="8">
        <f t="shared" si="4"/>
        <v>3.2456781657241862E-3</v>
      </c>
      <c r="G26" s="8"/>
      <c r="H26" s="8">
        <f t="shared" si="2"/>
        <v>1.5194165515930053E-172</v>
      </c>
      <c r="I26" s="8">
        <f t="shared" si="3"/>
        <v>-395.62630958144223</v>
      </c>
      <c r="J26" s="2"/>
    </row>
    <row r="27" spans="1:10" ht="15.75">
      <c r="A27" s="2">
        <v>77.5</v>
      </c>
      <c r="B27" s="21">
        <v>248</v>
      </c>
      <c r="C27" s="21">
        <v>243</v>
      </c>
      <c r="D27" s="2">
        <f t="shared" si="0"/>
        <v>491</v>
      </c>
      <c r="E27" s="8">
        <f t="shared" si="1"/>
        <v>0.50509164969450104</v>
      </c>
      <c r="F27" s="8">
        <f t="shared" si="4"/>
        <v>8.6864944877265149E-3</v>
      </c>
      <c r="G27" s="8"/>
      <c r="H27" s="8">
        <f t="shared" si="2"/>
        <v>0</v>
      </c>
      <c r="I27" s="8" t="e">
        <f t="shared" si="3"/>
        <v>#NUM!</v>
      </c>
      <c r="J27" s="2"/>
    </row>
    <row r="28" spans="1:10" ht="15.75">
      <c r="A28" s="2">
        <v>82.5</v>
      </c>
      <c r="B28" s="21">
        <v>562</v>
      </c>
      <c r="C28" s="21">
        <v>440</v>
      </c>
      <c r="D28" s="2">
        <f t="shared" si="0"/>
        <v>1002</v>
      </c>
      <c r="E28" s="8">
        <f t="shared" si="1"/>
        <v>0.56087824351297411</v>
      </c>
      <c r="F28" s="8">
        <f t="shared" si="4"/>
        <v>1.6382198060428621E-2</v>
      </c>
      <c r="G28" s="8"/>
      <c r="H28" s="8">
        <f t="shared" si="2"/>
        <v>0</v>
      </c>
      <c r="I28" s="8" t="e">
        <f t="shared" si="3"/>
        <v>#NUM!</v>
      </c>
      <c r="J28" s="2"/>
    </row>
    <row r="29" spans="1:10" ht="15.75">
      <c r="A29" s="2">
        <v>87.5</v>
      </c>
      <c r="B29" s="21">
        <v>847</v>
      </c>
      <c r="C29" s="21">
        <v>634</v>
      </c>
      <c r="D29" s="2">
        <f t="shared" si="0"/>
        <v>1481</v>
      </c>
      <c r="E29" s="8">
        <f t="shared" si="1"/>
        <v>0.5719108710330858</v>
      </c>
      <c r="F29" s="8">
        <f t="shared" si="4"/>
        <v>2.7206600652350588E-2</v>
      </c>
      <c r="G29" s="8"/>
      <c r="H29" s="8" t="e">
        <f t="shared" si="2"/>
        <v>#NUM!</v>
      </c>
      <c r="I29" s="8" t="e">
        <f t="shared" si="3"/>
        <v>#NUM!</v>
      </c>
      <c r="J29" s="2"/>
    </row>
    <row r="30" spans="1:10" ht="15.75">
      <c r="A30" s="2">
        <v>92.5</v>
      </c>
      <c r="B30" s="21">
        <v>742</v>
      </c>
      <c r="C30" s="21">
        <v>530</v>
      </c>
      <c r="D30" s="2">
        <f t="shared" si="0"/>
        <v>1272</v>
      </c>
      <c r="E30" s="8">
        <f t="shared" si="1"/>
        <v>0.58333333333333337</v>
      </c>
      <c r="F30" s="8">
        <f t="shared" si="4"/>
        <v>4.2312527469678951E-2</v>
      </c>
      <c r="G30" s="8"/>
      <c r="H30" s="8" t="e">
        <f t="shared" si="2"/>
        <v>#NUM!</v>
      </c>
      <c r="I30" s="8" t="e">
        <f t="shared" si="3"/>
        <v>#NUM!</v>
      </c>
      <c r="J30" s="2"/>
    </row>
    <row r="31" spans="1:10" ht="15.75">
      <c r="A31" s="2">
        <v>97.5</v>
      </c>
      <c r="B31" s="21">
        <v>288</v>
      </c>
      <c r="C31" s="21">
        <v>247</v>
      </c>
      <c r="D31" s="2">
        <f t="shared" si="0"/>
        <v>535</v>
      </c>
      <c r="E31" s="8">
        <f t="shared" si="1"/>
        <v>0.53831775700934581</v>
      </c>
      <c r="F31" s="8">
        <f t="shared" si="4"/>
        <v>6.3163981944634795E-2</v>
      </c>
      <c r="G31" s="8"/>
      <c r="H31" s="8">
        <f t="shared" si="2"/>
        <v>0</v>
      </c>
      <c r="I31" s="8" t="e">
        <f t="shared" si="3"/>
        <v>#NUM!</v>
      </c>
      <c r="J31" s="2"/>
    </row>
    <row r="32" spans="1:10" ht="15.75">
      <c r="A32" s="2">
        <v>102.5</v>
      </c>
      <c r="B32" s="21">
        <v>77</v>
      </c>
      <c r="C32" s="21">
        <v>56</v>
      </c>
      <c r="D32" s="2">
        <f t="shared" si="0"/>
        <v>133</v>
      </c>
      <c r="E32" s="8">
        <f t="shared" si="1"/>
        <v>0.57894736842105265</v>
      </c>
      <c r="F32" s="8">
        <f t="shared" si="4"/>
        <v>9.151548515575314E-2</v>
      </c>
      <c r="G32" s="2"/>
      <c r="H32" s="8">
        <f t="shared" si="2"/>
        <v>7.2355246780554157E-45</v>
      </c>
      <c r="I32" s="8">
        <f t="shared" si="3"/>
        <v>-101.63732630785087</v>
      </c>
      <c r="J32" s="2"/>
    </row>
    <row r="33" spans="1:10" ht="15.75">
      <c r="A33" s="2">
        <v>107.5</v>
      </c>
      <c r="B33" s="21">
        <v>13</v>
      </c>
      <c r="C33" s="21">
        <v>13</v>
      </c>
      <c r="D33" s="2">
        <f t="shared" si="0"/>
        <v>26</v>
      </c>
      <c r="E33" s="8">
        <f t="shared" si="1"/>
        <v>0.5</v>
      </c>
      <c r="F33" s="8">
        <f t="shared" si="4"/>
        <v>0.12928442856747258</v>
      </c>
      <c r="G33" s="20"/>
      <c r="H33" s="8">
        <f t="shared" si="2"/>
        <v>4.8478737659106716E-6</v>
      </c>
      <c r="I33" s="8">
        <f t="shared" si="3"/>
        <v>-12.236970347921028</v>
      </c>
      <c r="J33" s="2"/>
    </row>
    <row r="34" spans="1:10" ht="15.75">
      <c r="A34" s="2">
        <v>112.5</v>
      </c>
      <c r="B34" s="21">
        <v>3</v>
      </c>
      <c r="C34" s="21">
        <v>4</v>
      </c>
      <c r="D34" s="2">
        <f t="shared" si="0"/>
        <v>7</v>
      </c>
      <c r="E34" s="8">
        <f t="shared" si="1"/>
        <v>0.42857142857142855</v>
      </c>
      <c r="F34" s="8">
        <f t="shared" si="4"/>
        <v>0.17825129877213763</v>
      </c>
      <c r="G34" s="20"/>
      <c r="H34" s="8">
        <f t="shared" si="2"/>
        <v>9.0390389626751208E-2</v>
      </c>
      <c r="I34" s="8">
        <f t="shared" si="3"/>
        <v>-2.4036173266738481</v>
      </c>
      <c r="J34" s="2"/>
    </row>
    <row r="35" spans="1:10" ht="15.75">
      <c r="A35" s="2">
        <v>117.5</v>
      </c>
      <c r="B35" s="21">
        <v>0</v>
      </c>
      <c r="C35" s="21">
        <v>0</v>
      </c>
      <c r="D35" s="2">
        <f t="shared" si="0"/>
        <v>0</v>
      </c>
      <c r="E35" s="8" t="e">
        <f t="shared" si="1"/>
        <v>#DIV/0!</v>
      </c>
      <c r="F35" s="8">
        <f t="shared" si="4"/>
        <v>0.23954888190575474</v>
      </c>
      <c r="G35" s="20"/>
      <c r="H35" s="8">
        <f t="shared" si="2"/>
        <v>1</v>
      </c>
      <c r="I35" s="8">
        <f t="shared" si="3"/>
        <v>0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0.31300132385421309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0.39654707128022104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0.486119895167618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zoomScale="60" zoomScaleNormal="60" workbookViewId="0">
      <selection activeCell="B14" sqref="B14:B38"/>
    </sheetView>
  </sheetViews>
  <sheetFormatPr defaultRowHeight="15"/>
  <cols>
    <col min="5" max="5" width="21.42578125" bestFit="1" customWidth="1"/>
    <col min="6" max="6" width="16.7109375" bestFit="1" customWidth="1"/>
    <col min="8" max="8" width="23.7109375" bestFit="1" customWidth="1"/>
  </cols>
  <sheetData>
    <row r="1" spans="1:1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20.25">
      <c r="B2" s="1" t="s">
        <v>1</v>
      </c>
      <c r="C2" s="2"/>
      <c r="D2" s="2"/>
      <c r="G2" s="2"/>
      <c r="H2" s="3"/>
      <c r="I2" s="2"/>
      <c r="J2" s="2"/>
    </row>
    <row r="3" spans="1:11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1" ht="16.5" thickTop="1">
      <c r="A4" s="4" t="s">
        <v>5</v>
      </c>
      <c r="B4" s="5"/>
      <c r="C4" s="5"/>
      <c r="D4" s="5"/>
      <c r="E4" s="6" t="s">
        <v>6</v>
      </c>
      <c r="F4" s="7">
        <v>-4.5715240982887746</v>
      </c>
      <c r="G4" s="2"/>
      <c r="H4" s="8">
        <f>-J4*H5</f>
        <v>-3.8451430103383841</v>
      </c>
      <c r="I4" s="6" t="s">
        <v>7</v>
      </c>
      <c r="J4" s="9">
        <v>87.5</v>
      </c>
    </row>
    <row r="5" spans="1:11" ht="16.5" thickBot="1">
      <c r="A5" s="5" t="s">
        <v>8</v>
      </c>
      <c r="B5" s="5"/>
      <c r="C5" s="5"/>
      <c r="D5" s="5"/>
      <c r="E5" s="6" t="s">
        <v>9</v>
      </c>
      <c r="F5" s="10">
        <v>5.011766609299647E-2</v>
      </c>
      <c r="G5" s="2"/>
      <c r="H5" s="8">
        <f>2*LN(3)/J5</f>
        <v>4.394449154672439E-2</v>
      </c>
      <c r="I5" s="6" t="s">
        <v>10</v>
      </c>
      <c r="J5" s="9">
        <v>50</v>
      </c>
      <c r="K5">
        <f>132-67</f>
        <v>65</v>
      </c>
    </row>
    <row r="6" spans="1:11" ht="95.25" thickTop="1">
      <c r="A6" s="11" t="s">
        <v>11</v>
      </c>
      <c r="B6" s="12" t="s">
        <v>12</v>
      </c>
      <c r="C6" s="12"/>
      <c r="D6" s="12"/>
      <c r="E6" s="6"/>
      <c r="F6" s="2"/>
      <c r="G6" s="2"/>
      <c r="H6" s="9"/>
      <c r="I6" s="2"/>
      <c r="J6" s="2" t="s">
        <v>13</v>
      </c>
    </row>
    <row r="7" spans="1:11" ht="16.5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1" ht="17.25" thickTop="1" thickBot="1">
      <c r="A8" s="13"/>
      <c r="B8" s="13"/>
      <c r="C8" s="13"/>
      <c r="D8" s="13"/>
      <c r="E8" s="6" t="s">
        <v>7</v>
      </c>
      <c r="F8" s="2">
        <f>-F4/F5</f>
        <v>91.215821778412931</v>
      </c>
      <c r="G8" s="2"/>
      <c r="H8" s="14" t="e">
        <f>SUM(I14:I38)</f>
        <v>#NUM!</v>
      </c>
      <c r="I8" s="2"/>
      <c r="J8" s="2" t="e">
        <f>-2*H8+2*2</f>
        <v>#NUM!</v>
      </c>
    </row>
    <row r="9" spans="1:11" ht="17.25" thickTop="1">
      <c r="A9" s="15"/>
      <c r="B9" s="15"/>
      <c r="C9" s="15"/>
      <c r="D9" s="15"/>
      <c r="E9" s="6" t="s">
        <v>16</v>
      </c>
      <c r="F9" s="16">
        <f>2*LN(3)/F5</f>
        <v>43.841318812794107</v>
      </c>
      <c r="G9" s="2"/>
      <c r="H9" s="17"/>
      <c r="I9" s="2"/>
      <c r="J9" s="2"/>
    </row>
    <row r="10" spans="1:11" ht="15.75">
      <c r="A10" s="18"/>
      <c r="B10" s="19"/>
      <c r="C10" s="19"/>
      <c r="D10" s="19"/>
      <c r="E10" s="19"/>
      <c r="F10" s="19"/>
      <c r="G10" s="2"/>
      <c r="H10" s="17"/>
      <c r="I10" s="2"/>
      <c r="J10" s="2"/>
    </row>
    <row r="11" spans="1:11" ht="15.75">
      <c r="A11" s="19"/>
      <c r="B11" s="19"/>
      <c r="C11" s="19"/>
      <c r="D11" s="19"/>
      <c r="E11" s="19"/>
      <c r="F11" s="19"/>
      <c r="G11" s="2"/>
      <c r="H11" s="17"/>
      <c r="I11" s="16"/>
      <c r="J11" s="2"/>
    </row>
    <row r="12" spans="1:11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1" ht="15.75">
      <c r="A13" s="2" t="s">
        <v>22</v>
      </c>
      <c r="B13" t="s">
        <v>43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1" ht="15.75">
      <c r="A14">
        <v>12.5</v>
      </c>
      <c r="B14" s="21">
        <v>1</v>
      </c>
      <c r="C14" s="21">
        <v>1</v>
      </c>
      <c r="D14" s="2">
        <f>+C14+B14</f>
        <v>2</v>
      </c>
      <c r="E14" s="8">
        <f t="shared" ref="E14:E38" si="0">+B14/(C14+B14)</f>
        <v>0.5</v>
      </c>
      <c r="F14" s="8">
        <f>EXP($F$4+$F$5*A14)/(1+EXP($F$4+$F$5*A14))</f>
        <v>1.8982863584691E-2</v>
      </c>
      <c r="G14" s="8"/>
      <c r="H14" s="8">
        <f>COMBIN(D14,B14)*(F14^B14)*((1-F14)^C14)</f>
        <v>3.7245028949632025E-2</v>
      </c>
      <c r="I14" s="8">
        <f>LN(H14)</f>
        <v>-3.2902367940785378</v>
      </c>
      <c r="J14" s="2"/>
    </row>
    <row r="15" spans="1:11" ht="15.75">
      <c r="A15">
        <v>17.5</v>
      </c>
      <c r="B15" s="21">
        <v>1</v>
      </c>
      <c r="C15" s="21">
        <v>13</v>
      </c>
      <c r="D15" s="2">
        <f>+C15+B15</f>
        <v>14</v>
      </c>
      <c r="E15" s="8">
        <f t="shared" si="0"/>
        <v>7.1428571428571425E-2</v>
      </c>
      <c r="F15" s="8">
        <f t="shared" ref="F15:F38" si="1">EXP($F$4+$F$5*A15)/(1+EXP($F$4+$F$5*A15))</f>
        <v>2.4257687697822283E-2</v>
      </c>
      <c r="G15" s="8"/>
      <c r="H15" s="8">
        <f>COMBIN(D15,B15)*(F15^B15)*((1-F15)^C15)</f>
        <v>0.24679379329565895</v>
      </c>
      <c r="I15" s="8">
        <f>LN(H15)</f>
        <v>-1.3992021359881315</v>
      </c>
      <c r="J15" s="2"/>
    </row>
    <row r="16" spans="1:11" ht="15.75">
      <c r="A16">
        <v>22.5</v>
      </c>
      <c r="B16" s="21">
        <v>0</v>
      </c>
      <c r="C16" s="21">
        <v>11</v>
      </c>
      <c r="D16" s="2">
        <f>+C16+B16</f>
        <v>11</v>
      </c>
      <c r="E16" s="8">
        <f t="shared" si="0"/>
        <v>0</v>
      </c>
      <c r="F16" s="8">
        <f t="shared" si="1"/>
        <v>3.0951997530688252E-2</v>
      </c>
      <c r="G16" s="8"/>
      <c r="H16" s="8">
        <f>COMBIN(D16,B16)*(F16^B16)*((1-F16)^C16)</f>
        <v>0.70761690113371967</v>
      </c>
      <c r="I16" s="8">
        <f>LN(H16)</f>
        <v>-0.34585243182952013</v>
      </c>
      <c r="J16" s="2"/>
    </row>
    <row r="17" spans="1:10" ht="15.75">
      <c r="A17">
        <v>27.5</v>
      </c>
      <c r="B17" s="21">
        <v>0</v>
      </c>
      <c r="C17" s="21">
        <v>30</v>
      </c>
      <c r="D17" s="2">
        <f>+C17+B17</f>
        <v>30</v>
      </c>
      <c r="E17" s="8">
        <f t="shared" si="0"/>
        <v>0</v>
      </c>
      <c r="F17" s="8">
        <f t="shared" si="1"/>
        <v>3.9419079343828968E-2</v>
      </c>
      <c r="G17" s="8"/>
      <c r="H17" s="8">
        <f>COMBIN(D17,B17)*(F17^B17)*((1-F17)^C17)</f>
        <v>0.29923934060565421</v>
      </c>
      <c r="I17" s="8">
        <f t="shared" ref="I17:I38" si="2">LN(H17)</f>
        <v>-1.2065115555438743</v>
      </c>
      <c r="J17" s="2"/>
    </row>
    <row r="18" spans="1:10" ht="15.75">
      <c r="A18">
        <v>32.5</v>
      </c>
      <c r="B18" s="21">
        <v>4</v>
      </c>
      <c r="C18" s="21">
        <v>101</v>
      </c>
      <c r="D18" s="2">
        <f t="shared" ref="D18:D38" si="3">+C18+B18</f>
        <v>105</v>
      </c>
      <c r="E18" s="8">
        <f t="shared" si="0"/>
        <v>3.8095238095238099E-2</v>
      </c>
      <c r="F18" s="8">
        <f t="shared" si="1"/>
        <v>5.008266854526363E-2</v>
      </c>
      <c r="G18" s="8"/>
      <c r="H18" s="8">
        <f t="shared" ref="H18:H38" si="4">COMBIN(D18,B18)*(F18^B18)*((1-F18)^C18)</f>
        <v>0.16767395344118355</v>
      </c>
      <c r="I18" s="8">
        <f t="shared" si="2"/>
        <v>-1.7857339386070865</v>
      </c>
      <c r="J18" s="2"/>
    </row>
    <row r="19" spans="1:10" ht="15.75">
      <c r="A19">
        <v>37.5</v>
      </c>
      <c r="B19" s="21">
        <v>2</v>
      </c>
      <c r="C19" s="21">
        <v>80</v>
      </c>
      <c r="D19" s="2">
        <f t="shared" si="3"/>
        <v>82</v>
      </c>
      <c r="E19" s="8">
        <f t="shared" si="0"/>
        <v>2.4390243902439025E-2</v>
      </c>
      <c r="F19" s="8">
        <f t="shared" si="1"/>
        <v>6.3440439142969665E-2</v>
      </c>
      <c r="G19" s="8"/>
      <c r="H19" s="8">
        <f t="shared" si="4"/>
        <v>7.0604661225567508E-2</v>
      </c>
      <c r="I19" s="8">
        <f t="shared" si="2"/>
        <v>-2.650659113637329</v>
      </c>
      <c r="J19" s="2"/>
    </row>
    <row r="20" spans="1:10" ht="15.75">
      <c r="A20">
        <v>42.5</v>
      </c>
      <c r="B20" s="21">
        <v>1</v>
      </c>
      <c r="C20" s="21">
        <v>44</v>
      </c>
      <c r="D20" s="2">
        <f t="shared" si="3"/>
        <v>45</v>
      </c>
      <c r="E20" s="8">
        <f t="shared" si="0"/>
        <v>2.2222222222222223E-2</v>
      </c>
      <c r="F20" s="8">
        <f t="shared" si="1"/>
        <v>8.0060648687411695E-2</v>
      </c>
      <c r="G20" s="8"/>
      <c r="H20" s="8">
        <f t="shared" si="4"/>
        <v>9.1629701150445358E-2</v>
      </c>
      <c r="I20" s="8">
        <f>LN(H20)</f>
        <v>-2.3899998114918861</v>
      </c>
      <c r="J20" s="2"/>
    </row>
    <row r="21" spans="1:10" ht="15.75">
      <c r="A21">
        <v>47.5</v>
      </c>
      <c r="B21" s="21">
        <v>7</v>
      </c>
      <c r="C21" s="21">
        <v>47</v>
      </c>
      <c r="D21" s="2">
        <f t="shared" si="3"/>
        <v>54</v>
      </c>
      <c r="E21" s="8">
        <f t="shared" si="0"/>
        <v>0.12962962962962962</v>
      </c>
      <c r="F21" s="8">
        <f t="shared" si="1"/>
        <v>0.10056749151307361</v>
      </c>
      <c r="G21" s="8"/>
      <c r="H21" s="8">
        <f t="shared" si="4"/>
        <v>0.12645806559992911</v>
      </c>
      <c r="I21" s="8">
        <f t="shared" si="2"/>
        <v>-2.0678445230056779</v>
      </c>
      <c r="J21" s="2"/>
    </row>
    <row r="22" spans="1:10" ht="15.75">
      <c r="A22">
        <v>52.5</v>
      </c>
      <c r="B22" s="21">
        <v>23</v>
      </c>
      <c r="C22" s="21">
        <v>108</v>
      </c>
      <c r="D22" s="2">
        <f t="shared" si="3"/>
        <v>131</v>
      </c>
      <c r="E22" s="8">
        <f t="shared" si="0"/>
        <v>0.17557251908396945</v>
      </c>
      <c r="F22" s="8">
        <f t="shared" si="1"/>
        <v>0.12560978069591258</v>
      </c>
      <c r="G22" s="8"/>
      <c r="H22" s="8">
        <f t="shared" si="4"/>
        <v>2.37182431123385E-2</v>
      </c>
      <c r="I22" s="8">
        <f t="shared" si="2"/>
        <v>-3.7415107753723889</v>
      </c>
      <c r="J22" s="2"/>
    </row>
    <row r="23" spans="1:10" ht="15.75">
      <c r="A23">
        <v>57.5</v>
      </c>
      <c r="B23" s="21">
        <v>54</v>
      </c>
      <c r="C23" s="21">
        <v>170</v>
      </c>
      <c r="D23" s="2">
        <f t="shared" si="3"/>
        <v>224</v>
      </c>
      <c r="E23" s="8">
        <f t="shared" si="0"/>
        <v>0.24107142857142858</v>
      </c>
      <c r="F23" s="8">
        <f t="shared" si="1"/>
        <v>0.15580762894032699</v>
      </c>
      <c r="G23" s="8"/>
      <c r="H23" s="8">
        <f t="shared" si="4"/>
        <v>2.6224087837240585E-4</v>
      </c>
      <c r="I23" s="8">
        <f t="shared" si="2"/>
        <v>-8.2462470934761729</v>
      </c>
      <c r="J23" s="2"/>
    </row>
    <row r="24" spans="1:10" ht="15.75">
      <c r="A24">
        <v>62.5</v>
      </c>
      <c r="B24" s="21">
        <v>54</v>
      </c>
      <c r="C24" s="21">
        <v>135</v>
      </c>
      <c r="D24" s="2">
        <f t="shared" si="3"/>
        <v>189</v>
      </c>
      <c r="E24" s="8">
        <f t="shared" si="0"/>
        <v>0.2857142857142857</v>
      </c>
      <c r="F24" s="8">
        <f t="shared" si="1"/>
        <v>0.1916739167617631</v>
      </c>
      <c r="G24" s="8"/>
      <c r="H24" s="8">
        <f t="shared" si="4"/>
        <v>4.9725895526978839E-4</v>
      </c>
      <c r="I24" s="8">
        <f t="shared" si="2"/>
        <v>-7.6063996308000288</v>
      </c>
      <c r="J24" s="2"/>
    </row>
    <row r="25" spans="1:10" ht="15.75">
      <c r="A25">
        <v>67.5</v>
      </c>
      <c r="B25" s="21">
        <v>47</v>
      </c>
      <c r="C25" s="21">
        <v>102</v>
      </c>
      <c r="D25" s="2">
        <f t="shared" si="3"/>
        <v>149</v>
      </c>
      <c r="E25" s="8">
        <f t="shared" si="0"/>
        <v>0.31543624161073824</v>
      </c>
      <c r="F25" s="8">
        <f t="shared" si="1"/>
        <v>0.2335127048311986</v>
      </c>
      <c r="G25" s="8"/>
      <c r="H25" s="8">
        <f t="shared" si="4"/>
        <v>5.1916996971708256E-3</v>
      </c>
      <c r="I25" s="8">
        <f t="shared" si="2"/>
        <v>-5.2606941407810792</v>
      </c>
      <c r="J25" s="2"/>
    </row>
    <row r="26" spans="1:10" ht="15.75">
      <c r="A26">
        <v>72.5</v>
      </c>
      <c r="B26" s="21">
        <v>97</v>
      </c>
      <c r="C26" s="21">
        <v>137</v>
      </c>
      <c r="D26" s="2">
        <f t="shared" si="3"/>
        <v>234</v>
      </c>
      <c r="E26" s="8">
        <f t="shared" si="0"/>
        <v>0.41452991452991456</v>
      </c>
      <c r="F26" s="8">
        <f t="shared" si="1"/>
        <v>0.28130586346786995</v>
      </c>
      <c r="G26" s="8"/>
      <c r="H26" s="8">
        <f t="shared" si="4"/>
        <v>3.882468836351792E-6</v>
      </c>
      <c r="I26" s="8">
        <f t="shared" si="2"/>
        <v>-12.459039308652038</v>
      </c>
      <c r="J26" s="2"/>
    </row>
    <row r="27" spans="1:10" ht="15.75">
      <c r="A27">
        <v>77.5</v>
      </c>
      <c r="B27" s="21">
        <v>200</v>
      </c>
      <c r="C27" s="21">
        <v>243</v>
      </c>
      <c r="D27" s="2">
        <f t="shared" si="3"/>
        <v>443</v>
      </c>
      <c r="E27" s="8">
        <f t="shared" si="0"/>
        <v>0.45146726862302483</v>
      </c>
      <c r="F27" s="8">
        <f t="shared" si="1"/>
        <v>0.33461059764886414</v>
      </c>
      <c r="G27" s="8"/>
      <c r="H27" s="8">
        <f t="shared" si="4"/>
        <v>8.7993332558231054E-8</v>
      </c>
      <c r="I27" s="8">
        <f t="shared" si="2"/>
        <v>-16.24600479172236</v>
      </c>
      <c r="J27" s="2"/>
    </row>
    <row r="28" spans="1:10" ht="15.75">
      <c r="A28">
        <v>82.5</v>
      </c>
      <c r="B28" s="21">
        <v>490</v>
      </c>
      <c r="C28" s="21">
        <v>440</v>
      </c>
      <c r="D28" s="2">
        <f t="shared" si="3"/>
        <v>930</v>
      </c>
      <c r="E28" s="8">
        <f t="shared" si="0"/>
        <v>0.5268817204301075</v>
      </c>
      <c r="F28" s="8">
        <f t="shared" si="1"/>
        <v>0.39249975973830326</v>
      </c>
      <c r="G28" s="8"/>
      <c r="H28" s="8">
        <f t="shared" si="4"/>
        <v>3.418524454740356E-17</v>
      </c>
      <c r="I28" s="8">
        <f t="shared" si="2"/>
        <v>-37.914737568906212</v>
      </c>
      <c r="J28" s="2"/>
    </row>
    <row r="29" spans="1:10" ht="15.75">
      <c r="A29">
        <v>87.5</v>
      </c>
      <c r="B29" s="21">
        <v>803</v>
      </c>
      <c r="C29" s="21">
        <v>634</v>
      </c>
      <c r="D29" s="2">
        <f t="shared" si="3"/>
        <v>1437</v>
      </c>
      <c r="E29" s="8">
        <f t="shared" si="0"/>
        <v>0.55880306193458595</v>
      </c>
      <c r="F29" s="8">
        <f t="shared" si="1"/>
        <v>0.45357700997891076</v>
      </c>
      <c r="G29" s="8"/>
      <c r="H29" s="8" t="e">
        <f t="shared" si="4"/>
        <v>#NUM!</v>
      </c>
      <c r="I29" s="8" t="e">
        <f t="shared" si="2"/>
        <v>#NUM!</v>
      </c>
      <c r="J29" s="2"/>
    </row>
    <row r="30" spans="1:10" ht="15.75">
      <c r="A30">
        <v>92.5</v>
      </c>
      <c r="B30" s="21">
        <v>699</v>
      </c>
      <c r="C30" s="21">
        <v>530</v>
      </c>
      <c r="D30" s="2">
        <f t="shared" si="3"/>
        <v>1229</v>
      </c>
      <c r="E30" s="8">
        <f t="shared" si="0"/>
        <v>0.56875508543531328</v>
      </c>
      <c r="F30" s="8">
        <f t="shared" si="1"/>
        <v>0.51608445211130727</v>
      </c>
      <c r="G30" s="8"/>
      <c r="H30" s="8" t="e">
        <f t="shared" si="4"/>
        <v>#NUM!</v>
      </c>
      <c r="I30" s="8" t="e">
        <f t="shared" si="2"/>
        <v>#NUM!</v>
      </c>
      <c r="J30" s="2"/>
    </row>
    <row r="31" spans="1:10" ht="15.75">
      <c r="A31">
        <v>97.5</v>
      </c>
      <c r="B31" s="21">
        <v>328</v>
      </c>
      <c r="C31" s="21">
        <v>247</v>
      </c>
      <c r="D31" s="2">
        <f t="shared" si="3"/>
        <v>575</v>
      </c>
      <c r="E31" s="8">
        <f t="shared" si="0"/>
        <v>0.57043478260869562</v>
      </c>
      <c r="F31" s="8">
        <f t="shared" si="1"/>
        <v>0.57809263439090808</v>
      </c>
      <c r="G31" s="8"/>
      <c r="H31" s="8">
        <f t="shared" si="4"/>
        <v>3.1353907681789167E-2</v>
      </c>
      <c r="I31" s="8">
        <f t="shared" si="2"/>
        <v>-3.4624163727239696</v>
      </c>
      <c r="J31" s="2"/>
    </row>
    <row r="32" spans="1:10" ht="15.75">
      <c r="A32">
        <v>102.5</v>
      </c>
      <c r="B32" s="21">
        <v>81</v>
      </c>
      <c r="C32" s="21">
        <v>56</v>
      </c>
      <c r="D32" s="2">
        <f t="shared" si="3"/>
        <v>137</v>
      </c>
      <c r="E32" s="8">
        <f t="shared" si="0"/>
        <v>0.59124087591240881</v>
      </c>
      <c r="F32" s="8">
        <f t="shared" si="1"/>
        <v>0.63773264994526291</v>
      </c>
      <c r="G32" s="2"/>
      <c r="H32" s="8">
        <f t="shared" si="4"/>
        <v>3.6844467710751776E-2</v>
      </c>
      <c r="I32" s="8">
        <f t="shared" si="2"/>
        <v>-3.3010498015834533</v>
      </c>
      <c r="J32" s="2"/>
    </row>
    <row r="33" spans="1:10" ht="15.75">
      <c r="A33">
        <v>107.5</v>
      </c>
      <c r="B33" s="21">
        <v>28</v>
      </c>
      <c r="C33" s="21">
        <v>13</v>
      </c>
      <c r="D33" s="2">
        <f t="shared" si="3"/>
        <v>41</v>
      </c>
      <c r="E33" s="8">
        <f t="shared" si="0"/>
        <v>0.68292682926829273</v>
      </c>
      <c r="F33" s="8">
        <f t="shared" si="1"/>
        <v>0.69341316804345354</v>
      </c>
      <c r="G33" s="20"/>
      <c r="H33" s="8">
        <f t="shared" si="4"/>
        <v>0.13151692004390333</v>
      </c>
      <c r="I33" s="8">
        <f t="shared" si="2"/>
        <v>-2.028619766106146</v>
      </c>
      <c r="J33" s="2"/>
    </row>
    <row r="34" spans="1:10" ht="15.75">
      <c r="A34">
        <v>112.5</v>
      </c>
      <c r="B34" s="21">
        <v>3</v>
      </c>
      <c r="C34" s="21">
        <v>4</v>
      </c>
      <c r="D34" s="2">
        <f t="shared" si="3"/>
        <v>7</v>
      </c>
      <c r="E34" s="8">
        <f t="shared" si="0"/>
        <v>0.42857142857142855</v>
      </c>
      <c r="F34" s="8">
        <f t="shared" si="1"/>
        <v>0.74397138112912142</v>
      </c>
      <c r="G34" s="20"/>
      <c r="H34" s="8">
        <f t="shared" si="4"/>
        <v>6.192853221669025E-2</v>
      </c>
      <c r="I34" s="8">
        <f t="shared" si="2"/>
        <v>-2.7817742649962196</v>
      </c>
      <c r="J34" s="2"/>
    </row>
    <row r="35" spans="1:10" ht="15.75">
      <c r="A35">
        <v>117.5</v>
      </c>
      <c r="B35" s="21">
        <v>1</v>
      </c>
      <c r="C35" s="21">
        <v>0</v>
      </c>
      <c r="D35" s="2">
        <f t="shared" si="3"/>
        <v>1</v>
      </c>
      <c r="E35" s="8">
        <f t="shared" si="0"/>
        <v>1</v>
      </c>
      <c r="F35" s="8">
        <f t="shared" si="1"/>
        <v>0.78873242402787225</v>
      </c>
      <c r="G35" s="20"/>
      <c r="H35" s="8">
        <f t="shared" si="4"/>
        <v>0.78873242402787225</v>
      </c>
      <c r="I35" s="8">
        <f t="shared" si="2"/>
        <v>-0.2373281486994003</v>
      </c>
      <c r="J35" s="2"/>
    </row>
    <row r="36" spans="1:10" ht="15.75">
      <c r="A36">
        <v>122.5</v>
      </c>
      <c r="B36">
        <v>0</v>
      </c>
      <c r="C36">
        <v>0</v>
      </c>
      <c r="D36" s="2">
        <f t="shared" si="3"/>
        <v>0</v>
      </c>
      <c r="E36" s="8" t="e">
        <f t="shared" si="0"/>
        <v>#DIV/0!</v>
      </c>
      <c r="F36" s="8">
        <f t="shared" si="1"/>
        <v>0.82748260274277186</v>
      </c>
      <c r="G36" s="20"/>
      <c r="H36" s="8">
        <f t="shared" si="4"/>
        <v>1</v>
      </c>
      <c r="I36" s="8">
        <f t="shared" si="2"/>
        <v>0</v>
      </c>
      <c r="J36" s="2"/>
    </row>
    <row r="37" spans="1:10" ht="15.75">
      <c r="A37">
        <v>127.5</v>
      </c>
      <c r="B37">
        <v>0</v>
      </c>
      <c r="C37">
        <v>0</v>
      </c>
      <c r="D37" s="2">
        <f t="shared" si="3"/>
        <v>0</v>
      </c>
      <c r="E37" s="8" t="e">
        <f t="shared" si="0"/>
        <v>#DIV/0!</v>
      </c>
      <c r="F37" s="8">
        <f t="shared" si="1"/>
        <v>0.86038343833707942</v>
      </c>
      <c r="G37" s="2"/>
      <c r="H37" s="8">
        <f t="shared" si="4"/>
        <v>1</v>
      </c>
      <c r="I37" s="8">
        <f t="shared" si="2"/>
        <v>0</v>
      </c>
      <c r="J37" s="2"/>
    </row>
    <row r="38" spans="1:10" ht="15.75">
      <c r="A38">
        <v>132.5</v>
      </c>
      <c r="B38">
        <v>0</v>
      </c>
      <c r="C38">
        <v>0</v>
      </c>
      <c r="D38" s="2">
        <f t="shared" si="3"/>
        <v>0</v>
      </c>
      <c r="E38" s="8" t="e">
        <f t="shared" si="0"/>
        <v>#DIV/0!</v>
      </c>
      <c r="F38" s="8">
        <f t="shared" si="1"/>
        <v>0.88786006738766188</v>
      </c>
      <c r="G38" s="2"/>
      <c r="H38" s="8">
        <f t="shared" si="4"/>
        <v>1</v>
      </c>
      <c r="I38" s="8">
        <f t="shared" si="2"/>
        <v>0</v>
      </c>
      <c r="J38" s="2"/>
    </row>
    <row r="39" spans="1:10" ht="15.75">
      <c r="B39" s="21"/>
      <c r="C39" s="21"/>
      <c r="D39" s="2"/>
      <c r="E39" s="8"/>
      <c r="F39" s="8"/>
      <c r="G39" s="2"/>
      <c r="H39" s="8"/>
      <c r="I39" s="8"/>
      <c r="J39" s="2"/>
    </row>
    <row r="40" spans="1:10" ht="15.75">
      <c r="B40" s="21"/>
      <c r="C40" s="21"/>
      <c r="D40" s="2"/>
      <c r="E40" s="8"/>
      <c r="F40" s="8"/>
      <c r="G40" s="2"/>
      <c r="H40" s="8"/>
      <c r="I40" s="8"/>
      <c r="J40" s="2"/>
    </row>
    <row r="41" spans="1:10" ht="15.75">
      <c r="B41" s="21"/>
      <c r="C41" s="21"/>
      <c r="D41" s="2"/>
      <c r="E41" s="8"/>
      <c r="F41" s="8"/>
      <c r="G41" s="2"/>
      <c r="H41" s="8"/>
      <c r="I41" s="8"/>
      <c r="J41" s="2"/>
    </row>
    <row r="42" spans="1:10" ht="15.75">
      <c r="B42" s="21"/>
      <c r="C42" s="21"/>
      <c r="D42" s="2"/>
      <c r="E42" s="8"/>
      <c r="F42" s="8"/>
      <c r="G42" s="2"/>
      <c r="H42" s="8"/>
      <c r="I42" s="8"/>
      <c r="J42" s="2"/>
    </row>
    <row r="43" spans="1:10" ht="15.75">
      <c r="B43" s="21"/>
      <c r="C43" s="21"/>
      <c r="D43" s="2"/>
      <c r="E43" s="8"/>
      <c r="F43" s="8"/>
      <c r="G43" s="2"/>
      <c r="H43" s="8"/>
      <c r="I43" s="8"/>
      <c r="J43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" zoomScale="70" zoomScaleNormal="70" workbookViewId="0">
      <selection activeCell="B14" sqref="B14:B38"/>
    </sheetView>
  </sheetViews>
  <sheetFormatPr defaultRowHeight="15"/>
  <sheetData>
    <row r="1" spans="1:10" ht="2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ht="27.75">
      <c r="B2" s="1" t="s">
        <v>30</v>
      </c>
      <c r="C2" s="2"/>
      <c r="D2" s="2"/>
      <c r="G2" s="2"/>
      <c r="H2" s="3"/>
      <c r="I2" s="2"/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-2.2750454943685461</v>
      </c>
      <c r="G4" s="2"/>
      <c r="H4" s="8">
        <f>-J4*H5</f>
        <v>-3.8451430103383841</v>
      </c>
      <c r="I4" s="6" t="s">
        <v>7</v>
      </c>
      <c r="J4" s="9">
        <v>87.5</v>
      </c>
    </row>
    <row r="5" spans="1:10" ht="15.75">
      <c r="A5" s="2"/>
      <c r="B5" s="2"/>
      <c r="C5" s="2"/>
      <c r="D5" s="2"/>
      <c r="E5" s="6" t="s">
        <v>9</v>
      </c>
      <c r="F5" s="22">
        <v>3.7360026380094925E-2</v>
      </c>
      <c r="G5" s="2"/>
      <c r="H5" s="8">
        <f>2*LN(3)/J5</f>
        <v>4.394449154672439E-2</v>
      </c>
      <c r="I5" s="6" t="s">
        <v>10</v>
      </c>
      <c r="J5" s="9">
        <v>50</v>
      </c>
    </row>
    <row r="6" spans="1:10" ht="16.5" thickBot="1">
      <c r="B6" s="23"/>
      <c r="C6" s="23"/>
      <c r="D6" s="23"/>
      <c r="E6" s="6" t="s">
        <v>31</v>
      </c>
      <c r="F6" s="24">
        <v>0.40841254446130476</v>
      </c>
      <c r="G6" s="2"/>
      <c r="H6" s="9"/>
      <c r="I6" s="2"/>
      <c r="J6" s="2" t="s">
        <v>13</v>
      </c>
    </row>
    <row r="7" spans="1:10" ht="17.25" thickTop="1" thickBot="1">
      <c r="A7" s="23"/>
      <c r="B7" s="23"/>
      <c r="C7" s="23"/>
      <c r="D7" s="2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23"/>
      <c r="B8" s="23"/>
      <c r="C8" s="23"/>
      <c r="D8" s="23"/>
      <c r="E8" s="6" t="s">
        <v>7</v>
      </c>
      <c r="F8" s="2">
        <f>(LN(0.5^$F6/(1-0.5^$F6))-$F4)/$F5</f>
        <v>90.796347899177476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23"/>
      <c r="B9" s="23"/>
      <c r="C9" s="23"/>
      <c r="D9" s="23"/>
      <c r="E9" s="6" t="s">
        <v>16</v>
      </c>
      <c r="F9" s="16">
        <f>(LN(0.75^$F6/(1-0.75^$F6))-LN(0.25^$F6/(1-0.25^$F6)))/$F5</f>
        <v>48.437415935821413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1</v>
      </c>
      <c r="C14" s="21">
        <v>1</v>
      </c>
      <c r="D14" s="2">
        <f t="shared" ref="D14:D38" si="0">+C14+B14</f>
        <v>2</v>
      </c>
      <c r="E14" s="8">
        <f t="shared" ref="E14:E38" si="1">+B14/(C14+B14)</f>
        <v>0.5</v>
      </c>
      <c r="F14" s="8">
        <f>(EXP($F$4+$F$5*A14)/(1+EXP($F$4+$F$5*A14)))^(1/$F$6)</f>
        <v>8.2397220123928885E-3</v>
      </c>
      <c r="G14" s="8"/>
      <c r="H14" s="8">
        <f t="shared" ref="H14:H38" si="2">COMBIN(D14,B14)*(F14^B14)*((1-F14)^C14)</f>
        <v>1.6343657987102755E-2</v>
      </c>
      <c r="I14" s="8">
        <f t="shared" ref="I14:I38" si="3">LN(H14)</f>
        <v>-4.1139153475850101</v>
      </c>
      <c r="J14" s="2"/>
    </row>
    <row r="15" spans="1:10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(EXP($F$4+$F$5*A15)/(1+EXP($F$4+$F$5*A15)))^(1/$F$6)</f>
        <v>1.2140036798459188E-2</v>
      </c>
      <c r="G15" s="8"/>
      <c r="H15" s="8">
        <f t="shared" si="2"/>
        <v>0.14500668870014427</v>
      </c>
      <c r="I15" s="8">
        <f t="shared" si="3"/>
        <v>-1.9309754086589586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1.7677133177973554E-2</v>
      </c>
      <c r="G16" s="8"/>
      <c r="H16" s="8">
        <f t="shared" si="2"/>
        <v>0.82185800935406594</v>
      </c>
      <c r="I16" s="8">
        <f t="shared" si="3"/>
        <v>-0.19618763685897106</v>
      </c>
      <c r="J16" s="2"/>
    </row>
    <row r="17" spans="1:10" ht="15.75">
      <c r="A17" s="2">
        <v>27.5</v>
      </c>
      <c r="B17" s="21">
        <v>0</v>
      </c>
      <c r="C17" s="21">
        <v>30</v>
      </c>
      <c r="D17" s="2">
        <f t="shared" si="0"/>
        <v>30</v>
      </c>
      <c r="E17" s="8">
        <f t="shared" si="1"/>
        <v>0</v>
      </c>
      <c r="F17" s="8">
        <f t="shared" si="4"/>
        <v>2.540018211579434E-2</v>
      </c>
      <c r="G17" s="8"/>
      <c r="H17" s="8">
        <f t="shared" si="2"/>
        <v>0.46215725684078729</v>
      </c>
      <c r="I17" s="8">
        <f t="shared" si="3"/>
        <v>-0.77185006304520487</v>
      </c>
      <c r="J17" s="2"/>
    </row>
    <row r="18" spans="1:10" ht="15.75">
      <c r="A18" s="2">
        <v>32.5</v>
      </c>
      <c r="B18" s="21">
        <v>4</v>
      </c>
      <c r="C18" s="21">
        <v>101</v>
      </c>
      <c r="D18" s="2">
        <f t="shared" si="0"/>
        <v>105</v>
      </c>
      <c r="E18" s="8">
        <f t="shared" si="1"/>
        <v>3.8095238095238099E-2</v>
      </c>
      <c r="F18" s="8">
        <f t="shared" si="4"/>
        <v>3.5960940331532201E-2</v>
      </c>
      <c r="G18" s="8"/>
      <c r="H18" s="8">
        <f t="shared" si="2"/>
        <v>0.19784752628795677</v>
      </c>
      <c r="I18" s="8">
        <f t="shared" si="3"/>
        <v>-1.6202586141959792</v>
      </c>
      <c r="J18" s="2"/>
    </row>
    <row r="19" spans="1:10" ht="15.75">
      <c r="A19" s="2">
        <v>37.5</v>
      </c>
      <c r="B19" s="21">
        <v>2</v>
      </c>
      <c r="C19" s="21">
        <v>80</v>
      </c>
      <c r="D19" s="2">
        <f t="shared" si="0"/>
        <v>82</v>
      </c>
      <c r="E19" s="8">
        <f t="shared" si="1"/>
        <v>2.4390243902439025E-2</v>
      </c>
      <c r="F19" s="8">
        <f t="shared" si="4"/>
        <v>5.0088755996473666E-2</v>
      </c>
      <c r="G19" s="8"/>
      <c r="H19" s="8">
        <f t="shared" si="2"/>
        <v>0.13658142493301867</v>
      </c>
      <c r="I19" s="8">
        <f t="shared" si="3"/>
        <v>-1.9908343225484355</v>
      </c>
      <c r="J19" s="2"/>
    </row>
    <row r="20" spans="1:10" ht="15.75">
      <c r="A20" s="2">
        <v>42.5</v>
      </c>
      <c r="B20" s="21">
        <v>1</v>
      </c>
      <c r="C20" s="21">
        <v>44</v>
      </c>
      <c r="D20" s="2">
        <f t="shared" si="0"/>
        <v>45</v>
      </c>
      <c r="E20" s="8">
        <f t="shared" si="1"/>
        <v>2.2222222222222223E-2</v>
      </c>
      <c r="F20" s="8">
        <f t="shared" si="4"/>
        <v>6.8540437651593816E-2</v>
      </c>
      <c r="G20" s="8"/>
      <c r="H20" s="8">
        <f t="shared" si="2"/>
        <v>0.13563620498566287</v>
      </c>
      <c r="I20" s="8">
        <f t="shared" si="3"/>
        <v>-1.9977789406942339</v>
      </c>
      <c r="J20" s="2"/>
    </row>
    <row r="21" spans="1:10" ht="15.75">
      <c r="A21" s="2">
        <v>47.5</v>
      </c>
      <c r="B21" s="21">
        <v>7</v>
      </c>
      <c r="C21" s="21">
        <v>47</v>
      </c>
      <c r="D21" s="2">
        <f t="shared" si="0"/>
        <v>54</v>
      </c>
      <c r="E21" s="8">
        <f t="shared" si="1"/>
        <v>0.12962962962962962</v>
      </c>
      <c r="F21" s="8">
        <f t="shared" si="4"/>
        <v>9.2023701158893079E-2</v>
      </c>
      <c r="G21" s="8"/>
      <c r="H21" s="8">
        <f t="shared" si="2"/>
        <v>0.10593022165114527</v>
      </c>
      <c r="I21" s="8">
        <f t="shared" si="3"/>
        <v>-2.2449746879455876</v>
      </c>
      <c r="J21" s="2"/>
    </row>
    <row r="22" spans="1:10" ht="15.75">
      <c r="A22" s="2">
        <v>52.5</v>
      </c>
      <c r="B22" s="21">
        <v>23</v>
      </c>
      <c r="C22" s="21">
        <v>108</v>
      </c>
      <c r="D22" s="2">
        <f t="shared" si="0"/>
        <v>131</v>
      </c>
      <c r="E22" s="8">
        <f t="shared" si="1"/>
        <v>0.17557251908396945</v>
      </c>
      <c r="F22" s="8">
        <f t="shared" si="4"/>
        <v>0.12109992857198217</v>
      </c>
      <c r="G22" s="8"/>
      <c r="H22" s="8">
        <f t="shared" si="2"/>
        <v>1.7829819108503425E-2</v>
      </c>
      <c r="I22" s="8">
        <f t="shared" si="3"/>
        <v>-4.0268829925032845</v>
      </c>
      <c r="J22" s="2"/>
    </row>
    <row r="23" spans="1:10" ht="15.75">
      <c r="A23" s="2">
        <v>57.5</v>
      </c>
      <c r="B23" s="21">
        <v>54</v>
      </c>
      <c r="C23" s="21">
        <v>170</v>
      </c>
      <c r="D23" s="2">
        <f t="shared" si="0"/>
        <v>224</v>
      </c>
      <c r="E23" s="8">
        <f t="shared" si="1"/>
        <v>0.24107142857142858</v>
      </c>
      <c r="F23" s="8">
        <f t="shared" si="4"/>
        <v>0.15608037584195153</v>
      </c>
      <c r="G23" s="8"/>
      <c r="H23" s="8">
        <f t="shared" si="2"/>
        <v>2.7281018274597467E-4</v>
      </c>
      <c r="I23" s="8">
        <f t="shared" si="3"/>
        <v>-8.2067343059101621</v>
      </c>
      <c r="J23" s="2"/>
    </row>
    <row r="24" spans="1:10" ht="15.75">
      <c r="A24" s="2">
        <v>62.5</v>
      </c>
      <c r="B24" s="21">
        <v>54</v>
      </c>
      <c r="C24" s="21">
        <v>135</v>
      </c>
      <c r="D24" s="2">
        <f t="shared" si="0"/>
        <v>189</v>
      </c>
      <c r="E24" s="8">
        <f t="shared" si="1"/>
        <v>0.2857142857142857</v>
      </c>
      <c r="F24" s="8">
        <f t="shared" si="4"/>
        <v>0.19693675098408439</v>
      </c>
      <c r="G24" s="8"/>
      <c r="H24" s="8">
        <f t="shared" si="2"/>
        <v>8.8889730469558022E-4</v>
      </c>
      <c r="I24" s="8">
        <f t="shared" si="3"/>
        <v>-7.0255288469008121</v>
      </c>
      <c r="J24" s="2"/>
    </row>
    <row r="25" spans="1:10" ht="15.75">
      <c r="A25" s="2">
        <v>67.5</v>
      </c>
      <c r="B25" s="21">
        <v>47</v>
      </c>
      <c r="C25" s="21">
        <v>102</v>
      </c>
      <c r="D25" s="2">
        <f t="shared" si="0"/>
        <v>149</v>
      </c>
      <c r="E25" s="8">
        <f t="shared" si="1"/>
        <v>0.31543624161073824</v>
      </c>
      <c r="F25" s="8">
        <f t="shared" si="4"/>
        <v>0.24324872453693691</v>
      </c>
      <c r="G25" s="8"/>
      <c r="H25" s="8">
        <f t="shared" si="2"/>
        <v>9.6118892238524958E-3</v>
      </c>
      <c r="I25" s="8">
        <f t="shared" si="3"/>
        <v>-4.6447544859503873</v>
      </c>
      <c r="J25" s="2"/>
    </row>
    <row r="26" spans="1:10" ht="15.75">
      <c r="A26" s="2">
        <v>72.5</v>
      </c>
      <c r="B26" s="21">
        <v>97</v>
      </c>
      <c r="C26" s="21">
        <v>137</v>
      </c>
      <c r="D26" s="2">
        <f t="shared" si="0"/>
        <v>234</v>
      </c>
      <c r="E26" s="8">
        <f t="shared" si="1"/>
        <v>0.41452991452991456</v>
      </c>
      <c r="F26" s="8">
        <f t="shared" si="4"/>
        <v>0.29420524714904839</v>
      </c>
      <c r="G26" s="8"/>
      <c r="H26" s="8">
        <f t="shared" si="2"/>
        <v>2.5133813086994792E-5</v>
      </c>
      <c r="I26" s="8">
        <f t="shared" si="3"/>
        <v>-10.591296483458686</v>
      </c>
      <c r="J26" s="2"/>
    </row>
    <row r="27" spans="1:10" ht="15.75">
      <c r="A27" s="2">
        <v>77.5</v>
      </c>
      <c r="B27" s="21">
        <v>200</v>
      </c>
      <c r="C27" s="21">
        <v>243</v>
      </c>
      <c r="D27" s="2">
        <f t="shared" si="0"/>
        <v>443</v>
      </c>
      <c r="E27" s="8">
        <f t="shared" si="1"/>
        <v>0.45146726862302483</v>
      </c>
      <c r="F27" s="8">
        <f t="shared" si="4"/>
        <v>0.34866436986317506</v>
      </c>
      <c r="G27" s="8"/>
      <c r="H27" s="8">
        <f t="shared" si="2"/>
        <v>1.8414573404736603E-6</v>
      </c>
      <c r="I27" s="8">
        <f t="shared" si="3"/>
        <v>-13.20495326696977</v>
      </c>
      <c r="J27" s="2"/>
    </row>
    <row r="28" spans="1:10" ht="15.75">
      <c r="A28" s="2">
        <v>82.5</v>
      </c>
      <c r="B28" s="21">
        <v>490</v>
      </c>
      <c r="C28" s="21">
        <v>440</v>
      </c>
      <c r="D28" s="2">
        <f t="shared" si="0"/>
        <v>930</v>
      </c>
      <c r="E28" s="8">
        <f t="shared" si="1"/>
        <v>0.5268817204301075</v>
      </c>
      <c r="F28" s="8">
        <f t="shared" si="4"/>
        <v>0.40526161213424211</v>
      </c>
      <c r="G28" s="8"/>
      <c r="H28" s="8">
        <f t="shared" si="2"/>
        <v>1.931531540514279E-14</v>
      </c>
      <c r="I28" s="8">
        <f t="shared" si="3"/>
        <v>-31.577878069381743</v>
      </c>
      <c r="J28" s="2"/>
    </row>
    <row r="29" spans="1:10" ht="15.75">
      <c r="A29" s="2">
        <v>87.5</v>
      </c>
      <c r="B29" s="21">
        <v>803</v>
      </c>
      <c r="C29" s="21">
        <v>634</v>
      </c>
      <c r="D29" s="2">
        <f t="shared" si="0"/>
        <v>1437</v>
      </c>
      <c r="E29" s="8">
        <f t="shared" si="1"/>
        <v>0.55880306193458595</v>
      </c>
      <c r="F29" s="8">
        <f t="shared" si="4"/>
        <v>0.46254522158536832</v>
      </c>
      <c r="G29" s="8"/>
      <c r="H29" s="8" t="e">
        <f t="shared" si="2"/>
        <v>#NUM!</v>
      </c>
      <c r="I29" s="8" t="e">
        <f t="shared" si="3"/>
        <v>#NUM!</v>
      </c>
      <c r="J29" s="2"/>
    </row>
    <row r="30" spans="1:10" ht="15.75">
      <c r="A30" s="2">
        <v>92.5</v>
      </c>
      <c r="B30" s="21">
        <v>699</v>
      </c>
      <c r="C30" s="21">
        <v>530</v>
      </c>
      <c r="D30" s="2">
        <f t="shared" si="0"/>
        <v>1229</v>
      </c>
      <c r="E30" s="8">
        <f t="shared" si="1"/>
        <v>0.56875508543531328</v>
      </c>
      <c r="F30" s="8">
        <f t="shared" si="4"/>
        <v>0.51911200508644761</v>
      </c>
      <c r="G30" s="8"/>
      <c r="H30" s="8" t="e">
        <f t="shared" si="2"/>
        <v>#NUM!</v>
      </c>
      <c r="I30" s="8" t="e">
        <f t="shared" si="3"/>
        <v>#NUM!</v>
      </c>
      <c r="J30" s="2"/>
    </row>
    <row r="31" spans="1:10" ht="15.75">
      <c r="A31" s="2">
        <v>97.5</v>
      </c>
      <c r="B31" s="21">
        <v>328</v>
      </c>
      <c r="C31" s="21">
        <v>247</v>
      </c>
      <c r="D31" s="2">
        <f t="shared" si="0"/>
        <v>575</v>
      </c>
      <c r="E31" s="8">
        <f t="shared" si="1"/>
        <v>0.57043478260869562</v>
      </c>
      <c r="F31" s="8">
        <f t="shared" si="4"/>
        <v>0.57372062978716221</v>
      </c>
      <c r="G31" s="8"/>
      <c r="H31" s="8">
        <f t="shared" si="2"/>
        <v>3.3170811850835036E-2</v>
      </c>
      <c r="I31" s="8">
        <f t="shared" si="3"/>
        <v>-3.4060849508679154</v>
      </c>
      <c r="J31" s="2"/>
    </row>
    <row r="32" spans="1:10" ht="15.75">
      <c r="A32" s="2">
        <v>102.5</v>
      </c>
      <c r="B32" s="21">
        <v>81</v>
      </c>
      <c r="C32" s="21">
        <v>56</v>
      </c>
      <c r="D32" s="2">
        <f t="shared" si="0"/>
        <v>137</v>
      </c>
      <c r="E32" s="8">
        <f t="shared" si="1"/>
        <v>0.59124087591240881</v>
      </c>
      <c r="F32" s="8">
        <f t="shared" si="4"/>
        <v>0.6253680426136744</v>
      </c>
      <c r="G32" s="2"/>
      <c r="H32" s="8">
        <f t="shared" si="2"/>
        <v>4.9415934528290094E-2</v>
      </c>
      <c r="I32" s="8">
        <f t="shared" si="3"/>
        <v>-3.0074823454985538</v>
      </c>
      <c r="J32" s="2"/>
    </row>
    <row r="33" spans="1:10" ht="15.75">
      <c r="A33" s="2">
        <v>107.5</v>
      </c>
      <c r="B33" s="21">
        <v>28</v>
      </c>
      <c r="C33" s="21">
        <v>13</v>
      </c>
      <c r="D33" s="2">
        <f t="shared" si="0"/>
        <v>41</v>
      </c>
      <c r="E33" s="8">
        <f t="shared" si="1"/>
        <v>0.68292682926829273</v>
      </c>
      <c r="F33" s="8">
        <f t="shared" si="4"/>
        <v>0.67332504700880613</v>
      </c>
      <c r="G33" s="20"/>
      <c r="H33" s="8">
        <f t="shared" si="2"/>
        <v>0.13176717440562588</v>
      </c>
      <c r="I33" s="8">
        <f t="shared" si="3"/>
        <v>-2.0267187440363421</v>
      </c>
      <c r="J33" s="2"/>
    </row>
    <row r="34" spans="1:10" ht="15.75">
      <c r="A34" s="2">
        <v>112.5</v>
      </c>
      <c r="B34" s="21">
        <v>3</v>
      </c>
      <c r="C34" s="21">
        <v>4</v>
      </c>
      <c r="D34" s="2">
        <f t="shared" si="0"/>
        <v>7</v>
      </c>
      <c r="E34" s="8">
        <f t="shared" si="1"/>
        <v>0.42857142857142855</v>
      </c>
      <c r="F34" s="8">
        <f t="shared" si="4"/>
        <v>0.71713567311759485</v>
      </c>
      <c r="G34" s="20"/>
      <c r="H34" s="8">
        <f t="shared" si="2"/>
        <v>8.2638941417316369E-2</v>
      </c>
      <c r="I34" s="8">
        <f t="shared" si="3"/>
        <v>-2.4932742638206049</v>
      </c>
      <c r="J34" s="2"/>
    </row>
    <row r="35" spans="1:10" ht="15.75">
      <c r="A35" s="2">
        <v>117.5</v>
      </c>
      <c r="B35" s="21">
        <v>1</v>
      </c>
      <c r="C35" s="21">
        <v>0</v>
      </c>
      <c r="D35" s="2">
        <f t="shared" si="0"/>
        <v>1</v>
      </c>
      <c r="E35" s="8">
        <f t="shared" si="1"/>
        <v>1</v>
      </c>
      <c r="F35" s="8">
        <f t="shared" si="4"/>
        <v>0.75658999595983123</v>
      </c>
      <c r="G35" s="20"/>
      <c r="H35" s="8">
        <f t="shared" si="2"/>
        <v>0.75658999595983123</v>
      </c>
      <c r="I35" s="8">
        <f t="shared" si="3"/>
        <v>-0.27893378923405127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0.79168143039623573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0.82255827446500418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0.84947669823988359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ht="15.7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>
      <c r="A58" s="2"/>
      <c r="B58" s="2"/>
      <c r="C58" s="2"/>
      <c r="D58" s="2"/>
      <c r="E58" s="2"/>
      <c r="F58" s="2"/>
      <c r="G58" s="2"/>
      <c r="H58" s="2"/>
      <c r="I58" s="2"/>
      <c r="J58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50" zoomScaleNormal="50" workbookViewId="0">
      <selection activeCell="E65" sqref="E65"/>
    </sheetView>
  </sheetViews>
  <sheetFormatPr defaultRowHeight="15"/>
  <sheetData>
    <row r="1" spans="1:10" ht="20.25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</row>
    <row r="2" spans="1:10" ht="20.25">
      <c r="B2" s="1" t="s">
        <v>36</v>
      </c>
      <c r="C2" s="2"/>
      <c r="D2" s="2"/>
      <c r="G2" s="2"/>
      <c r="H2" s="3"/>
      <c r="I2" s="27" t="s">
        <v>37</v>
      </c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-7.99</v>
      </c>
      <c r="G4" s="2"/>
      <c r="H4" s="8">
        <f>-J4*H5</f>
        <v>-3.8451430103383841</v>
      </c>
      <c r="I4" s="6" t="s">
        <v>7</v>
      </c>
      <c r="J4" s="9">
        <v>87.5</v>
      </c>
    </row>
    <row r="5" spans="1:10" ht="15.75">
      <c r="A5" s="2"/>
      <c r="B5" s="2"/>
      <c r="C5" s="2"/>
      <c r="D5" s="2"/>
      <c r="E5" s="6" t="s">
        <v>9</v>
      </c>
      <c r="F5" s="22">
        <v>8.8999999999999996E-2</v>
      </c>
      <c r="G5" s="2"/>
      <c r="H5" s="8">
        <f>2*LN(3)/J5</f>
        <v>4.394449154672439E-2</v>
      </c>
      <c r="I5" s="6" t="s">
        <v>10</v>
      </c>
      <c r="J5" s="9">
        <v>50</v>
      </c>
    </row>
    <row r="6" spans="1:10" ht="16.5" thickBot="1">
      <c r="B6" s="13"/>
      <c r="C6" s="13"/>
      <c r="D6" s="13"/>
      <c r="E6" s="6" t="s">
        <v>38</v>
      </c>
      <c r="F6" s="24">
        <v>1.1000000000000001</v>
      </c>
      <c r="G6" s="2"/>
      <c r="H6" s="9"/>
      <c r="I6" s="2"/>
      <c r="J6" s="2" t="s">
        <v>13</v>
      </c>
    </row>
    <row r="7" spans="1:10" ht="17.25" thickTop="1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13"/>
      <c r="B8" s="13"/>
      <c r="C8" s="13"/>
      <c r="D8" s="13"/>
      <c r="E8" s="6" t="s">
        <v>7</v>
      </c>
      <c r="F8" s="2">
        <f>-F4/F5</f>
        <v>89.775280898876417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13"/>
      <c r="B9" s="13"/>
      <c r="C9" s="13"/>
      <c r="D9" s="13"/>
      <c r="E9" s="6" t="s">
        <v>16</v>
      </c>
      <c r="F9" s="16">
        <f>2*LN(3)/F5</f>
        <v>24.687916599283366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1</v>
      </c>
      <c r="C14" s="21">
        <v>1</v>
      </c>
      <c r="D14" s="2">
        <f t="shared" ref="D14:D38" si="0">+C14+B14</f>
        <v>2</v>
      </c>
      <c r="E14" s="8">
        <f t="shared" ref="E14:E38" si="1">+B14/(C14+B14)</f>
        <v>0.5</v>
      </c>
      <c r="F14" s="8">
        <f>$F$6*EXP($F$4+$F$5*A14)/(1+EXP($F$4+$F$5*A14))+1-$F$6</f>
        <v>-9.8867378030413455E-2</v>
      </c>
      <c r="G14" s="8"/>
      <c r="H14" s="8">
        <f t="shared" ref="H14:H38" si="2">COMBIN(D14,B14)*(F14^B14)*((1-F14)^C14)</f>
        <v>-0.21728427293804428</v>
      </c>
      <c r="I14" s="8" t="e">
        <f t="shared" ref="I14:I38" si="3">LN(H14)</f>
        <v>#NUM!</v>
      </c>
      <c r="J14" s="2"/>
    </row>
    <row r="15" spans="1:10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$F$6*EXP($F$4+$F$5*A15)/(1+EXP($F$4+$F$5*A15))+1-$F$6</f>
        <v>-9.8233573947044572E-2</v>
      </c>
      <c r="G15" s="8"/>
      <c r="H15" s="8">
        <f t="shared" si="2"/>
        <v>-4.6496396157703392</v>
      </c>
      <c r="I15" s="8" t="e">
        <f t="shared" si="3"/>
        <v>#NUM!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-9.7245988234734515E-2</v>
      </c>
      <c r="G16" s="8"/>
      <c r="H16" s="8">
        <f t="shared" si="2"/>
        <v>2.7755178077442766</v>
      </c>
      <c r="I16" s="8">
        <f t="shared" si="3"/>
        <v>1.020837327176596</v>
      </c>
      <c r="J16" s="2"/>
    </row>
    <row r="17" spans="1:10" ht="15.75">
      <c r="A17" s="2">
        <v>27.5</v>
      </c>
      <c r="B17" s="21">
        <v>0</v>
      </c>
      <c r="C17" s="21">
        <v>30</v>
      </c>
      <c r="D17" s="2">
        <f t="shared" si="0"/>
        <v>30</v>
      </c>
      <c r="E17" s="8">
        <f t="shared" si="1"/>
        <v>0</v>
      </c>
      <c r="F17" s="8">
        <f t="shared" si="4"/>
        <v>-9.5708413893545563E-2</v>
      </c>
      <c r="G17" s="8"/>
      <c r="H17" s="8">
        <f t="shared" si="2"/>
        <v>15.51850561389284</v>
      </c>
      <c r="I17" s="8">
        <f t="shared" si="3"/>
        <v>2.7420332223544719</v>
      </c>
      <c r="J17" s="2"/>
    </row>
    <row r="18" spans="1:10" ht="15.75">
      <c r="A18" s="2">
        <v>32.5</v>
      </c>
      <c r="B18" s="21">
        <v>4</v>
      </c>
      <c r="C18" s="21">
        <v>101</v>
      </c>
      <c r="D18" s="2">
        <f t="shared" si="0"/>
        <v>105</v>
      </c>
      <c r="E18" s="8">
        <f t="shared" si="1"/>
        <v>3.8095238095238099E-2</v>
      </c>
      <c r="F18" s="8">
        <f t="shared" si="4"/>
        <v>-9.3317634418389472E-2</v>
      </c>
      <c r="G18" s="8"/>
      <c r="H18" s="8">
        <f t="shared" si="2"/>
        <v>2969513.6889858292</v>
      </c>
      <c r="I18" s="8">
        <f t="shared" si="3"/>
        <v>14.903908756289635</v>
      </c>
      <c r="J18" s="2"/>
    </row>
    <row r="19" spans="1:10" ht="15.75">
      <c r="A19" s="2">
        <v>37.5</v>
      </c>
      <c r="B19" s="21">
        <v>2</v>
      </c>
      <c r="C19" s="21">
        <v>80</v>
      </c>
      <c r="D19" s="2">
        <f t="shared" si="0"/>
        <v>82</v>
      </c>
      <c r="E19" s="8">
        <f t="shared" si="1"/>
        <v>2.4390243902439025E-2</v>
      </c>
      <c r="F19" s="8">
        <f t="shared" si="4"/>
        <v>-8.960761914070825E-2</v>
      </c>
      <c r="G19" s="8"/>
      <c r="H19" s="8">
        <f t="shared" si="2"/>
        <v>25560.495284127264</v>
      </c>
      <c r="I19" s="8">
        <f t="shared" si="3"/>
        <v>10.148803285617007</v>
      </c>
      <c r="J19" s="2"/>
    </row>
    <row r="20" spans="1:10" ht="15.75">
      <c r="A20" s="2">
        <v>42.5</v>
      </c>
      <c r="B20" s="21">
        <v>1</v>
      </c>
      <c r="C20" s="21">
        <v>44</v>
      </c>
      <c r="D20" s="2">
        <f t="shared" si="0"/>
        <v>45</v>
      </c>
      <c r="E20" s="8">
        <f t="shared" si="1"/>
        <v>2.2222222222222223E-2</v>
      </c>
      <c r="F20" s="8">
        <f t="shared" si="4"/>
        <v>-8.3868214167787336E-2</v>
      </c>
      <c r="G20" s="8"/>
      <c r="H20" s="8">
        <f t="shared" si="2"/>
        <v>-130.54944786716661</v>
      </c>
      <c r="I20" s="8" t="e">
        <f t="shared" si="3"/>
        <v>#NUM!</v>
      </c>
      <c r="J20" s="2"/>
    </row>
    <row r="21" spans="1:10" ht="15.75">
      <c r="A21" s="2">
        <v>47.5</v>
      </c>
      <c r="B21" s="21">
        <v>7</v>
      </c>
      <c r="C21" s="21">
        <v>47</v>
      </c>
      <c r="D21" s="2">
        <f t="shared" si="0"/>
        <v>54</v>
      </c>
      <c r="E21" s="8">
        <f t="shared" si="1"/>
        <v>0.12962962962962962</v>
      </c>
      <c r="F21" s="8">
        <f t="shared" si="4"/>
        <v>-7.5031738841807138E-2</v>
      </c>
      <c r="G21" s="8"/>
      <c r="H21" s="8">
        <f t="shared" si="2"/>
        <v>-71.078044909160184</v>
      </c>
      <c r="I21" s="8" t="e">
        <f t="shared" si="3"/>
        <v>#NUM!</v>
      </c>
      <c r="J21" s="2"/>
    </row>
    <row r="22" spans="1:10" ht="15.75">
      <c r="A22" s="2">
        <v>52.5</v>
      </c>
      <c r="B22" s="21">
        <v>23</v>
      </c>
      <c r="C22" s="21">
        <v>108</v>
      </c>
      <c r="D22" s="2">
        <f t="shared" si="0"/>
        <v>131</v>
      </c>
      <c r="E22" s="8">
        <f t="shared" si="1"/>
        <v>0.17557251908396945</v>
      </c>
      <c r="F22" s="8">
        <f t="shared" si="4"/>
        <v>-6.1526739366489558E-2</v>
      </c>
      <c r="G22" s="8"/>
      <c r="H22" s="8">
        <f t="shared" si="2"/>
        <v>-2.1997969820503984</v>
      </c>
      <c r="I22" s="8" t="e">
        <f t="shared" si="3"/>
        <v>#NUM!</v>
      </c>
      <c r="J22" s="2"/>
    </row>
    <row r="23" spans="1:10" ht="15.75">
      <c r="A23" s="2">
        <v>57.5</v>
      </c>
      <c r="B23" s="21">
        <v>54</v>
      </c>
      <c r="C23" s="21">
        <v>170</v>
      </c>
      <c r="D23" s="2">
        <f t="shared" si="0"/>
        <v>224</v>
      </c>
      <c r="E23" s="8">
        <f t="shared" si="1"/>
        <v>0.24107142857142858</v>
      </c>
      <c r="F23" s="8">
        <f t="shared" si="4"/>
        <v>-4.1117165519676702E-2</v>
      </c>
      <c r="G23" s="8"/>
      <c r="H23" s="8">
        <f t="shared" si="2"/>
        <v>4.5295173727971683E-20</v>
      </c>
      <c r="I23" s="8">
        <f t="shared" si="3"/>
        <v>-44.541086466283161</v>
      </c>
      <c r="J23" s="2"/>
    </row>
    <row r="24" spans="1:10" ht="15.75">
      <c r="A24" s="2">
        <v>62.5</v>
      </c>
      <c r="B24" s="21">
        <v>54</v>
      </c>
      <c r="C24" s="21">
        <v>135</v>
      </c>
      <c r="D24" s="2">
        <f t="shared" si="0"/>
        <v>189</v>
      </c>
      <c r="E24" s="8">
        <f t="shared" si="1"/>
        <v>0.2857142857142857</v>
      </c>
      <c r="F24" s="8">
        <f t="shared" si="4"/>
        <v>-1.0790463864216893E-2</v>
      </c>
      <c r="G24" s="8"/>
      <c r="H24" s="8">
        <f t="shared" si="2"/>
        <v>2.1252458261296591E-58</v>
      </c>
      <c r="I24" s="8">
        <f t="shared" si="3"/>
        <v>-132.79604791508447</v>
      </c>
      <c r="J24" s="2"/>
    </row>
    <row r="25" spans="1:10" ht="15.75">
      <c r="A25" s="2">
        <v>67.5</v>
      </c>
      <c r="B25" s="21">
        <v>47</v>
      </c>
      <c r="C25" s="21">
        <v>102</v>
      </c>
      <c r="D25" s="2">
        <f t="shared" si="0"/>
        <v>149</v>
      </c>
      <c r="E25" s="8">
        <f t="shared" si="1"/>
        <v>0.31543624161073824</v>
      </c>
      <c r="F25" s="8">
        <f t="shared" si="4"/>
        <v>3.3157847510250305E-2</v>
      </c>
      <c r="G25" s="8"/>
      <c r="H25" s="8">
        <f t="shared" si="2"/>
        <v>1.4422339604434524E-32</v>
      </c>
      <c r="I25" s="8">
        <f t="shared" si="3"/>
        <v>-73.316529702920491</v>
      </c>
      <c r="J25" s="2"/>
    </row>
    <row r="26" spans="1:10" ht="15.75">
      <c r="A26" s="2">
        <v>72.5</v>
      </c>
      <c r="B26" s="21">
        <v>97</v>
      </c>
      <c r="C26" s="21">
        <v>137</v>
      </c>
      <c r="D26" s="2">
        <f t="shared" si="0"/>
        <v>234</v>
      </c>
      <c r="E26" s="8">
        <f t="shared" si="1"/>
        <v>0.41452991452991456</v>
      </c>
      <c r="F26" s="8">
        <f t="shared" si="4"/>
        <v>9.4588894659823453E-2</v>
      </c>
      <c r="G26" s="8"/>
      <c r="H26" s="8">
        <f t="shared" si="2"/>
        <v>2.6097293634481659E-38</v>
      </c>
      <c r="I26" s="8">
        <f t="shared" si="3"/>
        <v>-86.538987009980985</v>
      </c>
      <c r="J26" s="2"/>
    </row>
    <row r="27" spans="1:10" ht="15.75">
      <c r="A27" s="2">
        <v>77.5</v>
      </c>
      <c r="B27" s="21">
        <v>200</v>
      </c>
      <c r="C27" s="21">
        <v>243</v>
      </c>
      <c r="D27" s="2">
        <f t="shared" si="0"/>
        <v>443</v>
      </c>
      <c r="E27" s="8">
        <f t="shared" si="1"/>
        <v>0.45146726862302483</v>
      </c>
      <c r="F27" s="8">
        <f t="shared" si="4"/>
        <v>0.17626258492783142</v>
      </c>
      <c r="G27" s="8"/>
      <c r="H27" s="8">
        <f t="shared" si="2"/>
        <v>6.2773488490419519E-41</v>
      </c>
      <c r="I27" s="8">
        <f t="shared" si="3"/>
        <v>-92.56904107920532</v>
      </c>
      <c r="J27" s="2"/>
    </row>
    <row r="28" spans="1:10" ht="15.75">
      <c r="A28" s="2">
        <v>82.5</v>
      </c>
      <c r="B28" s="21">
        <v>490</v>
      </c>
      <c r="C28" s="21">
        <v>440</v>
      </c>
      <c r="D28" s="2">
        <f t="shared" si="0"/>
        <v>930</v>
      </c>
      <c r="E28" s="8">
        <f t="shared" si="1"/>
        <v>0.5268817204301075</v>
      </c>
      <c r="F28" s="8">
        <f t="shared" si="4"/>
        <v>0.27790844029773321</v>
      </c>
      <c r="G28" s="8"/>
      <c r="H28" s="8">
        <f t="shared" si="2"/>
        <v>1.2149111854285661E-57</v>
      </c>
      <c r="I28" s="8">
        <f t="shared" si="3"/>
        <v>-131.05267932495261</v>
      </c>
      <c r="J28" s="2"/>
    </row>
    <row r="29" spans="1:10" ht="15.75">
      <c r="A29" s="2">
        <v>87.5</v>
      </c>
      <c r="B29" s="21">
        <v>803</v>
      </c>
      <c r="C29" s="21">
        <v>634</v>
      </c>
      <c r="D29" s="2">
        <f t="shared" si="0"/>
        <v>1437</v>
      </c>
      <c r="E29" s="8">
        <f t="shared" si="1"/>
        <v>0.55880306193458595</v>
      </c>
      <c r="F29" s="8">
        <f t="shared" si="4"/>
        <v>0.39450201752651926</v>
      </c>
      <c r="G29" s="8"/>
      <c r="H29" s="8" t="e">
        <f t="shared" si="2"/>
        <v>#NUM!</v>
      </c>
      <c r="I29" s="8" t="e">
        <f t="shared" si="3"/>
        <v>#NUM!</v>
      </c>
      <c r="J29" s="2"/>
    </row>
    <row r="30" spans="1:10" ht="15.75">
      <c r="A30" s="2">
        <v>92.5</v>
      </c>
      <c r="B30" s="21">
        <v>699</v>
      </c>
      <c r="C30" s="21">
        <v>530</v>
      </c>
      <c r="D30" s="2">
        <f t="shared" si="0"/>
        <v>1229</v>
      </c>
      <c r="E30" s="8">
        <f t="shared" si="1"/>
        <v>0.56875508543531328</v>
      </c>
      <c r="F30" s="8">
        <f t="shared" si="4"/>
        <v>0.51636260695740854</v>
      </c>
      <c r="G30" s="8"/>
      <c r="H30" s="8" t="e">
        <f t="shared" si="2"/>
        <v>#NUM!</v>
      </c>
      <c r="I30" s="8" t="e">
        <f t="shared" si="3"/>
        <v>#NUM!</v>
      </c>
      <c r="J30" s="2"/>
    </row>
    <row r="31" spans="1:10" ht="15.75">
      <c r="A31" s="2">
        <v>97.5</v>
      </c>
      <c r="B31" s="21">
        <v>328</v>
      </c>
      <c r="C31" s="21">
        <v>247</v>
      </c>
      <c r="D31" s="2">
        <f t="shared" si="0"/>
        <v>575</v>
      </c>
      <c r="E31" s="8">
        <f t="shared" si="1"/>
        <v>0.57043478260869562</v>
      </c>
      <c r="F31" s="8">
        <f t="shared" si="4"/>
        <v>0.63195161462149541</v>
      </c>
      <c r="G31" s="8"/>
      <c r="H31" s="8">
        <f t="shared" si="2"/>
        <v>3.4301818683387503E-4</v>
      </c>
      <c r="I31" s="8">
        <f t="shared" si="3"/>
        <v>-7.9777270893647092</v>
      </c>
      <c r="J31" s="2"/>
    </row>
    <row r="32" spans="1:10" ht="15.75">
      <c r="A32" s="2">
        <v>102.5</v>
      </c>
      <c r="B32" s="21">
        <v>81</v>
      </c>
      <c r="C32" s="21">
        <v>56</v>
      </c>
      <c r="D32" s="2">
        <f t="shared" si="0"/>
        <v>137</v>
      </c>
      <c r="E32" s="8">
        <f t="shared" si="1"/>
        <v>0.59124087591240881</v>
      </c>
      <c r="F32" s="8">
        <f t="shared" si="4"/>
        <v>0.73192996710910352</v>
      </c>
      <c r="G32" s="2"/>
      <c r="H32" s="8">
        <f t="shared" si="2"/>
        <v>1.2272736102803455E-4</v>
      </c>
      <c r="I32" s="8">
        <f t="shared" si="3"/>
        <v>-9.0055452398427391</v>
      </c>
      <c r="J32" s="2"/>
    </row>
    <row r="33" spans="1:10" ht="15.75">
      <c r="A33" s="2">
        <v>107.5</v>
      </c>
      <c r="B33" s="21">
        <v>28</v>
      </c>
      <c r="C33" s="21">
        <v>13</v>
      </c>
      <c r="D33" s="2">
        <f t="shared" si="0"/>
        <v>41</v>
      </c>
      <c r="E33" s="8">
        <f t="shared" si="1"/>
        <v>0.68292682926829273</v>
      </c>
      <c r="F33" s="8">
        <f t="shared" si="4"/>
        <v>0.81173518211906481</v>
      </c>
      <c r="G33" s="20"/>
      <c r="H33" s="8">
        <f t="shared" si="2"/>
        <v>1.9125346983584528E-2</v>
      </c>
      <c r="I33" s="8">
        <f t="shared" si="3"/>
        <v>-3.9567407565015942</v>
      </c>
      <c r="J33" s="2"/>
    </row>
    <row r="34" spans="1:10" ht="15.75">
      <c r="A34" s="2">
        <v>112.5</v>
      </c>
      <c r="B34" s="21">
        <v>3</v>
      </c>
      <c r="C34" s="21">
        <v>4</v>
      </c>
      <c r="D34" s="2">
        <f t="shared" si="0"/>
        <v>7</v>
      </c>
      <c r="E34" s="8">
        <f t="shared" si="1"/>
        <v>0.42857142857142855</v>
      </c>
      <c r="F34" s="8">
        <f t="shared" si="4"/>
        <v>0.87145319382830211</v>
      </c>
      <c r="G34" s="20"/>
      <c r="H34" s="8">
        <f t="shared" si="2"/>
        <v>6.3247797309331031E-3</v>
      </c>
      <c r="I34" s="8">
        <f t="shared" si="3"/>
        <v>-5.0632800701238789</v>
      </c>
      <c r="J34" s="2"/>
    </row>
    <row r="35" spans="1:10" ht="15.75">
      <c r="A35" s="2">
        <v>117.5</v>
      </c>
      <c r="B35" s="21">
        <v>1</v>
      </c>
      <c r="C35" s="21">
        <v>0</v>
      </c>
      <c r="D35" s="2">
        <f t="shared" si="0"/>
        <v>1</v>
      </c>
      <c r="E35" s="8">
        <f t="shared" si="1"/>
        <v>1</v>
      </c>
      <c r="F35" s="8">
        <f t="shared" si="4"/>
        <v>0.9140149909239117</v>
      </c>
      <c r="G35" s="20"/>
      <c r="H35" s="8">
        <f t="shared" si="2"/>
        <v>0.9140149909239117</v>
      </c>
      <c r="I35" s="8">
        <f t="shared" si="3"/>
        <v>-8.9908306214008263E-2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0.94330699953709596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0.96298453387333804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0.97598938849481787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/>
  </sheetViews>
  <sheetFormatPr defaultRowHeight="15"/>
  <cols>
    <col min="10" max="10" width="12.42578125" bestFit="1" customWidth="1"/>
    <col min="11" max="11" width="15.28515625" bestFit="1" customWidth="1"/>
    <col min="12" max="12" width="5.42578125" customWidth="1"/>
    <col min="13" max="13" width="5.28515625" customWidth="1"/>
    <col min="14" max="14" width="5.42578125" customWidth="1"/>
    <col min="15" max="15" width="5.28515625" customWidth="1"/>
    <col min="16" max="16" width="10.7109375" bestFit="1" customWidth="1"/>
  </cols>
  <sheetData>
    <row r="1" spans="1:15">
      <c r="A1" t="s">
        <v>47</v>
      </c>
      <c r="B1" t="s">
        <v>48</v>
      </c>
      <c r="C1" t="s">
        <v>49</v>
      </c>
    </row>
    <row r="2" spans="1:15">
      <c r="A2">
        <v>10</v>
      </c>
      <c r="B2" t="s">
        <v>43</v>
      </c>
      <c r="C2">
        <v>1</v>
      </c>
      <c r="J2" t="s">
        <v>50</v>
      </c>
      <c r="K2" t="s">
        <v>51</v>
      </c>
    </row>
    <row r="3" spans="1:15">
      <c r="A3">
        <v>10</v>
      </c>
      <c r="B3" t="s">
        <v>44</v>
      </c>
      <c r="C3">
        <v>2</v>
      </c>
      <c r="J3" t="s">
        <v>52</v>
      </c>
      <c r="K3" t="s">
        <v>24</v>
      </c>
      <c r="L3" t="s">
        <v>42</v>
      </c>
      <c r="M3" t="s">
        <v>43</v>
      </c>
      <c r="N3" t="s">
        <v>23</v>
      </c>
      <c r="O3" t="s">
        <v>44</v>
      </c>
    </row>
    <row r="4" spans="1:15">
      <c r="A4">
        <v>15</v>
      </c>
      <c r="B4" t="s">
        <v>24</v>
      </c>
      <c r="C4">
        <v>11</v>
      </c>
      <c r="J4" s="28">
        <v>10</v>
      </c>
      <c r="K4" s="21"/>
      <c r="L4" s="21"/>
      <c r="M4" s="21">
        <v>1</v>
      </c>
      <c r="N4" s="21"/>
      <c r="O4" s="21">
        <v>2</v>
      </c>
    </row>
    <row r="5" spans="1:15">
      <c r="A5">
        <v>15</v>
      </c>
      <c r="B5" t="s">
        <v>43</v>
      </c>
      <c r="C5">
        <v>1</v>
      </c>
      <c r="J5" s="28">
        <v>15</v>
      </c>
      <c r="K5" s="21">
        <v>11</v>
      </c>
      <c r="L5" s="21"/>
      <c r="M5" s="21">
        <v>1</v>
      </c>
      <c r="N5" s="21"/>
      <c r="O5" s="21"/>
    </row>
    <row r="6" spans="1:15">
      <c r="A6">
        <v>20</v>
      </c>
      <c r="B6" t="s">
        <v>24</v>
      </c>
      <c r="C6">
        <v>43</v>
      </c>
      <c r="J6" s="28">
        <v>20</v>
      </c>
      <c r="K6" s="21">
        <v>43</v>
      </c>
      <c r="L6" s="21">
        <v>1</v>
      </c>
      <c r="M6" s="21"/>
      <c r="N6" s="21">
        <v>1</v>
      </c>
      <c r="O6" s="21"/>
    </row>
    <row r="7" spans="1:15">
      <c r="A7">
        <v>20</v>
      </c>
      <c r="B7" t="s">
        <v>42</v>
      </c>
      <c r="C7">
        <v>1</v>
      </c>
      <c r="J7" s="28">
        <v>25</v>
      </c>
      <c r="K7" s="21">
        <v>54</v>
      </c>
      <c r="L7" s="21">
        <v>5</v>
      </c>
      <c r="M7" s="21">
        <v>2</v>
      </c>
      <c r="N7" s="21"/>
      <c r="O7" s="21"/>
    </row>
    <row r="8" spans="1:15">
      <c r="A8">
        <v>20</v>
      </c>
      <c r="B8" t="s">
        <v>23</v>
      </c>
      <c r="C8">
        <v>1</v>
      </c>
      <c r="J8" s="28">
        <v>30</v>
      </c>
      <c r="K8" s="21">
        <v>26</v>
      </c>
      <c r="L8" s="21">
        <v>3</v>
      </c>
      <c r="M8" s="21"/>
      <c r="N8" s="21">
        <v>2</v>
      </c>
      <c r="O8" s="21"/>
    </row>
    <row r="9" spans="1:15">
      <c r="A9">
        <v>25</v>
      </c>
      <c r="B9" t="s">
        <v>24</v>
      </c>
      <c r="C9">
        <v>54</v>
      </c>
      <c r="J9" s="28">
        <v>35</v>
      </c>
      <c r="K9" s="21">
        <v>29</v>
      </c>
      <c r="L9" s="21">
        <v>8</v>
      </c>
      <c r="M9" s="21">
        <v>1</v>
      </c>
      <c r="N9" s="21"/>
      <c r="O9" s="21"/>
    </row>
    <row r="10" spans="1:15">
      <c r="A10">
        <v>25</v>
      </c>
      <c r="B10" t="s">
        <v>42</v>
      </c>
      <c r="C10">
        <v>5</v>
      </c>
      <c r="J10" s="28">
        <v>40</v>
      </c>
      <c r="K10" s="21">
        <v>46</v>
      </c>
      <c r="L10" s="21">
        <v>4</v>
      </c>
      <c r="M10" s="21">
        <v>1</v>
      </c>
      <c r="N10" s="21"/>
      <c r="O10" s="21">
        <v>2</v>
      </c>
    </row>
    <row r="11" spans="1:15">
      <c r="A11">
        <v>25</v>
      </c>
      <c r="B11" t="s">
        <v>43</v>
      </c>
      <c r="C11">
        <v>2</v>
      </c>
      <c r="J11" s="28">
        <v>45</v>
      </c>
      <c r="K11" s="21">
        <v>27</v>
      </c>
      <c r="L11" s="21">
        <v>5</v>
      </c>
      <c r="M11" s="21">
        <v>3</v>
      </c>
      <c r="N11" s="21">
        <v>1</v>
      </c>
      <c r="O11" s="21">
        <v>1</v>
      </c>
    </row>
    <row r="12" spans="1:15">
      <c r="A12">
        <v>30</v>
      </c>
      <c r="B12" t="s">
        <v>24</v>
      </c>
      <c r="C12">
        <v>26</v>
      </c>
      <c r="J12" s="28">
        <v>50</v>
      </c>
      <c r="K12" s="21">
        <v>11</v>
      </c>
      <c r="L12" s="21">
        <v>2</v>
      </c>
      <c r="M12" s="21">
        <v>3</v>
      </c>
      <c r="N12" s="21">
        <v>3</v>
      </c>
      <c r="O12" s="21">
        <v>2</v>
      </c>
    </row>
    <row r="13" spans="1:15">
      <c r="A13">
        <v>30</v>
      </c>
      <c r="B13" t="s">
        <v>42</v>
      </c>
      <c r="C13">
        <v>3</v>
      </c>
      <c r="J13" s="28">
        <v>55</v>
      </c>
      <c r="K13" s="21">
        <v>17</v>
      </c>
      <c r="L13" s="21">
        <v>10</v>
      </c>
      <c r="M13" s="21">
        <v>6</v>
      </c>
      <c r="N13" s="21">
        <v>5</v>
      </c>
      <c r="O13" s="21"/>
    </row>
    <row r="14" spans="1:15">
      <c r="A14">
        <v>30</v>
      </c>
      <c r="B14" t="s">
        <v>23</v>
      </c>
      <c r="C14">
        <v>2</v>
      </c>
      <c r="J14" s="28">
        <v>60</v>
      </c>
      <c r="K14" s="21">
        <v>20</v>
      </c>
      <c r="L14" s="21">
        <v>9</v>
      </c>
      <c r="M14" s="21">
        <v>3</v>
      </c>
      <c r="N14" s="21">
        <v>6</v>
      </c>
      <c r="O14" s="21">
        <v>6</v>
      </c>
    </row>
    <row r="15" spans="1:15">
      <c r="A15">
        <v>35</v>
      </c>
      <c r="B15" t="s">
        <v>24</v>
      </c>
      <c r="C15">
        <v>29</v>
      </c>
      <c r="J15" s="28">
        <v>65</v>
      </c>
      <c r="K15" s="21">
        <v>38</v>
      </c>
      <c r="L15" s="21">
        <v>35</v>
      </c>
      <c r="M15" s="21">
        <v>13</v>
      </c>
      <c r="N15" s="21">
        <v>10</v>
      </c>
      <c r="O15" s="21">
        <v>9</v>
      </c>
    </row>
    <row r="16" spans="1:15">
      <c r="A16">
        <v>35</v>
      </c>
      <c r="B16" t="s">
        <v>42</v>
      </c>
      <c r="C16">
        <v>8</v>
      </c>
      <c r="J16" s="28">
        <v>70</v>
      </c>
      <c r="K16" s="21">
        <v>76</v>
      </c>
      <c r="L16" s="21">
        <v>50</v>
      </c>
      <c r="M16" s="21">
        <v>21</v>
      </c>
      <c r="N16" s="21">
        <v>19</v>
      </c>
      <c r="O16" s="21">
        <v>9</v>
      </c>
    </row>
    <row r="17" spans="1:15">
      <c r="A17">
        <v>35</v>
      </c>
      <c r="B17" t="s">
        <v>43</v>
      </c>
      <c r="C17">
        <v>1</v>
      </c>
      <c r="J17" s="28">
        <v>75</v>
      </c>
      <c r="K17" s="21">
        <v>80</v>
      </c>
      <c r="L17" s="21">
        <v>62</v>
      </c>
      <c r="M17" s="21">
        <v>27</v>
      </c>
      <c r="N17" s="21">
        <v>24</v>
      </c>
      <c r="O17" s="21">
        <v>14</v>
      </c>
    </row>
    <row r="18" spans="1:15">
      <c r="A18">
        <v>40</v>
      </c>
      <c r="B18" t="s">
        <v>24</v>
      </c>
      <c r="C18">
        <v>46</v>
      </c>
      <c r="J18" s="28">
        <v>80</v>
      </c>
      <c r="K18" s="21">
        <v>96</v>
      </c>
      <c r="L18" s="21">
        <v>89</v>
      </c>
      <c r="M18" s="21">
        <v>52</v>
      </c>
      <c r="N18" s="21">
        <v>24</v>
      </c>
      <c r="O18" s="21">
        <v>14</v>
      </c>
    </row>
    <row r="19" spans="1:15">
      <c r="A19">
        <v>40</v>
      </c>
      <c r="B19" t="s">
        <v>42</v>
      </c>
      <c r="C19">
        <v>4</v>
      </c>
      <c r="J19" s="28">
        <v>85</v>
      </c>
      <c r="K19" s="21">
        <v>110</v>
      </c>
      <c r="L19" s="21">
        <v>145</v>
      </c>
      <c r="M19" s="21">
        <v>109</v>
      </c>
      <c r="N19" s="21">
        <v>70</v>
      </c>
      <c r="O19" s="21">
        <v>30</v>
      </c>
    </row>
    <row r="20" spans="1:15">
      <c r="A20">
        <v>40</v>
      </c>
      <c r="B20" t="s">
        <v>43</v>
      </c>
      <c r="C20">
        <v>1</v>
      </c>
      <c r="J20" s="28">
        <v>90</v>
      </c>
      <c r="K20" s="21">
        <v>99</v>
      </c>
      <c r="L20" s="21">
        <v>192</v>
      </c>
      <c r="M20" s="21">
        <v>179</v>
      </c>
      <c r="N20" s="21">
        <v>99</v>
      </c>
      <c r="O20" s="21">
        <v>61</v>
      </c>
    </row>
    <row r="21" spans="1:15">
      <c r="A21">
        <v>40</v>
      </c>
      <c r="B21" t="s">
        <v>44</v>
      </c>
      <c r="C21">
        <v>2</v>
      </c>
      <c r="J21" s="28">
        <v>95</v>
      </c>
      <c r="K21" s="21">
        <v>109</v>
      </c>
      <c r="L21" s="21">
        <v>176</v>
      </c>
      <c r="M21" s="21">
        <v>161</v>
      </c>
      <c r="N21" s="21">
        <v>134</v>
      </c>
      <c r="O21" s="21">
        <v>101</v>
      </c>
    </row>
    <row r="22" spans="1:15">
      <c r="A22">
        <v>45</v>
      </c>
      <c r="B22" t="s">
        <v>24</v>
      </c>
      <c r="C22">
        <v>27</v>
      </c>
      <c r="J22" s="28">
        <v>100</v>
      </c>
      <c r="K22" s="21">
        <v>77</v>
      </c>
      <c r="L22" s="21">
        <v>112</v>
      </c>
      <c r="M22" s="21">
        <v>102</v>
      </c>
      <c r="N22" s="21">
        <v>111</v>
      </c>
      <c r="O22" s="21">
        <v>101</v>
      </c>
    </row>
    <row r="23" spans="1:15">
      <c r="A23">
        <v>45</v>
      </c>
      <c r="B23" t="s">
        <v>42</v>
      </c>
      <c r="C23">
        <v>5</v>
      </c>
      <c r="J23" s="28">
        <v>105</v>
      </c>
      <c r="K23" s="21">
        <v>31</v>
      </c>
      <c r="L23" s="21">
        <v>50</v>
      </c>
      <c r="M23" s="21">
        <v>43</v>
      </c>
      <c r="N23" s="21">
        <v>50</v>
      </c>
      <c r="O23" s="21">
        <v>57</v>
      </c>
    </row>
    <row r="24" spans="1:15">
      <c r="A24">
        <v>45</v>
      </c>
      <c r="B24" t="s">
        <v>43</v>
      </c>
      <c r="C24">
        <v>3</v>
      </c>
      <c r="J24" s="28">
        <v>110</v>
      </c>
      <c r="K24" s="21">
        <v>6</v>
      </c>
      <c r="L24" s="21">
        <v>14</v>
      </c>
      <c r="M24" s="21">
        <v>6</v>
      </c>
      <c r="N24" s="21">
        <v>15</v>
      </c>
      <c r="O24" s="21">
        <v>10</v>
      </c>
    </row>
    <row r="25" spans="1:15">
      <c r="A25">
        <v>45</v>
      </c>
      <c r="B25" t="s">
        <v>23</v>
      </c>
      <c r="C25">
        <v>1</v>
      </c>
      <c r="J25" s="28">
        <v>115</v>
      </c>
      <c r="K25" s="21">
        <v>3</v>
      </c>
      <c r="L25" s="21">
        <v>4</v>
      </c>
      <c r="M25" s="21">
        <v>3</v>
      </c>
      <c r="N25" s="21">
        <v>2</v>
      </c>
      <c r="O25" s="21">
        <v>4</v>
      </c>
    </row>
    <row r="26" spans="1:15">
      <c r="A26">
        <v>45</v>
      </c>
      <c r="B26" t="s">
        <v>44</v>
      </c>
      <c r="C26">
        <v>1</v>
      </c>
      <c r="J26" s="28">
        <v>120</v>
      </c>
      <c r="K26" s="21">
        <v>3</v>
      </c>
      <c r="L26" s="21"/>
      <c r="M26" s="21">
        <v>1</v>
      </c>
      <c r="N26" s="21">
        <v>1</v>
      </c>
      <c r="O26" s="21">
        <v>2</v>
      </c>
    </row>
    <row r="27" spans="1:15">
      <c r="A27">
        <v>50</v>
      </c>
      <c r="B27" t="s">
        <v>24</v>
      </c>
      <c r="C27">
        <v>11</v>
      </c>
      <c r="J27" s="28">
        <v>130</v>
      </c>
      <c r="K27" s="21"/>
      <c r="L27" s="21"/>
      <c r="M27" s="21"/>
      <c r="N27" s="21"/>
      <c r="O27" s="21">
        <v>1</v>
      </c>
    </row>
    <row r="28" spans="1:15">
      <c r="A28">
        <v>50</v>
      </c>
      <c r="B28" t="s">
        <v>42</v>
      </c>
      <c r="C28">
        <v>2</v>
      </c>
      <c r="J28" s="28" t="s">
        <v>53</v>
      </c>
      <c r="K28" s="21">
        <v>1012</v>
      </c>
      <c r="L28" s="21">
        <v>976</v>
      </c>
      <c r="M28" s="21">
        <v>738</v>
      </c>
      <c r="N28" s="21">
        <v>577</v>
      </c>
      <c r="O28" s="21">
        <v>426</v>
      </c>
    </row>
    <row r="29" spans="1:15">
      <c r="A29">
        <v>50</v>
      </c>
      <c r="B29" t="s">
        <v>43</v>
      </c>
      <c r="C29">
        <v>3</v>
      </c>
    </row>
    <row r="30" spans="1:15">
      <c r="A30">
        <v>50</v>
      </c>
      <c r="B30" t="s">
        <v>23</v>
      </c>
      <c r="C30">
        <v>3</v>
      </c>
    </row>
    <row r="31" spans="1:15">
      <c r="A31">
        <v>50</v>
      </c>
      <c r="B31" t="s">
        <v>44</v>
      </c>
      <c r="C31">
        <v>2</v>
      </c>
    </row>
    <row r="32" spans="1:15">
      <c r="A32">
        <v>55</v>
      </c>
      <c r="B32" t="s">
        <v>24</v>
      </c>
      <c r="C32">
        <v>17</v>
      </c>
    </row>
    <row r="33" spans="1:3">
      <c r="A33">
        <v>55</v>
      </c>
      <c r="B33" t="s">
        <v>42</v>
      </c>
      <c r="C33">
        <v>10</v>
      </c>
    </row>
    <row r="34" spans="1:3">
      <c r="A34">
        <v>55</v>
      </c>
      <c r="B34" t="s">
        <v>43</v>
      </c>
      <c r="C34">
        <v>6</v>
      </c>
    </row>
    <row r="35" spans="1:3">
      <c r="A35">
        <v>55</v>
      </c>
      <c r="B35" t="s">
        <v>23</v>
      </c>
      <c r="C35">
        <v>5</v>
      </c>
    </row>
    <row r="36" spans="1:3">
      <c r="A36">
        <v>60</v>
      </c>
      <c r="B36" t="s">
        <v>24</v>
      </c>
      <c r="C36">
        <v>20</v>
      </c>
    </row>
    <row r="37" spans="1:3">
      <c r="A37">
        <v>60</v>
      </c>
      <c r="B37" t="s">
        <v>42</v>
      </c>
      <c r="C37">
        <v>9</v>
      </c>
    </row>
    <row r="38" spans="1:3">
      <c r="A38">
        <v>60</v>
      </c>
      <c r="B38" t="s">
        <v>43</v>
      </c>
      <c r="C38">
        <v>3</v>
      </c>
    </row>
    <row r="39" spans="1:3">
      <c r="A39">
        <v>60</v>
      </c>
      <c r="B39" t="s">
        <v>23</v>
      </c>
      <c r="C39">
        <v>6</v>
      </c>
    </row>
    <row r="40" spans="1:3">
      <c r="A40">
        <v>60</v>
      </c>
      <c r="B40" t="s">
        <v>44</v>
      </c>
      <c r="C40">
        <v>6</v>
      </c>
    </row>
    <row r="41" spans="1:3">
      <c r="A41">
        <v>65</v>
      </c>
      <c r="B41" t="s">
        <v>24</v>
      </c>
      <c r="C41">
        <v>38</v>
      </c>
    </row>
    <row r="42" spans="1:3">
      <c r="A42">
        <v>65</v>
      </c>
      <c r="B42" t="s">
        <v>42</v>
      </c>
      <c r="C42">
        <v>35</v>
      </c>
    </row>
    <row r="43" spans="1:3">
      <c r="A43">
        <v>65</v>
      </c>
      <c r="B43" t="s">
        <v>43</v>
      </c>
      <c r="C43">
        <v>13</v>
      </c>
    </row>
    <row r="44" spans="1:3">
      <c r="A44">
        <v>65</v>
      </c>
      <c r="B44" t="s">
        <v>23</v>
      </c>
      <c r="C44">
        <v>10</v>
      </c>
    </row>
    <row r="45" spans="1:3">
      <c r="A45">
        <v>65</v>
      </c>
      <c r="B45" t="s">
        <v>44</v>
      </c>
      <c r="C45">
        <v>9</v>
      </c>
    </row>
    <row r="46" spans="1:3">
      <c r="A46">
        <v>70</v>
      </c>
      <c r="B46" t="s">
        <v>24</v>
      </c>
      <c r="C46">
        <v>76</v>
      </c>
    </row>
    <row r="47" spans="1:3">
      <c r="A47">
        <v>70</v>
      </c>
      <c r="B47" t="s">
        <v>42</v>
      </c>
      <c r="C47">
        <v>50</v>
      </c>
    </row>
    <row r="48" spans="1:3">
      <c r="A48">
        <v>70</v>
      </c>
      <c r="B48" t="s">
        <v>43</v>
      </c>
      <c r="C48">
        <v>21</v>
      </c>
    </row>
    <row r="49" spans="1:3">
      <c r="A49">
        <v>70</v>
      </c>
      <c r="B49" t="s">
        <v>23</v>
      </c>
      <c r="C49">
        <v>19</v>
      </c>
    </row>
    <row r="50" spans="1:3">
      <c r="A50">
        <v>70</v>
      </c>
      <c r="B50" t="s">
        <v>44</v>
      </c>
      <c r="C50">
        <v>9</v>
      </c>
    </row>
    <row r="51" spans="1:3">
      <c r="A51">
        <v>75</v>
      </c>
      <c r="B51" t="s">
        <v>24</v>
      </c>
      <c r="C51">
        <v>80</v>
      </c>
    </row>
    <row r="52" spans="1:3">
      <c r="A52">
        <v>75</v>
      </c>
      <c r="B52" t="s">
        <v>42</v>
      </c>
      <c r="C52">
        <v>62</v>
      </c>
    </row>
    <row r="53" spans="1:3">
      <c r="A53">
        <v>75</v>
      </c>
      <c r="B53" t="s">
        <v>43</v>
      </c>
      <c r="C53">
        <v>27</v>
      </c>
    </row>
    <row r="54" spans="1:3">
      <c r="A54">
        <v>75</v>
      </c>
      <c r="B54" t="s">
        <v>23</v>
      </c>
      <c r="C54">
        <v>24</v>
      </c>
    </row>
    <row r="55" spans="1:3">
      <c r="A55">
        <v>75</v>
      </c>
      <c r="B55" t="s">
        <v>44</v>
      </c>
      <c r="C55">
        <v>14</v>
      </c>
    </row>
    <row r="56" spans="1:3">
      <c r="A56">
        <v>80</v>
      </c>
      <c r="B56" t="s">
        <v>24</v>
      </c>
      <c r="C56">
        <v>96</v>
      </c>
    </row>
    <row r="57" spans="1:3">
      <c r="A57">
        <v>80</v>
      </c>
      <c r="B57" t="s">
        <v>42</v>
      </c>
      <c r="C57">
        <v>89</v>
      </c>
    </row>
    <row r="58" spans="1:3">
      <c r="A58">
        <v>80</v>
      </c>
      <c r="B58" t="s">
        <v>43</v>
      </c>
      <c r="C58">
        <v>52</v>
      </c>
    </row>
    <row r="59" spans="1:3">
      <c r="A59">
        <v>80</v>
      </c>
      <c r="B59" t="s">
        <v>23</v>
      </c>
      <c r="C59">
        <v>24</v>
      </c>
    </row>
    <row r="60" spans="1:3">
      <c r="A60">
        <v>80</v>
      </c>
      <c r="B60" t="s">
        <v>44</v>
      </c>
      <c r="C60">
        <v>14</v>
      </c>
    </row>
    <row r="61" spans="1:3">
      <c r="A61">
        <v>85</v>
      </c>
      <c r="B61" t="s">
        <v>24</v>
      </c>
      <c r="C61">
        <v>110</v>
      </c>
    </row>
    <row r="62" spans="1:3">
      <c r="A62">
        <v>85</v>
      </c>
      <c r="B62" t="s">
        <v>42</v>
      </c>
      <c r="C62">
        <v>145</v>
      </c>
    </row>
    <row r="63" spans="1:3">
      <c r="A63">
        <v>85</v>
      </c>
      <c r="B63" t="s">
        <v>43</v>
      </c>
      <c r="C63">
        <v>109</v>
      </c>
    </row>
    <row r="64" spans="1:3">
      <c r="A64">
        <v>85</v>
      </c>
      <c r="B64" t="s">
        <v>23</v>
      </c>
      <c r="C64">
        <v>70</v>
      </c>
    </row>
    <row r="65" spans="1:3">
      <c r="A65">
        <v>85</v>
      </c>
      <c r="B65" t="s">
        <v>44</v>
      </c>
      <c r="C65">
        <v>30</v>
      </c>
    </row>
    <row r="66" spans="1:3">
      <c r="A66">
        <v>90</v>
      </c>
      <c r="B66" t="s">
        <v>24</v>
      </c>
      <c r="C66">
        <v>99</v>
      </c>
    </row>
    <row r="67" spans="1:3">
      <c r="A67">
        <v>90</v>
      </c>
      <c r="B67" t="s">
        <v>42</v>
      </c>
      <c r="C67">
        <v>192</v>
      </c>
    </row>
    <row r="68" spans="1:3">
      <c r="A68">
        <v>90</v>
      </c>
      <c r="B68" t="s">
        <v>43</v>
      </c>
      <c r="C68">
        <v>179</v>
      </c>
    </row>
    <row r="69" spans="1:3">
      <c r="A69">
        <v>90</v>
      </c>
      <c r="B69" t="s">
        <v>23</v>
      </c>
      <c r="C69">
        <v>99</v>
      </c>
    </row>
    <row r="70" spans="1:3">
      <c r="A70">
        <v>90</v>
      </c>
      <c r="B70" t="s">
        <v>44</v>
      </c>
      <c r="C70">
        <v>61</v>
      </c>
    </row>
    <row r="71" spans="1:3">
      <c r="A71">
        <v>95</v>
      </c>
      <c r="B71" t="s">
        <v>24</v>
      </c>
      <c r="C71">
        <v>109</v>
      </c>
    </row>
    <row r="72" spans="1:3">
      <c r="A72">
        <v>95</v>
      </c>
      <c r="B72" t="s">
        <v>42</v>
      </c>
      <c r="C72">
        <v>176</v>
      </c>
    </row>
    <row r="73" spans="1:3">
      <c r="A73">
        <v>95</v>
      </c>
      <c r="B73" t="s">
        <v>43</v>
      </c>
      <c r="C73">
        <v>161</v>
      </c>
    </row>
    <row r="74" spans="1:3">
      <c r="A74">
        <v>95</v>
      </c>
      <c r="B74" t="s">
        <v>23</v>
      </c>
      <c r="C74">
        <v>134</v>
      </c>
    </row>
    <row r="75" spans="1:3">
      <c r="A75">
        <v>95</v>
      </c>
      <c r="B75" t="s">
        <v>44</v>
      </c>
      <c r="C75">
        <v>101</v>
      </c>
    </row>
    <row r="76" spans="1:3">
      <c r="A76">
        <v>100</v>
      </c>
      <c r="B76" t="s">
        <v>24</v>
      </c>
      <c r="C76">
        <v>77</v>
      </c>
    </row>
    <row r="77" spans="1:3">
      <c r="A77">
        <v>100</v>
      </c>
      <c r="B77" t="s">
        <v>42</v>
      </c>
      <c r="C77">
        <v>112</v>
      </c>
    </row>
    <row r="78" spans="1:3">
      <c r="A78">
        <v>100</v>
      </c>
      <c r="B78" t="s">
        <v>43</v>
      </c>
      <c r="C78">
        <v>102</v>
      </c>
    </row>
    <row r="79" spans="1:3">
      <c r="A79">
        <v>100</v>
      </c>
      <c r="B79" t="s">
        <v>23</v>
      </c>
      <c r="C79">
        <v>111</v>
      </c>
    </row>
    <row r="80" spans="1:3">
      <c r="A80">
        <v>100</v>
      </c>
      <c r="B80" t="s">
        <v>44</v>
      </c>
      <c r="C80">
        <v>101</v>
      </c>
    </row>
    <row r="81" spans="1:3">
      <c r="A81">
        <v>105</v>
      </c>
      <c r="B81" t="s">
        <v>24</v>
      </c>
      <c r="C81">
        <v>31</v>
      </c>
    </row>
    <row r="82" spans="1:3">
      <c r="A82">
        <v>105</v>
      </c>
      <c r="B82" t="s">
        <v>42</v>
      </c>
      <c r="C82">
        <v>50</v>
      </c>
    </row>
    <row r="83" spans="1:3">
      <c r="A83">
        <v>105</v>
      </c>
      <c r="B83" t="s">
        <v>43</v>
      </c>
      <c r="C83">
        <v>43</v>
      </c>
    </row>
    <row r="84" spans="1:3">
      <c r="A84">
        <v>105</v>
      </c>
      <c r="B84" t="s">
        <v>23</v>
      </c>
      <c r="C84">
        <v>50</v>
      </c>
    </row>
    <row r="85" spans="1:3">
      <c r="A85">
        <v>105</v>
      </c>
      <c r="B85" t="s">
        <v>44</v>
      </c>
      <c r="C85">
        <v>57</v>
      </c>
    </row>
    <row r="86" spans="1:3">
      <c r="A86">
        <v>110</v>
      </c>
      <c r="B86" t="s">
        <v>24</v>
      </c>
      <c r="C86">
        <v>6</v>
      </c>
    </row>
    <row r="87" spans="1:3">
      <c r="A87">
        <v>110</v>
      </c>
      <c r="B87" t="s">
        <v>42</v>
      </c>
      <c r="C87">
        <v>14</v>
      </c>
    </row>
    <row r="88" spans="1:3">
      <c r="A88">
        <v>110</v>
      </c>
      <c r="B88" t="s">
        <v>43</v>
      </c>
      <c r="C88">
        <v>6</v>
      </c>
    </row>
    <row r="89" spans="1:3">
      <c r="A89">
        <v>110</v>
      </c>
      <c r="B89" t="s">
        <v>23</v>
      </c>
      <c r="C89">
        <v>15</v>
      </c>
    </row>
    <row r="90" spans="1:3">
      <c r="A90">
        <v>110</v>
      </c>
      <c r="B90" t="s">
        <v>44</v>
      </c>
      <c r="C90">
        <v>10</v>
      </c>
    </row>
    <row r="91" spans="1:3">
      <c r="A91">
        <v>115</v>
      </c>
      <c r="B91" t="s">
        <v>24</v>
      </c>
      <c r="C91">
        <v>3</v>
      </c>
    </row>
    <row r="92" spans="1:3">
      <c r="A92">
        <v>115</v>
      </c>
      <c r="B92" t="s">
        <v>42</v>
      </c>
      <c r="C92">
        <v>4</v>
      </c>
    </row>
    <row r="93" spans="1:3">
      <c r="A93">
        <v>115</v>
      </c>
      <c r="B93" t="s">
        <v>43</v>
      </c>
      <c r="C93">
        <v>3</v>
      </c>
    </row>
    <row r="94" spans="1:3">
      <c r="A94">
        <v>115</v>
      </c>
      <c r="B94" t="s">
        <v>23</v>
      </c>
      <c r="C94">
        <v>2</v>
      </c>
    </row>
    <row r="95" spans="1:3">
      <c r="A95">
        <v>115</v>
      </c>
      <c r="B95" t="s">
        <v>44</v>
      </c>
      <c r="C95">
        <v>4</v>
      </c>
    </row>
    <row r="96" spans="1:3">
      <c r="A96">
        <v>120</v>
      </c>
      <c r="B96" t="s">
        <v>24</v>
      </c>
      <c r="C96">
        <v>3</v>
      </c>
    </row>
    <row r="97" spans="1:3">
      <c r="A97">
        <v>120</v>
      </c>
      <c r="B97" t="s">
        <v>43</v>
      </c>
      <c r="C97">
        <v>1</v>
      </c>
    </row>
    <row r="98" spans="1:3">
      <c r="A98">
        <v>120</v>
      </c>
      <c r="B98" t="s">
        <v>23</v>
      </c>
      <c r="C98">
        <v>1</v>
      </c>
    </row>
    <row r="99" spans="1:3">
      <c r="A99">
        <v>120</v>
      </c>
      <c r="B99" t="s">
        <v>44</v>
      </c>
      <c r="C99">
        <v>2</v>
      </c>
    </row>
    <row r="100" spans="1:3">
      <c r="A100">
        <v>130</v>
      </c>
      <c r="B100" t="s">
        <v>44</v>
      </c>
      <c r="C100">
        <v>1</v>
      </c>
    </row>
    <row r="101" spans="1:3">
      <c r="A101" t="s">
        <v>54</v>
      </c>
      <c r="B101" t="s">
        <v>24</v>
      </c>
      <c r="C101">
        <v>0</v>
      </c>
    </row>
    <row r="102" spans="1:3">
      <c r="A102" t="s">
        <v>54</v>
      </c>
      <c r="B102" t="s">
        <v>42</v>
      </c>
      <c r="C102">
        <v>0</v>
      </c>
    </row>
    <row r="103" spans="1:3">
      <c r="A103" t="s">
        <v>54</v>
      </c>
      <c r="B103" t="s">
        <v>43</v>
      </c>
      <c r="C103">
        <v>0</v>
      </c>
    </row>
    <row r="104" spans="1:3">
      <c r="A104" t="s">
        <v>54</v>
      </c>
      <c r="B104" t="s">
        <v>23</v>
      </c>
      <c r="C104">
        <v>0</v>
      </c>
    </row>
    <row r="105" spans="1:3">
      <c r="A105" t="s">
        <v>54</v>
      </c>
      <c r="B105" t="s">
        <v>44</v>
      </c>
      <c r="C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4" sqref="N34"/>
    </sheetView>
  </sheetViews>
  <sheetFormatPr defaultRowHeight="15"/>
  <cols>
    <col min="3" max="3" width="10.5703125" bestFit="1" customWidth="1"/>
  </cols>
  <sheetData>
    <row r="1" spans="1:8">
      <c r="A1" t="s">
        <v>39</v>
      </c>
      <c r="B1" t="s">
        <v>40</v>
      </c>
      <c r="C1" t="s">
        <v>41</v>
      </c>
      <c r="D1" t="s">
        <v>24</v>
      </c>
      <c r="E1" t="s">
        <v>42</v>
      </c>
      <c r="F1" t="s">
        <v>43</v>
      </c>
      <c r="G1" t="s">
        <v>23</v>
      </c>
      <c r="H1" t="s">
        <v>44</v>
      </c>
    </row>
    <row r="2" spans="1:8">
      <c r="A2" t="s">
        <v>45</v>
      </c>
      <c r="B2">
        <f>C2+2.5</f>
        <v>12.5</v>
      </c>
      <c r="C2">
        <v>10</v>
      </c>
      <c r="D2">
        <v>0</v>
      </c>
      <c r="E2">
        <v>0</v>
      </c>
      <c r="F2">
        <v>1</v>
      </c>
      <c r="G2">
        <v>0</v>
      </c>
      <c r="H2">
        <v>2</v>
      </c>
    </row>
    <row r="3" spans="1:8">
      <c r="A3" t="s">
        <v>45</v>
      </c>
      <c r="B3">
        <f t="shared" ref="B3:B51" si="0">C3+2.5</f>
        <v>17.5</v>
      </c>
      <c r="C3">
        <v>15</v>
      </c>
      <c r="D3">
        <v>11</v>
      </c>
      <c r="E3">
        <v>0</v>
      </c>
      <c r="F3">
        <v>1</v>
      </c>
      <c r="G3">
        <v>0</v>
      </c>
      <c r="H3">
        <v>0</v>
      </c>
    </row>
    <row r="4" spans="1:8">
      <c r="A4" t="s">
        <v>45</v>
      </c>
      <c r="B4">
        <f t="shared" si="0"/>
        <v>22.5</v>
      </c>
      <c r="C4">
        <v>20</v>
      </c>
      <c r="D4">
        <v>43</v>
      </c>
      <c r="E4">
        <v>1</v>
      </c>
      <c r="F4">
        <v>0</v>
      </c>
      <c r="G4">
        <v>1</v>
      </c>
      <c r="H4">
        <v>0</v>
      </c>
    </row>
    <row r="5" spans="1:8">
      <c r="A5" t="s">
        <v>45</v>
      </c>
      <c r="B5">
        <f t="shared" si="0"/>
        <v>27.5</v>
      </c>
      <c r="C5">
        <v>25</v>
      </c>
      <c r="D5">
        <v>54</v>
      </c>
      <c r="E5">
        <v>5</v>
      </c>
      <c r="F5">
        <v>2</v>
      </c>
      <c r="G5">
        <v>0</v>
      </c>
      <c r="H5">
        <v>0</v>
      </c>
    </row>
    <row r="6" spans="1:8">
      <c r="A6" t="s">
        <v>45</v>
      </c>
      <c r="B6">
        <f t="shared" si="0"/>
        <v>32.5</v>
      </c>
      <c r="C6">
        <v>30</v>
      </c>
      <c r="D6">
        <v>26</v>
      </c>
      <c r="E6">
        <v>3</v>
      </c>
      <c r="F6">
        <v>0</v>
      </c>
      <c r="G6">
        <v>2</v>
      </c>
      <c r="H6">
        <v>0</v>
      </c>
    </row>
    <row r="7" spans="1:8">
      <c r="A7" t="s">
        <v>45</v>
      </c>
      <c r="B7">
        <f t="shared" si="0"/>
        <v>37.5</v>
      </c>
      <c r="C7">
        <v>35</v>
      </c>
      <c r="D7">
        <v>29</v>
      </c>
      <c r="E7">
        <v>8</v>
      </c>
      <c r="F7">
        <v>1</v>
      </c>
      <c r="G7">
        <v>0</v>
      </c>
      <c r="H7">
        <v>0</v>
      </c>
    </row>
    <row r="8" spans="1:8">
      <c r="A8" t="s">
        <v>45</v>
      </c>
      <c r="B8">
        <f t="shared" si="0"/>
        <v>42.5</v>
      </c>
      <c r="C8">
        <v>40</v>
      </c>
      <c r="D8">
        <v>46</v>
      </c>
      <c r="E8">
        <v>4</v>
      </c>
      <c r="F8">
        <v>1</v>
      </c>
      <c r="G8">
        <v>0</v>
      </c>
      <c r="H8">
        <v>2</v>
      </c>
    </row>
    <row r="9" spans="1:8">
      <c r="A9" t="s">
        <v>45</v>
      </c>
      <c r="B9">
        <f t="shared" si="0"/>
        <v>47.5</v>
      </c>
      <c r="C9">
        <v>45</v>
      </c>
      <c r="D9">
        <v>27</v>
      </c>
      <c r="E9">
        <v>5</v>
      </c>
      <c r="F9">
        <v>3</v>
      </c>
      <c r="G9">
        <v>1</v>
      </c>
      <c r="H9">
        <v>1</v>
      </c>
    </row>
    <row r="10" spans="1:8">
      <c r="A10" t="s">
        <v>45</v>
      </c>
      <c r="B10">
        <f t="shared" si="0"/>
        <v>52.5</v>
      </c>
      <c r="C10">
        <v>50</v>
      </c>
      <c r="D10">
        <v>11</v>
      </c>
      <c r="E10">
        <v>2</v>
      </c>
      <c r="F10">
        <v>3</v>
      </c>
      <c r="G10">
        <v>3</v>
      </c>
      <c r="H10">
        <v>2</v>
      </c>
    </row>
    <row r="11" spans="1:8">
      <c r="A11" t="s">
        <v>45</v>
      </c>
      <c r="B11">
        <f t="shared" si="0"/>
        <v>57.5</v>
      </c>
      <c r="C11">
        <v>55</v>
      </c>
      <c r="D11">
        <v>17</v>
      </c>
      <c r="E11">
        <v>10</v>
      </c>
      <c r="F11">
        <v>6</v>
      </c>
      <c r="G11">
        <v>5</v>
      </c>
      <c r="H11">
        <v>0</v>
      </c>
    </row>
    <row r="12" spans="1:8">
      <c r="A12" t="s">
        <v>45</v>
      </c>
      <c r="B12">
        <f t="shared" si="0"/>
        <v>62.5</v>
      </c>
      <c r="C12">
        <v>60</v>
      </c>
      <c r="D12">
        <v>20</v>
      </c>
      <c r="E12">
        <v>9</v>
      </c>
      <c r="F12">
        <v>3</v>
      </c>
      <c r="G12">
        <v>6</v>
      </c>
      <c r="H12">
        <v>6</v>
      </c>
    </row>
    <row r="13" spans="1:8">
      <c r="A13" t="s">
        <v>45</v>
      </c>
      <c r="B13">
        <f t="shared" si="0"/>
        <v>67.5</v>
      </c>
      <c r="C13">
        <v>65</v>
      </c>
      <c r="D13">
        <v>38</v>
      </c>
      <c r="E13">
        <v>35</v>
      </c>
      <c r="F13">
        <v>13</v>
      </c>
      <c r="G13">
        <v>10</v>
      </c>
      <c r="H13">
        <v>9</v>
      </c>
    </row>
    <row r="14" spans="1:8">
      <c r="A14" t="s">
        <v>45</v>
      </c>
      <c r="B14">
        <f t="shared" si="0"/>
        <v>72.5</v>
      </c>
      <c r="C14">
        <v>70</v>
      </c>
      <c r="D14">
        <v>76</v>
      </c>
      <c r="E14">
        <v>50</v>
      </c>
      <c r="F14">
        <v>21</v>
      </c>
      <c r="G14">
        <v>19</v>
      </c>
      <c r="H14">
        <v>9</v>
      </c>
    </row>
    <row r="15" spans="1:8">
      <c r="A15" t="s">
        <v>45</v>
      </c>
      <c r="B15">
        <f t="shared" si="0"/>
        <v>77.5</v>
      </c>
      <c r="C15">
        <v>75</v>
      </c>
      <c r="D15">
        <v>80</v>
      </c>
      <c r="E15">
        <v>62</v>
      </c>
      <c r="F15">
        <v>27</v>
      </c>
      <c r="G15">
        <v>24</v>
      </c>
      <c r="H15">
        <v>14</v>
      </c>
    </row>
    <row r="16" spans="1:8">
      <c r="A16" t="s">
        <v>45</v>
      </c>
      <c r="B16">
        <f t="shared" si="0"/>
        <v>82.5</v>
      </c>
      <c r="C16">
        <v>80</v>
      </c>
      <c r="D16">
        <v>96</v>
      </c>
      <c r="E16">
        <v>89</v>
      </c>
      <c r="F16">
        <v>52</v>
      </c>
      <c r="G16">
        <v>24</v>
      </c>
      <c r="H16">
        <v>14</v>
      </c>
    </row>
    <row r="17" spans="1:8">
      <c r="A17" t="s">
        <v>45</v>
      </c>
      <c r="B17">
        <f t="shared" si="0"/>
        <v>87.5</v>
      </c>
      <c r="C17">
        <v>85</v>
      </c>
      <c r="D17">
        <v>110</v>
      </c>
      <c r="E17">
        <v>145</v>
      </c>
      <c r="F17">
        <v>109</v>
      </c>
      <c r="G17">
        <v>70</v>
      </c>
      <c r="H17">
        <v>30</v>
      </c>
    </row>
    <row r="18" spans="1:8">
      <c r="A18" t="s">
        <v>45</v>
      </c>
      <c r="B18">
        <f t="shared" si="0"/>
        <v>92.5</v>
      </c>
      <c r="C18">
        <v>90</v>
      </c>
      <c r="D18">
        <v>99</v>
      </c>
      <c r="E18">
        <v>192</v>
      </c>
      <c r="F18">
        <v>179</v>
      </c>
      <c r="G18">
        <v>99</v>
      </c>
      <c r="H18">
        <v>61</v>
      </c>
    </row>
    <row r="19" spans="1:8">
      <c r="A19" t="s">
        <v>45</v>
      </c>
      <c r="B19">
        <f t="shared" si="0"/>
        <v>97.5</v>
      </c>
      <c r="C19">
        <v>95</v>
      </c>
      <c r="D19">
        <v>109</v>
      </c>
      <c r="E19">
        <v>176</v>
      </c>
      <c r="F19">
        <v>161</v>
      </c>
      <c r="G19">
        <v>134</v>
      </c>
      <c r="H19">
        <v>101</v>
      </c>
    </row>
    <row r="20" spans="1:8">
      <c r="A20" t="s">
        <v>45</v>
      </c>
      <c r="B20">
        <f t="shared" si="0"/>
        <v>102.5</v>
      </c>
      <c r="C20">
        <v>100</v>
      </c>
      <c r="D20">
        <v>77</v>
      </c>
      <c r="E20">
        <v>112</v>
      </c>
      <c r="F20">
        <v>102</v>
      </c>
      <c r="G20">
        <v>111</v>
      </c>
      <c r="H20">
        <v>101</v>
      </c>
    </row>
    <row r="21" spans="1:8">
      <c r="A21" t="s">
        <v>45</v>
      </c>
      <c r="B21">
        <f t="shared" si="0"/>
        <v>107.5</v>
      </c>
      <c r="C21">
        <v>105</v>
      </c>
      <c r="D21">
        <v>31</v>
      </c>
      <c r="E21">
        <v>50</v>
      </c>
      <c r="F21">
        <v>43</v>
      </c>
      <c r="G21">
        <v>50</v>
      </c>
      <c r="H21">
        <v>57</v>
      </c>
    </row>
    <row r="22" spans="1:8">
      <c r="A22" t="s">
        <v>45</v>
      </c>
      <c r="B22">
        <f t="shared" si="0"/>
        <v>112.5</v>
      </c>
      <c r="C22">
        <v>110</v>
      </c>
      <c r="D22">
        <v>6</v>
      </c>
      <c r="E22">
        <v>14</v>
      </c>
      <c r="F22">
        <v>6</v>
      </c>
      <c r="G22">
        <v>15</v>
      </c>
      <c r="H22">
        <v>10</v>
      </c>
    </row>
    <row r="23" spans="1:8">
      <c r="A23" t="s">
        <v>45</v>
      </c>
      <c r="B23">
        <f t="shared" si="0"/>
        <v>117.5</v>
      </c>
      <c r="C23">
        <v>115</v>
      </c>
      <c r="D23">
        <v>3</v>
      </c>
      <c r="E23">
        <v>4</v>
      </c>
      <c r="F23">
        <v>3</v>
      </c>
      <c r="G23">
        <v>2</v>
      </c>
      <c r="H23">
        <v>4</v>
      </c>
    </row>
    <row r="24" spans="1:8">
      <c r="A24" t="s">
        <v>45</v>
      </c>
      <c r="B24">
        <f t="shared" si="0"/>
        <v>122.5</v>
      </c>
      <c r="C24">
        <v>120</v>
      </c>
      <c r="D24">
        <v>3</v>
      </c>
      <c r="E24">
        <v>0</v>
      </c>
      <c r="F24">
        <v>1</v>
      </c>
      <c r="G24">
        <v>1</v>
      </c>
      <c r="H24">
        <v>2</v>
      </c>
    </row>
    <row r="25" spans="1:8">
      <c r="A25" t="s">
        <v>45</v>
      </c>
      <c r="B25">
        <f t="shared" si="0"/>
        <v>127.5</v>
      </c>
      <c r="C25">
        <v>125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45</v>
      </c>
      <c r="B26">
        <f t="shared" si="0"/>
        <v>132.5</v>
      </c>
      <c r="C26">
        <v>130</v>
      </c>
      <c r="D26">
        <v>0</v>
      </c>
      <c r="E26">
        <v>0</v>
      </c>
      <c r="F26">
        <v>0</v>
      </c>
      <c r="G26">
        <v>0</v>
      </c>
      <c r="H26">
        <v>1</v>
      </c>
    </row>
    <row r="27" spans="1:8">
      <c r="A27" t="s">
        <v>46</v>
      </c>
      <c r="B27">
        <f t="shared" si="0"/>
        <v>12.5</v>
      </c>
      <c r="C27" s="28">
        <v>10</v>
      </c>
      <c r="D27" s="21">
        <v>1</v>
      </c>
      <c r="E27" s="21">
        <v>0</v>
      </c>
      <c r="F27" s="21">
        <v>1</v>
      </c>
      <c r="G27" s="21">
        <v>1</v>
      </c>
      <c r="H27" s="21">
        <v>0</v>
      </c>
    </row>
    <row r="28" spans="1:8">
      <c r="A28" t="s">
        <v>46</v>
      </c>
      <c r="B28">
        <f t="shared" si="0"/>
        <v>17.5</v>
      </c>
      <c r="C28" s="28">
        <v>15</v>
      </c>
      <c r="D28" s="21">
        <v>13</v>
      </c>
      <c r="E28" s="21">
        <v>1</v>
      </c>
      <c r="F28" s="21">
        <v>1</v>
      </c>
      <c r="G28" s="21">
        <v>1</v>
      </c>
      <c r="H28" s="21">
        <v>0</v>
      </c>
    </row>
    <row r="29" spans="1:8">
      <c r="A29" t="s">
        <v>46</v>
      </c>
      <c r="B29">
        <f t="shared" si="0"/>
        <v>22.5</v>
      </c>
      <c r="C29" s="28">
        <v>20</v>
      </c>
      <c r="D29" s="21">
        <v>11</v>
      </c>
      <c r="E29" s="21">
        <v>0</v>
      </c>
      <c r="F29" s="21">
        <v>0</v>
      </c>
      <c r="G29" s="21">
        <v>0</v>
      </c>
      <c r="H29" s="21">
        <v>0</v>
      </c>
    </row>
    <row r="30" spans="1:8">
      <c r="A30" t="s">
        <v>46</v>
      </c>
      <c r="B30">
        <f t="shared" si="0"/>
        <v>27.5</v>
      </c>
      <c r="C30" s="28">
        <v>25</v>
      </c>
      <c r="D30" s="21">
        <v>30</v>
      </c>
      <c r="E30" s="21">
        <v>1</v>
      </c>
      <c r="F30" s="21">
        <v>0</v>
      </c>
      <c r="G30" s="21">
        <v>3</v>
      </c>
      <c r="H30" s="21">
        <v>0</v>
      </c>
    </row>
    <row r="31" spans="1:8">
      <c r="A31" t="s">
        <v>46</v>
      </c>
      <c r="B31">
        <f t="shared" si="0"/>
        <v>32.5</v>
      </c>
      <c r="C31" s="28">
        <v>30</v>
      </c>
      <c r="D31" s="21">
        <v>101</v>
      </c>
      <c r="E31" s="21">
        <v>3</v>
      </c>
      <c r="F31" s="21">
        <v>4</v>
      </c>
      <c r="G31" s="21">
        <v>5</v>
      </c>
      <c r="H31" s="21">
        <v>0</v>
      </c>
    </row>
    <row r="32" spans="1:8">
      <c r="A32" t="s">
        <v>46</v>
      </c>
      <c r="B32">
        <f t="shared" si="0"/>
        <v>37.5</v>
      </c>
      <c r="C32" s="28">
        <v>35</v>
      </c>
      <c r="D32" s="21">
        <v>80</v>
      </c>
      <c r="E32" s="21">
        <v>6</v>
      </c>
      <c r="F32" s="21">
        <v>2</v>
      </c>
      <c r="G32" s="21">
        <v>5</v>
      </c>
      <c r="H32" s="21">
        <v>2</v>
      </c>
    </row>
    <row r="33" spans="1:8">
      <c r="A33" t="s">
        <v>46</v>
      </c>
      <c r="B33">
        <f t="shared" si="0"/>
        <v>42.5</v>
      </c>
      <c r="C33" s="28">
        <v>40</v>
      </c>
      <c r="D33" s="21">
        <v>44</v>
      </c>
      <c r="E33" s="21">
        <v>4</v>
      </c>
      <c r="F33" s="21">
        <v>1</v>
      </c>
      <c r="G33" s="21">
        <v>2</v>
      </c>
      <c r="H33" s="21">
        <v>2</v>
      </c>
    </row>
    <row r="34" spans="1:8">
      <c r="A34" t="s">
        <v>46</v>
      </c>
      <c r="B34">
        <f t="shared" si="0"/>
        <v>47.5</v>
      </c>
      <c r="C34" s="28">
        <v>45</v>
      </c>
      <c r="D34" s="21">
        <v>47</v>
      </c>
      <c r="E34" s="21">
        <v>3</v>
      </c>
      <c r="F34" s="21">
        <v>7</v>
      </c>
      <c r="G34" s="21">
        <v>8</v>
      </c>
      <c r="H34" s="21">
        <v>2</v>
      </c>
    </row>
    <row r="35" spans="1:8">
      <c r="A35" t="s">
        <v>46</v>
      </c>
      <c r="B35">
        <f t="shared" si="0"/>
        <v>52.5</v>
      </c>
      <c r="C35" s="28">
        <v>50</v>
      </c>
      <c r="D35" s="21">
        <v>108</v>
      </c>
      <c r="E35" s="21">
        <v>14</v>
      </c>
      <c r="F35" s="21">
        <v>23</v>
      </c>
      <c r="G35" s="21">
        <v>17</v>
      </c>
      <c r="H35" s="21">
        <v>11</v>
      </c>
    </row>
    <row r="36" spans="1:8">
      <c r="A36" t="s">
        <v>46</v>
      </c>
      <c r="B36">
        <f t="shared" si="0"/>
        <v>57.5</v>
      </c>
      <c r="C36" s="28">
        <v>55</v>
      </c>
      <c r="D36" s="21">
        <v>170</v>
      </c>
      <c r="E36" s="21">
        <v>47</v>
      </c>
      <c r="F36" s="21">
        <v>54</v>
      </c>
      <c r="G36" s="21">
        <v>35</v>
      </c>
      <c r="H36" s="21">
        <v>15</v>
      </c>
    </row>
    <row r="37" spans="1:8">
      <c r="A37" t="s">
        <v>46</v>
      </c>
      <c r="B37">
        <f t="shared" si="0"/>
        <v>62.5</v>
      </c>
      <c r="C37" s="28">
        <v>60</v>
      </c>
      <c r="D37" s="21">
        <v>135</v>
      </c>
      <c r="E37" s="21">
        <v>51</v>
      </c>
      <c r="F37" s="21">
        <v>54</v>
      </c>
      <c r="G37" s="21">
        <v>26</v>
      </c>
      <c r="H37" s="21">
        <v>18</v>
      </c>
    </row>
    <row r="38" spans="1:8">
      <c r="A38" t="s">
        <v>46</v>
      </c>
      <c r="B38">
        <f t="shared" si="0"/>
        <v>67.5</v>
      </c>
      <c r="C38" s="28">
        <v>65</v>
      </c>
      <c r="D38" s="21">
        <v>102</v>
      </c>
      <c r="E38" s="21">
        <v>37</v>
      </c>
      <c r="F38" s="21">
        <v>47</v>
      </c>
      <c r="G38" s="21">
        <v>28</v>
      </c>
      <c r="H38" s="21">
        <v>25</v>
      </c>
    </row>
    <row r="39" spans="1:8">
      <c r="A39" t="s">
        <v>46</v>
      </c>
      <c r="B39">
        <f t="shared" si="0"/>
        <v>72.5</v>
      </c>
      <c r="C39" s="28">
        <v>70</v>
      </c>
      <c r="D39" s="21">
        <v>137</v>
      </c>
      <c r="E39" s="21">
        <v>96</v>
      </c>
      <c r="F39" s="21">
        <v>97</v>
      </c>
      <c r="G39" s="21">
        <v>75</v>
      </c>
      <c r="H39" s="21">
        <v>41</v>
      </c>
    </row>
    <row r="40" spans="1:8">
      <c r="A40" t="s">
        <v>46</v>
      </c>
      <c r="B40">
        <f t="shared" si="0"/>
        <v>77.5</v>
      </c>
      <c r="C40" s="28">
        <v>75</v>
      </c>
      <c r="D40" s="21">
        <v>243</v>
      </c>
      <c r="E40" s="21">
        <v>248</v>
      </c>
      <c r="F40" s="21">
        <v>200</v>
      </c>
      <c r="G40" s="21">
        <v>140</v>
      </c>
      <c r="H40" s="21">
        <v>78</v>
      </c>
    </row>
    <row r="41" spans="1:8">
      <c r="A41" t="s">
        <v>46</v>
      </c>
      <c r="B41">
        <f t="shared" si="0"/>
        <v>82.5</v>
      </c>
      <c r="C41" s="28">
        <v>80</v>
      </c>
      <c r="D41" s="21">
        <v>440</v>
      </c>
      <c r="E41" s="21">
        <v>562</v>
      </c>
      <c r="F41" s="21">
        <v>490</v>
      </c>
      <c r="G41" s="21">
        <v>266</v>
      </c>
      <c r="H41" s="21">
        <v>169</v>
      </c>
    </row>
    <row r="42" spans="1:8">
      <c r="A42" t="s">
        <v>46</v>
      </c>
      <c r="B42">
        <f t="shared" si="0"/>
        <v>87.5</v>
      </c>
      <c r="C42" s="28">
        <v>85</v>
      </c>
      <c r="D42" s="21">
        <v>634</v>
      </c>
      <c r="E42" s="21">
        <v>847</v>
      </c>
      <c r="F42" s="21">
        <v>803</v>
      </c>
      <c r="G42" s="21">
        <v>410</v>
      </c>
      <c r="H42" s="21">
        <v>269</v>
      </c>
    </row>
    <row r="43" spans="1:8">
      <c r="A43" t="s">
        <v>46</v>
      </c>
      <c r="B43">
        <f t="shared" si="0"/>
        <v>92.5</v>
      </c>
      <c r="C43" s="28">
        <v>90</v>
      </c>
      <c r="D43" s="21">
        <v>530</v>
      </c>
      <c r="E43" s="21">
        <v>742</v>
      </c>
      <c r="F43" s="21">
        <v>699</v>
      </c>
      <c r="G43" s="21">
        <v>423</v>
      </c>
      <c r="H43" s="21">
        <v>290</v>
      </c>
    </row>
    <row r="44" spans="1:8">
      <c r="A44" t="s">
        <v>46</v>
      </c>
      <c r="B44">
        <f t="shared" si="0"/>
        <v>97.5</v>
      </c>
      <c r="C44" s="28">
        <v>95</v>
      </c>
      <c r="D44" s="21">
        <v>247</v>
      </c>
      <c r="E44" s="21">
        <v>288</v>
      </c>
      <c r="F44" s="21">
        <v>328</v>
      </c>
      <c r="G44" s="21">
        <v>233</v>
      </c>
      <c r="H44" s="21">
        <v>196</v>
      </c>
    </row>
    <row r="45" spans="1:8">
      <c r="A45" t="s">
        <v>46</v>
      </c>
      <c r="B45">
        <f t="shared" si="0"/>
        <v>102.5</v>
      </c>
      <c r="C45" s="28">
        <v>100</v>
      </c>
      <c r="D45" s="21">
        <v>56</v>
      </c>
      <c r="E45" s="21">
        <v>77</v>
      </c>
      <c r="F45" s="21">
        <v>81</v>
      </c>
      <c r="G45" s="21">
        <v>86</v>
      </c>
      <c r="H45" s="21">
        <v>62</v>
      </c>
    </row>
    <row r="46" spans="1:8">
      <c r="A46" t="s">
        <v>46</v>
      </c>
      <c r="B46">
        <f t="shared" si="0"/>
        <v>107.5</v>
      </c>
      <c r="C46" s="28">
        <v>105</v>
      </c>
      <c r="D46" s="21">
        <v>13</v>
      </c>
      <c r="E46" s="21">
        <v>13</v>
      </c>
      <c r="F46" s="21">
        <v>28</v>
      </c>
      <c r="G46" s="21">
        <v>14</v>
      </c>
      <c r="H46" s="21">
        <v>21</v>
      </c>
    </row>
    <row r="47" spans="1:8">
      <c r="A47" t="s">
        <v>46</v>
      </c>
      <c r="B47">
        <f t="shared" si="0"/>
        <v>112.5</v>
      </c>
      <c r="C47" s="28">
        <v>110</v>
      </c>
      <c r="D47" s="21">
        <v>4</v>
      </c>
      <c r="E47" s="21">
        <v>3</v>
      </c>
      <c r="F47" s="21">
        <v>3</v>
      </c>
      <c r="G47" s="21">
        <v>2</v>
      </c>
      <c r="H47" s="21">
        <v>1</v>
      </c>
    </row>
    <row r="48" spans="1:8">
      <c r="A48" t="s">
        <v>46</v>
      </c>
      <c r="B48">
        <f t="shared" si="0"/>
        <v>117.5</v>
      </c>
      <c r="C48" s="28">
        <v>115</v>
      </c>
      <c r="D48" s="21">
        <v>0</v>
      </c>
      <c r="E48" s="21">
        <v>0</v>
      </c>
      <c r="F48" s="21">
        <v>1</v>
      </c>
      <c r="G48" s="21">
        <v>1</v>
      </c>
      <c r="H48" s="21">
        <v>0</v>
      </c>
    </row>
    <row r="49" spans="1:8">
      <c r="A49" t="s">
        <v>46</v>
      </c>
      <c r="B49">
        <f t="shared" si="0"/>
        <v>122.5</v>
      </c>
      <c r="C49" s="28">
        <v>120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46</v>
      </c>
      <c r="B50">
        <f t="shared" si="0"/>
        <v>127.5</v>
      </c>
      <c r="C50" s="28">
        <v>125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46</v>
      </c>
      <c r="B51">
        <f t="shared" si="0"/>
        <v>132.5</v>
      </c>
      <c r="C51" s="28">
        <v>130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C52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abSelected="1" zoomScale="60" zoomScaleNormal="60" workbookViewId="0">
      <selection activeCell="AD17" sqref="AD17"/>
    </sheetView>
  </sheetViews>
  <sheetFormatPr defaultRowHeight="15"/>
  <cols>
    <col min="5" max="5" width="21.42578125" bestFit="1" customWidth="1"/>
    <col min="6" max="6" width="16.7109375" bestFit="1" customWidth="1"/>
    <col min="8" max="8" width="23.7109375" bestFit="1" customWidth="1"/>
  </cols>
  <sheetData>
    <row r="1" spans="1:1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20.25">
      <c r="B2" s="1" t="s">
        <v>1</v>
      </c>
      <c r="C2" s="2"/>
      <c r="D2" s="2"/>
      <c r="G2" s="2"/>
      <c r="H2" s="3"/>
      <c r="I2" s="2"/>
      <c r="J2" s="2"/>
    </row>
    <row r="3" spans="1:11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1" ht="16.5" thickTop="1">
      <c r="A4" s="4" t="s">
        <v>5</v>
      </c>
      <c r="B4" s="5"/>
      <c r="C4" s="5"/>
      <c r="D4" s="5"/>
      <c r="E4" s="6" t="s">
        <v>6</v>
      </c>
      <c r="F4" s="7">
        <v>-4.1100000000000003</v>
      </c>
      <c r="G4" s="2"/>
      <c r="H4" s="8">
        <f>-J4*H5</f>
        <v>-5.3557349072570348</v>
      </c>
      <c r="I4" s="6" t="s">
        <v>7</v>
      </c>
      <c r="J4" s="9">
        <v>97.5</v>
      </c>
    </row>
    <row r="5" spans="1:11" ht="16.5" thickBot="1">
      <c r="A5" s="5" t="s">
        <v>8</v>
      </c>
      <c r="B5" s="5"/>
      <c r="C5" s="5"/>
      <c r="D5" s="5"/>
      <c r="E5" s="6" t="s">
        <v>9</v>
      </c>
      <c r="F5" s="10">
        <v>0.04</v>
      </c>
      <c r="G5" s="2"/>
      <c r="H5" s="8">
        <f>2*LN(3)/J5</f>
        <v>5.4930614433405488E-2</v>
      </c>
      <c r="I5" s="6" t="s">
        <v>10</v>
      </c>
      <c r="J5" s="9">
        <v>40</v>
      </c>
      <c r="K5">
        <f>117-77</f>
        <v>40</v>
      </c>
    </row>
    <row r="6" spans="1:11" ht="95.25" thickTop="1">
      <c r="A6" s="11" t="s">
        <v>11</v>
      </c>
      <c r="B6" s="12" t="s">
        <v>12</v>
      </c>
      <c r="C6" s="12"/>
      <c r="D6" s="12"/>
      <c r="E6" s="6"/>
      <c r="F6" s="2"/>
      <c r="G6" s="2"/>
      <c r="H6" s="9"/>
      <c r="I6" s="2"/>
      <c r="J6" s="2" t="s">
        <v>13</v>
      </c>
    </row>
    <row r="7" spans="1:11" ht="16.5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1" ht="17.25" thickTop="1" thickBot="1">
      <c r="A8" s="13"/>
      <c r="B8" s="13"/>
      <c r="C8" s="13"/>
      <c r="D8" s="13"/>
      <c r="E8" s="6" t="s">
        <v>7</v>
      </c>
      <c r="F8" s="2">
        <f>-F4/F5</f>
        <v>102.75</v>
      </c>
      <c r="G8" s="2"/>
      <c r="H8" s="14">
        <f>SUM(I14:I35)</f>
        <v>-89.793270057228526</v>
      </c>
      <c r="I8" s="2"/>
      <c r="J8" s="2">
        <f>-2*H8+2*2</f>
        <v>183.58654011445705</v>
      </c>
    </row>
    <row r="9" spans="1:11" ht="17.25" thickTop="1">
      <c r="A9" s="15"/>
      <c r="B9" s="15"/>
      <c r="C9" s="15"/>
      <c r="D9" s="15"/>
      <c r="E9" s="6" t="s">
        <v>16</v>
      </c>
      <c r="F9" s="16">
        <f>2*LN(3)/F5</f>
        <v>54.930614433405488</v>
      </c>
      <c r="G9" s="2"/>
      <c r="H9" s="17"/>
      <c r="I9" s="2"/>
      <c r="J9" s="2"/>
    </row>
    <row r="10" spans="1:11" ht="15.75">
      <c r="A10" s="18"/>
      <c r="B10" s="19"/>
      <c r="C10" s="19"/>
      <c r="D10" s="19"/>
      <c r="E10" s="19"/>
      <c r="F10" s="19"/>
      <c r="G10" s="2"/>
      <c r="H10" s="17"/>
      <c r="I10" s="2"/>
      <c r="J10" s="2"/>
    </row>
    <row r="11" spans="1:11" ht="15.75">
      <c r="A11" s="19"/>
      <c r="B11" s="19"/>
      <c r="C11" s="19"/>
      <c r="D11" s="19"/>
      <c r="E11" s="19"/>
      <c r="F11" s="19"/>
      <c r="G11" s="2"/>
      <c r="H11" s="17"/>
      <c r="I11" s="16"/>
      <c r="J11" s="2"/>
    </row>
    <row r="12" spans="1:11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1" ht="15.75">
      <c r="A13" s="2" t="s">
        <v>22</v>
      </c>
      <c r="B13" t="s">
        <v>23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1" ht="15.75">
      <c r="A14">
        <v>12.5</v>
      </c>
      <c r="B14" s="21">
        <v>1</v>
      </c>
      <c r="C14" s="21">
        <v>1</v>
      </c>
      <c r="D14" s="2">
        <f>+C14+B14</f>
        <v>2</v>
      </c>
      <c r="E14" s="8">
        <f t="shared" ref="E14:E35" si="0">+B14/(C14+B14)</f>
        <v>0.5</v>
      </c>
      <c r="F14" s="8">
        <f>EXP($F$4+$F$5*A14)/(1+EXP($F$4+$F$5*A14))</f>
        <v>2.6339319625283381E-2</v>
      </c>
      <c r="G14" s="8"/>
      <c r="H14" s="8">
        <f>COMBIN(D14,B14)*(F14^B14)*((1-F14)^C14)</f>
        <v>5.1291119733921087E-2</v>
      </c>
      <c r="I14" s="8">
        <f>LN(H14)</f>
        <v>-2.9702376463916722</v>
      </c>
      <c r="J14" s="2"/>
    </row>
    <row r="15" spans="1:11" ht="15.75">
      <c r="A15">
        <v>17.5</v>
      </c>
      <c r="B15" s="21">
        <v>1</v>
      </c>
      <c r="C15" s="21">
        <v>13</v>
      </c>
      <c r="D15" s="2">
        <f>+C15+B15</f>
        <v>14</v>
      </c>
      <c r="E15" s="8">
        <f t="shared" si="0"/>
        <v>7.1428571428571425E-2</v>
      </c>
      <c r="F15" s="8">
        <f t="shared" ref="F15:F35" si="1">EXP($F$4+$F$5*A15)/(1+EXP($F$4+$F$5*A15))</f>
        <v>3.1984397489533252E-2</v>
      </c>
      <c r="G15" s="8"/>
      <c r="H15" s="8">
        <f>COMBIN(D15,B15)*(F15^B15)*((1-F15)^C15)</f>
        <v>0.29345185227390996</v>
      </c>
      <c r="I15" s="8">
        <f>LN(H15)</f>
        <v>-1.2260416999380452</v>
      </c>
      <c r="J15" s="2"/>
    </row>
    <row r="16" spans="1:11" ht="15.75">
      <c r="A16">
        <v>22.5</v>
      </c>
      <c r="B16" s="21">
        <v>0</v>
      </c>
      <c r="C16" s="21">
        <v>11</v>
      </c>
      <c r="D16" s="2">
        <f>+C16+B16</f>
        <v>11</v>
      </c>
      <c r="E16" s="8">
        <f t="shared" si="0"/>
        <v>0</v>
      </c>
      <c r="F16" s="8">
        <f t="shared" si="1"/>
        <v>3.8791134460236028E-2</v>
      </c>
      <c r="G16" s="8"/>
      <c r="H16" s="8">
        <f>COMBIN(D16,B16)*(F16^B16)*((1-F16)^C16)</f>
        <v>0.64713582937937364</v>
      </c>
      <c r="I16" s="8">
        <f>LN(H16)</f>
        <v>-0.43519906929800944</v>
      </c>
      <c r="J16" s="2"/>
    </row>
    <row r="17" spans="1:10" ht="15.75">
      <c r="A17">
        <v>27.5</v>
      </c>
      <c r="B17" s="21">
        <v>3</v>
      </c>
      <c r="C17" s="21">
        <v>30</v>
      </c>
      <c r="D17" s="2">
        <f>+C17+B17</f>
        <v>33</v>
      </c>
      <c r="E17" s="8">
        <f t="shared" si="0"/>
        <v>9.0909090909090912E-2</v>
      </c>
      <c r="F17" s="8">
        <f t="shared" si="1"/>
        <v>4.6976145678283523E-2</v>
      </c>
      <c r="G17" s="8"/>
      <c r="H17" s="8">
        <f>COMBIN(D17,B17)*(F17^B17)*((1-F17)^C17)</f>
        <v>0.13354254252613446</v>
      </c>
      <c r="I17" s="8">
        <f t="shared" ref="I17:I35" si="2">LN(H17)</f>
        <v>-2.0133351812987779</v>
      </c>
      <c r="J17" s="2"/>
    </row>
    <row r="18" spans="1:10" ht="15.75">
      <c r="A18">
        <v>32.5</v>
      </c>
      <c r="B18" s="21">
        <v>5</v>
      </c>
      <c r="C18" s="21">
        <v>101</v>
      </c>
      <c r="D18" s="2">
        <f t="shared" ref="D18:D35" si="3">+C18+B18</f>
        <v>106</v>
      </c>
      <c r="E18" s="8">
        <f t="shared" si="0"/>
        <v>4.716981132075472E-2</v>
      </c>
      <c r="F18" s="8">
        <f t="shared" si="1"/>
        <v>5.6786180808788458E-2</v>
      </c>
      <c r="G18" s="8"/>
      <c r="H18" s="8">
        <f t="shared" ref="H18:H35" si="4">COMBIN(D18,B18)*(F18^B18)*((1-F18)^C18)</f>
        <v>0.16316372795579642</v>
      </c>
      <c r="I18" s="8">
        <f t="shared" si="2"/>
        <v>-1.8130011163272877</v>
      </c>
      <c r="J18" s="2"/>
    </row>
    <row r="19" spans="1:10" ht="15.75">
      <c r="A19">
        <v>37.5</v>
      </c>
      <c r="B19" s="21">
        <v>5</v>
      </c>
      <c r="C19" s="21">
        <v>80</v>
      </c>
      <c r="D19" s="2">
        <f t="shared" si="3"/>
        <v>85</v>
      </c>
      <c r="E19" s="8">
        <f t="shared" si="0"/>
        <v>5.8823529411764705E-2</v>
      </c>
      <c r="F19" s="8">
        <f t="shared" si="1"/>
        <v>6.8497603724326075E-2</v>
      </c>
      <c r="G19" s="8"/>
      <c r="H19" s="8">
        <f t="shared" si="4"/>
        <v>0.16942946470994005</v>
      </c>
      <c r="I19" s="8">
        <f t="shared" si="2"/>
        <v>-1.7753185761753136</v>
      </c>
      <c r="J19" s="2"/>
    </row>
    <row r="20" spans="1:10" ht="15.75">
      <c r="A20">
        <v>42.5</v>
      </c>
      <c r="B20" s="21">
        <v>2</v>
      </c>
      <c r="C20" s="21">
        <v>44</v>
      </c>
      <c r="D20" s="2">
        <f t="shared" si="3"/>
        <v>46</v>
      </c>
      <c r="E20" s="8">
        <f t="shared" si="0"/>
        <v>4.3478260869565216E-2</v>
      </c>
      <c r="F20" s="8">
        <f t="shared" si="1"/>
        <v>8.2413318127912777E-2</v>
      </c>
      <c r="G20" s="8"/>
      <c r="H20" s="8">
        <f t="shared" si="4"/>
        <v>0.15973776885990534</v>
      </c>
      <c r="I20" s="8">
        <f>LN(H20)</f>
        <v>-1.8342217529129288</v>
      </c>
      <c r="J20" s="2"/>
    </row>
    <row r="21" spans="1:10" ht="15.75">
      <c r="A21">
        <v>47.5</v>
      </c>
      <c r="B21" s="21">
        <v>8</v>
      </c>
      <c r="C21" s="21">
        <v>47</v>
      </c>
      <c r="D21" s="2">
        <f t="shared" si="3"/>
        <v>55</v>
      </c>
      <c r="E21" s="8">
        <f t="shared" si="0"/>
        <v>0.14545454545454545</v>
      </c>
      <c r="F21" s="8">
        <f t="shared" si="1"/>
        <v>9.8856073178169371E-2</v>
      </c>
      <c r="G21" s="8"/>
      <c r="H21" s="8">
        <f t="shared" si="4"/>
        <v>8.3338370733403916E-2</v>
      </c>
      <c r="I21" s="8">
        <f t="shared" si="2"/>
        <v>-2.4848462028141083</v>
      </c>
      <c r="J21" s="2"/>
    </row>
    <row r="22" spans="1:10" ht="15.75">
      <c r="A22">
        <v>52.5</v>
      </c>
      <c r="B22" s="21">
        <v>17</v>
      </c>
      <c r="C22" s="21">
        <v>108</v>
      </c>
      <c r="D22" s="2">
        <f t="shared" si="3"/>
        <v>125</v>
      </c>
      <c r="E22" s="8">
        <f t="shared" si="0"/>
        <v>0.13600000000000001</v>
      </c>
      <c r="F22" s="8">
        <f t="shared" si="1"/>
        <v>0.11815697780926952</v>
      </c>
      <c r="G22" s="8"/>
      <c r="H22" s="8">
        <f t="shared" si="4"/>
        <v>8.6233652862974366E-2</v>
      </c>
      <c r="I22" s="8">
        <f t="shared" si="2"/>
        <v>-2.4506947730576174</v>
      </c>
      <c r="J22" s="2"/>
    </row>
    <row r="23" spans="1:10" ht="15.75">
      <c r="A23">
        <v>57.5</v>
      </c>
      <c r="B23" s="21">
        <v>35</v>
      </c>
      <c r="C23" s="21">
        <v>170</v>
      </c>
      <c r="D23" s="2">
        <f t="shared" si="3"/>
        <v>205</v>
      </c>
      <c r="E23" s="8">
        <f t="shared" si="0"/>
        <v>0.17073170731707318</v>
      </c>
      <c r="F23" s="8">
        <f t="shared" si="1"/>
        <v>0.14063812573413417</v>
      </c>
      <c r="G23" s="8"/>
      <c r="H23" s="8">
        <f t="shared" si="4"/>
        <v>3.5714363799649193E-2</v>
      </c>
      <c r="I23" s="8">
        <f t="shared" si="2"/>
        <v>-3.3322023237874165</v>
      </c>
      <c r="J23" s="2"/>
    </row>
    <row r="24" spans="1:10" ht="15.75">
      <c r="A24">
        <v>62.5</v>
      </c>
      <c r="B24" s="21">
        <v>26</v>
      </c>
      <c r="C24" s="21">
        <v>135</v>
      </c>
      <c r="D24" s="2">
        <f t="shared" si="3"/>
        <v>161</v>
      </c>
      <c r="E24" s="8">
        <f t="shared" si="0"/>
        <v>0.16149068322981366</v>
      </c>
      <c r="F24" s="8">
        <f t="shared" si="1"/>
        <v>0.16658861357545959</v>
      </c>
      <c r="G24" s="8"/>
      <c r="H24" s="8">
        <f t="shared" si="4"/>
        <v>8.3875604854098035E-2</v>
      </c>
      <c r="I24" s="8">
        <f t="shared" si="2"/>
        <v>-2.4784204723410554</v>
      </c>
      <c r="J24" s="2"/>
    </row>
    <row r="25" spans="1:10" ht="15.75">
      <c r="A25">
        <v>67.5</v>
      </c>
      <c r="B25" s="21">
        <v>28</v>
      </c>
      <c r="C25" s="21">
        <v>102</v>
      </c>
      <c r="D25" s="2">
        <f t="shared" si="3"/>
        <v>130</v>
      </c>
      <c r="E25" s="8">
        <f t="shared" si="0"/>
        <v>0.2153846153846154</v>
      </c>
      <c r="F25" s="8">
        <f t="shared" si="1"/>
        <v>0.19623405636577909</v>
      </c>
      <c r="G25" s="8"/>
      <c r="H25" s="8">
        <f t="shared" si="4"/>
        <v>7.320303481197088E-2</v>
      </c>
      <c r="I25" s="8">
        <f t="shared" si="2"/>
        <v>-2.6145183996943491</v>
      </c>
      <c r="J25" s="2"/>
    </row>
    <row r="26" spans="1:10" ht="15.75">
      <c r="A26">
        <v>72.5</v>
      </c>
      <c r="B26" s="21">
        <v>75</v>
      </c>
      <c r="C26" s="21">
        <v>137</v>
      </c>
      <c r="D26" s="2">
        <f t="shared" si="3"/>
        <v>212</v>
      </c>
      <c r="E26" s="8">
        <f t="shared" si="0"/>
        <v>0.35377358490566035</v>
      </c>
      <c r="F26" s="8">
        <f t="shared" si="1"/>
        <v>0.22970105095339804</v>
      </c>
      <c r="G26" s="8"/>
      <c r="H26" s="8">
        <f t="shared" si="4"/>
        <v>1.3805420483329271E-5</v>
      </c>
      <c r="I26" s="8">
        <f t="shared" si="2"/>
        <v>-11.190449254275332</v>
      </c>
      <c r="J26" s="2"/>
    </row>
    <row r="27" spans="1:10" ht="15.75">
      <c r="A27">
        <v>77.5</v>
      </c>
      <c r="B27" s="21">
        <v>140</v>
      </c>
      <c r="C27" s="21">
        <v>243</v>
      </c>
      <c r="D27" s="2">
        <f t="shared" si="3"/>
        <v>383</v>
      </c>
      <c r="E27" s="8">
        <f t="shared" si="0"/>
        <v>0.36553524804177545</v>
      </c>
      <c r="F27" s="8">
        <f t="shared" si="1"/>
        <v>0.26697985076114239</v>
      </c>
      <c r="G27" s="8"/>
      <c r="H27" s="8">
        <f t="shared" si="4"/>
        <v>5.7725156001729134E-6</v>
      </c>
      <c r="I27" s="8">
        <f t="shared" si="2"/>
        <v>-12.062402593222856</v>
      </c>
      <c r="J27" s="2"/>
    </row>
    <row r="28" spans="1:10" ht="15.75">
      <c r="A28">
        <v>82.5</v>
      </c>
      <c r="B28" s="21">
        <v>266</v>
      </c>
      <c r="C28" s="21">
        <v>440</v>
      </c>
      <c r="D28" s="2">
        <f t="shared" si="3"/>
        <v>706</v>
      </c>
      <c r="E28" s="8">
        <f t="shared" si="0"/>
        <v>0.37677053824362605</v>
      </c>
      <c r="F28" s="8">
        <f t="shared" si="1"/>
        <v>0.30789049569821181</v>
      </c>
      <c r="G28" s="8"/>
      <c r="H28" s="8">
        <f t="shared" si="4"/>
        <v>1.5839197945688526E-5</v>
      </c>
      <c r="I28" s="8">
        <f t="shared" si="2"/>
        <v>-11.053022807601861</v>
      </c>
      <c r="J28" s="2"/>
    </row>
    <row r="29" spans="1:10" ht="15.75">
      <c r="A29">
        <v>87.5</v>
      </c>
      <c r="B29" s="21">
        <v>410</v>
      </c>
      <c r="C29" s="21">
        <v>634</v>
      </c>
      <c r="D29" s="2">
        <f t="shared" si="3"/>
        <v>1044</v>
      </c>
      <c r="E29" s="8">
        <f t="shared" si="0"/>
        <v>0.39272030651340994</v>
      </c>
      <c r="F29" s="8">
        <f t="shared" si="1"/>
        <v>0.35205919791934964</v>
      </c>
      <c r="G29" s="8"/>
      <c r="H29" s="8">
        <f t="shared" si="4"/>
        <v>6.1079665515281756E-4</v>
      </c>
      <c r="I29" s="8">
        <f t="shared" si="2"/>
        <v>-7.4007464608089597</v>
      </c>
      <c r="J29" s="2"/>
    </row>
    <row r="30" spans="1:10" ht="15.75">
      <c r="A30">
        <v>92.5</v>
      </c>
      <c r="B30" s="21">
        <v>423</v>
      </c>
      <c r="C30" s="21">
        <v>530</v>
      </c>
      <c r="D30" s="2">
        <f t="shared" si="3"/>
        <v>953</v>
      </c>
      <c r="E30" s="8">
        <f t="shared" si="0"/>
        <v>0.44386149003147951</v>
      </c>
      <c r="F30" s="8">
        <f t="shared" si="1"/>
        <v>0.39891212115163022</v>
      </c>
      <c r="G30" s="8"/>
      <c r="H30" s="8">
        <f t="shared" si="4"/>
        <v>4.9042691986802731E-4</v>
      </c>
      <c r="I30" s="8">
        <f t="shared" si="2"/>
        <v>-7.6202342811538779</v>
      </c>
      <c r="J30" s="2"/>
    </row>
    <row r="31" spans="1:10" ht="15.75">
      <c r="A31">
        <v>97.5</v>
      </c>
      <c r="B31" s="21">
        <v>233</v>
      </c>
      <c r="C31" s="21">
        <v>247</v>
      </c>
      <c r="D31" s="2">
        <f t="shared" si="3"/>
        <v>480</v>
      </c>
      <c r="E31" s="8">
        <f t="shared" si="0"/>
        <v>0.48541666666666666</v>
      </c>
      <c r="F31" s="8">
        <f t="shared" si="1"/>
        <v>0.44769209042567459</v>
      </c>
      <c r="G31" s="8"/>
      <c r="H31" s="8">
        <f t="shared" si="4"/>
        <v>9.2038983957246218E-3</v>
      </c>
      <c r="I31" s="8">
        <f t="shared" si="2"/>
        <v>-4.6881281460132982</v>
      </c>
      <c r="J31" s="2"/>
    </row>
    <row r="32" spans="1:10" ht="15.75">
      <c r="A32">
        <v>102.5</v>
      </c>
      <c r="B32" s="21">
        <v>86</v>
      </c>
      <c r="C32" s="21">
        <v>56</v>
      </c>
      <c r="D32" s="2">
        <f t="shared" si="3"/>
        <v>142</v>
      </c>
      <c r="E32" s="8">
        <f t="shared" si="0"/>
        <v>0.60563380281690138</v>
      </c>
      <c r="F32" s="8">
        <f t="shared" si="1"/>
        <v>0.49750002083312483</v>
      </c>
      <c r="G32" s="2"/>
      <c r="H32" s="8">
        <f t="shared" si="4"/>
        <v>2.4114204098431269E-3</v>
      </c>
      <c r="I32" s="8">
        <f t="shared" si="2"/>
        <v>-6.0275393234190942</v>
      </c>
      <c r="J32" s="2"/>
    </row>
    <row r="33" spans="1:10" ht="15.75">
      <c r="A33">
        <v>107.5</v>
      </c>
      <c r="B33" s="21">
        <v>14</v>
      </c>
      <c r="C33" s="21">
        <v>13</v>
      </c>
      <c r="D33" s="2">
        <f t="shared" si="3"/>
        <v>27</v>
      </c>
      <c r="E33" s="8">
        <f t="shared" si="0"/>
        <v>0.51851851851851849</v>
      </c>
      <c r="F33" s="8">
        <f t="shared" si="1"/>
        <v>0.54735761814308914</v>
      </c>
      <c r="G33" s="20"/>
      <c r="H33" s="8">
        <f t="shared" si="4"/>
        <v>0.14551516661221631</v>
      </c>
      <c r="I33" s="8">
        <f t="shared" si="2"/>
        <v>-1.9274749599183325</v>
      </c>
      <c r="J33" s="2"/>
    </row>
    <row r="34" spans="1:10" ht="15.75">
      <c r="A34">
        <v>112.5</v>
      </c>
      <c r="B34" s="21">
        <v>2</v>
      </c>
      <c r="C34" s="21">
        <v>4</v>
      </c>
      <c r="D34" s="2">
        <f t="shared" si="3"/>
        <v>6</v>
      </c>
      <c r="E34" s="8">
        <f t="shared" si="0"/>
        <v>0.33333333333333331</v>
      </c>
      <c r="F34" s="8">
        <f t="shared" si="1"/>
        <v>0.59628269929678779</v>
      </c>
      <c r="G34" s="20"/>
      <c r="H34" s="8">
        <f t="shared" si="4"/>
        <v>0.14167888164443759</v>
      </c>
      <c r="I34" s="8">
        <f t="shared" si="2"/>
        <v>-1.9541921790703505</v>
      </c>
      <c r="J34" s="2"/>
    </row>
    <row r="35" spans="1:10" ht="15.75">
      <c r="A35">
        <v>117.5</v>
      </c>
      <c r="B35" s="21">
        <v>1</v>
      </c>
      <c r="C35" s="21">
        <v>0</v>
      </c>
      <c r="D35" s="2">
        <f t="shared" si="3"/>
        <v>1</v>
      </c>
      <c r="E35" s="8">
        <f t="shared" si="0"/>
        <v>1</v>
      </c>
      <c r="F35" s="8">
        <f t="shared" si="1"/>
        <v>0.64336514569440162</v>
      </c>
      <c r="G35" s="20"/>
      <c r="H35" s="8">
        <f t="shared" si="4"/>
        <v>0.64336514569440162</v>
      </c>
      <c r="I35" s="8">
        <f t="shared" si="2"/>
        <v>-0.44104283770798092</v>
      </c>
      <c r="J35" s="2"/>
    </row>
    <row r="36" spans="1:10" ht="15.75">
      <c r="D36" s="2"/>
      <c r="E36" s="8"/>
      <c r="F36" s="8"/>
      <c r="G36" s="20"/>
      <c r="H36" s="8"/>
      <c r="I36" s="8"/>
      <c r="J36" s="2"/>
    </row>
    <row r="37" spans="1:10" ht="15.75">
      <c r="D37" s="2"/>
      <c r="E37" s="8"/>
      <c r="F37" s="8"/>
      <c r="G37" s="2"/>
      <c r="H37" s="8"/>
      <c r="I37" s="8"/>
      <c r="J37" s="2"/>
    </row>
    <row r="38" spans="1:10" ht="15.75">
      <c r="D38" s="2"/>
      <c r="E38" s="8"/>
      <c r="F38" s="8"/>
      <c r="G38" s="2"/>
      <c r="H38" s="8"/>
      <c r="I38" s="8"/>
      <c r="J38" s="2"/>
    </row>
    <row r="39" spans="1:10" ht="15.75">
      <c r="B39" s="21"/>
      <c r="C39" s="21"/>
      <c r="D39" s="2"/>
      <c r="E39" s="8"/>
      <c r="F39" s="8"/>
      <c r="G39" s="2"/>
      <c r="H39" s="8"/>
      <c r="I39" s="8"/>
      <c r="J39" s="2"/>
    </row>
    <row r="40" spans="1:10" ht="15.75">
      <c r="B40" s="21"/>
      <c r="C40" s="21"/>
      <c r="D40" s="2"/>
      <c r="E40" s="8"/>
      <c r="F40" s="8"/>
      <c r="G40" s="2"/>
      <c r="H40" s="8"/>
      <c r="I40" s="8"/>
      <c r="J40" s="2"/>
    </row>
    <row r="41" spans="1:10" ht="15.75">
      <c r="B41" s="21"/>
      <c r="C41" s="21"/>
      <c r="D41" s="2"/>
      <c r="E41" s="8"/>
      <c r="F41" s="8"/>
      <c r="G41" s="2"/>
      <c r="H41" s="8"/>
      <c r="I41" s="8"/>
      <c r="J41" s="2"/>
    </row>
    <row r="42" spans="1:10" ht="15.75">
      <c r="B42" s="21"/>
      <c r="C42" s="21"/>
      <c r="D42" s="2"/>
      <c r="E42" s="8"/>
      <c r="F42" s="8"/>
      <c r="G42" s="2"/>
      <c r="H42" s="8"/>
      <c r="I42" s="8"/>
      <c r="J42" s="2"/>
    </row>
    <row r="43" spans="1:10" ht="15.75">
      <c r="B43" s="21"/>
      <c r="C43" s="21"/>
      <c r="D43" s="2"/>
      <c r="E43" s="8"/>
      <c r="F43" s="8"/>
      <c r="G43" s="2"/>
      <c r="H43" s="8"/>
      <c r="I43" s="8"/>
      <c r="J43" s="2"/>
    </row>
    <row r="44" spans="1:10">
      <c r="B44" s="21"/>
    </row>
    <row r="45" spans="1:10">
      <c r="B45" s="21"/>
    </row>
    <row r="46" spans="1:10">
      <c r="B46" s="21"/>
    </row>
    <row r="47" spans="1:10">
      <c r="B47" s="21"/>
    </row>
    <row r="48" spans="1:10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</sheetData>
  <pageMargins left="0.7" right="0.7" top="0.75" bottom="0.75" header="0.3" footer="0.3"/>
  <pageSetup scale="56" orientation="landscape" verticalDpi="0" r:id="rId1"/>
  <headerFooter>
    <oddFooter>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2" zoomScale="70" zoomScaleNormal="70" workbookViewId="0">
      <selection activeCell="K18" sqref="K18"/>
    </sheetView>
  </sheetViews>
  <sheetFormatPr defaultRowHeight="15"/>
  <sheetData>
    <row r="1" spans="1:11" ht="2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1" ht="27.75">
      <c r="B2" s="1" t="s">
        <v>30</v>
      </c>
      <c r="C2" s="2"/>
      <c r="D2" s="2"/>
      <c r="G2" s="2"/>
      <c r="H2" s="3"/>
      <c r="I2" s="2"/>
      <c r="J2" s="2"/>
    </row>
    <row r="3" spans="1:11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1" ht="16.5" thickTop="1">
      <c r="A4" s="2"/>
      <c r="B4" s="2"/>
      <c r="C4" s="2"/>
      <c r="D4" s="2"/>
      <c r="E4" s="6" t="s">
        <v>6</v>
      </c>
      <c r="F4" s="7">
        <v>-4.0015396288517833</v>
      </c>
      <c r="G4" s="2"/>
      <c r="H4" s="8">
        <f>-J4*H5</f>
        <v>-5.3557349072570348</v>
      </c>
      <c r="I4" s="6" t="s">
        <v>7</v>
      </c>
      <c r="J4" s="9">
        <v>97.5</v>
      </c>
    </row>
    <row r="5" spans="1:11" ht="15.75">
      <c r="A5" s="2"/>
      <c r="B5" s="2"/>
      <c r="C5" s="2"/>
      <c r="D5" s="2"/>
      <c r="E5" s="6" t="s">
        <v>9</v>
      </c>
      <c r="F5" s="22">
        <v>4.6961312450748881E-2</v>
      </c>
      <c r="G5" s="2"/>
      <c r="H5" s="8">
        <f>2*LN(3)/J5</f>
        <v>5.4930614433405488E-2</v>
      </c>
      <c r="I5" s="6" t="s">
        <v>10</v>
      </c>
      <c r="J5" s="9">
        <v>40</v>
      </c>
      <c r="K5">
        <f>117-77</f>
        <v>40</v>
      </c>
    </row>
    <row r="6" spans="1:11" ht="16.5" thickBot="1">
      <c r="B6" s="23"/>
      <c r="C6" s="23"/>
      <c r="D6" s="23"/>
      <c r="E6" s="6" t="s">
        <v>31</v>
      </c>
      <c r="F6" s="24">
        <v>0.6738131848030714</v>
      </c>
      <c r="G6" s="2"/>
      <c r="H6" s="9"/>
      <c r="I6" s="2"/>
      <c r="J6" s="2" t="s">
        <v>13</v>
      </c>
    </row>
    <row r="7" spans="1:11" ht="17.25" thickTop="1" thickBot="1">
      <c r="A7" s="23"/>
      <c r="B7" s="23"/>
      <c r="C7" s="23"/>
      <c r="D7" s="23"/>
      <c r="E7" s="2"/>
      <c r="F7" s="2"/>
      <c r="G7" s="2"/>
      <c r="H7" s="2" t="s">
        <v>14</v>
      </c>
      <c r="I7" s="2"/>
      <c r="J7" s="2" t="s">
        <v>15</v>
      </c>
    </row>
    <row r="8" spans="1:11" ht="17.25" thickTop="1" thickBot="1">
      <c r="A8" s="23"/>
      <c r="B8" s="23"/>
      <c r="C8" s="23"/>
      <c r="D8" s="23"/>
      <c r="E8" s="6" t="s">
        <v>7</v>
      </c>
      <c r="F8" s="2">
        <f>(LN(0.5^$F6/(1-0.5^$F6))-$F4)/$F5</f>
        <v>96.254901116459664</v>
      </c>
      <c r="G8" s="2"/>
      <c r="H8" s="14">
        <f>SUM(I14:I38)</f>
        <v>-94.743661058791545</v>
      </c>
      <c r="I8" s="2"/>
      <c r="J8" s="2">
        <f>-2*H8+2*3</f>
        <v>195.48732211758309</v>
      </c>
    </row>
    <row r="9" spans="1:11" ht="16.5" thickTop="1">
      <c r="A9" s="23"/>
      <c r="B9" s="23"/>
      <c r="C9" s="23"/>
      <c r="D9" s="23"/>
      <c r="E9" s="6" t="s">
        <v>16</v>
      </c>
      <c r="F9" s="16">
        <f>(LN(0.75^$F6/(1-0.75^$F6))-LN(0.25^$F6/(1-0.25^$F6)))/$F5</f>
        <v>42.102605566751819</v>
      </c>
      <c r="G9" s="2"/>
      <c r="H9" s="17"/>
      <c r="I9" s="2"/>
      <c r="J9" s="2"/>
    </row>
    <row r="10" spans="1:11" ht="15.75">
      <c r="G10" s="2"/>
      <c r="H10" s="17"/>
      <c r="I10" s="2"/>
      <c r="J10" s="2"/>
    </row>
    <row r="11" spans="1:11" ht="15.75">
      <c r="G11" s="2"/>
      <c r="H11" s="17"/>
      <c r="I11" s="16"/>
      <c r="J11" s="2"/>
    </row>
    <row r="12" spans="1:11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1" ht="15.75">
      <c r="A13" s="2" t="s">
        <v>32</v>
      </c>
      <c r="B13" t="s">
        <v>23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1" ht="15.75">
      <c r="A14" s="2">
        <v>12.5</v>
      </c>
      <c r="B14" s="21">
        <v>1</v>
      </c>
      <c r="C14" s="21">
        <v>1</v>
      </c>
      <c r="D14" s="2">
        <f t="shared" ref="D14:D38" si="0">+C14+B14</f>
        <v>2</v>
      </c>
      <c r="E14" s="8">
        <f t="shared" ref="E14:E38" si="1">+B14/(C14+B14)</f>
        <v>0.5</v>
      </c>
      <c r="F14" s="8">
        <f>(EXP($F$4+$F$5*A14)/(1+EXP($F$4+$F$5*A14)))^(1/$F$6)</f>
        <v>6.0030237616494515E-3</v>
      </c>
      <c r="G14" s="8"/>
      <c r="H14" s="8">
        <f t="shared" ref="H14:H38" si="2">COMBIN(D14,B14)*(F14^B14)*((1-F14)^C14)</f>
        <v>1.1933974934733048E-2</v>
      </c>
      <c r="I14" s="8">
        <f t="shared" ref="I14:I38" si="3">LN(H14)</f>
        <v>-4.4283659102084805</v>
      </c>
      <c r="J14" s="2"/>
    </row>
    <row r="15" spans="1:11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(EXP($F$4+$F$5*A15)/(1+EXP($F$4+$F$5*A15)))^(1/$F$6)</f>
        <v>8.4004214401448094E-3</v>
      </c>
      <c r="G15" s="8"/>
      <c r="H15" s="8">
        <f t="shared" si="2"/>
        <v>0.10539049542874687</v>
      </c>
      <c r="I15" s="8">
        <f t="shared" si="3"/>
        <v>-2.2500828231388406</v>
      </c>
      <c r="J15" s="2"/>
    </row>
    <row r="16" spans="1:11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1.171830454955862E-2</v>
      </c>
      <c r="G16" s="8"/>
      <c r="H16" s="8">
        <f t="shared" si="2"/>
        <v>0.87839178964268538</v>
      </c>
      <c r="I16" s="8">
        <f t="shared" si="3"/>
        <v>-0.12966255521649489</v>
      </c>
      <c r="J16" s="2"/>
    </row>
    <row r="17" spans="1:10" ht="15.75">
      <c r="A17" s="2">
        <v>27.5</v>
      </c>
      <c r="B17" s="21">
        <v>3</v>
      </c>
      <c r="C17" s="21">
        <v>30</v>
      </c>
      <c r="D17" s="2">
        <f t="shared" si="0"/>
        <v>33</v>
      </c>
      <c r="E17" s="8">
        <f t="shared" si="1"/>
        <v>9.0909090909090912E-2</v>
      </c>
      <c r="F17" s="8">
        <f t="shared" si="4"/>
        <v>1.6283048399858085E-2</v>
      </c>
      <c r="G17" s="8"/>
      <c r="H17" s="8">
        <f t="shared" si="2"/>
        <v>1.4394154569224327E-2</v>
      </c>
      <c r="I17" s="8">
        <f t="shared" si="3"/>
        <v>-4.2409330875059164</v>
      </c>
      <c r="J17" s="2"/>
    </row>
    <row r="18" spans="1:10" ht="15.75">
      <c r="A18" s="2">
        <v>32.5</v>
      </c>
      <c r="B18" s="21">
        <v>5</v>
      </c>
      <c r="C18" s="21">
        <v>101</v>
      </c>
      <c r="D18" s="2">
        <f t="shared" si="0"/>
        <v>106</v>
      </c>
      <c r="E18" s="8">
        <f t="shared" si="1"/>
        <v>4.716981132075472E-2</v>
      </c>
      <c r="F18" s="8">
        <f t="shared" si="4"/>
        <v>2.2517595895780864E-2</v>
      </c>
      <c r="G18" s="8"/>
      <c r="H18" s="8">
        <f t="shared" si="2"/>
        <v>5.8802871859219653E-2</v>
      </c>
      <c r="I18" s="8">
        <f t="shared" si="3"/>
        <v>-2.8335645841270543</v>
      </c>
      <c r="J18" s="2"/>
    </row>
    <row r="19" spans="1:10" ht="15.75">
      <c r="A19" s="2">
        <v>37.5</v>
      </c>
      <c r="B19" s="21">
        <v>5</v>
      </c>
      <c r="C19" s="21">
        <v>80</v>
      </c>
      <c r="D19" s="2">
        <f t="shared" si="0"/>
        <v>85</v>
      </c>
      <c r="E19" s="8">
        <f t="shared" si="1"/>
        <v>5.8823529411764705E-2</v>
      </c>
      <c r="F19" s="8">
        <f t="shared" si="4"/>
        <v>3.0956926821710699E-2</v>
      </c>
      <c r="G19" s="8"/>
      <c r="H19" s="8">
        <f t="shared" si="2"/>
        <v>7.5358050277049393E-2</v>
      </c>
      <c r="I19" s="8">
        <f t="shared" si="3"/>
        <v>-2.5855045211685512</v>
      </c>
      <c r="J19" s="2"/>
    </row>
    <row r="20" spans="1:10" ht="15.75">
      <c r="A20" s="2">
        <v>42.5</v>
      </c>
      <c r="B20" s="21">
        <v>2</v>
      </c>
      <c r="C20" s="21">
        <v>44</v>
      </c>
      <c r="D20" s="2">
        <f t="shared" si="0"/>
        <v>46</v>
      </c>
      <c r="E20" s="8">
        <f t="shared" si="1"/>
        <v>4.3478260869565216E-2</v>
      </c>
      <c r="F20" s="8">
        <f t="shared" si="4"/>
        <v>4.2256934833634921E-2</v>
      </c>
      <c r="G20" s="8"/>
      <c r="H20" s="8">
        <f t="shared" si="2"/>
        <v>0.27649866464999562</v>
      </c>
      <c r="I20" s="8">
        <f t="shared" si="3"/>
        <v>-1.2855492875070131</v>
      </c>
      <c r="J20" s="2"/>
    </row>
    <row r="21" spans="1:10" ht="15.75">
      <c r="A21" s="2">
        <v>47.5</v>
      </c>
      <c r="B21" s="21">
        <v>8</v>
      </c>
      <c r="C21" s="21">
        <v>47</v>
      </c>
      <c r="D21" s="2">
        <f t="shared" si="0"/>
        <v>55</v>
      </c>
      <c r="E21" s="8">
        <f t="shared" si="1"/>
        <v>0.14545454545454545</v>
      </c>
      <c r="F21" s="8">
        <f t="shared" si="4"/>
        <v>5.7189580501689666E-2</v>
      </c>
      <c r="G21" s="8"/>
      <c r="H21" s="8">
        <f t="shared" si="2"/>
        <v>8.7493034361069109E-3</v>
      </c>
      <c r="I21" s="8">
        <f t="shared" si="3"/>
        <v>-4.738781189083511</v>
      </c>
      <c r="J21" s="2"/>
    </row>
    <row r="22" spans="1:10" ht="15.75">
      <c r="A22" s="2">
        <v>52.5</v>
      </c>
      <c r="B22" s="21">
        <v>17</v>
      </c>
      <c r="C22" s="21">
        <v>108</v>
      </c>
      <c r="D22" s="2">
        <f t="shared" si="0"/>
        <v>125</v>
      </c>
      <c r="E22" s="8">
        <f t="shared" si="1"/>
        <v>0.13600000000000001</v>
      </c>
      <c r="F22" s="8">
        <f t="shared" si="4"/>
        <v>7.6615075755663828E-2</v>
      </c>
      <c r="G22" s="8"/>
      <c r="H22" s="8">
        <f t="shared" si="2"/>
        <v>7.8757349243087638E-3</v>
      </c>
      <c r="I22" s="8">
        <f t="shared" si="3"/>
        <v>-4.8439687749030798</v>
      </c>
      <c r="J22" s="2"/>
    </row>
    <row r="23" spans="1:10" ht="15.75">
      <c r="A23" s="2">
        <v>57.5</v>
      </c>
      <c r="B23" s="21">
        <v>35</v>
      </c>
      <c r="C23" s="21">
        <v>170</v>
      </c>
      <c r="D23" s="2">
        <f t="shared" si="0"/>
        <v>205</v>
      </c>
      <c r="E23" s="8">
        <f t="shared" si="1"/>
        <v>0.17073170731707318</v>
      </c>
      <c r="F23" s="8">
        <f t="shared" si="4"/>
        <v>0.10142140483121115</v>
      </c>
      <c r="G23" s="8"/>
      <c r="H23" s="8">
        <f t="shared" si="2"/>
        <v>7.5573582644288093E-4</v>
      </c>
      <c r="I23" s="8">
        <f t="shared" si="3"/>
        <v>-7.1878186787738141</v>
      </c>
      <c r="J23" s="2"/>
    </row>
    <row r="24" spans="1:10" ht="15.75">
      <c r="A24" s="2">
        <v>62.5</v>
      </c>
      <c r="B24" s="21">
        <v>26</v>
      </c>
      <c r="C24" s="21">
        <v>135</v>
      </c>
      <c r="D24" s="2">
        <f t="shared" si="0"/>
        <v>161</v>
      </c>
      <c r="E24" s="8">
        <f t="shared" si="1"/>
        <v>0.16149068322981366</v>
      </c>
      <c r="F24" s="8">
        <f t="shared" si="4"/>
        <v>0.13242470265806566</v>
      </c>
      <c r="G24" s="8"/>
      <c r="H24" s="8">
        <f t="shared" si="2"/>
        <v>4.8696490621857456E-2</v>
      </c>
      <c r="I24" s="8">
        <f t="shared" si="3"/>
        <v>-3.0221483126429467</v>
      </c>
      <c r="J24" s="2"/>
    </row>
    <row r="25" spans="1:10" ht="15.75">
      <c r="A25" s="2">
        <v>67.5</v>
      </c>
      <c r="B25" s="21">
        <v>28</v>
      </c>
      <c r="C25" s="21">
        <v>102</v>
      </c>
      <c r="D25" s="2">
        <f t="shared" si="0"/>
        <v>130</v>
      </c>
      <c r="E25" s="8">
        <f t="shared" si="1"/>
        <v>0.2153846153846154</v>
      </c>
      <c r="F25" s="8">
        <f t="shared" si="4"/>
        <v>0.17023279940615244</v>
      </c>
      <c r="G25" s="8"/>
      <c r="H25" s="8">
        <f t="shared" si="2"/>
        <v>3.5186558666297323E-2</v>
      </c>
      <c r="I25" s="8">
        <f t="shared" si="3"/>
        <v>-3.3470911253747793</v>
      </c>
      <c r="J25" s="2"/>
    </row>
    <row r="26" spans="1:10" ht="15.75">
      <c r="A26" s="2">
        <v>72.5</v>
      </c>
      <c r="B26" s="21">
        <v>75</v>
      </c>
      <c r="C26" s="21">
        <v>137</v>
      </c>
      <c r="D26" s="2">
        <f t="shared" si="0"/>
        <v>212</v>
      </c>
      <c r="E26" s="8">
        <f t="shared" si="1"/>
        <v>0.35377358490566035</v>
      </c>
      <c r="F26" s="8">
        <f t="shared" si="4"/>
        <v>0.21508877482668787</v>
      </c>
      <c r="G26" s="8"/>
      <c r="H26" s="8">
        <f t="shared" si="2"/>
        <v>1.3099238882648797E-6</v>
      </c>
      <c r="I26" s="8">
        <f t="shared" si="3"/>
        <v>-13.545541523000278</v>
      </c>
      <c r="J26" s="2"/>
    </row>
    <row r="27" spans="1:10" ht="15.75">
      <c r="A27" s="2">
        <v>77.5</v>
      </c>
      <c r="B27" s="21">
        <v>140</v>
      </c>
      <c r="C27" s="21">
        <v>243</v>
      </c>
      <c r="D27" s="2">
        <f t="shared" si="0"/>
        <v>383</v>
      </c>
      <c r="E27" s="8">
        <f t="shared" si="1"/>
        <v>0.36553524804177545</v>
      </c>
      <c r="F27" s="8">
        <f t="shared" si="4"/>
        <v>0.26672807422780853</v>
      </c>
      <c r="G27" s="8"/>
      <c r="H27" s="8">
        <f t="shared" si="2"/>
        <v>5.4984649408782921E-6</v>
      </c>
      <c r="I27" s="8">
        <f t="shared" si="3"/>
        <v>-12.111041606340457</v>
      </c>
      <c r="J27" s="2"/>
    </row>
    <row r="28" spans="1:10" ht="15.75">
      <c r="A28" s="2">
        <v>82.5</v>
      </c>
      <c r="B28" s="21">
        <v>266</v>
      </c>
      <c r="C28" s="21">
        <v>440</v>
      </c>
      <c r="D28" s="2">
        <f t="shared" si="0"/>
        <v>706</v>
      </c>
      <c r="E28" s="8">
        <f t="shared" si="1"/>
        <v>0.37677053824362605</v>
      </c>
      <c r="F28" s="8">
        <f t="shared" si="4"/>
        <v>0.3242936484133116</v>
      </c>
      <c r="G28" s="8"/>
      <c r="H28" s="8">
        <f t="shared" si="2"/>
        <v>4.0977973615601335E-4</v>
      </c>
      <c r="I28" s="8">
        <f t="shared" si="3"/>
        <v>-7.7998907715128372</v>
      </c>
      <c r="J28" s="2"/>
    </row>
    <row r="29" spans="1:10" ht="15.75">
      <c r="A29" s="2">
        <v>87.5</v>
      </c>
      <c r="B29" s="21">
        <v>410</v>
      </c>
      <c r="C29" s="21">
        <v>634</v>
      </c>
      <c r="D29" s="2">
        <f t="shared" si="0"/>
        <v>1044</v>
      </c>
      <c r="E29" s="8">
        <f t="shared" si="1"/>
        <v>0.39272030651340994</v>
      </c>
      <c r="F29" s="8">
        <f t="shared" si="4"/>
        <v>0.38634926210052434</v>
      </c>
      <c r="G29" s="8"/>
      <c r="H29" s="8">
        <f t="shared" si="2"/>
        <v>2.3119475404317948E-2</v>
      </c>
      <c r="I29" s="8">
        <f t="shared" si="3"/>
        <v>-3.7670799255600413</v>
      </c>
      <c r="J29" s="2"/>
    </row>
    <row r="30" spans="1:10" ht="15.75">
      <c r="A30" s="2">
        <v>92.5</v>
      </c>
      <c r="B30" s="21">
        <v>423</v>
      </c>
      <c r="C30" s="21">
        <v>530</v>
      </c>
      <c r="D30" s="2">
        <f t="shared" si="0"/>
        <v>953</v>
      </c>
      <c r="E30" s="8">
        <f t="shared" si="1"/>
        <v>0.44386149003147951</v>
      </c>
      <c r="F30" s="8">
        <f t="shared" si="4"/>
        <v>0.45100727955557807</v>
      </c>
      <c r="G30" s="8"/>
      <c r="H30" s="8">
        <f t="shared" si="2"/>
        <v>2.3567494526552896E-2</v>
      </c>
      <c r="I30" s="8">
        <f t="shared" si="3"/>
        <v>-3.7478868669395502</v>
      </c>
      <c r="J30" s="2"/>
    </row>
    <row r="31" spans="1:10" ht="15.75">
      <c r="A31" s="2">
        <v>97.5</v>
      </c>
      <c r="B31" s="21">
        <v>233</v>
      </c>
      <c r="C31" s="21">
        <v>247</v>
      </c>
      <c r="D31" s="2">
        <f t="shared" si="0"/>
        <v>480</v>
      </c>
      <c r="E31" s="8">
        <f t="shared" si="1"/>
        <v>0.48541666666666666</v>
      </c>
      <c r="F31" s="8">
        <f t="shared" si="4"/>
        <v>0.51615066428713274</v>
      </c>
      <c r="G31" s="8"/>
      <c r="H31" s="8">
        <f t="shared" si="2"/>
        <v>1.470021989534954E-2</v>
      </c>
      <c r="I31" s="8">
        <f t="shared" si="3"/>
        <v>-4.2198928264420132</v>
      </c>
      <c r="J31" s="2"/>
    </row>
    <row r="32" spans="1:10" ht="15.75">
      <c r="A32" s="2">
        <v>102.5</v>
      </c>
      <c r="B32" s="21">
        <v>86</v>
      </c>
      <c r="C32" s="21">
        <v>56</v>
      </c>
      <c r="D32" s="2">
        <f t="shared" si="0"/>
        <v>142</v>
      </c>
      <c r="E32" s="8">
        <f t="shared" si="1"/>
        <v>0.60563380281690138</v>
      </c>
      <c r="F32" s="8">
        <f t="shared" si="4"/>
        <v>0.57969626663321938</v>
      </c>
      <c r="G32" s="2"/>
      <c r="H32" s="8">
        <f t="shared" si="2"/>
        <v>5.61348443344813E-2</v>
      </c>
      <c r="I32" s="8">
        <f t="shared" si="3"/>
        <v>-2.8799985481315979</v>
      </c>
      <c r="J32" s="2"/>
    </row>
    <row r="33" spans="1:10" ht="15.75">
      <c r="A33" s="2">
        <v>107.5</v>
      </c>
      <c r="B33" s="21">
        <v>14</v>
      </c>
      <c r="C33" s="21">
        <v>13</v>
      </c>
      <c r="D33" s="2">
        <f t="shared" si="0"/>
        <v>27</v>
      </c>
      <c r="E33" s="8">
        <f t="shared" si="1"/>
        <v>0.51851851851851849</v>
      </c>
      <c r="F33" s="8">
        <f t="shared" si="4"/>
        <v>0.63983430629440807</v>
      </c>
      <c r="G33" s="20"/>
      <c r="H33" s="8">
        <f t="shared" si="2"/>
        <v>6.6339148869226455E-2</v>
      </c>
      <c r="I33" s="8">
        <f t="shared" si="3"/>
        <v>-2.7129750753732926</v>
      </c>
      <c r="J33" s="2"/>
    </row>
    <row r="34" spans="1:10" ht="15.75">
      <c r="A34" s="2">
        <v>112.5</v>
      </c>
      <c r="B34" s="21">
        <v>2</v>
      </c>
      <c r="C34" s="21">
        <v>4</v>
      </c>
      <c r="D34" s="2">
        <f t="shared" si="0"/>
        <v>6</v>
      </c>
      <c r="E34" s="8">
        <f t="shared" si="1"/>
        <v>0.33333333333333331</v>
      </c>
      <c r="F34" s="8">
        <f t="shared" si="4"/>
        <v>0.69519245890315495</v>
      </c>
      <c r="G34" s="20"/>
      <c r="H34" s="8">
        <f t="shared" si="2"/>
        <v>6.257548060629399E-2</v>
      </c>
      <c r="I34" s="8">
        <f t="shared" si="3"/>
        <v>-2.7713817612096712</v>
      </c>
      <c r="J34" s="2"/>
    </row>
    <row r="35" spans="1:10" ht="15.75">
      <c r="A35" s="2">
        <v>117.5</v>
      </c>
      <c r="B35" s="21">
        <v>1</v>
      </c>
      <c r="C35" s="21">
        <v>0</v>
      </c>
      <c r="D35" s="2">
        <f t="shared" si="0"/>
        <v>1</v>
      </c>
      <c r="E35" s="8">
        <f t="shared" si="1"/>
        <v>1</v>
      </c>
      <c r="F35" s="8">
        <f t="shared" si="4"/>
        <v>0.74490297451720999</v>
      </c>
      <c r="G35" s="20"/>
      <c r="H35" s="8">
        <f t="shared" si="2"/>
        <v>0.74490297451720999</v>
      </c>
      <c r="I35" s="8">
        <f t="shared" si="3"/>
        <v>-0.29450130463133195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0.78858188049743594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0.82624843917534163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0.85821753013862656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1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1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1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1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1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1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1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1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1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1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1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1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1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1"/>
      <c r="C52" s="2"/>
      <c r="D52" s="2"/>
      <c r="E52" s="2"/>
      <c r="F52" s="2"/>
      <c r="G52" s="2"/>
      <c r="H52" s="2"/>
      <c r="I52" s="2"/>
      <c r="J52" s="2"/>
    </row>
    <row r="53" spans="1:10" ht="15.75">
      <c r="B53" s="21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21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1"/>
      <c r="C55" s="2"/>
      <c r="D55" s="2"/>
      <c r="E55" s="2"/>
      <c r="F55" s="2"/>
      <c r="G55" s="2"/>
      <c r="H55" s="2"/>
      <c r="I55" s="2"/>
      <c r="J55" s="2"/>
    </row>
    <row r="56" spans="1:10" ht="15.75">
      <c r="A56" s="2"/>
      <c r="B56" s="21"/>
      <c r="C56" s="2"/>
      <c r="D56" s="2"/>
      <c r="E56" s="2"/>
      <c r="F56" s="2"/>
      <c r="G56" s="2"/>
      <c r="H56" s="2"/>
      <c r="I56" s="2"/>
      <c r="J56" s="2"/>
    </row>
    <row r="57" spans="1:10" ht="15.75">
      <c r="A57" s="2"/>
      <c r="B57" s="21"/>
      <c r="C57" s="2"/>
      <c r="D57" s="2"/>
      <c r="E57" s="2"/>
      <c r="F57" s="2"/>
      <c r="G57" s="2"/>
      <c r="H57" s="2"/>
      <c r="I57" s="2"/>
      <c r="J57" s="2"/>
    </row>
    <row r="58" spans="1:10" ht="15.75">
      <c r="A58" s="2"/>
      <c r="B58" s="21"/>
      <c r="C58" s="2"/>
      <c r="D58" s="2"/>
      <c r="E58" s="2"/>
      <c r="F58" s="2"/>
      <c r="G58" s="2"/>
      <c r="H58" s="2"/>
      <c r="I58" s="2"/>
      <c r="J58" s="2"/>
    </row>
    <row r="59" spans="1:10">
      <c r="B59" s="21"/>
    </row>
    <row r="60" spans="1:10">
      <c r="B60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50" zoomScaleNormal="50" workbookViewId="0">
      <selection activeCell="I42" sqref="I42"/>
    </sheetView>
  </sheetViews>
  <sheetFormatPr defaultRowHeight="15"/>
  <cols>
    <col min="9" max="9" width="29.28515625" customWidth="1"/>
    <col min="10" max="10" width="14.28515625" customWidth="1"/>
  </cols>
  <sheetData>
    <row r="1" spans="1:10" ht="20.25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</row>
    <row r="2" spans="1:10" ht="20.25">
      <c r="B2" s="1" t="s">
        <v>36</v>
      </c>
      <c r="C2" s="2"/>
      <c r="D2" s="2"/>
      <c r="G2" s="2"/>
      <c r="H2" s="3"/>
      <c r="I2" s="27" t="s">
        <v>37</v>
      </c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-3.7800000000000002</v>
      </c>
      <c r="G4" s="2"/>
      <c r="H4" s="8">
        <f>-J4*H5</f>
        <v>-8.1297309361440124</v>
      </c>
      <c r="I4" s="6" t="s">
        <v>7</v>
      </c>
      <c r="J4" s="9">
        <v>92.5</v>
      </c>
    </row>
    <row r="5" spans="1:10" ht="15.75">
      <c r="A5" s="2"/>
      <c r="B5" s="2"/>
      <c r="C5" s="2"/>
      <c r="D5" s="2"/>
      <c r="E5" s="6" t="s">
        <v>9</v>
      </c>
      <c r="F5" s="22">
        <v>3.9052606392135904E-2</v>
      </c>
      <c r="G5" s="2"/>
      <c r="H5" s="8">
        <f>2*LN(3)/J5</f>
        <v>8.788898309344878E-2</v>
      </c>
      <c r="I5" s="6" t="s">
        <v>10</v>
      </c>
      <c r="J5" s="9">
        <v>25</v>
      </c>
    </row>
    <row r="6" spans="1:10" ht="16.5" thickBot="1">
      <c r="B6" s="13"/>
      <c r="C6" s="13"/>
      <c r="D6" s="13"/>
      <c r="E6" s="6" t="s">
        <v>38</v>
      </c>
      <c r="F6" s="24">
        <v>1.0959942979966635</v>
      </c>
      <c r="G6" s="2"/>
      <c r="H6" s="9"/>
      <c r="I6" s="2"/>
      <c r="J6" s="2" t="s">
        <v>13</v>
      </c>
    </row>
    <row r="7" spans="1:10" ht="17.25" thickTop="1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13"/>
      <c r="B8" s="13"/>
      <c r="C8" s="13"/>
      <c r="D8" s="13"/>
      <c r="E8" s="6" t="s">
        <v>7</v>
      </c>
      <c r="F8" s="2">
        <f>-F4/F5</f>
        <v>96.792515256067162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13"/>
      <c r="B9" s="13"/>
      <c r="C9" s="13"/>
      <c r="D9" s="13"/>
      <c r="E9" s="6" t="s">
        <v>16</v>
      </c>
      <c r="F9" s="16">
        <f>2*LN(3)/F5</f>
        <v>56.263199318206809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23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1</v>
      </c>
      <c r="C14" s="21">
        <v>1</v>
      </c>
      <c r="D14" s="2">
        <f t="shared" ref="D14:D38" si="0">+C14+B14</f>
        <v>2</v>
      </c>
      <c r="E14" s="8">
        <f t="shared" ref="E14:E38" si="1">+B14/(C14+B14)</f>
        <v>0.5</v>
      </c>
      <c r="F14" s="8">
        <f>$F$6*EXP($F$4+$F$5*A14)/(1+EXP($F$4+$F$5*A14))+1-$F$6</f>
        <v>-5.6700595398639919E-2</v>
      </c>
      <c r="G14" s="8"/>
      <c r="H14" s="8">
        <f t="shared" ref="H14:H38" si="2">COMBIN(D14,B14)*(F14^B14)*((1-F14)^C14)</f>
        <v>-0.11983110583440038</v>
      </c>
      <c r="I14" s="8" t="e">
        <f t="shared" ref="I14:I38" si="3">LN(H14)</f>
        <v>#NUM!</v>
      </c>
      <c r="J14" s="2"/>
    </row>
    <row r="15" spans="1:10" ht="15.75">
      <c r="A15" s="2">
        <v>17.5</v>
      </c>
      <c r="B15" s="21">
        <v>1</v>
      </c>
      <c r="C15" s="21">
        <v>13</v>
      </c>
      <c r="D15" s="2">
        <f t="shared" si="0"/>
        <v>14</v>
      </c>
      <c r="E15" s="8">
        <f t="shared" si="1"/>
        <v>7.1428571428571425E-2</v>
      </c>
      <c r="F15" s="8">
        <f t="shared" ref="F15:F38" si="4">$F$6*EXP($F$4+$F$5*A15)/(1+EXP($F$4+$F$5*A15))+1-$F$6</f>
        <v>-4.8594109088262671E-2</v>
      </c>
      <c r="G15" s="8"/>
      <c r="H15" s="8">
        <f t="shared" si="2"/>
        <v>-1.2606892111197769</v>
      </c>
      <c r="I15" s="8" t="e">
        <f t="shared" si="3"/>
        <v>#NUM!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-3.8905566955204529E-2</v>
      </c>
      <c r="G16" s="8"/>
      <c r="H16" s="8">
        <f t="shared" si="2"/>
        <v>1.5217272151435406</v>
      </c>
      <c r="I16" s="8">
        <f t="shared" si="3"/>
        <v>0.41984601548107853</v>
      </c>
      <c r="J16" s="2"/>
    </row>
    <row r="17" spans="1:10" ht="15.75">
      <c r="A17" s="2">
        <v>27.5</v>
      </c>
      <c r="B17" s="21">
        <v>3</v>
      </c>
      <c r="C17" s="21">
        <v>30</v>
      </c>
      <c r="D17" s="2">
        <f t="shared" si="0"/>
        <v>33</v>
      </c>
      <c r="E17" s="8">
        <f t="shared" si="1"/>
        <v>9.0909090909090912E-2</v>
      </c>
      <c r="F17" s="8">
        <f t="shared" si="4"/>
        <v>-2.7366306014719788E-2</v>
      </c>
      <c r="G17" s="8"/>
      <c r="H17" s="8">
        <f t="shared" si="2"/>
        <v>-0.2513520592298798</v>
      </c>
      <c r="I17" s="8" t="e">
        <f t="shared" si="3"/>
        <v>#NUM!</v>
      </c>
      <c r="J17" s="2"/>
    </row>
    <row r="18" spans="1:10" ht="15.75">
      <c r="A18" s="2">
        <v>32.5</v>
      </c>
      <c r="B18" s="21">
        <v>5</v>
      </c>
      <c r="C18" s="21">
        <v>101</v>
      </c>
      <c r="D18" s="2">
        <f t="shared" si="0"/>
        <v>106</v>
      </c>
      <c r="E18" s="8">
        <f t="shared" si="1"/>
        <v>4.716981132075472E-2</v>
      </c>
      <c r="F18" s="8">
        <f t="shared" si="4"/>
        <v>-1.3679433771223604E-2</v>
      </c>
      <c r="G18" s="8"/>
      <c r="H18" s="8">
        <f t="shared" si="2"/>
        <v>-0.1914650135318271</v>
      </c>
      <c r="I18" s="8" t="e">
        <f t="shared" si="3"/>
        <v>#NUM!</v>
      </c>
      <c r="J18" s="2"/>
    </row>
    <row r="19" spans="1:10" ht="15.75">
      <c r="A19" s="2">
        <v>37.5</v>
      </c>
      <c r="B19" s="21">
        <v>5</v>
      </c>
      <c r="C19" s="21">
        <v>80</v>
      </c>
      <c r="D19" s="2">
        <f t="shared" si="0"/>
        <v>85</v>
      </c>
      <c r="E19" s="8">
        <f t="shared" si="1"/>
        <v>5.8823529411764705E-2</v>
      </c>
      <c r="F19" s="8">
        <f t="shared" si="4"/>
        <v>2.4754612590878189E-3</v>
      </c>
      <c r="G19" s="8"/>
      <c r="H19" s="8">
        <f t="shared" si="2"/>
        <v>2.5007002504338057E-6</v>
      </c>
      <c r="I19" s="8">
        <f t="shared" si="3"/>
        <v>-12.898939765137326</v>
      </c>
      <c r="J19" s="2"/>
    </row>
    <row r="20" spans="1:10" ht="15.75">
      <c r="A20" s="2">
        <v>42.5</v>
      </c>
      <c r="B20" s="21">
        <v>2</v>
      </c>
      <c r="C20" s="21">
        <v>44</v>
      </c>
      <c r="D20" s="2">
        <f t="shared" si="0"/>
        <v>46</v>
      </c>
      <c r="E20" s="8">
        <f t="shared" si="1"/>
        <v>4.3478260869565216E-2</v>
      </c>
      <c r="F20" s="8">
        <f t="shared" si="4"/>
        <v>2.1433589935231145E-2</v>
      </c>
      <c r="G20" s="8"/>
      <c r="H20" s="8">
        <f t="shared" si="2"/>
        <v>0.18327514482612425</v>
      </c>
      <c r="I20" s="8">
        <f t="shared" si="3"/>
        <v>-1.69676673166069</v>
      </c>
      <c r="J20" s="2"/>
    </row>
    <row r="21" spans="1:10" ht="15.75">
      <c r="A21" s="2">
        <v>47.5</v>
      </c>
      <c r="B21" s="21">
        <v>8</v>
      </c>
      <c r="C21" s="21">
        <v>47</v>
      </c>
      <c r="D21" s="2">
        <f t="shared" si="0"/>
        <v>55</v>
      </c>
      <c r="E21" s="8">
        <f t="shared" si="1"/>
        <v>0.14545454545454545</v>
      </c>
      <c r="F21" s="8">
        <f t="shared" si="4"/>
        <v>4.3531152165884546E-2</v>
      </c>
      <c r="G21" s="8"/>
      <c r="H21" s="8">
        <f t="shared" si="2"/>
        <v>1.9383086154379772E-3</v>
      </c>
      <c r="I21" s="8">
        <f t="shared" si="3"/>
        <v>-6.2459395338995467</v>
      </c>
      <c r="J21" s="2"/>
    </row>
    <row r="22" spans="1:10" ht="15.75">
      <c r="A22" s="2">
        <v>52.5</v>
      </c>
      <c r="B22" s="21">
        <v>17</v>
      </c>
      <c r="C22" s="21">
        <v>108</v>
      </c>
      <c r="D22" s="2">
        <f t="shared" si="0"/>
        <v>125</v>
      </c>
      <c r="E22" s="8">
        <f t="shared" si="1"/>
        <v>0.13600000000000001</v>
      </c>
      <c r="F22" s="8">
        <f t="shared" si="4"/>
        <v>6.9085540760310149E-2</v>
      </c>
      <c r="G22" s="8"/>
      <c r="H22" s="8">
        <f t="shared" si="2"/>
        <v>3.2617181171965309E-3</v>
      </c>
      <c r="I22" s="8">
        <f t="shared" si="3"/>
        <v>-5.7255011926200705</v>
      </c>
      <c r="J22" s="2"/>
    </row>
    <row r="23" spans="1:10" ht="15.75">
      <c r="A23" s="2">
        <v>57.5</v>
      </c>
      <c r="B23" s="21">
        <v>35</v>
      </c>
      <c r="C23" s="21">
        <v>170</v>
      </c>
      <c r="D23" s="2">
        <f t="shared" si="0"/>
        <v>205</v>
      </c>
      <c r="E23" s="8">
        <f t="shared" si="1"/>
        <v>0.17073170731707318</v>
      </c>
      <c r="F23" s="8">
        <f t="shared" si="4"/>
        <v>9.8369181498800362E-2</v>
      </c>
      <c r="G23" s="8"/>
      <c r="H23" s="8">
        <f t="shared" si="2"/>
        <v>4.6158920679875443E-4</v>
      </c>
      <c r="I23" s="8">
        <f t="shared" si="3"/>
        <v>-7.6808352251954961</v>
      </c>
      <c r="J23" s="2"/>
    </row>
    <row r="24" spans="1:10" ht="15.75">
      <c r="A24" s="2">
        <v>62.5</v>
      </c>
      <c r="B24" s="21">
        <v>26</v>
      </c>
      <c r="C24" s="21">
        <v>135</v>
      </c>
      <c r="D24" s="2">
        <f t="shared" si="0"/>
        <v>161</v>
      </c>
      <c r="E24" s="8">
        <f t="shared" si="1"/>
        <v>0.16149068322981366</v>
      </c>
      <c r="F24" s="8">
        <f t="shared" si="4"/>
        <v>0.13157758343447568</v>
      </c>
      <c r="G24" s="8"/>
      <c r="H24" s="8">
        <f t="shared" si="2"/>
        <v>4.7016735817614133E-2</v>
      </c>
      <c r="I24" s="8">
        <f t="shared" si="3"/>
        <v>-3.05725165942812</v>
      </c>
      <c r="J24" s="2"/>
    </row>
    <row r="25" spans="1:10" ht="15.75">
      <c r="A25" s="2">
        <v>67.5</v>
      </c>
      <c r="B25" s="21">
        <v>28</v>
      </c>
      <c r="C25" s="21">
        <v>102</v>
      </c>
      <c r="D25" s="2">
        <f t="shared" si="0"/>
        <v>130</v>
      </c>
      <c r="E25" s="8">
        <f t="shared" si="1"/>
        <v>0.2153846153846154</v>
      </c>
      <c r="F25" s="8">
        <f t="shared" si="4"/>
        <v>0.1687935900288462</v>
      </c>
      <c r="G25" s="8"/>
      <c r="H25" s="8">
        <f t="shared" si="2"/>
        <v>3.310547890923364E-2</v>
      </c>
      <c r="I25" s="8">
        <f t="shared" si="3"/>
        <v>-3.4080564843383097</v>
      </c>
      <c r="J25" s="2"/>
    </row>
    <row r="26" spans="1:10" ht="15.75">
      <c r="A26" s="2">
        <v>72.5</v>
      </c>
      <c r="B26" s="21">
        <v>75</v>
      </c>
      <c r="C26" s="21">
        <v>137</v>
      </c>
      <c r="D26" s="2">
        <f t="shared" si="0"/>
        <v>212</v>
      </c>
      <c r="E26" s="8">
        <f t="shared" si="1"/>
        <v>0.35377358490566035</v>
      </c>
      <c r="F26" s="8">
        <f t="shared" si="4"/>
        <v>0.20995157583942614</v>
      </c>
      <c r="G26" s="8"/>
      <c r="H26" s="8">
        <f t="shared" si="2"/>
        <v>5.2239014052694024E-7</v>
      </c>
      <c r="I26" s="8">
        <f t="shared" si="3"/>
        <v>-14.464851132579332</v>
      </c>
      <c r="J26" s="2"/>
    </row>
    <row r="27" spans="1:10" ht="15.75">
      <c r="A27" s="2">
        <v>77.5</v>
      </c>
      <c r="B27" s="21">
        <v>140</v>
      </c>
      <c r="C27" s="21">
        <v>243</v>
      </c>
      <c r="D27" s="2">
        <f t="shared" si="0"/>
        <v>383</v>
      </c>
      <c r="E27" s="8">
        <f t="shared" si="1"/>
        <v>0.36553524804177545</v>
      </c>
      <c r="F27" s="8">
        <f t="shared" si="4"/>
        <v>0.25480706679149612</v>
      </c>
      <c r="G27" s="8"/>
      <c r="H27" s="8">
        <f t="shared" si="2"/>
        <v>4.5932145839676379E-7</v>
      </c>
      <c r="I27" s="8">
        <f t="shared" si="3"/>
        <v>-14.593515526922058</v>
      </c>
      <c r="J27" s="2"/>
    </row>
    <row r="28" spans="1:10" ht="15.75">
      <c r="A28" s="2">
        <v>82.5</v>
      </c>
      <c r="B28" s="21">
        <v>266</v>
      </c>
      <c r="C28" s="21">
        <v>440</v>
      </c>
      <c r="D28" s="2">
        <f t="shared" si="0"/>
        <v>706</v>
      </c>
      <c r="E28" s="8">
        <f t="shared" si="1"/>
        <v>0.37677053824362605</v>
      </c>
      <c r="F28" s="8">
        <f t="shared" si="4"/>
        <v>0.30291837805180077</v>
      </c>
      <c r="G28" s="8"/>
      <c r="H28" s="8">
        <f t="shared" si="2"/>
        <v>4.8620379701119977E-6</v>
      </c>
      <c r="I28" s="8">
        <f t="shared" si="3"/>
        <v>-12.234052872534404</v>
      </c>
      <c r="J28" s="2"/>
    </row>
    <row r="29" spans="1:10" ht="15.75">
      <c r="A29" s="2">
        <v>87.5</v>
      </c>
      <c r="B29" s="21">
        <v>410</v>
      </c>
      <c r="C29" s="21">
        <v>634</v>
      </c>
      <c r="D29" s="2">
        <f t="shared" si="0"/>
        <v>1044</v>
      </c>
      <c r="E29" s="8">
        <f t="shared" si="1"/>
        <v>0.39272030651340994</v>
      </c>
      <c r="F29" s="8">
        <f t="shared" si="4"/>
        <v>0.35364665637513859</v>
      </c>
      <c r="G29" s="8"/>
      <c r="H29" s="8">
        <f t="shared" si="2"/>
        <v>8.1575712040962169E-4</v>
      </c>
      <c r="I29" s="8">
        <f t="shared" si="3"/>
        <v>-7.1113938938625312</v>
      </c>
      <c r="J29" s="2"/>
    </row>
    <row r="30" spans="1:10" ht="15.75">
      <c r="A30" s="2">
        <v>92.5</v>
      </c>
      <c r="B30" s="21">
        <v>423</v>
      </c>
      <c r="C30" s="21">
        <v>530</v>
      </c>
      <c r="D30" s="2">
        <f t="shared" si="0"/>
        <v>953</v>
      </c>
      <c r="E30" s="8">
        <f t="shared" si="1"/>
        <v>0.44386149003147951</v>
      </c>
      <c r="F30" s="8">
        <f t="shared" si="4"/>
        <v>0.40617865803790076</v>
      </c>
      <c r="G30" s="8"/>
      <c r="H30" s="8">
        <f t="shared" si="2"/>
        <v>1.6117182983138277E-3</v>
      </c>
      <c r="I30" s="8">
        <f t="shared" si="3"/>
        <v>-6.4304544030758235</v>
      </c>
      <c r="J30" s="2"/>
    </row>
    <row r="31" spans="1:10" ht="15.75">
      <c r="A31" s="2">
        <v>97.5</v>
      </c>
      <c r="B31" s="21">
        <v>233</v>
      </c>
      <c r="C31" s="21">
        <v>247</v>
      </c>
      <c r="D31" s="2">
        <f t="shared" si="0"/>
        <v>480</v>
      </c>
      <c r="E31" s="8">
        <f t="shared" si="1"/>
        <v>0.48541666666666666</v>
      </c>
      <c r="F31" s="8">
        <f t="shared" si="4"/>
        <v>0.45957270983908272</v>
      </c>
      <c r="G31" s="8"/>
      <c r="H31" s="8">
        <f t="shared" si="2"/>
        <v>1.9126555188975436E-2</v>
      </c>
      <c r="I31" s="8">
        <f t="shared" si="3"/>
        <v>-3.9566775855049801</v>
      </c>
      <c r="J31" s="2"/>
    </row>
    <row r="32" spans="1:10" ht="15.75">
      <c r="A32" s="2">
        <v>102.5</v>
      </c>
      <c r="B32" s="21">
        <v>86</v>
      </c>
      <c r="C32" s="21">
        <v>56</v>
      </c>
      <c r="D32" s="2">
        <f t="shared" si="0"/>
        <v>142</v>
      </c>
      <c r="E32" s="8">
        <f t="shared" si="1"/>
        <v>0.60563380281690138</v>
      </c>
      <c r="F32" s="8">
        <f t="shared" si="4"/>
        <v>0.51282339038145164</v>
      </c>
      <c r="G32" s="2"/>
      <c r="H32" s="8">
        <f t="shared" si="2"/>
        <v>5.7825629005928752E-3</v>
      </c>
      <c r="I32" s="8">
        <f t="shared" si="3"/>
        <v>-5.1529082861672366</v>
      </c>
      <c r="J32" s="2"/>
    </row>
    <row r="33" spans="1:10" ht="15.75">
      <c r="A33" s="2">
        <v>107.5</v>
      </c>
      <c r="B33" s="21">
        <v>14</v>
      </c>
      <c r="C33" s="21">
        <v>13</v>
      </c>
      <c r="D33" s="2">
        <f t="shared" si="0"/>
        <v>27</v>
      </c>
      <c r="E33" s="8">
        <f t="shared" si="1"/>
        <v>0.51851851851851849</v>
      </c>
      <c r="F33" s="8">
        <f t="shared" si="4"/>
        <v>0.56493598659089761</v>
      </c>
      <c r="G33" s="20"/>
      <c r="H33" s="8">
        <f t="shared" si="2"/>
        <v>0.13535508960558795</v>
      </c>
      <c r="I33" s="8">
        <f t="shared" si="3"/>
        <v>-1.9998536603366965</v>
      </c>
      <c r="J33" s="2"/>
    </row>
    <row r="34" spans="1:10" ht="15.75">
      <c r="A34" s="2">
        <v>112.5</v>
      </c>
      <c r="B34" s="21">
        <v>2</v>
      </c>
      <c r="C34" s="21">
        <v>4</v>
      </c>
      <c r="D34" s="2">
        <f t="shared" si="0"/>
        <v>6</v>
      </c>
      <c r="E34" s="8">
        <f t="shared" si="1"/>
        <v>0.33333333333333331</v>
      </c>
      <c r="F34" s="8">
        <f t="shared" si="4"/>
        <v>0.61499928652423153</v>
      </c>
      <c r="G34" s="20"/>
      <c r="H34" s="8">
        <f t="shared" si="2"/>
        <v>0.12464837475742849</v>
      </c>
      <c r="I34" s="8">
        <f t="shared" si="3"/>
        <v>-2.0822585075457987</v>
      </c>
      <c r="J34" s="2"/>
    </row>
    <row r="35" spans="1:10" ht="15.75">
      <c r="A35" s="2">
        <v>117.5</v>
      </c>
      <c r="B35" s="21">
        <v>1</v>
      </c>
      <c r="C35" s="21">
        <v>0</v>
      </c>
      <c r="D35" s="2">
        <f t="shared" si="0"/>
        <v>1</v>
      </c>
      <c r="E35" s="8">
        <f t="shared" si="1"/>
        <v>1</v>
      </c>
      <c r="F35" s="8">
        <f t="shared" si="4"/>
        <v>0.66224570083377055</v>
      </c>
      <c r="G35" s="20"/>
      <c r="H35" s="8">
        <f t="shared" si="2"/>
        <v>0.66224570083377055</v>
      </c>
      <c r="I35" s="8">
        <f t="shared" si="3"/>
        <v>-0.41211864260826536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0.70609089672078396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0.74614989887187866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0.78223135781980435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1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1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1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1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1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1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1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1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1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1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1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1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1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1"/>
      <c r="C52" s="2"/>
      <c r="D52" s="2"/>
      <c r="E52" s="2"/>
      <c r="F52" s="2"/>
      <c r="G52" s="2"/>
      <c r="H52" s="2"/>
      <c r="I52" s="2"/>
      <c r="J52" s="2"/>
    </row>
    <row r="53" spans="1:10" ht="15.75">
      <c r="B53" s="21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21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1"/>
      <c r="C55" s="2"/>
      <c r="D55" s="2"/>
      <c r="E55" s="2"/>
      <c r="F55" s="2"/>
      <c r="G55" s="2"/>
      <c r="H55" s="2"/>
      <c r="I55" s="2"/>
      <c r="J55" s="2"/>
    </row>
    <row r="56" spans="1:10">
      <c r="B56" s="21"/>
    </row>
    <row r="57" spans="1:10">
      <c r="B57" s="21"/>
    </row>
    <row r="58" spans="1:10">
      <c r="B58" s="21"/>
    </row>
    <row r="59" spans="1:10">
      <c r="B59" s="21"/>
    </row>
    <row r="60" spans="1:10">
      <c r="B60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60" zoomScaleNormal="60" workbookViewId="0">
      <selection activeCell="O47" sqref="O47"/>
    </sheetView>
  </sheetViews>
  <sheetFormatPr defaultRowHeight="15"/>
  <cols>
    <col min="5" max="5" width="21.42578125" bestFit="1" customWidth="1"/>
    <col min="6" max="6" width="16.7109375" bestFit="1" customWidth="1"/>
    <col min="8" max="8" width="23.7109375" bestFit="1" customWidth="1"/>
  </cols>
  <sheetData>
    <row r="1" spans="1:1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20.25">
      <c r="B2" s="1" t="s">
        <v>1</v>
      </c>
      <c r="C2" s="2"/>
      <c r="D2" s="2"/>
      <c r="G2" s="2"/>
      <c r="H2" s="3"/>
      <c r="I2" s="2"/>
      <c r="J2" s="2"/>
    </row>
    <row r="3" spans="1:11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1" ht="16.5" thickTop="1">
      <c r="A4" s="4" t="s">
        <v>5</v>
      </c>
      <c r="B4" s="5"/>
      <c r="C4" s="5"/>
      <c r="D4" s="5"/>
      <c r="E4" s="6" t="s">
        <v>6</v>
      </c>
      <c r="F4" s="7">
        <v>-6.4715855567588259</v>
      </c>
      <c r="G4" s="2"/>
      <c r="H4" s="8">
        <f>-J4*H5</f>
        <v>-6.4033401968084114</v>
      </c>
      <c r="I4" s="6" t="s">
        <v>7</v>
      </c>
      <c r="J4" s="9">
        <v>102</v>
      </c>
    </row>
    <row r="5" spans="1:11" ht="16.5" thickBot="1">
      <c r="A5" s="5" t="s">
        <v>8</v>
      </c>
      <c r="B5" s="5"/>
      <c r="C5" s="5"/>
      <c r="D5" s="5"/>
      <c r="E5" s="6" t="s">
        <v>9</v>
      </c>
      <c r="F5" s="10">
        <v>6.4012954170168765E-2</v>
      </c>
      <c r="G5" s="2"/>
      <c r="H5" s="8">
        <f>2*LN(3)/J5</f>
        <v>6.2777845066749133E-2</v>
      </c>
      <c r="I5" s="6" t="s">
        <v>10</v>
      </c>
      <c r="J5" s="9">
        <v>35</v>
      </c>
      <c r="K5">
        <f>117-82</f>
        <v>35</v>
      </c>
    </row>
    <row r="6" spans="1:11" ht="95.25" thickTop="1">
      <c r="A6" s="11" t="s">
        <v>11</v>
      </c>
      <c r="B6" s="12" t="s">
        <v>12</v>
      </c>
      <c r="C6" s="12"/>
      <c r="D6" s="12"/>
      <c r="E6" s="6"/>
      <c r="F6" s="2"/>
      <c r="G6" s="2"/>
      <c r="H6" s="9"/>
      <c r="I6" s="2"/>
      <c r="J6" s="2" t="s">
        <v>13</v>
      </c>
    </row>
    <row r="7" spans="1:11" ht="16.5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1" ht="17.25" thickTop="1" thickBot="1">
      <c r="A8" s="13"/>
      <c r="B8" s="13"/>
      <c r="C8" s="13"/>
      <c r="D8" s="13"/>
      <c r="E8" s="6" t="s">
        <v>7</v>
      </c>
      <c r="F8" s="2">
        <f>-F4/F5</f>
        <v>101.09806117610341</v>
      </c>
      <c r="G8" s="2"/>
      <c r="H8" s="14">
        <f>SUM(I14:I38)</f>
        <v>-64.848823113567562</v>
      </c>
      <c r="I8" s="2"/>
      <c r="J8" s="2">
        <f>-2*H8+2*2</f>
        <v>133.69764622713512</v>
      </c>
    </row>
    <row r="9" spans="1:11" ht="17.25" thickTop="1">
      <c r="A9" s="15"/>
      <c r="B9" s="15"/>
      <c r="C9" s="15"/>
      <c r="D9" s="15"/>
      <c r="E9" s="6" t="s">
        <v>16</v>
      </c>
      <c r="F9" s="16">
        <f>2*LN(3)/F5</f>
        <v>34.324686398556615</v>
      </c>
      <c r="G9" s="2"/>
      <c r="H9" s="17"/>
      <c r="I9" s="2"/>
      <c r="J9" s="2"/>
    </row>
    <row r="10" spans="1:11" ht="15.75">
      <c r="A10" s="18"/>
      <c r="B10" s="19"/>
      <c r="C10" s="19"/>
      <c r="D10" s="19"/>
      <c r="E10" s="19"/>
      <c r="F10" s="19"/>
      <c r="G10" s="2"/>
      <c r="H10" s="17"/>
      <c r="I10" s="2"/>
      <c r="J10" s="2"/>
    </row>
    <row r="11" spans="1:11" ht="15.75">
      <c r="A11" s="19"/>
      <c r="B11" s="19"/>
      <c r="C11" s="19"/>
      <c r="D11" s="19"/>
      <c r="E11" s="19"/>
      <c r="F11" s="19"/>
      <c r="G11" s="2"/>
      <c r="H11" s="17"/>
      <c r="I11" s="16"/>
      <c r="J11" s="2"/>
    </row>
    <row r="12" spans="1:11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1" ht="15.75">
      <c r="A13" s="2" t="s">
        <v>22</v>
      </c>
      <c r="B13" t="s">
        <v>44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1" ht="15.75">
      <c r="A14">
        <v>12.5</v>
      </c>
      <c r="B14" s="21">
        <v>0</v>
      </c>
      <c r="C14" s="21">
        <v>1</v>
      </c>
      <c r="D14" s="2">
        <f>+C14+B14</f>
        <v>1</v>
      </c>
      <c r="E14" s="8">
        <f t="shared" ref="E14:E38" si="0">+B14/(C14+B14)</f>
        <v>0</v>
      </c>
      <c r="F14" s="8">
        <f>EXP($F$4+$F$5*A14)/(1+EXP($F$4+$F$5*A14))</f>
        <v>3.4311469824103795E-3</v>
      </c>
      <c r="G14" s="8"/>
      <c r="H14" s="8">
        <f>COMBIN(D14,B14)*(F14^B14)*((1-F14)^C14)</f>
        <v>0.99656885301758957</v>
      </c>
      <c r="I14" s="8">
        <f>LN(H14)</f>
        <v>-3.4370468666637673E-3</v>
      </c>
      <c r="J14" s="2"/>
    </row>
    <row r="15" spans="1:11" ht="15.75">
      <c r="A15">
        <v>17.5</v>
      </c>
      <c r="B15" s="21">
        <v>0</v>
      </c>
      <c r="C15" s="21">
        <v>13</v>
      </c>
      <c r="D15" s="2">
        <f>+C15+B15</f>
        <v>13</v>
      </c>
      <c r="E15" s="8">
        <f t="shared" si="0"/>
        <v>0</v>
      </c>
      <c r="F15" s="8">
        <f t="shared" ref="F15:F38" si="1">EXP($F$4+$F$5*A15)/(1+EXP($F$4+$F$5*A15))</f>
        <v>4.7193256722894341E-3</v>
      </c>
      <c r="G15" s="8"/>
      <c r="H15" s="8">
        <f>COMBIN(D15,B15)*(F15^B15)*((1-F15)^C15)</f>
        <v>0.94035627548198175</v>
      </c>
      <c r="I15" s="8">
        <f>LN(H15)</f>
        <v>-6.1496459056492606E-2</v>
      </c>
      <c r="J15" s="2"/>
    </row>
    <row r="16" spans="1:11" ht="15.75">
      <c r="A16">
        <v>22.5</v>
      </c>
      <c r="B16" s="21">
        <v>0</v>
      </c>
      <c r="C16" s="21">
        <v>11</v>
      </c>
      <c r="D16" s="2">
        <f>+C16+B16</f>
        <v>11</v>
      </c>
      <c r="E16" s="8">
        <f t="shared" si="0"/>
        <v>0</v>
      </c>
      <c r="F16" s="8">
        <f t="shared" si="1"/>
        <v>6.4879854044621052E-3</v>
      </c>
      <c r="G16" s="8"/>
      <c r="H16" s="8">
        <f>COMBIN(D16,B16)*(F16^B16)*((1-F16)^C16)</f>
        <v>0.93090284518592159</v>
      </c>
      <c r="I16" s="8">
        <f>LN(H16)</f>
        <v>-7.1600362482451885E-2</v>
      </c>
      <c r="J16" s="2"/>
    </row>
    <row r="17" spans="1:10" ht="15.75">
      <c r="A17">
        <v>27.5</v>
      </c>
      <c r="B17" s="21">
        <v>0</v>
      </c>
      <c r="C17" s="21">
        <v>30</v>
      </c>
      <c r="D17" s="2">
        <f>+C17+B17</f>
        <v>30</v>
      </c>
      <c r="E17" s="8">
        <f t="shared" si="0"/>
        <v>0</v>
      </c>
      <c r="F17" s="8">
        <f t="shared" si="1"/>
        <v>8.9135487429012894E-3</v>
      </c>
      <c r="G17" s="8"/>
      <c r="H17" s="8">
        <f>COMBIN(D17,B17)*(F17^B17)*((1-F17)^C17)</f>
        <v>0.7644448749927667</v>
      </c>
      <c r="I17" s="8">
        <f t="shared" ref="I17:I38" si="2">LN(H17)</f>
        <v>-0.26860536217384368</v>
      </c>
      <c r="J17" s="2"/>
    </row>
    <row r="18" spans="1:10" ht="15.75">
      <c r="A18">
        <v>32.5</v>
      </c>
      <c r="B18" s="21">
        <v>0</v>
      </c>
      <c r="C18" s="21">
        <v>101</v>
      </c>
      <c r="D18" s="2">
        <f t="shared" ref="D18:D38" si="3">+C18+B18</f>
        <v>101</v>
      </c>
      <c r="E18" s="8">
        <f t="shared" si="0"/>
        <v>0</v>
      </c>
      <c r="F18" s="8">
        <f t="shared" si="1"/>
        <v>1.2234753124845791E-2</v>
      </c>
      <c r="G18" s="8"/>
      <c r="H18" s="8">
        <f t="shared" ref="H18:H38" si="4">COMBIN(D18,B18)*(F18^B18)*((1-F18)^C18)</f>
        <v>0.28842171022047508</v>
      </c>
      <c r="I18" s="8">
        <f t="shared" si="2"/>
        <v>-1.2433315982476143</v>
      </c>
      <c r="J18" s="2"/>
    </row>
    <row r="19" spans="1:10" ht="15.75">
      <c r="A19">
        <v>37.5</v>
      </c>
      <c r="B19" s="21">
        <v>2</v>
      </c>
      <c r="C19" s="21">
        <v>80</v>
      </c>
      <c r="D19" s="2">
        <f t="shared" si="3"/>
        <v>82</v>
      </c>
      <c r="E19" s="8">
        <f t="shared" si="0"/>
        <v>2.4390243902439025E-2</v>
      </c>
      <c r="F19" s="8">
        <f t="shared" si="1"/>
        <v>1.6772501845734457E-2</v>
      </c>
      <c r="G19" s="8"/>
      <c r="H19" s="8">
        <f t="shared" si="4"/>
        <v>0.24142701088192103</v>
      </c>
      <c r="I19" s="8">
        <f t="shared" si="2"/>
        <v>-1.4211880839439157</v>
      </c>
      <c r="J19" s="2"/>
    </row>
    <row r="20" spans="1:10" ht="15.75">
      <c r="A20">
        <v>42.5</v>
      </c>
      <c r="B20" s="21">
        <v>2</v>
      </c>
      <c r="C20" s="21">
        <v>44</v>
      </c>
      <c r="D20" s="2">
        <f t="shared" si="3"/>
        <v>46</v>
      </c>
      <c r="E20" s="8">
        <f t="shared" si="0"/>
        <v>4.3478260869565216E-2</v>
      </c>
      <c r="F20" s="8">
        <f t="shared" si="1"/>
        <v>2.2954146136787507E-2</v>
      </c>
      <c r="G20" s="8"/>
      <c r="H20" s="8">
        <f t="shared" si="4"/>
        <v>0.19629998383369671</v>
      </c>
      <c r="I20" s="8">
        <f>LN(H20)</f>
        <v>-1.6281112600548107</v>
      </c>
      <c r="J20" s="2"/>
    </row>
    <row r="21" spans="1:10" ht="15.75">
      <c r="A21">
        <v>47.5</v>
      </c>
      <c r="B21" s="21">
        <v>2</v>
      </c>
      <c r="C21" s="21">
        <v>47</v>
      </c>
      <c r="D21" s="2">
        <f t="shared" si="3"/>
        <v>49</v>
      </c>
      <c r="E21" s="8">
        <f t="shared" si="0"/>
        <v>4.0816326530612242E-2</v>
      </c>
      <c r="F21" s="8">
        <f t="shared" si="1"/>
        <v>3.134146335580118E-2</v>
      </c>
      <c r="G21" s="8"/>
      <c r="H21" s="8">
        <f t="shared" si="4"/>
        <v>0.25862424808978568</v>
      </c>
      <c r="I21" s="8">
        <f t="shared" si="2"/>
        <v>-1.3523790502583626</v>
      </c>
      <c r="J21" s="2"/>
    </row>
    <row r="22" spans="1:10" ht="15.75">
      <c r="A22">
        <v>52.5</v>
      </c>
      <c r="B22" s="21">
        <v>11</v>
      </c>
      <c r="C22" s="21">
        <v>108</v>
      </c>
      <c r="D22" s="2">
        <f t="shared" si="3"/>
        <v>119</v>
      </c>
      <c r="E22" s="8">
        <f t="shared" si="0"/>
        <v>9.2436974789915971E-2</v>
      </c>
      <c r="F22" s="8">
        <f t="shared" si="1"/>
        <v>4.2659649976833885E-2</v>
      </c>
      <c r="G22" s="8"/>
      <c r="H22" s="8">
        <f t="shared" si="4"/>
        <v>8.0968462823014405E-3</v>
      </c>
      <c r="I22" s="8">
        <f t="shared" si="2"/>
        <v>-4.8162806409833232</v>
      </c>
      <c r="J22" s="2"/>
    </row>
    <row r="23" spans="1:10" ht="15.75">
      <c r="A23">
        <v>57.5</v>
      </c>
      <c r="B23" s="21">
        <v>15</v>
      </c>
      <c r="C23" s="21">
        <v>170</v>
      </c>
      <c r="D23" s="2">
        <f t="shared" si="3"/>
        <v>185</v>
      </c>
      <c r="E23" s="8">
        <f t="shared" si="0"/>
        <v>8.1081081081081086E-2</v>
      </c>
      <c r="F23" s="8">
        <f t="shared" si="1"/>
        <v>5.7821139152064577E-2</v>
      </c>
      <c r="G23" s="8"/>
      <c r="H23" s="8">
        <f t="shared" si="4"/>
        <v>4.697324832947504E-2</v>
      </c>
      <c r="I23" s="8">
        <f t="shared" si="2"/>
        <v>-3.0581770237983115</v>
      </c>
      <c r="J23" s="2"/>
    </row>
    <row r="24" spans="1:10" ht="15.75">
      <c r="A24">
        <v>62.5</v>
      </c>
      <c r="B24" s="21">
        <v>18</v>
      </c>
      <c r="C24" s="21">
        <v>135</v>
      </c>
      <c r="D24" s="2">
        <f t="shared" si="3"/>
        <v>153</v>
      </c>
      <c r="E24" s="8">
        <f t="shared" si="0"/>
        <v>0.11764705882352941</v>
      </c>
      <c r="F24" s="8">
        <f t="shared" si="1"/>
        <v>7.7932459956778583E-2</v>
      </c>
      <c r="G24" s="8"/>
      <c r="H24" s="8">
        <f t="shared" si="4"/>
        <v>2.2915837654598287E-2</v>
      </c>
      <c r="I24" s="8">
        <f t="shared" si="2"/>
        <v>-3.7759270068299746</v>
      </c>
      <c r="J24" s="2"/>
    </row>
    <row r="25" spans="1:10" ht="15.75">
      <c r="A25">
        <v>67.5</v>
      </c>
      <c r="B25" s="21">
        <v>25</v>
      </c>
      <c r="C25" s="21">
        <v>102</v>
      </c>
      <c r="D25" s="2">
        <f t="shared" si="3"/>
        <v>127</v>
      </c>
      <c r="E25" s="8">
        <f t="shared" si="0"/>
        <v>0.19685039370078741</v>
      </c>
      <c r="F25" s="8">
        <f t="shared" si="1"/>
        <v>0.10426478751134889</v>
      </c>
      <c r="G25" s="8"/>
      <c r="H25" s="8">
        <f t="shared" si="4"/>
        <v>7.6057986343255879E-4</v>
      </c>
      <c r="I25" s="8">
        <f t="shared" si="2"/>
        <v>-7.1814294374030618</v>
      </c>
      <c r="J25" s="2"/>
    </row>
    <row r="26" spans="1:10" ht="15.75">
      <c r="A26">
        <v>72.5</v>
      </c>
      <c r="B26" s="21">
        <v>41</v>
      </c>
      <c r="C26" s="21">
        <v>137</v>
      </c>
      <c r="D26" s="2">
        <f t="shared" si="3"/>
        <v>178</v>
      </c>
      <c r="E26" s="8">
        <f t="shared" si="0"/>
        <v>0.2303370786516854</v>
      </c>
      <c r="F26" s="8">
        <f t="shared" si="1"/>
        <v>0.13816128899624816</v>
      </c>
      <c r="G26" s="8"/>
      <c r="H26" s="8">
        <f t="shared" si="4"/>
        <v>3.0166988560427499E-4</v>
      </c>
      <c r="I26" s="8">
        <f t="shared" si="2"/>
        <v>-8.1061772324779788</v>
      </c>
      <c r="J26" s="2"/>
    </row>
    <row r="27" spans="1:10" ht="15.75">
      <c r="A27">
        <v>77.5</v>
      </c>
      <c r="B27" s="21">
        <v>78</v>
      </c>
      <c r="C27" s="21">
        <v>243</v>
      </c>
      <c r="D27" s="2">
        <f t="shared" si="3"/>
        <v>321</v>
      </c>
      <c r="E27" s="8">
        <f t="shared" si="0"/>
        <v>0.24299065420560748</v>
      </c>
      <c r="F27" s="8">
        <f t="shared" si="1"/>
        <v>0.18085261478763773</v>
      </c>
      <c r="G27" s="8"/>
      <c r="H27" s="8">
        <f t="shared" si="4"/>
        <v>1.0852646198300001E-3</v>
      </c>
      <c r="I27" s="8">
        <f t="shared" si="2"/>
        <v>-6.8259314324816218</v>
      </c>
      <c r="J27" s="2"/>
    </row>
    <row r="28" spans="1:10" ht="15.75">
      <c r="A28">
        <v>82.5</v>
      </c>
      <c r="B28" s="21">
        <v>169</v>
      </c>
      <c r="C28" s="21">
        <v>440</v>
      </c>
      <c r="D28" s="2">
        <f t="shared" si="3"/>
        <v>609</v>
      </c>
      <c r="E28" s="8">
        <f t="shared" si="0"/>
        <v>0.27750410509031198</v>
      </c>
      <c r="F28" s="8">
        <f t="shared" si="1"/>
        <v>0.23316651250001719</v>
      </c>
      <c r="G28" s="8"/>
      <c r="H28" s="8">
        <f t="shared" si="4"/>
        <v>1.4496638794784123E-3</v>
      </c>
      <c r="I28" s="8">
        <f t="shared" si="2"/>
        <v>-6.5364235566773763</v>
      </c>
      <c r="J28" s="2"/>
    </row>
    <row r="29" spans="1:10" ht="15.75">
      <c r="A29">
        <v>87.5</v>
      </c>
      <c r="B29" s="21">
        <v>269</v>
      </c>
      <c r="C29" s="21">
        <v>634</v>
      </c>
      <c r="D29" s="2">
        <f t="shared" si="3"/>
        <v>903</v>
      </c>
      <c r="E29" s="8">
        <f t="shared" si="0"/>
        <v>0.29789590254706533</v>
      </c>
      <c r="F29" s="8">
        <f t="shared" si="1"/>
        <v>0.29516024499723265</v>
      </c>
      <c r="G29" s="8"/>
      <c r="H29" s="8">
        <f t="shared" si="4"/>
        <v>2.8552261525844853E-2</v>
      </c>
      <c r="I29" s="8">
        <f t="shared" si="2"/>
        <v>-3.5560191332031068</v>
      </c>
      <c r="J29" s="2"/>
    </row>
    <row r="30" spans="1:10" ht="15.75">
      <c r="A30">
        <v>92.5</v>
      </c>
      <c r="B30" s="21">
        <v>290</v>
      </c>
      <c r="C30" s="21">
        <v>530</v>
      </c>
      <c r="D30" s="2">
        <f t="shared" si="3"/>
        <v>820</v>
      </c>
      <c r="E30" s="8">
        <f t="shared" si="0"/>
        <v>0.35365853658536583</v>
      </c>
      <c r="F30" s="8">
        <f t="shared" si="1"/>
        <v>0.36577455802168019</v>
      </c>
      <c r="G30" s="8"/>
      <c r="H30" s="8">
        <f t="shared" si="4"/>
        <v>2.2444647629972777E-2</v>
      </c>
      <c r="I30" s="8">
        <f t="shared" si="2"/>
        <v>-3.7967031061375591</v>
      </c>
      <c r="J30" s="2"/>
    </row>
    <row r="31" spans="1:10" ht="15.75">
      <c r="A31">
        <v>97.5</v>
      </c>
      <c r="B31" s="21">
        <v>196</v>
      </c>
      <c r="C31" s="21">
        <v>247</v>
      </c>
      <c r="D31" s="2">
        <f t="shared" si="3"/>
        <v>443</v>
      </c>
      <c r="E31" s="8">
        <f t="shared" si="0"/>
        <v>0.44243792325056436</v>
      </c>
      <c r="F31" s="8">
        <f t="shared" si="1"/>
        <v>0.44267257259668119</v>
      </c>
      <c r="G31" s="8"/>
      <c r="H31" s="8">
        <f t="shared" si="4"/>
        <v>3.8138575784487039E-2</v>
      </c>
      <c r="I31" s="8">
        <f t="shared" si="2"/>
        <v>-3.2665290212877087</v>
      </c>
      <c r="J31" s="2"/>
    </row>
    <row r="32" spans="1:10" ht="15.75">
      <c r="A32">
        <v>102.5</v>
      </c>
      <c r="B32" s="21">
        <v>62</v>
      </c>
      <c r="C32" s="21">
        <v>56</v>
      </c>
      <c r="D32" s="2">
        <f t="shared" si="3"/>
        <v>118</v>
      </c>
      <c r="E32" s="8">
        <f t="shared" si="0"/>
        <v>0.52542372881355937</v>
      </c>
      <c r="F32" s="8">
        <f t="shared" si="1"/>
        <v>0.52242051615248553</v>
      </c>
      <c r="G32" s="2"/>
      <c r="H32" s="8">
        <f t="shared" si="4"/>
        <v>7.323378385184337E-2</v>
      </c>
      <c r="I32" s="8">
        <f t="shared" si="2"/>
        <v>-2.6140984364555271</v>
      </c>
      <c r="J32" s="2"/>
    </row>
    <row r="33" spans="1:10" ht="15.75">
      <c r="A33">
        <v>107.5</v>
      </c>
      <c r="B33" s="21">
        <v>21</v>
      </c>
      <c r="C33" s="21">
        <v>13</v>
      </c>
      <c r="D33" s="2">
        <f t="shared" si="3"/>
        <v>34</v>
      </c>
      <c r="E33" s="8">
        <f t="shared" si="0"/>
        <v>0.61764705882352944</v>
      </c>
      <c r="F33" s="8">
        <f t="shared" si="1"/>
        <v>0.60104160413092689</v>
      </c>
      <c r="G33" s="20"/>
      <c r="H33" s="8">
        <f t="shared" si="4"/>
        <v>0.13696024574218257</v>
      </c>
      <c r="I33" s="8">
        <f t="shared" si="2"/>
        <v>-1.9880645723278836</v>
      </c>
      <c r="J33" s="2"/>
    </row>
    <row r="34" spans="1:10" ht="15.75">
      <c r="A34">
        <v>112.5</v>
      </c>
      <c r="B34" s="21">
        <v>1</v>
      </c>
      <c r="C34" s="21">
        <v>4</v>
      </c>
      <c r="D34" s="2">
        <f t="shared" si="3"/>
        <v>5</v>
      </c>
      <c r="E34" s="8">
        <f t="shared" si="0"/>
        <v>0.2</v>
      </c>
      <c r="F34" s="8">
        <f t="shared" si="1"/>
        <v>0.67477713657596328</v>
      </c>
      <c r="G34" s="20"/>
      <c r="H34" s="8">
        <f t="shared" si="4"/>
        <v>3.7744583749325211E-2</v>
      </c>
      <c r="I34" s="8">
        <f t="shared" si="2"/>
        <v>-3.2769132904199569</v>
      </c>
      <c r="J34" s="2"/>
    </row>
    <row r="35" spans="1:10" ht="15.75">
      <c r="A35">
        <v>117.5</v>
      </c>
      <c r="B35" s="21">
        <v>0</v>
      </c>
      <c r="C35" s="21">
        <v>0</v>
      </c>
      <c r="D35" s="2">
        <f t="shared" si="3"/>
        <v>0</v>
      </c>
      <c r="E35" s="8" t="e">
        <f t="shared" si="0"/>
        <v>#DIV/0!</v>
      </c>
      <c r="F35" s="8">
        <f t="shared" si="1"/>
        <v>0.74076271643603242</v>
      </c>
      <c r="G35" s="20"/>
      <c r="H35" s="8">
        <f t="shared" si="4"/>
        <v>1</v>
      </c>
      <c r="I35" s="8">
        <f t="shared" si="2"/>
        <v>0</v>
      </c>
      <c r="J35" s="2"/>
    </row>
    <row r="36" spans="1:10" ht="15.75">
      <c r="A36">
        <v>122.5</v>
      </c>
      <c r="B36">
        <v>0</v>
      </c>
      <c r="C36">
        <v>0</v>
      </c>
      <c r="D36" s="2">
        <f t="shared" si="3"/>
        <v>0</v>
      </c>
      <c r="E36" s="8" t="e">
        <f t="shared" si="0"/>
        <v>#DIV/0!</v>
      </c>
      <c r="F36" s="8">
        <f t="shared" si="1"/>
        <v>0.79738036830276005</v>
      </c>
      <c r="G36" s="20"/>
      <c r="H36" s="8">
        <f t="shared" si="4"/>
        <v>1</v>
      </c>
      <c r="I36" s="8">
        <f t="shared" si="2"/>
        <v>0</v>
      </c>
      <c r="J36" s="2"/>
    </row>
    <row r="37" spans="1:10" ht="15.75">
      <c r="A37">
        <v>127.5</v>
      </c>
      <c r="B37">
        <v>0</v>
      </c>
      <c r="C37">
        <v>0</v>
      </c>
      <c r="D37" s="2">
        <f t="shared" si="3"/>
        <v>0</v>
      </c>
      <c r="E37" s="8" t="e">
        <f t="shared" si="0"/>
        <v>#DIV/0!</v>
      </c>
      <c r="F37" s="8">
        <f t="shared" si="1"/>
        <v>0.84423285246327584</v>
      </c>
      <c r="G37" s="2"/>
      <c r="H37" s="8">
        <f t="shared" si="4"/>
        <v>1</v>
      </c>
      <c r="I37" s="8">
        <f t="shared" si="2"/>
        <v>0</v>
      </c>
      <c r="J37" s="2"/>
    </row>
    <row r="38" spans="1:10" ht="15.75">
      <c r="A38">
        <v>132.5</v>
      </c>
      <c r="B38">
        <v>0</v>
      </c>
      <c r="C38">
        <v>0</v>
      </c>
      <c r="D38" s="2">
        <f t="shared" si="3"/>
        <v>0</v>
      </c>
      <c r="E38" s="8" t="e">
        <f t="shared" si="0"/>
        <v>#DIV/0!</v>
      </c>
      <c r="F38" s="8">
        <f t="shared" si="1"/>
        <v>0.88185665770974875</v>
      </c>
      <c r="G38" s="2"/>
      <c r="H38" s="8">
        <f t="shared" si="4"/>
        <v>1</v>
      </c>
      <c r="I38" s="8">
        <f t="shared" si="2"/>
        <v>0</v>
      </c>
      <c r="J38" s="2"/>
    </row>
    <row r="39" spans="1:10" ht="15.75">
      <c r="B39" s="21"/>
      <c r="C39" s="21"/>
      <c r="D39" s="2"/>
      <c r="E39" s="8"/>
      <c r="F39" s="8"/>
      <c r="G39" s="2"/>
      <c r="H39" s="8"/>
      <c r="I39" s="8"/>
      <c r="J39" s="2"/>
    </row>
    <row r="40" spans="1:10" ht="15.75">
      <c r="B40" s="21"/>
      <c r="C40" s="21"/>
      <c r="D40" s="2"/>
      <c r="E40" s="8"/>
      <c r="F40" s="8"/>
      <c r="G40" s="2"/>
      <c r="H40" s="8"/>
      <c r="I40" s="8"/>
      <c r="J40" s="2"/>
    </row>
    <row r="41" spans="1:10" ht="15.75">
      <c r="B41" s="21"/>
      <c r="C41" s="21"/>
      <c r="D41" s="2"/>
      <c r="E41" s="8"/>
      <c r="F41" s="8"/>
      <c r="G41" s="2"/>
      <c r="H41" s="8"/>
      <c r="I41" s="8"/>
      <c r="J41" s="2"/>
    </row>
    <row r="42" spans="1:10" ht="15.75">
      <c r="B42" s="21"/>
      <c r="C42" s="21"/>
      <c r="D42" s="2"/>
      <c r="E42" s="8"/>
      <c r="F42" s="8"/>
      <c r="G42" s="2"/>
      <c r="H42" s="8"/>
      <c r="I42" s="8"/>
      <c r="J42" s="2"/>
    </row>
    <row r="43" spans="1:10" ht="15.75">
      <c r="B43" s="21"/>
      <c r="C43" s="21"/>
      <c r="D43" s="2"/>
      <c r="E43" s="8"/>
      <c r="F43" s="8"/>
      <c r="G43" s="2"/>
      <c r="H43" s="8"/>
      <c r="I43" s="8"/>
      <c r="J4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6" zoomScale="70" zoomScaleNormal="70" workbookViewId="0">
      <selection activeCell="B14" sqref="B14:B38"/>
    </sheetView>
  </sheetViews>
  <sheetFormatPr defaultRowHeight="15"/>
  <sheetData>
    <row r="1" spans="1:10" ht="2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ht="27.75">
      <c r="B2" s="1" t="s">
        <v>30</v>
      </c>
      <c r="C2" s="2"/>
      <c r="D2" s="2"/>
      <c r="G2" s="2"/>
      <c r="H2" s="3"/>
      <c r="I2" s="2"/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-10.042327168395207</v>
      </c>
      <c r="G4" s="2"/>
      <c r="H4" s="8">
        <f>-J4*H5</f>
        <v>-8.1297309361440124</v>
      </c>
      <c r="I4" s="6" t="s">
        <v>7</v>
      </c>
      <c r="J4" s="9">
        <v>92.5</v>
      </c>
    </row>
    <row r="5" spans="1:10" ht="15.75">
      <c r="A5" s="2"/>
      <c r="B5" s="2"/>
      <c r="C5" s="2"/>
      <c r="D5" s="2"/>
      <c r="E5" s="6" t="s">
        <v>9</v>
      </c>
      <c r="F5" s="22">
        <v>9.1030897126143109E-2</v>
      </c>
      <c r="G5" s="2"/>
      <c r="H5" s="8">
        <f>2*LN(3)/J5</f>
        <v>8.788898309344878E-2</v>
      </c>
      <c r="I5" s="6" t="s">
        <v>10</v>
      </c>
      <c r="J5" s="9">
        <v>25</v>
      </c>
    </row>
    <row r="6" spans="1:10" ht="16.5" thickBot="1">
      <c r="B6" s="23"/>
      <c r="C6" s="23"/>
      <c r="D6" s="23"/>
      <c r="E6" s="6" t="s">
        <v>31</v>
      </c>
      <c r="F6" s="24">
        <v>1.7473324683722236</v>
      </c>
      <c r="G6" s="2"/>
      <c r="H6" s="9"/>
      <c r="I6" s="2"/>
      <c r="J6" s="2" t="s">
        <v>13</v>
      </c>
    </row>
    <row r="7" spans="1:10" ht="17.25" thickTop="1" thickBot="1">
      <c r="A7" s="23"/>
      <c r="B7" s="23"/>
      <c r="C7" s="23"/>
      <c r="D7" s="2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23"/>
      <c r="B8" s="23"/>
      <c r="C8" s="23"/>
      <c r="D8" s="23"/>
      <c r="E8" s="6" t="s">
        <v>7</v>
      </c>
      <c r="F8" s="2">
        <f>(LN(0.5^$F6/(1-0.5^$F6))-$F4)/$F5</f>
        <v>100.89738703576248</v>
      </c>
      <c r="G8" s="2"/>
      <c r="H8" s="14">
        <f>SUM(I14:I38)</f>
        <v>-66.259151383860555</v>
      </c>
      <c r="I8" s="2"/>
      <c r="J8" s="2">
        <f>-2*H8+2*3</f>
        <v>138.51830276772111</v>
      </c>
    </row>
    <row r="9" spans="1:10" ht="16.5" thickTop="1">
      <c r="A9" s="23"/>
      <c r="B9" s="23"/>
      <c r="C9" s="23"/>
      <c r="D9" s="23"/>
      <c r="E9" s="6" t="s">
        <v>16</v>
      </c>
      <c r="F9" s="16">
        <f>(LN(0.75^$F6/(1-0.75^$F6))-LN(0.25^$F6/(1-0.25^$F6)))/$F5</f>
        <v>30.26863683862706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44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0</v>
      </c>
      <c r="C14" s="21">
        <v>1</v>
      </c>
      <c r="D14" s="2">
        <f t="shared" ref="D14:D38" si="0">+C14+B14</f>
        <v>1</v>
      </c>
      <c r="E14" s="8">
        <f t="shared" ref="E14:E38" si="1">+B14/(C14+B14)</f>
        <v>0</v>
      </c>
      <c r="F14" s="8">
        <f>(EXP($F$4+$F$5*A14)/(1+EXP($F$4+$F$5*A14)))^(1/$F$6)</f>
        <v>6.1205852335960084E-3</v>
      </c>
      <c r="G14" s="8"/>
      <c r="H14" s="8">
        <f t="shared" ref="H14:H38" si="2">COMBIN(D14,B14)*(F14^B14)*((1-F14)^C14)</f>
        <v>0.99387941476640396</v>
      </c>
      <c r="I14" s="8">
        <f t="shared" ref="I14:I38" si="3">LN(H14)</f>
        <v>-6.1393927968634524E-3</v>
      </c>
      <c r="J14" s="2"/>
    </row>
    <row r="15" spans="1:10" ht="15.75">
      <c r="A15" s="2">
        <v>17.5</v>
      </c>
      <c r="B15" s="21">
        <v>0</v>
      </c>
      <c r="C15" s="21">
        <v>13</v>
      </c>
      <c r="D15" s="2">
        <f t="shared" si="0"/>
        <v>13</v>
      </c>
      <c r="E15" s="8">
        <f t="shared" si="1"/>
        <v>0</v>
      </c>
      <c r="F15" s="8">
        <f t="shared" ref="F15:F38" si="4">(EXP($F$4+$F$5*A15)/(1+EXP($F$4+$F$5*A15)))^(1/$F$6)</f>
        <v>7.9414689888000801E-3</v>
      </c>
      <c r="G15" s="8"/>
      <c r="H15" s="8">
        <f t="shared" si="2"/>
        <v>0.90153968590207612</v>
      </c>
      <c r="I15" s="8">
        <f t="shared" si="3"/>
        <v>-0.10365121523108474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1.0303802608641213E-2</v>
      </c>
      <c r="G16" s="8"/>
      <c r="H16" s="8">
        <f t="shared" si="2"/>
        <v>0.89232059729323376</v>
      </c>
      <c r="I16" s="8">
        <f t="shared" si="3"/>
        <v>-0.11392979697000202</v>
      </c>
      <c r="J16" s="2"/>
    </row>
    <row r="17" spans="1:10" ht="15.75">
      <c r="A17" s="2">
        <v>27.5</v>
      </c>
      <c r="B17" s="21">
        <v>0</v>
      </c>
      <c r="C17" s="21">
        <v>30</v>
      </c>
      <c r="D17" s="2">
        <f t="shared" si="0"/>
        <v>30</v>
      </c>
      <c r="E17" s="8">
        <f t="shared" si="1"/>
        <v>0</v>
      </c>
      <c r="F17" s="8">
        <f t="shared" si="4"/>
        <v>1.3368311354429282E-2</v>
      </c>
      <c r="G17" s="8"/>
      <c r="H17" s="8">
        <f t="shared" si="2"/>
        <v>0.667808281936624</v>
      </c>
      <c r="I17" s="8">
        <f t="shared" si="3"/>
        <v>-0.40375414972764601</v>
      </c>
      <c r="J17" s="2"/>
    </row>
    <row r="18" spans="1:10" ht="15.75">
      <c r="A18" s="2">
        <v>32.5</v>
      </c>
      <c r="B18" s="21">
        <v>0</v>
      </c>
      <c r="C18" s="21">
        <v>101</v>
      </c>
      <c r="D18" s="2">
        <f t="shared" si="0"/>
        <v>101</v>
      </c>
      <c r="E18" s="8">
        <f t="shared" si="1"/>
        <v>0</v>
      </c>
      <c r="F18" s="8">
        <f t="shared" si="4"/>
        <v>1.7343140355032E-2</v>
      </c>
      <c r="G18" s="8"/>
      <c r="H18" s="8">
        <f t="shared" si="2"/>
        <v>0.17084052937866784</v>
      </c>
      <c r="I18" s="8">
        <f t="shared" si="3"/>
        <v>-1.7670247343326382</v>
      </c>
      <c r="J18" s="2"/>
    </row>
    <row r="19" spans="1:10" ht="15.75">
      <c r="A19" s="2">
        <v>37.5</v>
      </c>
      <c r="B19" s="21">
        <v>2</v>
      </c>
      <c r="C19" s="21">
        <v>80</v>
      </c>
      <c r="D19" s="2">
        <f t="shared" si="0"/>
        <v>82</v>
      </c>
      <c r="E19" s="8">
        <f t="shared" si="1"/>
        <v>2.4390243902439025E-2</v>
      </c>
      <c r="F19" s="8">
        <f t="shared" si="4"/>
        <v>2.2497542174531714E-2</v>
      </c>
      <c r="G19" s="8"/>
      <c r="H19" s="8">
        <f t="shared" si="2"/>
        <v>0.27224986267389717</v>
      </c>
      <c r="I19" s="8">
        <f t="shared" si="3"/>
        <v>-1.3010350215809587</v>
      </c>
      <c r="J19" s="2"/>
    </row>
    <row r="20" spans="1:10" ht="15.75">
      <c r="A20" s="2">
        <v>42.5</v>
      </c>
      <c r="B20" s="21">
        <v>2</v>
      </c>
      <c r="C20" s="21">
        <v>44</v>
      </c>
      <c r="D20" s="2">
        <f t="shared" si="0"/>
        <v>46</v>
      </c>
      <c r="E20" s="8">
        <f t="shared" si="1"/>
        <v>4.3478260869565216E-2</v>
      </c>
      <c r="F20" s="8">
        <f t="shared" si="4"/>
        <v>2.9179198151759306E-2</v>
      </c>
      <c r="G20" s="8"/>
      <c r="H20" s="8">
        <f t="shared" si="2"/>
        <v>0.2394452834121063</v>
      </c>
      <c r="I20" s="8">
        <f t="shared" si="3"/>
        <v>-1.4294303499773859</v>
      </c>
      <c r="J20" s="2"/>
    </row>
    <row r="21" spans="1:10" ht="15.75">
      <c r="A21" s="2">
        <v>47.5</v>
      </c>
      <c r="B21" s="21">
        <v>2</v>
      </c>
      <c r="C21" s="21">
        <v>47</v>
      </c>
      <c r="D21" s="2">
        <f t="shared" si="0"/>
        <v>49</v>
      </c>
      <c r="E21" s="8">
        <f t="shared" si="1"/>
        <v>4.0816326530612242E-2</v>
      </c>
      <c r="F21" s="8">
        <f t="shared" si="4"/>
        <v>3.7835801910608917E-2</v>
      </c>
      <c r="G21" s="8"/>
      <c r="H21" s="8">
        <f t="shared" si="2"/>
        <v>0.27474213744740678</v>
      </c>
      <c r="I21" s="8">
        <f t="shared" si="3"/>
        <v>-1.2919223032237828</v>
      </c>
      <c r="J21" s="2"/>
    </row>
    <row r="22" spans="1:10" ht="15.75">
      <c r="A22" s="2">
        <v>52.5</v>
      </c>
      <c r="B22" s="21">
        <v>11</v>
      </c>
      <c r="C22" s="21">
        <v>108</v>
      </c>
      <c r="D22" s="2">
        <f t="shared" si="0"/>
        <v>119</v>
      </c>
      <c r="E22" s="8">
        <f t="shared" si="1"/>
        <v>9.2436974789915971E-2</v>
      </c>
      <c r="F22" s="8">
        <f t="shared" si="4"/>
        <v>4.9041260627016289E-2</v>
      </c>
      <c r="G22" s="8"/>
      <c r="H22" s="8">
        <f t="shared" si="2"/>
        <v>1.8222043982070946E-2</v>
      </c>
      <c r="I22" s="8">
        <f t="shared" si="3"/>
        <v>-4.0051232100137133</v>
      </c>
      <c r="J22" s="2"/>
    </row>
    <row r="23" spans="1:10" ht="15.75">
      <c r="A23" s="2">
        <v>57.5</v>
      </c>
      <c r="B23" s="21">
        <v>15</v>
      </c>
      <c r="C23" s="21">
        <v>170</v>
      </c>
      <c r="D23" s="2">
        <f t="shared" si="0"/>
        <v>185</v>
      </c>
      <c r="E23" s="8">
        <f t="shared" si="1"/>
        <v>8.1081081081081086E-2</v>
      </c>
      <c r="F23" s="8">
        <f t="shared" si="4"/>
        <v>6.3526064767463308E-2</v>
      </c>
      <c r="G23" s="8"/>
      <c r="H23" s="8">
        <f t="shared" si="2"/>
        <v>6.8616369326317955E-2</v>
      </c>
      <c r="I23" s="8">
        <f t="shared" si="3"/>
        <v>-2.6792241527983305</v>
      </c>
      <c r="J23" s="2"/>
    </row>
    <row r="24" spans="1:10" ht="15.75">
      <c r="A24" s="2">
        <v>62.5</v>
      </c>
      <c r="B24" s="21">
        <v>18</v>
      </c>
      <c r="C24" s="21">
        <v>135</v>
      </c>
      <c r="D24" s="2">
        <f t="shared" si="0"/>
        <v>153</v>
      </c>
      <c r="E24" s="8">
        <f t="shared" si="1"/>
        <v>0.11764705882352941</v>
      </c>
      <c r="F24" s="8">
        <f t="shared" si="4"/>
        <v>8.2209474469909449E-2</v>
      </c>
      <c r="G24" s="8"/>
      <c r="H24" s="8">
        <f t="shared" si="2"/>
        <v>3.2004527885641038E-2</v>
      </c>
      <c r="I24" s="8">
        <f t="shared" si="3"/>
        <v>-3.4418778897658031</v>
      </c>
      <c r="J24" s="2"/>
    </row>
    <row r="25" spans="1:10" ht="15.75">
      <c r="A25" s="2">
        <v>67.5</v>
      </c>
      <c r="B25" s="21">
        <v>25</v>
      </c>
      <c r="C25" s="21">
        <v>102</v>
      </c>
      <c r="D25" s="2">
        <f t="shared" si="0"/>
        <v>127</v>
      </c>
      <c r="E25" s="8">
        <f t="shared" si="1"/>
        <v>0.19685039370078741</v>
      </c>
      <c r="F25" s="8">
        <f t="shared" si="4"/>
        <v>0.10622714437073423</v>
      </c>
      <c r="G25" s="8"/>
      <c r="H25" s="8">
        <f t="shared" si="2"/>
        <v>9.6925335454198312E-4</v>
      </c>
      <c r="I25" s="8">
        <f t="shared" si="3"/>
        <v>-6.9389845204525153</v>
      </c>
      <c r="J25" s="2"/>
    </row>
    <row r="26" spans="1:10" ht="15.75">
      <c r="A26" s="2">
        <v>72.5</v>
      </c>
      <c r="B26" s="21">
        <v>41</v>
      </c>
      <c r="C26" s="21">
        <v>137</v>
      </c>
      <c r="D26" s="2">
        <f t="shared" si="0"/>
        <v>178</v>
      </c>
      <c r="E26" s="8">
        <f t="shared" si="1"/>
        <v>0.2303370786516854</v>
      </c>
      <c r="F26" s="8">
        <f t="shared" si="4"/>
        <v>0.13693999183376412</v>
      </c>
      <c r="G26" s="8"/>
      <c r="H26" s="8">
        <f t="shared" si="2"/>
        <v>2.5449962677180789E-4</v>
      </c>
      <c r="I26" s="8">
        <f t="shared" si="3"/>
        <v>-8.2762111884902616</v>
      </c>
      <c r="J26" s="2"/>
    </row>
    <row r="27" spans="1:10" ht="15.75">
      <c r="A27" s="2">
        <v>77.5</v>
      </c>
      <c r="B27" s="21">
        <v>78</v>
      </c>
      <c r="C27" s="21">
        <v>243</v>
      </c>
      <c r="D27" s="2">
        <f t="shared" si="0"/>
        <v>321</v>
      </c>
      <c r="E27" s="8">
        <f t="shared" si="1"/>
        <v>0.24299065420560748</v>
      </c>
      <c r="F27" s="8">
        <f t="shared" si="4"/>
        <v>0.175896377378814</v>
      </c>
      <c r="G27" s="8"/>
      <c r="H27" s="8">
        <f t="shared" si="2"/>
        <v>5.3807738892042557E-4</v>
      </c>
      <c r="I27" s="8">
        <f t="shared" si="3"/>
        <v>-7.5275081625702738</v>
      </c>
      <c r="J27" s="2"/>
    </row>
    <row r="28" spans="1:10" ht="15.75">
      <c r="A28" s="2">
        <v>82.5</v>
      </c>
      <c r="B28" s="21">
        <v>169</v>
      </c>
      <c r="C28" s="21">
        <v>440</v>
      </c>
      <c r="D28" s="2">
        <f t="shared" si="0"/>
        <v>609</v>
      </c>
      <c r="E28" s="8">
        <f t="shared" si="1"/>
        <v>0.27750410509031198</v>
      </c>
      <c r="F28" s="8">
        <f t="shared" si="4"/>
        <v>0.22469907578427525</v>
      </c>
      <c r="G28" s="8"/>
      <c r="H28" s="8">
        <f t="shared" si="2"/>
        <v>3.5056020963751213E-4</v>
      </c>
      <c r="I28" s="8">
        <f t="shared" si="3"/>
        <v>-7.9559780841097885</v>
      </c>
      <c r="J28" s="2"/>
    </row>
    <row r="29" spans="1:10" ht="15.75">
      <c r="A29" s="2">
        <v>87.5</v>
      </c>
      <c r="B29" s="21">
        <v>269</v>
      </c>
      <c r="C29" s="21">
        <v>634</v>
      </c>
      <c r="D29" s="2">
        <f t="shared" si="0"/>
        <v>903</v>
      </c>
      <c r="E29" s="8">
        <f t="shared" si="1"/>
        <v>0.29789590254706533</v>
      </c>
      <c r="F29" s="8">
        <f t="shared" si="4"/>
        <v>0.28470700046681868</v>
      </c>
      <c r="G29" s="8"/>
      <c r="H29" s="8">
        <f t="shared" si="2"/>
        <v>1.9801975978410376E-2</v>
      </c>
      <c r="I29" s="8">
        <f t="shared" si="3"/>
        <v>-3.921973549371613</v>
      </c>
      <c r="J29" s="2"/>
    </row>
    <row r="30" spans="1:10" ht="15.75">
      <c r="A30" s="2">
        <v>92.5</v>
      </c>
      <c r="B30" s="21">
        <v>290</v>
      </c>
      <c r="C30" s="21">
        <v>530</v>
      </c>
      <c r="D30" s="2">
        <f t="shared" si="0"/>
        <v>820</v>
      </c>
      <c r="E30" s="8">
        <f t="shared" si="1"/>
        <v>0.35365853658536583</v>
      </c>
      <c r="F30" s="8">
        <f t="shared" si="4"/>
        <v>0.35650457015441811</v>
      </c>
      <c r="G30" s="8"/>
      <c r="H30" s="8">
        <f t="shared" si="2"/>
        <v>2.8710230810031562E-2</v>
      </c>
      <c r="I30" s="8">
        <f t="shared" si="3"/>
        <v>-3.5505017455212724</v>
      </c>
      <c r="J30" s="2"/>
    </row>
    <row r="31" spans="1:10" ht="15.75">
      <c r="A31" s="2">
        <v>97.5</v>
      </c>
      <c r="B31" s="21">
        <v>196</v>
      </c>
      <c r="C31" s="21">
        <v>247</v>
      </c>
      <c r="D31" s="2">
        <f t="shared" si="0"/>
        <v>443</v>
      </c>
      <c r="E31" s="8">
        <f t="shared" si="1"/>
        <v>0.44243792325056436</v>
      </c>
      <c r="F31" s="8">
        <f t="shared" si="4"/>
        <v>0.43915690935523033</v>
      </c>
      <c r="G31" s="8"/>
      <c r="H31" s="8">
        <f t="shared" si="2"/>
        <v>3.7773192524510169E-2</v>
      </c>
      <c r="I31" s="8">
        <f t="shared" si="3"/>
        <v>-3.2761556204258135</v>
      </c>
      <c r="J31" s="2"/>
    </row>
    <row r="32" spans="1:10" ht="15.75">
      <c r="A32" s="2">
        <v>102.5</v>
      </c>
      <c r="B32" s="21">
        <v>62</v>
      </c>
      <c r="C32" s="21">
        <v>56</v>
      </c>
      <c r="D32" s="2">
        <f t="shared" si="0"/>
        <v>118</v>
      </c>
      <c r="E32" s="8">
        <f t="shared" si="1"/>
        <v>0.52542372881355937</v>
      </c>
      <c r="F32" s="8">
        <f t="shared" si="4"/>
        <v>0.52950009419649358</v>
      </c>
      <c r="G32" s="2"/>
      <c r="H32" s="8">
        <f t="shared" si="2"/>
        <v>7.3102023566982713E-2</v>
      </c>
      <c r="I32" s="8">
        <f t="shared" si="3"/>
        <v>-2.6158992304346826</v>
      </c>
      <c r="J32" s="2"/>
    </row>
    <row r="33" spans="1:10" ht="15.75">
      <c r="A33" s="2">
        <v>107.5</v>
      </c>
      <c r="B33" s="21">
        <v>21</v>
      </c>
      <c r="C33" s="21">
        <v>13</v>
      </c>
      <c r="D33" s="2">
        <f t="shared" si="0"/>
        <v>34</v>
      </c>
      <c r="E33" s="8">
        <f t="shared" si="1"/>
        <v>0.61764705882352944</v>
      </c>
      <c r="F33" s="8">
        <f t="shared" si="4"/>
        <v>0.62202064565821702</v>
      </c>
      <c r="G33" s="20"/>
      <c r="H33" s="8">
        <f t="shared" si="2"/>
        <v>0.13948457865131278</v>
      </c>
      <c r="I33" s="8">
        <f t="shared" si="3"/>
        <v>-1.9698012311339375</v>
      </c>
      <c r="J33" s="2"/>
    </row>
    <row r="34" spans="1:10" ht="15.75">
      <c r="A34" s="2">
        <v>112.5</v>
      </c>
      <c r="B34" s="21">
        <v>1</v>
      </c>
      <c r="C34" s="21">
        <v>4</v>
      </c>
      <c r="D34" s="2">
        <f t="shared" si="0"/>
        <v>5</v>
      </c>
      <c r="E34" s="8">
        <f t="shared" si="1"/>
        <v>0.2</v>
      </c>
      <c r="F34" s="8">
        <f t="shared" si="4"/>
        <v>0.70987691533817521</v>
      </c>
      <c r="G34" s="20"/>
      <c r="H34" s="8">
        <f t="shared" si="2"/>
        <v>2.5146769627209648E-2</v>
      </c>
      <c r="I34" s="8">
        <f t="shared" si="3"/>
        <v>-3.6830258349321947</v>
      </c>
      <c r="J34" s="2"/>
    </row>
    <row r="35" spans="1:10" ht="15.75">
      <c r="A35" s="2">
        <v>117.5</v>
      </c>
      <c r="B35" s="21">
        <v>0</v>
      </c>
      <c r="C35" s="21">
        <v>0</v>
      </c>
      <c r="D35" s="2">
        <f t="shared" si="0"/>
        <v>0</v>
      </c>
      <c r="E35" s="8" t="e">
        <f t="shared" si="1"/>
        <v>#DIV/0!</v>
      </c>
      <c r="F35" s="8">
        <f t="shared" si="4"/>
        <v>0.7869013078680096</v>
      </c>
      <c r="G35" s="20"/>
      <c r="H35" s="8">
        <f t="shared" si="2"/>
        <v>1</v>
      </c>
      <c r="I35" s="8">
        <f t="shared" si="3"/>
        <v>0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0.84944993498856136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0.89695588953778027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0.93114734973337043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ht="15.7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>
      <c r="A58" s="2"/>
      <c r="B58" s="2"/>
      <c r="C58" s="2"/>
      <c r="D58" s="2"/>
      <c r="E58" s="2"/>
      <c r="F58" s="2"/>
      <c r="G58" s="2"/>
      <c r="H58" s="2"/>
      <c r="I58" s="2"/>
      <c r="J5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50" zoomScaleNormal="50" workbookViewId="0">
      <selection activeCell="B14" sqref="B14:B38"/>
    </sheetView>
  </sheetViews>
  <sheetFormatPr defaultRowHeight="15"/>
  <sheetData>
    <row r="1" spans="1:10" ht="20.25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</row>
    <row r="2" spans="1:10" ht="20.25">
      <c r="B2" s="1" t="s">
        <v>36</v>
      </c>
      <c r="C2" s="2"/>
      <c r="D2" s="2"/>
      <c r="G2" s="2"/>
      <c r="H2" s="3"/>
      <c r="I2" s="27" t="s">
        <v>37</v>
      </c>
      <c r="J2" s="2"/>
    </row>
    <row r="3" spans="1:10" ht="16.5" thickBot="1">
      <c r="A3" s="2"/>
      <c r="B3" s="2"/>
      <c r="C3" s="2"/>
      <c r="D3" s="2"/>
      <c r="E3" s="2" t="s">
        <v>2</v>
      </c>
      <c r="F3" s="2"/>
      <c r="G3" s="2"/>
      <c r="H3" s="2" t="s">
        <v>3</v>
      </c>
      <c r="I3" s="3" t="s">
        <v>4</v>
      </c>
      <c r="J3" s="2"/>
    </row>
    <row r="4" spans="1:10" ht="16.5" thickTop="1">
      <c r="A4" s="2"/>
      <c r="B4" s="2"/>
      <c r="C4" s="2"/>
      <c r="D4" s="2"/>
      <c r="E4" s="6" t="s">
        <v>6</v>
      </c>
      <c r="F4" s="7">
        <v>-7.6776230499320466</v>
      </c>
      <c r="G4" s="2"/>
      <c r="H4" s="8">
        <f>-J4*H5</f>
        <v>-8.1297309361440124</v>
      </c>
      <c r="I4" s="6" t="s">
        <v>7</v>
      </c>
      <c r="J4" s="9">
        <v>92.5</v>
      </c>
    </row>
    <row r="5" spans="1:10" ht="15.75">
      <c r="A5" s="2"/>
      <c r="B5" s="2"/>
      <c r="C5" s="2"/>
      <c r="D5" s="2"/>
      <c r="E5" s="6" t="s">
        <v>9</v>
      </c>
      <c r="F5" s="22">
        <v>7.9041206908251921E-2</v>
      </c>
      <c r="G5" s="2"/>
      <c r="H5" s="8">
        <f>2*LN(3)/J5</f>
        <v>8.788898309344878E-2</v>
      </c>
      <c r="I5" s="6" t="s">
        <v>10</v>
      </c>
      <c r="J5" s="9">
        <v>25</v>
      </c>
    </row>
    <row r="6" spans="1:10" ht="16.5" thickBot="1">
      <c r="B6" s="13"/>
      <c r="C6" s="13"/>
      <c r="D6" s="13"/>
      <c r="E6" s="6" t="s">
        <v>38</v>
      </c>
      <c r="F6" s="24">
        <v>1.0727221658405384</v>
      </c>
      <c r="G6" s="2"/>
      <c r="H6" s="9"/>
      <c r="I6" s="2"/>
      <c r="J6" s="2" t="s">
        <v>13</v>
      </c>
    </row>
    <row r="7" spans="1:10" ht="17.25" thickTop="1" thickBot="1">
      <c r="A7" s="13"/>
      <c r="B7" s="13"/>
      <c r="C7" s="13"/>
      <c r="D7" s="13"/>
      <c r="E7" s="2"/>
      <c r="F7" s="2"/>
      <c r="G7" s="2"/>
      <c r="H7" s="2" t="s">
        <v>14</v>
      </c>
      <c r="I7" s="2"/>
      <c r="J7" s="2" t="s">
        <v>15</v>
      </c>
    </row>
    <row r="8" spans="1:10" ht="17.25" thickTop="1" thickBot="1">
      <c r="A8" s="13"/>
      <c r="B8" s="13"/>
      <c r="C8" s="13"/>
      <c r="D8" s="13"/>
      <c r="E8" s="6" t="s">
        <v>7</v>
      </c>
      <c r="F8" s="2">
        <f>-F4/F5</f>
        <v>97.134435951160825</v>
      </c>
      <c r="G8" s="2"/>
      <c r="H8" s="14" t="e">
        <f>SUM(I14:I38)</f>
        <v>#NUM!</v>
      </c>
      <c r="I8" s="2"/>
      <c r="J8" s="2" t="e">
        <f>-2*H8+2*3</f>
        <v>#NUM!</v>
      </c>
    </row>
    <row r="9" spans="1:10" ht="16.5" thickTop="1">
      <c r="A9" s="13"/>
      <c r="B9" s="13"/>
      <c r="C9" s="13"/>
      <c r="D9" s="13"/>
      <c r="E9" s="6" t="s">
        <v>16</v>
      </c>
      <c r="F9" s="16">
        <f>2*LN(3)/F5</f>
        <v>27.798469472849469</v>
      </c>
      <c r="G9" s="2"/>
      <c r="H9" s="17"/>
      <c r="I9" s="2"/>
      <c r="J9" s="2"/>
    </row>
    <row r="10" spans="1:10" ht="15.75">
      <c r="G10" s="2"/>
      <c r="H10" s="17"/>
      <c r="I10" s="2"/>
      <c r="J10" s="2"/>
    </row>
    <row r="11" spans="1:10" ht="15.75">
      <c r="G11" s="2"/>
      <c r="H11" s="17"/>
      <c r="I11" s="16"/>
      <c r="J11" s="2"/>
    </row>
    <row r="12" spans="1:10" ht="15.75">
      <c r="A12" s="2"/>
      <c r="B12" s="2" t="s">
        <v>17</v>
      </c>
      <c r="C12" s="2"/>
      <c r="D12" s="2"/>
      <c r="E12" s="2" t="s">
        <v>18</v>
      </c>
      <c r="F12" s="9" t="s">
        <v>19</v>
      </c>
      <c r="G12" s="2"/>
      <c r="H12" s="2" t="s">
        <v>20</v>
      </c>
      <c r="I12" s="2" t="s">
        <v>21</v>
      </c>
      <c r="J12" s="2"/>
    </row>
    <row r="13" spans="1:10" ht="15.75">
      <c r="A13" s="2" t="s">
        <v>32</v>
      </c>
      <c r="B13" t="s">
        <v>44</v>
      </c>
      <c r="C13" t="s">
        <v>24</v>
      </c>
      <c r="D13" s="2" t="s">
        <v>25</v>
      </c>
      <c r="E13" s="2" t="s">
        <v>26</v>
      </c>
      <c r="F13" s="2" t="s">
        <v>27</v>
      </c>
      <c r="G13" s="2"/>
      <c r="H13" s="2" t="s">
        <v>28</v>
      </c>
      <c r="J13" s="2"/>
    </row>
    <row r="14" spans="1:10" ht="15.75">
      <c r="A14" s="2">
        <v>12.5</v>
      </c>
      <c r="B14" s="21">
        <v>0</v>
      </c>
      <c r="C14" s="21">
        <v>1</v>
      </c>
      <c r="D14" s="2">
        <f t="shared" ref="D14:D38" si="0">+C14+B14</f>
        <v>1</v>
      </c>
      <c r="E14" s="8">
        <f t="shared" ref="E14:E38" si="1">+B14/(C14+B14)</f>
        <v>0</v>
      </c>
      <c r="F14" s="8">
        <f>$F$6*EXP($F$4+$F$5*A14)/(1+EXP($F$4+$F$5*A14))+1-$F$6</f>
        <v>-7.1389603292971504E-2</v>
      </c>
      <c r="G14" s="8"/>
      <c r="H14" s="8">
        <f t="shared" ref="H14:H38" si="2">COMBIN(D14,B14)*(F14^B14)*((1-F14)^C14)</f>
        <v>1.0713896032929715</v>
      </c>
      <c r="I14" s="8">
        <f t="shared" ref="I14:I38" si="3">LN(H14)</f>
        <v>6.8956500565644244E-2</v>
      </c>
      <c r="J14" s="2"/>
    </row>
    <row r="15" spans="1:10" ht="15.75">
      <c r="A15" s="2">
        <v>17.5</v>
      </c>
      <c r="B15" s="21">
        <v>0</v>
      </c>
      <c r="C15" s="21">
        <v>13</v>
      </c>
      <c r="D15" s="2">
        <f t="shared" si="0"/>
        <v>13</v>
      </c>
      <c r="E15" s="8">
        <f t="shared" si="1"/>
        <v>0</v>
      </c>
      <c r="F15" s="8">
        <f t="shared" ref="F15:F38" si="4">$F$6*EXP($F$4+$F$5*A15)/(1+EXP($F$4+$F$5*A15))+1-$F$6</f>
        <v>-7.0744913967967893E-2</v>
      </c>
      <c r="G15" s="8"/>
      <c r="H15" s="8">
        <f t="shared" si="2"/>
        <v>2.4317462918985204</v>
      </c>
      <c r="I15" s="8">
        <f t="shared" si="3"/>
        <v>0.88860963789672009</v>
      </c>
      <c r="J15" s="2"/>
    </row>
    <row r="16" spans="1:10" ht="15.75">
      <c r="A16" s="2">
        <v>22.5</v>
      </c>
      <c r="B16" s="21">
        <v>0</v>
      </c>
      <c r="C16" s="21">
        <v>11</v>
      </c>
      <c r="D16" s="2">
        <f t="shared" si="0"/>
        <v>11</v>
      </c>
      <c r="E16" s="8">
        <f t="shared" si="1"/>
        <v>0</v>
      </c>
      <c r="F16" s="8">
        <f t="shared" si="4"/>
        <v>-6.9789179932246759E-2</v>
      </c>
      <c r="G16" s="8"/>
      <c r="H16" s="8">
        <f t="shared" si="2"/>
        <v>2.1002945789156238</v>
      </c>
      <c r="I16" s="8">
        <f t="shared" si="3"/>
        <v>0.74207761056577148</v>
      </c>
      <c r="J16" s="2"/>
    </row>
    <row r="17" spans="1:10" ht="15.75">
      <c r="A17" s="2">
        <v>27.5</v>
      </c>
      <c r="B17" s="21">
        <v>0</v>
      </c>
      <c r="C17" s="21">
        <v>30</v>
      </c>
      <c r="D17" s="2">
        <f t="shared" si="0"/>
        <v>30</v>
      </c>
      <c r="E17" s="8">
        <f t="shared" si="1"/>
        <v>0</v>
      </c>
      <c r="F17" s="8">
        <f t="shared" si="4"/>
        <v>-6.8373353942882797E-2</v>
      </c>
      <c r="G17" s="8"/>
      <c r="H17" s="8">
        <f t="shared" si="2"/>
        <v>7.2726290325192364</v>
      </c>
      <c r="I17" s="8">
        <f t="shared" si="3"/>
        <v>1.9841178537556718</v>
      </c>
      <c r="J17" s="2"/>
    </row>
    <row r="18" spans="1:10" ht="15.75">
      <c r="A18" s="2">
        <v>32.5</v>
      </c>
      <c r="B18" s="21">
        <v>0</v>
      </c>
      <c r="C18" s="21">
        <v>101</v>
      </c>
      <c r="D18" s="2">
        <f t="shared" si="0"/>
        <v>101</v>
      </c>
      <c r="E18" s="8">
        <f t="shared" si="1"/>
        <v>0</v>
      </c>
      <c r="F18" s="8">
        <f t="shared" si="4"/>
        <v>-6.6278190029926076E-2</v>
      </c>
      <c r="G18" s="8"/>
      <c r="H18" s="8">
        <f t="shared" si="2"/>
        <v>653.01496965019555</v>
      </c>
      <c r="I18" s="8">
        <f t="shared" si="3"/>
        <v>6.4816000534396974</v>
      </c>
      <c r="J18" s="2"/>
    </row>
    <row r="19" spans="1:10" ht="15.75">
      <c r="A19" s="2">
        <v>37.5</v>
      </c>
      <c r="B19" s="21">
        <v>2</v>
      </c>
      <c r="C19" s="21">
        <v>80</v>
      </c>
      <c r="D19" s="2">
        <f t="shared" si="0"/>
        <v>82</v>
      </c>
      <c r="E19" s="8">
        <f t="shared" si="1"/>
        <v>2.4390243902439025E-2</v>
      </c>
      <c r="F19" s="8">
        <f t="shared" si="4"/>
        <v>-6.3182634267130666E-2</v>
      </c>
      <c r="G19" s="8"/>
      <c r="H19" s="8">
        <f t="shared" si="2"/>
        <v>1782.7657467483266</v>
      </c>
      <c r="I19" s="8">
        <f t="shared" si="3"/>
        <v>7.4859212277109837</v>
      </c>
      <c r="J19" s="2"/>
    </row>
    <row r="20" spans="1:10" ht="15.75">
      <c r="A20" s="2">
        <v>42.5</v>
      </c>
      <c r="B20" s="21">
        <v>2</v>
      </c>
      <c r="C20" s="21">
        <v>44</v>
      </c>
      <c r="D20" s="2">
        <f t="shared" si="0"/>
        <v>46</v>
      </c>
      <c r="E20" s="8">
        <f t="shared" si="1"/>
        <v>4.3478260869565216E-2</v>
      </c>
      <c r="F20" s="8">
        <f t="shared" si="4"/>
        <v>-5.8619703507073906E-2</v>
      </c>
      <c r="G20" s="8"/>
      <c r="H20" s="8">
        <f t="shared" si="2"/>
        <v>43.610031205189138</v>
      </c>
      <c r="I20" s="8">
        <f t="shared" si="3"/>
        <v>3.7752871974056492</v>
      </c>
      <c r="J20" s="2"/>
    </row>
    <row r="21" spans="1:10" ht="15.75">
      <c r="A21" s="2">
        <v>47.5</v>
      </c>
      <c r="B21" s="21">
        <v>2</v>
      </c>
      <c r="C21" s="21">
        <v>47</v>
      </c>
      <c r="D21" s="2">
        <f t="shared" si="0"/>
        <v>49</v>
      </c>
      <c r="E21" s="8">
        <f t="shared" si="1"/>
        <v>4.0816326530612242E-2</v>
      </c>
      <c r="F21" s="8">
        <f t="shared" si="4"/>
        <v>-5.1916949863550332E-2</v>
      </c>
      <c r="G21" s="8"/>
      <c r="H21" s="8">
        <f t="shared" si="2"/>
        <v>34.21006946915896</v>
      </c>
      <c r="I21" s="8">
        <f t="shared" si="3"/>
        <v>3.5325200296556467</v>
      </c>
      <c r="J21" s="2"/>
    </row>
    <row r="22" spans="1:10" ht="15.75">
      <c r="A22" s="2">
        <v>52.5</v>
      </c>
      <c r="B22" s="21">
        <v>11</v>
      </c>
      <c r="C22" s="21">
        <v>108</v>
      </c>
      <c r="D22" s="2">
        <f t="shared" si="0"/>
        <v>119</v>
      </c>
      <c r="E22" s="8">
        <f t="shared" si="1"/>
        <v>9.2436974789915971E-2</v>
      </c>
      <c r="F22" s="8">
        <f t="shared" si="4"/>
        <v>-4.2120537914081435E-2</v>
      </c>
      <c r="G22" s="8"/>
      <c r="H22" s="8">
        <f t="shared" si="2"/>
        <v>-67.224960533721259</v>
      </c>
      <c r="I22" s="8" t="e">
        <f t="shared" si="3"/>
        <v>#NUM!</v>
      </c>
      <c r="J22" s="2"/>
    </row>
    <row r="23" spans="1:10" ht="15.75">
      <c r="A23" s="2">
        <v>57.5</v>
      </c>
      <c r="B23" s="21">
        <v>15</v>
      </c>
      <c r="C23" s="21">
        <v>170</v>
      </c>
      <c r="D23" s="2">
        <f t="shared" si="0"/>
        <v>185</v>
      </c>
      <c r="E23" s="8">
        <f t="shared" si="1"/>
        <v>8.1081081081081086E-2</v>
      </c>
      <c r="F23" s="8">
        <f t="shared" si="4"/>
        <v>-2.7907871006256357E-2</v>
      </c>
      <c r="G23" s="8"/>
      <c r="H23" s="8">
        <f t="shared" si="2"/>
        <v>-2.2698313957265674</v>
      </c>
      <c r="I23" s="8" t="e">
        <f t="shared" si="3"/>
        <v>#NUM!</v>
      </c>
      <c r="J23" s="2"/>
    </row>
    <row r="24" spans="1:10" ht="15.75">
      <c r="A24" s="2">
        <v>62.5</v>
      </c>
      <c r="B24" s="21">
        <v>18</v>
      </c>
      <c r="C24" s="21">
        <v>135</v>
      </c>
      <c r="D24" s="2">
        <f t="shared" si="0"/>
        <v>153</v>
      </c>
      <c r="E24" s="8">
        <f t="shared" si="1"/>
        <v>0.11764705882352941</v>
      </c>
      <c r="F24" s="8">
        <f t="shared" si="4"/>
        <v>-7.5073321776104596E-3</v>
      </c>
      <c r="G24" s="8"/>
      <c r="H24" s="8">
        <f t="shared" si="2"/>
        <v>1.8343670207896616E-15</v>
      </c>
      <c r="I24" s="8">
        <f t="shared" si="3"/>
        <v>-33.932076920710877</v>
      </c>
      <c r="J24" s="2"/>
    </row>
    <row r="25" spans="1:10" ht="15.75">
      <c r="A25" s="2">
        <v>67.5</v>
      </c>
      <c r="B25" s="21">
        <v>25</v>
      </c>
      <c r="C25" s="21">
        <v>102</v>
      </c>
      <c r="D25" s="2">
        <f t="shared" si="0"/>
        <v>127</v>
      </c>
      <c r="E25" s="8">
        <f t="shared" si="1"/>
        <v>0.19685039370078741</v>
      </c>
      <c r="F25" s="8">
        <f t="shared" si="4"/>
        <v>2.1330286535961918E-2</v>
      </c>
      <c r="G25" s="8"/>
      <c r="H25" s="8">
        <f t="shared" si="2"/>
        <v>3.7599635656827747E-17</v>
      </c>
      <c r="I25" s="8">
        <f t="shared" si="3"/>
        <v>-37.819537313521906</v>
      </c>
      <c r="J25" s="2"/>
    </row>
    <row r="26" spans="1:10" ht="15.75">
      <c r="A26" s="2">
        <v>72.5</v>
      </c>
      <c r="B26" s="21">
        <v>41</v>
      </c>
      <c r="C26" s="21">
        <v>137</v>
      </c>
      <c r="D26" s="2">
        <f t="shared" si="0"/>
        <v>178</v>
      </c>
      <c r="E26" s="8">
        <f t="shared" si="1"/>
        <v>0.2303370786516854</v>
      </c>
      <c r="F26" s="8">
        <f t="shared" si="4"/>
        <v>6.122439600146623E-2</v>
      </c>
      <c r="G26" s="8"/>
      <c r="H26" s="8">
        <f t="shared" si="2"/>
        <v>1.1890488640421972E-13</v>
      </c>
      <c r="I26" s="8">
        <f t="shared" si="3"/>
        <v>-29.760452495302975</v>
      </c>
      <c r="J26" s="2"/>
    </row>
    <row r="27" spans="1:10" ht="15.75">
      <c r="A27" s="2">
        <v>77.5</v>
      </c>
      <c r="B27" s="21">
        <v>78</v>
      </c>
      <c r="C27" s="21">
        <v>243</v>
      </c>
      <c r="D27" s="2">
        <f t="shared" si="0"/>
        <v>321</v>
      </c>
      <c r="E27" s="8">
        <f t="shared" si="1"/>
        <v>0.24299065420560748</v>
      </c>
      <c r="F27" s="8">
        <f t="shared" si="4"/>
        <v>0.11479799415568581</v>
      </c>
      <c r="G27" s="8"/>
      <c r="H27" s="8">
        <f t="shared" si="2"/>
        <v>6.6588597981566194E-11</v>
      </c>
      <c r="I27" s="8">
        <f t="shared" si="3"/>
        <v>-23.432487754516835</v>
      </c>
      <c r="J27" s="2"/>
    </row>
    <row r="28" spans="1:10" ht="15.75">
      <c r="A28" s="2">
        <v>82.5</v>
      </c>
      <c r="B28" s="21">
        <v>169</v>
      </c>
      <c r="C28" s="21">
        <v>440</v>
      </c>
      <c r="D28" s="2">
        <f t="shared" si="0"/>
        <v>609</v>
      </c>
      <c r="E28" s="8">
        <f t="shared" si="1"/>
        <v>0.27750410509031198</v>
      </c>
      <c r="F28" s="8">
        <f t="shared" si="4"/>
        <v>0.18394072464766009</v>
      </c>
      <c r="G28" s="8"/>
      <c r="H28" s="8">
        <f t="shared" si="2"/>
        <v>4.4190286085057863E-9</v>
      </c>
      <c r="I28" s="8">
        <f t="shared" si="3"/>
        <v>-19.237345936841443</v>
      </c>
      <c r="J28" s="2"/>
    </row>
    <row r="29" spans="1:10" ht="15.75">
      <c r="A29" s="2">
        <v>87.5</v>
      </c>
      <c r="B29" s="21">
        <v>269</v>
      </c>
      <c r="C29" s="21">
        <v>634</v>
      </c>
      <c r="D29" s="2">
        <f t="shared" si="0"/>
        <v>903</v>
      </c>
      <c r="E29" s="8">
        <f t="shared" si="1"/>
        <v>0.29789590254706533</v>
      </c>
      <c r="F29" s="8">
        <f t="shared" si="4"/>
        <v>0.26874343185511318</v>
      </c>
      <c r="G29" s="8"/>
      <c r="H29" s="8">
        <f t="shared" si="2"/>
        <v>4.2942946854280812E-3</v>
      </c>
      <c r="I29" s="8">
        <f t="shared" si="3"/>
        <v>-5.4504679546264283</v>
      </c>
      <c r="J29" s="2"/>
    </row>
    <row r="30" spans="1:10" ht="15.75">
      <c r="A30" s="2">
        <v>92.5</v>
      </c>
      <c r="B30" s="21">
        <v>290</v>
      </c>
      <c r="C30" s="21">
        <v>530</v>
      </c>
      <c r="D30" s="2">
        <f t="shared" si="0"/>
        <v>820</v>
      </c>
      <c r="E30" s="8">
        <f t="shared" si="1"/>
        <v>0.35365853658536583</v>
      </c>
      <c r="F30" s="8">
        <f t="shared" si="4"/>
        <v>0.36648527515541862</v>
      </c>
      <c r="G30" s="8"/>
      <c r="H30" s="8">
        <f t="shared" si="2"/>
        <v>2.1752628491389203E-2</v>
      </c>
      <c r="I30" s="8">
        <f t="shared" si="3"/>
        <v>-3.8280206785704247</v>
      </c>
      <c r="J30" s="2"/>
    </row>
    <row r="31" spans="1:10" ht="15.75">
      <c r="A31" s="2">
        <v>97.5</v>
      </c>
      <c r="B31" s="21">
        <v>196</v>
      </c>
      <c r="C31" s="21">
        <v>247</v>
      </c>
      <c r="D31" s="2">
        <f t="shared" si="0"/>
        <v>443</v>
      </c>
      <c r="E31" s="8">
        <f t="shared" si="1"/>
        <v>0.44243792325056436</v>
      </c>
      <c r="F31" s="8">
        <f t="shared" si="4"/>
        <v>0.47138735379858909</v>
      </c>
      <c r="G31" s="8"/>
      <c r="H31" s="8">
        <f t="shared" si="2"/>
        <v>1.8069556379951529E-2</v>
      </c>
      <c r="I31" s="8">
        <f t="shared" si="3"/>
        <v>-4.0135267247650512</v>
      </c>
      <c r="J31" s="2"/>
    </row>
    <row r="32" spans="1:10" ht="15.75">
      <c r="A32" s="2">
        <v>102.5</v>
      </c>
      <c r="B32" s="21">
        <v>62</v>
      </c>
      <c r="C32" s="21">
        <v>56</v>
      </c>
      <c r="D32" s="2">
        <f t="shared" si="0"/>
        <v>118</v>
      </c>
      <c r="E32" s="8">
        <f t="shared" si="1"/>
        <v>0.52542372881355937</v>
      </c>
      <c r="F32" s="8">
        <f t="shared" si="4"/>
        <v>0.57569985525954515</v>
      </c>
      <c r="G32" s="2"/>
      <c r="H32" s="8">
        <f t="shared" si="2"/>
        <v>4.0064346162428086E-2</v>
      </c>
      <c r="I32" s="8">
        <f t="shared" si="3"/>
        <v>-3.2172684633055062</v>
      </c>
      <c r="J32" s="2"/>
    </row>
    <row r="33" spans="1:10" ht="15.75">
      <c r="A33" s="2">
        <v>107.5</v>
      </c>
      <c r="B33" s="21">
        <v>21</v>
      </c>
      <c r="C33" s="21">
        <v>13</v>
      </c>
      <c r="D33" s="2">
        <f t="shared" si="0"/>
        <v>34</v>
      </c>
      <c r="E33" s="8">
        <f t="shared" si="1"/>
        <v>0.61764705882352944</v>
      </c>
      <c r="F33" s="8">
        <f t="shared" si="4"/>
        <v>0.67184265085990624</v>
      </c>
      <c r="G33" s="20"/>
      <c r="H33" s="8">
        <f t="shared" si="2"/>
        <v>0.11200234529644307</v>
      </c>
      <c r="I33" s="8">
        <f t="shared" si="3"/>
        <v>-2.1892354677594712</v>
      </c>
      <c r="J33" s="2"/>
    </row>
    <row r="34" spans="1:10" ht="15.75">
      <c r="A34" s="2">
        <v>112.5</v>
      </c>
      <c r="B34" s="21">
        <v>1</v>
      </c>
      <c r="C34" s="21">
        <v>4</v>
      </c>
      <c r="D34" s="2">
        <f t="shared" si="0"/>
        <v>5</v>
      </c>
      <c r="E34" s="8">
        <f t="shared" si="1"/>
        <v>0.2</v>
      </c>
      <c r="F34" s="8">
        <f t="shared" si="4"/>
        <v>0.75445008808011638</v>
      </c>
      <c r="G34" s="20"/>
      <c r="H34" s="8">
        <f t="shared" si="2"/>
        <v>1.3713858012418523E-2</v>
      </c>
      <c r="I34" s="8">
        <f t="shared" si="3"/>
        <v>-4.2893484236504085</v>
      </c>
      <c r="J34" s="2"/>
    </row>
    <row r="35" spans="1:10" ht="15.75">
      <c r="A35" s="2">
        <v>117.5</v>
      </c>
      <c r="B35" s="21">
        <v>0</v>
      </c>
      <c r="C35" s="21">
        <v>0</v>
      </c>
      <c r="D35" s="2">
        <f t="shared" si="0"/>
        <v>0</v>
      </c>
      <c r="E35" s="8" t="e">
        <f t="shared" si="1"/>
        <v>#DIV/0!</v>
      </c>
      <c r="F35" s="8">
        <f t="shared" si="4"/>
        <v>0.82125481196035932</v>
      </c>
      <c r="G35" s="20"/>
      <c r="H35" s="8">
        <f t="shared" si="2"/>
        <v>1</v>
      </c>
      <c r="I35" s="8">
        <f t="shared" si="3"/>
        <v>0</v>
      </c>
      <c r="J35" s="2"/>
    </row>
    <row r="36" spans="1:10" ht="15.75">
      <c r="A36" s="2">
        <v>122.5</v>
      </c>
      <c r="B36">
        <v>0</v>
      </c>
      <c r="C36">
        <v>0</v>
      </c>
      <c r="D36" s="2">
        <f t="shared" si="0"/>
        <v>0</v>
      </c>
      <c r="E36" s="8" t="e">
        <f t="shared" si="1"/>
        <v>#DIV/0!</v>
      </c>
      <c r="F36" s="8">
        <f t="shared" si="4"/>
        <v>0.87268201855758765</v>
      </c>
      <c r="G36" s="20"/>
      <c r="H36" s="8">
        <f t="shared" si="2"/>
        <v>1</v>
      </c>
      <c r="I36" s="8">
        <f t="shared" si="3"/>
        <v>0</v>
      </c>
      <c r="J36" s="2"/>
    </row>
    <row r="37" spans="1:10" ht="15.75">
      <c r="A37" s="2">
        <v>127.5</v>
      </c>
      <c r="B37">
        <v>0</v>
      </c>
      <c r="C37">
        <v>0</v>
      </c>
      <c r="D37" s="2">
        <f t="shared" si="0"/>
        <v>0</v>
      </c>
      <c r="E37" s="8" t="e">
        <f t="shared" si="1"/>
        <v>#DIV/0!</v>
      </c>
      <c r="F37" s="8">
        <f t="shared" si="4"/>
        <v>0.91078950631576916</v>
      </c>
      <c r="G37" s="2"/>
      <c r="H37" s="8">
        <f t="shared" si="2"/>
        <v>1</v>
      </c>
      <c r="I37" s="8">
        <f t="shared" si="3"/>
        <v>0</v>
      </c>
      <c r="J37" s="2"/>
    </row>
    <row r="38" spans="1:10" ht="15.75">
      <c r="A38" s="2">
        <v>132.5</v>
      </c>
      <c r="B38">
        <v>0</v>
      </c>
      <c r="C38">
        <v>0</v>
      </c>
      <c r="D38" s="2">
        <f t="shared" si="0"/>
        <v>0</v>
      </c>
      <c r="E38" s="8" t="e">
        <f t="shared" si="1"/>
        <v>#DIV/0!</v>
      </c>
      <c r="F38" s="8">
        <f t="shared" si="4"/>
        <v>0.93823621517627842</v>
      </c>
      <c r="G38" s="2"/>
      <c r="H38" s="8">
        <f t="shared" si="2"/>
        <v>1</v>
      </c>
      <c r="I38" s="8">
        <f t="shared" si="3"/>
        <v>0</v>
      </c>
      <c r="J38" s="2"/>
    </row>
    <row r="39" spans="1:10" ht="15.75">
      <c r="A39" s="2"/>
      <c r="B39" s="2"/>
      <c r="C39" s="2"/>
      <c r="D39" s="2"/>
      <c r="E39" s="8"/>
      <c r="F39" s="8"/>
      <c r="G39" s="2"/>
      <c r="H39" s="8"/>
      <c r="I39" s="8"/>
      <c r="J39" s="2"/>
    </row>
    <row r="40" spans="1:10" ht="15.75">
      <c r="A40" s="2"/>
      <c r="B40" s="2"/>
      <c r="C40" s="2"/>
      <c r="D40" s="2"/>
      <c r="E40" s="8"/>
      <c r="F40" s="8"/>
      <c r="G40" s="2"/>
      <c r="H40" s="8"/>
      <c r="I40" s="8"/>
      <c r="J40" s="2"/>
    </row>
    <row r="41" spans="1:10" ht="15.75">
      <c r="A41" s="2"/>
      <c r="B41" s="2"/>
      <c r="C41" s="2"/>
      <c r="D41" s="2"/>
      <c r="E41" s="8"/>
      <c r="F41" s="8"/>
      <c r="G41" s="2"/>
      <c r="H41" s="8"/>
      <c r="I41" s="8"/>
      <c r="J41" s="2"/>
    </row>
    <row r="42" spans="1:10" ht="15.75">
      <c r="A42" s="2"/>
      <c r="B42" s="2"/>
      <c r="C42" s="2"/>
      <c r="D42" s="2"/>
      <c r="E42" s="8"/>
      <c r="F42" s="8"/>
      <c r="G42" s="2"/>
      <c r="H42" s="8"/>
      <c r="I42" s="8"/>
      <c r="J42" s="2"/>
    </row>
    <row r="43" spans="1:10" ht="15.75">
      <c r="A43" s="2"/>
      <c r="B43" s="2"/>
      <c r="C43" s="2"/>
      <c r="D43" s="2"/>
      <c r="E43" s="8"/>
      <c r="F43" s="8"/>
      <c r="G43" s="2"/>
      <c r="H43" s="8"/>
      <c r="I43" s="8"/>
      <c r="J43" s="2"/>
    </row>
    <row r="44" spans="1:10" ht="15.75">
      <c r="A44" s="2"/>
      <c r="B44" s="2"/>
      <c r="C44" s="2"/>
      <c r="D44" s="2"/>
      <c r="E44" s="8"/>
      <c r="F44" s="8"/>
      <c r="G44" s="2"/>
      <c r="H44" s="8"/>
      <c r="I44" s="8"/>
      <c r="J44" s="2"/>
    </row>
    <row r="45" spans="1:10" ht="15.75">
      <c r="A45" s="2"/>
      <c r="B45" s="2"/>
      <c r="C45" s="2"/>
      <c r="D45" s="2"/>
      <c r="E45" s="8"/>
      <c r="F45" s="8"/>
      <c r="G45" s="2"/>
      <c r="H45" s="8"/>
      <c r="I45" s="8"/>
      <c r="J45" s="2"/>
    </row>
    <row r="46" spans="1:10" ht="15.75">
      <c r="A46" s="2"/>
      <c r="B46" s="2"/>
      <c r="C46" s="2"/>
      <c r="D46" s="2"/>
      <c r="E46" s="8"/>
      <c r="F46" s="8"/>
      <c r="G46" s="2"/>
      <c r="H46" s="8"/>
      <c r="I46" s="8"/>
      <c r="J46" s="2"/>
    </row>
    <row r="47" spans="1:10" ht="15.75">
      <c r="A47" s="2"/>
      <c r="B47" s="2"/>
      <c r="C47" s="2"/>
      <c r="D47" s="2"/>
      <c r="E47" s="8"/>
      <c r="F47" s="8"/>
      <c r="G47" s="2"/>
      <c r="H47" s="8"/>
      <c r="I47" s="8"/>
      <c r="J47" s="2"/>
    </row>
    <row r="48" spans="1:10" ht="15.75">
      <c r="A48" s="2"/>
      <c r="B48" s="2"/>
      <c r="C48" s="2"/>
      <c r="D48" s="2"/>
      <c r="E48" s="8"/>
      <c r="F48" s="8"/>
      <c r="G48" s="2"/>
      <c r="H48" s="8"/>
      <c r="I48" s="8"/>
      <c r="J48" s="2"/>
    </row>
    <row r="49" spans="1:10" ht="15.75">
      <c r="A49" s="2"/>
      <c r="B49" s="2"/>
      <c r="C49" s="2"/>
      <c r="D49" s="2"/>
      <c r="E49" s="8"/>
      <c r="F49" s="8"/>
      <c r="G49" s="2"/>
      <c r="H49" s="8"/>
      <c r="I49" s="8"/>
      <c r="J49" s="2"/>
    </row>
    <row r="50" spans="1:10" ht="15.75">
      <c r="A50" s="2"/>
      <c r="B50" s="2"/>
      <c r="C50" s="2"/>
      <c r="D50" s="2"/>
      <c r="E50" s="8"/>
      <c r="F50" s="8"/>
      <c r="G50" s="2"/>
      <c r="H50" s="8"/>
      <c r="I50" s="8"/>
      <c r="J50" s="2"/>
    </row>
    <row r="51" spans="1:10" ht="15.75">
      <c r="A51" s="2"/>
      <c r="B51" s="2"/>
      <c r="C51" s="2"/>
      <c r="D51" s="2"/>
      <c r="E51" s="8"/>
      <c r="F51" s="8"/>
      <c r="G51" s="2"/>
      <c r="H51" s="8"/>
      <c r="I51" s="8"/>
      <c r="J51" s="2"/>
    </row>
    <row r="52" spans="1:10" ht="15.7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>
      <c r="B53" s="19"/>
      <c r="C53" s="19"/>
      <c r="D53" s="19"/>
      <c r="E53" s="19"/>
      <c r="F53" s="19"/>
      <c r="G53" s="2"/>
      <c r="H53" s="2"/>
      <c r="I53" s="2"/>
      <c r="J53" s="2"/>
    </row>
    <row r="54" spans="1:10" ht="15.75">
      <c r="A54" s="25" t="s">
        <v>33</v>
      </c>
      <c r="B54" s="19"/>
      <c r="C54" s="19"/>
      <c r="D54" s="19"/>
      <c r="E54" s="19"/>
      <c r="F54" s="19"/>
      <c r="G54" s="2"/>
      <c r="H54" s="2"/>
      <c r="I54" s="2"/>
      <c r="J54" s="2"/>
    </row>
    <row r="55" spans="1:10" ht="15.75">
      <c r="A55" s="26" t="s">
        <v>34</v>
      </c>
      <c r="B55" s="2"/>
      <c r="C55" s="2"/>
      <c r="D55" s="2"/>
      <c r="E55" s="2"/>
      <c r="F55" s="2"/>
      <c r="G55" s="2"/>
      <c r="H55" s="2"/>
      <c r="I55" s="2"/>
      <c r="J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ctfreqraw</vt:lpstr>
      <vt:lpstr>wpsizefreqraw</vt:lpstr>
      <vt:lpstr>sizefreqcat</vt:lpstr>
      <vt:lpstr>Logistic curve</vt:lpstr>
      <vt:lpstr>Richard curve</vt:lpstr>
      <vt:lpstr>Encounter probability model</vt:lpstr>
      <vt:lpstr>Logistic curve (88.9S)</vt:lpstr>
      <vt:lpstr>Richard curve (88.9S)</vt:lpstr>
      <vt:lpstr>Encounter probability (88.9S)</vt:lpstr>
      <vt:lpstr>Logistic curve (82.6R) </vt:lpstr>
      <vt:lpstr>Richard curve (82.6R) </vt:lpstr>
      <vt:lpstr>Encounter probability (82.6R)</vt:lpstr>
      <vt:lpstr>Logistic curve (82.6S) </vt:lpstr>
      <vt:lpstr>Richard curve (82.6S)</vt:lpstr>
      <vt:lpstr>Encounter probability (82.6S)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Niles, Monique M (Science)</cp:lastModifiedBy>
  <cp:lastPrinted>2020-02-11T17:54:31Z</cp:lastPrinted>
  <dcterms:created xsi:type="dcterms:W3CDTF">2019-03-27T18:11:42Z</dcterms:created>
  <dcterms:modified xsi:type="dcterms:W3CDTF">2020-02-11T17:54:49Z</dcterms:modified>
</cp:coreProperties>
</file>