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5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8.xml" ContentType="application/vnd.openxmlformats-officedocument.drawing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drawings/drawing10.xml" ContentType="application/vnd.openxmlformats-officedocument.drawing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11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2.xml" ContentType="application/vnd.openxmlformats-officedocument.drawing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lesMM\Desktop\selectivity study\curve\"/>
    </mc:Choice>
  </mc:AlternateContent>
  <bookViews>
    <workbookView xWindow="0" yWindow="0" windowWidth="19200" windowHeight="7090" firstSheet="1" activeTab="1"/>
  </bookViews>
  <sheets>
    <sheet name="sizefreqcat" sheetId="7" r:id="rId1"/>
    <sheet name="Logistic curve" sheetId="1" r:id="rId2"/>
    <sheet name="Richard curve" sheetId="2" r:id="rId3"/>
    <sheet name="Encounter probability model" sheetId="3" r:id="rId4"/>
    <sheet name="Logistic curve (88.9S)" sheetId="4" r:id="rId5"/>
    <sheet name="Richard curve (88.9S)" sheetId="5" r:id="rId6"/>
    <sheet name="Encounter probability (88.9S)" sheetId="6" r:id="rId7"/>
    <sheet name="Logistic curve (82.6R) " sheetId="8" r:id="rId8"/>
    <sheet name="Richard curve (82.6R) " sheetId="9" r:id="rId9"/>
    <sheet name="Encounter probability (82.6R)" sheetId="10" r:id="rId10"/>
    <sheet name="Logistic curve (82.6S) " sheetId="11" r:id="rId11"/>
    <sheet name="Richard curve (82.6S)" sheetId="12" r:id="rId12"/>
    <sheet name="Encounter probability (82.6S)" sheetId="13" r:id="rId13"/>
  </sheets>
  <definedNames>
    <definedName name="solver_adj" localSheetId="9" hidden="1">'Encounter probability (82.6R)'!$F$4:$F$6</definedName>
    <definedName name="solver_adj" localSheetId="12" hidden="1">'Encounter probability (82.6S)'!$F$4:$F$6</definedName>
    <definedName name="solver_adj" localSheetId="6" hidden="1">'Encounter probability (88.9S)'!$F$4:$F$6</definedName>
    <definedName name="solver_adj" localSheetId="3" hidden="1">'Encounter probability model'!$F$4:$F$6</definedName>
    <definedName name="solver_adj" localSheetId="1" hidden="1">'Logistic curve'!$F$4:$F$5</definedName>
    <definedName name="solver_adj" localSheetId="7" hidden="1">'Logistic curve (82.6R) '!$F$4:$F$5</definedName>
    <definedName name="solver_adj" localSheetId="10" hidden="1">'Logistic curve (82.6S) '!$F$4:$F$5</definedName>
    <definedName name="solver_adj" localSheetId="4" hidden="1">'Logistic curve (88.9S)'!$F$4:$F$5</definedName>
    <definedName name="solver_adj" localSheetId="2" hidden="1">'Richard curve'!$F$4:$F$6</definedName>
    <definedName name="solver_adj" localSheetId="8" hidden="1">'Richard curve (82.6R) '!$F$4:$F$6</definedName>
    <definedName name="solver_adj" localSheetId="11" hidden="1">'Richard curve (82.6S)'!$F$4:$F$6</definedName>
    <definedName name="solver_adj" localSheetId="5" hidden="1">'Richard curve (88.9S)'!$F$4:$F$6</definedName>
    <definedName name="solver_cvg" localSheetId="9" hidden="1">0.0001</definedName>
    <definedName name="solver_cvg" localSheetId="12" hidden="1">0.0001</definedName>
    <definedName name="solver_cvg" localSheetId="6" hidden="1">0.0001</definedName>
    <definedName name="solver_cvg" localSheetId="3" hidden="1">0.0001</definedName>
    <definedName name="solver_cvg" localSheetId="1" hidden="1">0.0001</definedName>
    <definedName name="solver_cvg" localSheetId="7" hidden="1">0.0001</definedName>
    <definedName name="solver_cvg" localSheetId="10" hidden="1">0.0001</definedName>
    <definedName name="solver_cvg" localSheetId="4" hidden="1">0.0001</definedName>
    <definedName name="solver_cvg" localSheetId="2" hidden="1">0.0001</definedName>
    <definedName name="solver_cvg" localSheetId="8" hidden="1">0.0001</definedName>
    <definedName name="solver_cvg" localSheetId="11" hidden="1">0.0001</definedName>
    <definedName name="solver_cvg" localSheetId="5" hidden="1">0.0001</definedName>
    <definedName name="solver_drv" localSheetId="9" hidden="1">1</definedName>
    <definedName name="solver_drv" localSheetId="12" hidden="1">1</definedName>
    <definedName name="solver_drv" localSheetId="6" hidden="1">1</definedName>
    <definedName name="solver_drv" localSheetId="3" hidden="1">1</definedName>
    <definedName name="solver_drv" localSheetId="1" hidden="1">2</definedName>
    <definedName name="solver_drv" localSheetId="7" hidden="1">2</definedName>
    <definedName name="solver_drv" localSheetId="10" hidden="1">2</definedName>
    <definedName name="solver_drv" localSheetId="4" hidden="1">2</definedName>
    <definedName name="solver_drv" localSheetId="2" hidden="1">2</definedName>
    <definedName name="solver_drv" localSheetId="8" hidden="1">2</definedName>
    <definedName name="solver_drv" localSheetId="11" hidden="1">2</definedName>
    <definedName name="solver_drv" localSheetId="5" hidden="1">2</definedName>
    <definedName name="solver_eng" localSheetId="9" hidden="1">1</definedName>
    <definedName name="solver_eng" localSheetId="12" hidden="1">1</definedName>
    <definedName name="solver_eng" localSheetId="6" hidden="1">1</definedName>
    <definedName name="solver_eng" localSheetId="3" hidden="1">1</definedName>
    <definedName name="solver_eng" localSheetId="1" hidden="1">1</definedName>
    <definedName name="solver_eng" localSheetId="7" hidden="1">1</definedName>
    <definedName name="solver_eng" localSheetId="10" hidden="1">1</definedName>
    <definedName name="solver_eng" localSheetId="4" hidden="1">1</definedName>
    <definedName name="solver_eng" localSheetId="2" hidden="1">1</definedName>
    <definedName name="solver_eng" localSheetId="8" hidden="1">1</definedName>
    <definedName name="solver_eng" localSheetId="11" hidden="1">1</definedName>
    <definedName name="solver_eng" localSheetId="5" hidden="1">1</definedName>
    <definedName name="solver_est" localSheetId="9" hidden="1">1</definedName>
    <definedName name="solver_est" localSheetId="12" hidden="1">1</definedName>
    <definedName name="solver_est" localSheetId="6" hidden="1">1</definedName>
    <definedName name="solver_est" localSheetId="3" hidden="1">1</definedName>
    <definedName name="solver_est" localSheetId="1" hidden="1">1</definedName>
    <definedName name="solver_est" localSheetId="7" hidden="1">1</definedName>
    <definedName name="solver_est" localSheetId="10" hidden="1">1</definedName>
    <definedName name="solver_est" localSheetId="4" hidden="1">1</definedName>
    <definedName name="solver_est" localSheetId="2" hidden="1">1</definedName>
    <definedName name="solver_est" localSheetId="8" hidden="1">1</definedName>
    <definedName name="solver_est" localSheetId="11" hidden="1">1</definedName>
    <definedName name="solver_est" localSheetId="5" hidden="1">1</definedName>
    <definedName name="solver_itr" localSheetId="9" hidden="1">2147483647</definedName>
    <definedName name="solver_itr" localSheetId="12" hidden="1">2147483647</definedName>
    <definedName name="solver_itr" localSheetId="6" hidden="1">2147483647</definedName>
    <definedName name="solver_itr" localSheetId="3" hidden="1">2147483647</definedName>
    <definedName name="solver_itr" localSheetId="1" hidden="1">2147483647</definedName>
    <definedName name="solver_itr" localSheetId="7" hidden="1">2147483647</definedName>
    <definedName name="solver_itr" localSheetId="10" hidden="1">2147483647</definedName>
    <definedName name="solver_itr" localSheetId="4" hidden="1">2147483647</definedName>
    <definedName name="solver_itr" localSheetId="2" hidden="1">2147483647</definedName>
    <definedName name="solver_itr" localSheetId="8" hidden="1">2147483647</definedName>
    <definedName name="solver_itr" localSheetId="11" hidden="1">2147483647</definedName>
    <definedName name="solver_itr" localSheetId="5" hidden="1">2147483647</definedName>
    <definedName name="solver_lhs1" localSheetId="9" hidden="1">'Encounter probability (82.6R)'!$F$4</definedName>
    <definedName name="solver_lhs1" localSheetId="12" hidden="1">'Encounter probability (82.6S)'!$F$4</definedName>
    <definedName name="solver_lhs1" localSheetId="6" hidden="1">'Encounter probability (88.9S)'!$F$4</definedName>
    <definedName name="solver_lhs1" localSheetId="3" hidden="1">'Encounter probability model'!$F$4</definedName>
    <definedName name="solver_lhs1" localSheetId="1" hidden="1">'Logistic curve'!$F$4</definedName>
    <definedName name="solver_lhs1" localSheetId="7" hidden="1">'Logistic curve (82.6R) '!$F$4</definedName>
    <definedName name="solver_lhs1" localSheetId="10" hidden="1">'Logistic curve (82.6S) '!$F$4</definedName>
    <definedName name="solver_lhs1" localSheetId="4" hidden="1">'Logistic curve (88.9S)'!$F$4</definedName>
    <definedName name="solver_lhs1" localSheetId="2" hidden="1">'Richard curve'!$F$4</definedName>
    <definedName name="solver_lhs1" localSheetId="8" hidden="1">'Richard curve (82.6R) '!$F$4</definedName>
    <definedName name="solver_lhs1" localSheetId="11" hidden="1">'Richard curve (82.6S)'!$F$4</definedName>
    <definedName name="solver_lhs1" localSheetId="5" hidden="1">'Richard curve (88.9S)'!$F$4</definedName>
    <definedName name="solver_mip" localSheetId="9" hidden="1">2147483647</definedName>
    <definedName name="solver_mip" localSheetId="12" hidden="1">2147483647</definedName>
    <definedName name="solver_mip" localSheetId="6" hidden="1">2147483647</definedName>
    <definedName name="solver_mip" localSheetId="3" hidden="1">2147483647</definedName>
    <definedName name="solver_mip" localSheetId="1" hidden="1">2147483647</definedName>
    <definedName name="solver_mip" localSheetId="7" hidden="1">2147483647</definedName>
    <definedName name="solver_mip" localSheetId="10" hidden="1">2147483647</definedName>
    <definedName name="solver_mip" localSheetId="4" hidden="1">2147483647</definedName>
    <definedName name="solver_mip" localSheetId="2" hidden="1">2147483647</definedName>
    <definedName name="solver_mip" localSheetId="8" hidden="1">2147483647</definedName>
    <definedName name="solver_mip" localSheetId="11" hidden="1">2147483647</definedName>
    <definedName name="solver_mip" localSheetId="5" hidden="1">2147483647</definedName>
    <definedName name="solver_mni" localSheetId="9" hidden="1">30</definedName>
    <definedName name="solver_mni" localSheetId="12" hidden="1">30</definedName>
    <definedName name="solver_mni" localSheetId="6" hidden="1">30</definedName>
    <definedName name="solver_mni" localSheetId="3" hidden="1">30</definedName>
    <definedName name="solver_mni" localSheetId="1" hidden="1">30</definedName>
    <definedName name="solver_mni" localSheetId="7" hidden="1">30</definedName>
    <definedName name="solver_mni" localSheetId="10" hidden="1">30</definedName>
    <definedName name="solver_mni" localSheetId="4" hidden="1">30</definedName>
    <definedName name="solver_mni" localSheetId="2" hidden="1">30</definedName>
    <definedName name="solver_mni" localSheetId="8" hidden="1">30</definedName>
    <definedName name="solver_mni" localSheetId="11" hidden="1">30</definedName>
    <definedName name="solver_mni" localSheetId="5" hidden="1">30</definedName>
    <definedName name="solver_mrt" localSheetId="9" hidden="1">0.075</definedName>
    <definedName name="solver_mrt" localSheetId="12" hidden="1">0.075</definedName>
    <definedName name="solver_mrt" localSheetId="6" hidden="1">0.075</definedName>
    <definedName name="solver_mrt" localSheetId="3" hidden="1">0.075</definedName>
    <definedName name="solver_mrt" localSheetId="1" hidden="1">0.075</definedName>
    <definedName name="solver_mrt" localSheetId="7" hidden="1">0.075</definedName>
    <definedName name="solver_mrt" localSheetId="10" hidden="1">0.075</definedName>
    <definedName name="solver_mrt" localSheetId="4" hidden="1">0.075</definedName>
    <definedName name="solver_mrt" localSheetId="2" hidden="1">0.075</definedName>
    <definedName name="solver_mrt" localSheetId="8" hidden="1">0.075</definedName>
    <definedName name="solver_mrt" localSheetId="11" hidden="1">0.075</definedName>
    <definedName name="solver_mrt" localSheetId="5" hidden="1">0.075</definedName>
    <definedName name="solver_msl" localSheetId="9" hidden="1">2</definedName>
    <definedName name="solver_msl" localSheetId="12" hidden="1">2</definedName>
    <definedName name="solver_msl" localSheetId="6" hidden="1">2</definedName>
    <definedName name="solver_msl" localSheetId="3" hidden="1">2</definedName>
    <definedName name="solver_msl" localSheetId="1" hidden="1">2</definedName>
    <definedName name="solver_msl" localSheetId="7" hidden="1">2</definedName>
    <definedName name="solver_msl" localSheetId="10" hidden="1">2</definedName>
    <definedName name="solver_msl" localSheetId="4" hidden="1">2</definedName>
    <definedName name="solver_msl" localSheetId="2" hidden="1">2</definedName>
    <definedName name="solver_msl" localSheetId="8" hidden="1">2</definedName>
    <definedName name="solver_msl" localSheetId="11" hidden="1">2</definedName>
    <definedName name="solver_msl" localSheetId="5" hidden="1">2</definedName>
    <definedName name="solver_neg" localSheetId="9" hidden="1">2</definedName>
    <definedName name="solver_neg" localSheetId="12" hidden="1">2</definedName>
    <definedName name="solver_neg" localSheetId="6" hidden="1">2</definedName>
    <definedName name="solver_neg" localSheetId="3" hidden="1">2</definedName>
    <definedName name="solver_neg" localSheetId="1" hidden="1">2</definedName>
    <definedName name="solver_neg" localSheetId="7" hidden="1">2</definedName>
    <definedName name="solver_neg" localSheetId="10" hidden="1">2</definedName>
    <definedName name="solver_neg" localSheetId="4" hidden="1">2</definedName>
    <definedName name="solver_neg" localSheetId="2" hidden="1">2</definedName>
    <definedName name="solver_neg" localSheetId="8" hidden="1">2</definedName>
    <definedName name="solver_neg" localSheetId="11" hidden="1">2</definedName>
    <definedName name="solver_neg" localSheetId="5" hidden="1">2</definedName>
    <definedName name="solver_nod" localSheetId="9" hidden="1">2147483647</definedName>
    <definedName name="solver_nod" localSheetId="12" hidden="1">2147483647</definedName>
    <definedName name="solver_nod" localSheetId="6" hidden="1">2147483647</definedName>
    <definedName name="solver_nod" localSheetId="3" hidden="1">2147483647</definedName>
    <definedName name="solver_nod" localSheetId="1" hidden="1">2147483647</definedName>
    <definedName name="solver_nod" localSheetId="7" hidden="1">2147483647</definedName>
    <definedName name="solver_nod" localSheetId="10" hidden="1">2147483647</definedName>
    <definedName name="solver_nod" localSheetId="4" hidden="1">2147483647</definedName>
    <definedName name="solver_nod" localSheetId="2" hidden="1">2147483647</definedName>
    <definedName name="solver_nod" localSheetId="8" hidden="1">2147483647</definedName>
    <definedName name="solver_nod" localSheetId="11" hidden="1">2147483647</definedName>
    <definedName name="solver_nod" localSheetId="5" hidden="1">2147483647</definedName>
    <definedName name="solver_num" localSheetId="9" hidden="1">1</definedName>
    <definedName name="solver_num" localSheetId="12" hidden="1">1</definedName>
    <definedName name="solver_num" localSheetId="6" hidden="1">1</definedName>
    <definedName name="solver_num" localSheetId="3" hidden="1">1</definedName>
    <definedName name="solver_num" localSheetId="1" hidden="1">1</definedName>
    <definedName name="solver_num" localSheetId="7" hidden="1">1</definedName>
    <definedName name="solver_num" localSheetId="10" hidden="1">1</definedName>
    <definedName name="solver_num" localSheetId="4" hidden="1">1</definedName>
    <definedName name="solver_num" localSheetId="2" hidden="1">1</definedName>
    <definedName name="solver_num" localSheetId="8" hidden="1">1</definedName>
    <definedName name="solver_num" localSheetId="11" hidden="1">1</definedName>
    <definedName name="solver_num" localSheetId="5" hidden="1">1</definedName>
    <definedName name="solver_nwt" localSheetId="9" hidden="1">1</definedName>
    <definedName name="solver_nwt" localSheetId="12" hidden="1">1</definedName>
    <definedName name="solver_nwt" localSheetId="6" hidden="1">1</definedName>
    <definedName name="solver_nwt" localSheetId="3" hidden="1">1</definedName>
    <definedName name="solver_nwt" localSheetId="1" hidden="1">1</definedName>
    <definedName name="solver_nwt" localSheetId="7" hidden="1">1</definedName>
    <definedName name="solver_nwt" localSheetId="10" hidden="1">1</definedName>
    <definedName name="solver_nwt" localSheetId="4" hidden="1">1</definedName>
    <definedName name="solver_nwt" localSheetId="2" hidden="1">1</definedName>
    <definedName name="solver_nwt" localSheetId="8" hidden="1">1</definedName>
    <definedName name="solver_nwt" localSheetId="11" hidden="1">1</definedName>
    <definedName name="solver_nwt" localSheetId="5" hidden="1">1</definedName>
    <definedName name="solver_opt" localSheetId="9" hidden="1">'Encounter probability (82.6R)'!$H$8</definedName>
    <definedName name="solver_opt" localSheetId="12" hidden="1">'Encounter probability (82.6S)'!$H$8</definedName>
    <definedName name="solver_opt" localSheetId="6" hidden="1">'Encounter probability (88.9S)'!$H$8</definedName>
    <definedName name="solver_opt" localSheetId="3" hidden="1">'Encounter probability model'!$H$8</definedName>
    <definedName name="solver_opt" localSheetId="1" hidden="1">'Logistic curve'!$H$8</definedName>
    <definedName name="solver_opt" localSheetId="7" hidden="1">'Logistic curve (82.6R) '!$H$8</definedName>
    <definedName name="solver_opt" localSheetId="10" hidden="1">'Logistic curve (82.6S) '!$H$8</definedName>
    <definedName name="solver_opt" localSheetId="4" hidden="1">'Logistic curve (88.9S)'!$H$8</definedName>
    <definedName name="solver_opt" localSheetId="2" hidden="1">'Richard curve'!$H$8</definedName>
    <definedName name="solver_opt" localSheetId="8" hidden="1">'Richard curve (82.6R) '!$H$8</definedName>
    <definedName name="solver_opt" localSheetId="11" hidden="1">'Richard curve (82.6S)'!$H$8</definedName>
    <definedName name="solver_opt" localSheetId="5" hidden="1">'Richard curve (88.9S)'!$H$8</definedName>
    <definedName name="solver_pre" localSheetId="9" hidden="1">0.000001</definedName>
    <definedName name="solver_pre" localSheetId="12" hidden="1">0.000001</definedName>
    <definedName name="solver_pre" localSheetId="6" hidden="1">0.000001</definedName>
    <definedName name="solver_pre" localSheetId="3" hidden="1">0.000001</definedName>
    <definedName name="solver_pre" localSheetId="1" hidden="1">0.000001</definedName>
    <definedName name="solver_pre" localSheetId="7" hidden="1">0.000001</definedName>
    <definedName name="solver_pre" localSheetId="10" hidden="1">0.000001</definedName>
    <definedName name="solver_pre" localSheetId="4" hidden="1">0.000001</definedName>
    <definedName name="solver_pre" localSheetId="2" hidden="1">0.000001</definedName>
    <definedName name="solver_pre" localSheetId="8" hidden="1">0.000001</definedName>
    <definedName name="solver_pre" localSheetId="11" hidden="1">0.000001</definedName>
    <definedName name="solver_pre" localSheetId="5" hidden="1">0.000001</definedName>
    <definedName name="solver_rbv" localSheetId="9" hidden="1">1</definedName>
    <definedName name="solver_rbv" localSheetId="12" hidden="1">1</definedName>
    <definedName name="solver_rbv" localSheetId="6" hidden="1">1</definedName>
    <definedName name="solver_rbv" localSheetId="3" hidden="1">1</definedName>
    <definedName name="solver_rbv" localSheetId="1" hidden="1">2</definedName>
    <definedName name="solver_rbv" localSheetId="7" hidden="1">2</definedName>
    <definedName name="solver_rbv" localSheetId="10" hidden="1">2</definedName>
    <definedName name="solver_rbv" localSheetId="4" hidden="1">2</definedName>
    <definedName name="solver_rbv" localSheetId="2" hidden="1">2</definedName>
    <definedName name="solver_rbv" localSheetId="8" hidden="1">2</definedName>
    <definedName name="solver_rbv" localSheetId="11" hidden="1">2</definedName>
    <definedName name="solver_rbv" localSheetId="5" hidden="1">2</definedName>
    <definedName name="solver_rel1" localSheetId="9" hidden="1">1</definedName>
    <definedName name="solver_rel1" localSheetId="12" hidden="1">1</definedName>
    <definedName name="solver_rel1" localSheetId="6" hidden="1">1</definedName>
    <definedName name="solver_rel1" localSheetId="3" hidden="1">1</definedName>
    <definedName name="solver_rel1" localSheetId="1" hidden="1">1</definedName>
    <definedName name="solver_rel1" localSheetId="7" hidden="1">1</definedName>
    <definedName name="solver_rel1" localSheetId="10" hidden="1">1</definedName>
    <definedName name="solver_rel1" localSheetId="4" hidden="1">1</definedName>
    <definedName name="solver_rel1" localSheetId="2" hidden="1">1</definedName>
    <definedName name="solver_rel1" localSheetId="8" hidden="1">1</definedName>
    <definedName name="solver_rel1" localSheetId="11" hidden="1">1</definedName>
    <definedName name="solver_rel1" localSheetId="5" hidden="1">1</definedName>
    <definedName name="solver_rhs1" localSheetId="9" hidden="1">0</definedName>
    <definedName name="solver_rhs1" localSheetId="12" hidden="1">0</definedName>
    <definedName name="solver_rhs1" localSheetId="6" hidden="1">0</definedName>
    <definedName name="solver_rhs1" localSheetId="3" hidden="1">0</definedName>
    <definedName name="solver_rhs1" localSheetId="1" hidden="1">0</definedName>
    <definedName name="solver_rhs1" localSheetId="7" hidden="1">0</definedName>
    <definedName name="solver_rhs1" localSheetId="10" hidden="1">0</definedName>
    <definedName name="solver_rhs1" localSheetId="4" hidden="1">0</definedName>
    <definedName name="solver_rhs1" localSheetId="2" hidden="1">0</definedName>
    <definedName name="solver_rhs1" localSheetId="8" hidden="1">0</definedName>
    <definedName name="solver_rhs1" localSheetId="11" hidden="1">0</definedName>
    <definedName name="solver_rhs1" localSheetId="5" hidden="1">0</definedName>
    <definedName name="solver_rlx" localSheetId="9" hidden="1">2</definedName>
    <definedName name="solver_rlx" localSheetId="12" hidden="1">2</definedName>
    <definedName name="solver_rlx" localSheetId="6" hidden="1">2</definedName>
    <definedName name="solver_rlx" localSheetId="3" hidden="1">2</definedName>
    <definedName name="solver_rlx" localSheetId="1" hidden="1">2</definedName>
    <definedName name="solver_rlx" localSheetId="7" hidden="1">2</definedName>
    <definedName name="solver_rlx" localSheetId="10" hidden="1">2</definedName>
    <definedName name="solver_rlx" localSheetId="4" hidden="1">2</definedName>
    <definedName name="solver_rlx" localSheetId="2" hidden="1">2</definedName>
    <definedName name="solver_rlx" localSheetId="8" hidden="1">2</definedName>
    <definedName name="solver_rlx" localSheetId="11" hidden="1">2</definedName>
    <definedName name="solver_rlx" localSheetId="5" hidden="1">2</definedName>
    <definedName name="solver_rsd" localSheetId="9" hidden="1">0</definedName>
    <definedName name="solver_rsd" localSheetId="12" hidden="1">0</definedName>
    <definedName name="solver_rsd" localSheetId="6" hidden="1">0</definedName>
    <definedName name="solver_rsd" localSheetId="3" hidden="1">0</definedName>
    <definedName name="solver_rsd" localSheetId="1" hidden="1">0</definedName>
    <definedName name="solver_rsd" localSheetId="7" hidden="1">0</definedName>
    <definedName name="solver_rsd" localSheetId="10" hidden="1">0</definedName>
    <definedName name="solver_rsd" localSheetId="4" hidden="1">0</definedName>
    <definedName name="solver_rsd" localSheetId="2" hidden="1">0</definedName>
    <definedName name="solver_rsd" localSheetId="8" hidden="1">0</definedName>
    <definedName name="solver_rsd" localSheetId="11" hidden="1">0</definedName>
    <definedName name="solver_rsd" localSheetId="5" hidden="1">0</definedName>
    <definedName name="solver_scl" localSheetId="9" hidden="1">1</definedName>
    <definedName name="solver_scl" localSheetId="12" hidden="1">1</definedName>
    <definedName name="solver_scl" localSheetId="6" hidden="1">1</definedName>
    <definedName name="solver_scl" localSheetId="3" hidden="1">1</definedName>
    <definedName name="solver_scl" localSheetId="1" hidden="1">2</definedName>
    <definedName name="solver_scl" localSheetId="7" hidden="1">2</definedName>
    <definedName name="solver_scl" localSheetId="10" hidden="1">2</definedName>
    <definedName name="solver_scl" localSheetId="4" hidden="1">2</definedName>
    <definedName name="solver_scl" localSheetId="2" hidden="1">2</definedName>
    <definedName name="solver_scl" localSheetId="8" hidden="1">2</definedName>
    <definedName name="solver_scl" localSheetId="11" hidden="1">2</definedName>
    <definedName name="solver_scl" localSheetId="5" hidden="1">2</definedName>
    <definedName name="solver_sho" localSheetId="9" hidden="1">2</definedName>
    <definedName name="solver_sho" localSheetId="12" hidden="1">2</definedName>
    <definedName name="solver_sho" localSheetId="6" hidden="1">2</definedName>
    <definedName name="solver_sho" localSheetId="3" hidden="1">2</definedName>
    <definedName name="solver_sho" localSheetId="1" hidden="1">2</definedName>
    <definedName name="solver_sho" localSheetId="7" hidden="1">2</definedName>
    <definedName name="solver_sho" localSheetId="10" hidden="1">2</definedName>
    <definedName name="solver_sho" localSheetId="4" hidden="1">2</definedName>
    <definedName name="solver_sho" localSheetId="2" hidden="1">2</definedName>
    <definedName name="solver_sho" localSheetId="8" hidden="1">2</definedName>
    <definedName name="solver_sho" localSheetId="11" hidden="1">2</definedName>
    <definedName name="solver_sho" localSheetId="5" hidden="1">2</definedName>
    <definedName name="solver_ssz" localSheetId="9" hidden="1">100</definedName>
    <definedName name="solver_ssz" localSheetId="12" hidden="1">100</definedName>
    <definedName name="solver_ssz" localSheetId="6" hidden="1">100</definedName>
    <definedName name="solver_ssz" localSheetId="3" hidden="1">100</definedName>
    <definedName name="solver_ssz" localSheetId="1" hidden="1">100</definedName>
    <definedName name="solver_ssz" localSheetId="7" hidden="1">100</definedName>
    <definedName name="solver_ssz" localSheetId="10" hidden="1">100</definedName>
    <definedName name="solver_ssz" localSheetId="4" hidden="1">100</definedName>
    <definedName name="solver_ssz" localSheetId="2" hidden="1">100</definedName>
    <definedName name="solver_ssz" localSheetId="8" hidden="1">100</definedName>
    <definedName name="solver_ssz" localSheetId="11" hidden="1">100</definedName>
    <definedName name="solver_ssz" localSheetId="5" hidden="1">100</definedName>
    <definedName name="solver_tim" localSheetId="9" hidden="1">2147483647</definedName>
    <definedName name="solver_tim" localSheetId="12" hidden="1">2147483647</definedName>
    <definedName name="solver_tim" localSheetId="6" hidden="1">2147483647</definedName>
    <definedName name="solver_tim" localSheetId="3" hidden="1">2147483647</definedName>
    <definedName name="solver_tim" localSheetId="1" hidden="1">2147483647</definedName>
    <definedName name="solver_tim" localSheetId="7" hidden="1">2147483647</definedName>
    <definedName name="solver_tim" localSheetId="10" hidden="1">2147483647</definedName>
    <definedName name="solver_tim" localSheetId="4" hidden="1">2147483647</definedName>
    <definedName name="solver_tim" localSheetId="2" hidden="1">2147483647</definedName>
    <definedName name="solver_tim" localSheetId="8" hidden="1">2147483647</definedName>
    <definedName name="solver_tim" localSheetId="11" hidden="1">2147483647</definedName>
    <definedName name="solver_tim" localSheetId="5" hidden="1">2147483647</definedName>
    <definedName name="solver_tol" localSheetId="9" hidden="1">0.01</definedName>
    <definedName name="solver_tol" localSheetId="12" hidden="1">0.01</definedName>
    <definedName name="solver_tol" localSheetId="6" hidden="1">0.01</definedName>
    <definedName name="solver_tol" localSheetId="3" hidden="1">0.01</definedName>
    <definedName name="solver_tol" localSheetId="1" hidden="1">0.01</definedName>
    <definedName name="solver_tol" localSheetId="7" hidden="1">0.01</definedName>
    <definedName name="solver_tol" localSheetId="10" hidden="1">0.01</definedName>
    <definedName name="solver_tol" localSheetId="4" hidden="1">0.01</definedName>
    <definedName name="solver_tol" localSheetId="2" hidden="1">0.01</definedName>
    <definedName name="solver_tol" localSheetId="8" hidden="1">0.01</definedName>
    <definedName name="solver_tol" localSheetId="11" hidden="1">0.01</definedName>
    <definedName name="solver_tol" localSheetId="5" hidden="1">0.01</definedName>
    <definedName name="solver_typ" localSheetId="9" hidden="1">1</definedName>
    <definedName name="solver_typ" localSheetId="12" hidden="1">1</definedName>
    <definedName name="solver_typ" localSheetId="6" hidden="1">1</definedName>
    <definedName name="solver_typ" localSheetId="3" hidden="1">1</definedName>
    <definedName name="solver_typ" localSheetId="1" hidden="1">1</definedName>
    <definedName name="solver_typ" localSheetId="7" hidden="1">1</definedName>
    <definedName name="solver_typ" localSheetId="10" hidden="1">1</definedName>
    <definedName name="solver_typ" localSheetId="4" hidden="1">1</definedName>
    <definedName name="solver_typ" localSheetId="2" hidden="1">1</definedName>
    <definedName name="solver_typ" localSheetId="8" hidden="1">1</definedName>
    <definedName name="solver_typ" localSheetId="11" hidden="1">1</definedName>
    <definedName name="solver_typ" localSheetId="5" hidden="1">1</definedName>
    <definedName name="solver_val" localSheetId="9" hidden="1">0</definedName>
    <definedName name="solver_val" localSheetId="12" hidden="1">0</definedName>
    <definedName name="solver_val" localSheetId="6" hidden="1">0</definedName>
    <definedName name="solver_val" localSheetId="3" hidden="1">0</definedName>
    <definedName name="solver_val" localSheetId="1" hidden="1">0</definedName>
    <definedName name="solver_val" localSheetId="7" hidden="1">0</definedName>
    <definedName name="solver_val" localSheetId="10" hidden="1">0</definedName>
    <definedName name="solver_val" localSheetId="4" hidden="1">0</definedName>
    <definedName name="solver_val" localSheetId="2" hidden="1">0</definedName>
    <definedName name="solver_val" localSheetId="8" hidden="1">0</definedName>
    <definedName name="solver_val" localSheetId="11" hidden="1">0</definedName>
    <definedName name="solver_val" localSheetId="5" hidden="1">0</definedName>
    <definedName name="solver_ver" localSheetId="9" hidden="1">3</definedName>
    <definedName name="solver_ver" localSheetId="12" hidden="1">3</definedName>
    <definedName name="solver_ver" localSheetId="6" hidden="1">3</definedName>
    <definedName name="solver_ver" localSheetId="3" hidden="1">3</definedName>
    <definedName name="solver_ver" localSheetId="1" hidden="1">3</definedName>
    <definedName name="solver_ver" localSheetId="7" hidden="1">3</definedName>
    <definedName name="solver_ver" localSheetId="10" hidden="1">3</definedName>
    <definedName name="solver_ver" localSheetId="4" hidden="1">3</definedName>
    <definedName name="solver_ver" localSheetId="2" hidden="1">3</definedName>
    <definedName name="solver_ver" localSheetId="8" hidden="1">3</definedName>
    <definedName name="solver_ver" localSheetId="11" hidden="1">3</definedName>
    <definedName name="solver_ver" localSheetId="5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1" l="1"/>
  <c r="F38" i="13"/>
  <c r="E38" i="13"/>
  <c r="D38" i="13"/>
  <c r="F37" i="13"/>
  <c r="E37" i="13"/>
  <c r="D37" i="13"/>
  <c r="F36" i="13"/>
  <c r="H36" i="13" s="1"/>
  <c r="I36" i="13" s="1"/>
  <c r="E36" i="13"/>
  <c r="D36" i="13"/>
  <c r="F35" i="13"/>
  <c r="H35" i="13" s="1"/>
  <c r="I35" i="13" s="1"/>
  <c r="E35" i="13"/>
  <c r="D35" i="13"/>
  <c r="F34" i="13"/>
  <c r="H34" i="13" s="1"/>
  <c r="I34" i="13" s="1"/>
  <c r="E34" i="13"/>
  <c r="D34" i="13"/>
  <c r="F33" i="13"/>
  <c r="E33" i="13"/>
  <c r="D33" i="13"/>
  <c r="F32" i="13"/>
  <c r="E32" i="13"/>
  <c r="D32" i="13"/>
  <c r="F31" i="13"/>
  <c r="H31" i="13" s="1"/>
  <c r="I31" i="13" s="1"/>
  <c r="E31" i="13"/>
  <c r="D31" i="13"/>
  <c r="F30" i="13"/>
  <c r="H30" i="13" s="1"/>
  <c r="I30" i="13" s="1"/>
  <c r="E30" i="13"/>
  <c r="D30" i="13"/>
  <c r="F29" i="13"/>
  <c r="E29" i="13"/>
  <c r="D29" i="13"/>
  <c r="F28" i="13"/>
  <c r="E28" i="13"/>
  <c r="D28" i="13"/>
  <c r="F27" i="13"/>
  <c r="E27" i="13"/>
  <c r="D27" i="13"/>
  <c r="F26" i="13"/>
  <c r="H26" i="13" s="1"/>
  <c r="I26" i="13" s="1"/>
  <c r="E26" i="13"/>
  <c r="D26" i="13"/>
  <c r="F25" i="13"/>
  <c r="E25" i="13"/>
  <c r="D25" i="13"/>
  <c r="F24" i="13"/>
  <c r="H24" i="13" s="1"/>
  <c r="I24" i="13" s="1"/>
  <c r="E24" i="13"/>
  <c r="D24" i="13"/>
  <c r="F23" i="13"/>
  <c r="E23" i="13"/>
  <c r="D23" i="13"/>
  <c r="F22" i="13"/>
  <c r="E22" i="13"/>
  <c r="D22" i="13"/>
  <c r="F21" i="13"/>
  <c r="E21" i="13"/>
  <c r="D21" i="13"/>
  <c r="F20" i="13"/>
  <c r="H20" i="13" s="1"/>
  <c r="I20" i="13" s="1"/>
  <c r="E20" i="13"/>
  <c r="D20" i="13"/>
  <c r="F19" i="13"/>
  <c r="H19" i="13" s="1"/>
  <c r="I19" i="13" s="1"/>
  <c r="E19" i="13"/>
  <c r="D19" i="13"/>
  <c r="F18" i="13"/>
  <c r="H18" i="13" s="1"/>
  <c r="I18" i="13" s="1"/>
  <c r="E18" i="13"/>
  <c r="D18" i="13"/>
  <c r="F17" i="13"/>
  <c r="E17" i="13"/>
  <c r="D17" i="13"/>
  <c r="F16" i="13"/>
  <c r="E16" i="13"/>
  <c r="D16" i="13"/>
  <c r="F15" i="13"/>
  <c r="H15" i="13" s="1"/>
  <c r="I15" i="13" s="1"/>
  <c r="E15" i="13"/>
  <c r="D15" i="13"/>
  <c r="F14" i="13"/>
  <c r="H14" i="13" s="1"/>
  <c r="I14" i="13" s="1"/>
  <c r="E14" i="13"/>
  <c r="D14" i="13"/>
  <c r="F9" i="13"/>
  <c r="F8" i="13"/>
  <c r="H5" i="13"/>
  <c r="H4" i="13" s="1"/>
  <c r="F38" i="12"/>
  <c r="E38" i="12"/>
  <c r="D38" i="12"/>
  <c r="F37" i="12"/>
  <c r="E37" i="12"/>
  <c r="D37" i="12"/>
  <c r="F36" i="12"/>
  <c r="E36" i="12"/>
  <c r="D36" i="12"/>
  <c r="F35" i="12"/>
  <c r="H35" i="12" s="1"/>
  <c r="I35" i="12" s="1"/>
  <c r="E35" i="12"/>
  <c r="D35" i="12"/>
  <c r="F34" i="12"/>
  <c r="H34" i="12" s="1"/>
  <c r="I34" i="12" s="1"/>
  <c r="E34" i="12"/>
  <c r="D34" i="12"/>
  <c r="F33" i="12"/>
  <c r="E33" i="12"/>
  <c r="D33" i="12"/>
  <c r="F32" i="12"/>
  <c r="E32" i="12"/>
  <c r="D32" i="12"/>
  <c r="F31" i="12"/>
  <c r="E31" i="12"/>
  <c r="D31" i="12"/>
  <c r="F30" i="12"/>
  <c r="H30" i="12" s="1"/>
  <c r="I30" i="12" s="1"/>
  <c r="E30" i="12"/>
  <c r="D30" i="12"/>
  <c r="F29" i="12"/>
  <c r="E29" i="12"/>
  <c r="D29" i="12"/>
  <c r="F28" i="12"/>
  <c r="H28" i="12" s="1"/>
  <c r="I28" i="12" s="1"/>
  <c r="E28" i="12"/>
  <c r="D28" i="12"/>
  <c r="F27" i="12"/>
  <c r="E27" i="12"/>
  <c r="D27" i="12"/>
  <c r="F26" i="12"/>
  <c r="E26" i="12"/>
  <c r="D26" i="12"/>
  <c r="F25" i="12"/>
  <c r="E25" i="12"/>
  <c r="D25" i="12"/>
  <c r="F24" i="12"/>
  <c r="H24" i="12" s="1"/>
  <c r="I24" i="12" s="1"/>
  <c r="E24" i="12"/>
  <c r="D24" i="12"/>
  <c r="F23" i="12"/>
  <c r="H23" i="12" s="1"/>
  <c r="I23" i="12" s="1"/>
  <c r="E23" i="12"/>
  <c r="D23" i="12"/>
  <c r="F22" i="12"/>
  <c r="E22" i="12"/>
  <c r="D22" i="12"/>
  <c r="F21" i="12"/>
  <c r="E21" i="12"/>
  <c r="D21" i="12"/>
  <c r="F20" i="12"/>
  <c r="E20" i="12"/>
  <c r="D20" i="12"/>
  <c r="F19" i="12"/>
  <c r="H19" i="12" s="1"/>
  <c r="I19" i="12" s="1"/>
  <c r="E19" i="12"/>
  <c r="D19" i="12"/>
  <c r="F18" i="12"/>
  <c r="H18" i="12" s="1"/>
  <c r="I18" i="12" s="1"/>
  <c r="E18" i="12"/>
  <c r="D18" i="12"/>
  <c r="F17" i="12"/>
  <c r="E17" i="12"/>
  <c r="D17" i="12"/>
  <c r="F16" i="12"/>
  <c r="E16" i="12"/>
  <c r="D16" i="12"/>
  <c r="F15" i="12"/>
  <c r="E15" i="12"/>
  <c r="D15" i="12"/>
  <c r="F14" i="12"/>
  <c r="H14" i="12" s="1"/>
  <c r="I14" i="12" s="1"/>
  <c r="E14" i="12"/>
  <c r="D14" i="12"/>
  <c r="F9" i="12"/>
  <c r="F8" i="12"/>
  <c r="H5" i="12"/>
  <c r="H4" i="12" s="1"/>
  <c r="F38" i="11"/>
  <c r="H38" i="11" s="1"/>
  <c r="I38" i="11" s="1"/>
  <c r="E38" i="11"/>
  <c r="D38" i="11"/>
  <c r="F37" i="11"/>
  <c r="E37" i="11"/>
  <c r="D37" i="11"/>
  <c r="F36" i="11"/>
  <c r="E36" i="11"/>
  <c r="D36" i="11"/>
  <c r="F35" i="11"/>
  <c r="E35" i="11"/>
  <c r="D35" i="11"/>
  <c r="F34" i="11"/>
  <c r="H34" i="11" s="1"/>
  <c r="I34" i="11" s="1"/>
  <c r="E34" i="11"/>
  <c r="D34" i="11"/>
  <c r="F33" i="11"/>
  <c r="E33" i="11"/>
  <c r="D33" i="11"/>
  <c r="F32" i="11"/>
  <c r="H32" i="11" s="1"/>
  <c r="I32" i="11" s="1"/>
  <c r="E32" i="11"/>
  <c r="D32" i="11"/>
  <c r="F31" i="11"/>
  <c r="E31" i="11"/>
  <c r="D31" i="11"/>
  <c r="F30" i="11"/>
  <c r="E30" i="11"/>
  <c r="D30" i="11"/>
  <c r="F29" i="11"/>
  <c r="E29" i="11"/>
  <c r="D29" i="11"/>
  <c r="F28" i="11"/>
  <c r="H28" i="11" s="1"/>
  <c r="I28" i="11" s="1"/>
  <c r="E28" i="11"/>
  <c r="D28" i="11"/>
  <c r="F27" i="11"/>
  <c r="H27" i="11" s="1"/>
  <c r="I27" i="11" s="1"/>
  <c r="E27" i="11"/>
  <c r="D27" i="11"/>
  <c r="F26" i="11"/>
  <c r="E26" i="11"/>
  <c r="D26" i="11"/>
  <c r="F25" i="11"/>
  <c r="E25" i="11"/>
  <c r="D25" i="11"/>
  <c r="F24" i="11"/>
  <c r="E24" i="11"/>
  <c r="D24" i="11"/>
  <c r="F23" i="11"/>
  <c r="H23" i="11" s="1"/>
  <c r="I23" i="11" s="1"/>
  <c r="E23" i="11"/>
  <c r="D23" i="11"/>
  <c r="F22" i="11"/>
  <c r="H22" i="11" s="1"/>
  <c r="I22" i="11" s="1"/>
  <c r="E22" i="11"/>
  <c r="D22" i="11"/>
  <c r="F21" i="11"/>
  <c r="E21" i="11"/>
  <c r="D21" i="11"/>
  <c r="F20" i="11"/>
  <c r="E20" i="11"/>
  <c r="D20" i="11"/>
  <c r="F19" i="11"/>
  <c r="E19" i="11"/>
  <c r="D19" i="11"/>
  <c r="F18" i="11"/>
  <c r="H18" i="11" s="1"/>
  <c r="I18" i="11" s="1"/>
  <c r="E18" i="11"/>
  <c r="D18" i="11"/>
  <c r="F17" i="11"/>
  <c r="E17" i="11"/>
  <c r="D17" i="11"/>
  <c r="F16" i="11"/>
  <c r="H16" i="11" s="1"/>
  <c r="I16" i="11" s="1"/>
  <c r="E16" i="11"/>
  <c r="D16" i="11"/>
  <c r="F15" i="11"/>
  <c r="E15" i="11"/>
  <c r="D15" i="11"/>
  <c r="F14" i="11"/>
  <c r="E14" i="11"/>
  <c r="D14" i="11"/>
  <c r="F9" i="11"/>
  <c r="F8" i="11"/>
  <c r="H5" i="11"/>
  <c r="H4" i="11" s="1"/>
  <c r="F38" i="10"/>
  <c r="H38" i="10" s="1"/>
  <c r="I38" i="10" s="1"/>
  <c r="E38" i="10"/>
  <c r="D38" i="10"/>
  <c r="F37" i="10"/>
  <c r="E37" i="10"/>
  <c r="D37" i="10"/>
  <c r="F36" i="10"/>
  <c r="E36" i="10"/>
  <c r="D36" i="10"/>
  <c r="F35" i="10"/>
  <c r="E35" i="10"/>
  <c r="D35" i="10"/>
  <c r="F34" i="10"/>
  <c r="H34" i="10" s="1"/>
  <c r="I34" i="10" s="1"/>
  <c r="E34" i="10"/>
  <c r="D34" i="10"/>
  <c r="F33" i="10"/>
  <c r="E33" i="10"/>
  <c r="D33" i="10"/>
  <c r="F32" i="10"/>
  <c r="H32" i="10" s="1"/>
  <c r="I32" i="10" s="1"/>
  <c r="E32" i="10"/>
  <c r="D32" i="10"/>
  <c r="F31" i="10"/>
  <c r="E31" i="10"/>
  <c r="D31" i="10"/>
  <c r="F30" i="10"/>
  <c r="E30" i="10"/>
  <c r="D30" i="10"/>
  <c r="F29" i="10"/>
  <c r="E29" i="10"/>
  <c r="D29" i="10"/>
  <c r="F28" i="10"/>
  <c r="H28" i="10" s="1"/>
  <c r="I28" i="10" s="1"/>
  <c r="E28" i="10"/>
  <c r="D28" i="10"/>
  <c r="F27" i="10"/>
  <c r="H27" i="10" s="1"/>
  <c r="I27" i="10" s="1"/>
  <c r="E27" i="10"/>
  <c r="D27" i="10"/>
  <c r="F26" i="10"/>
  <c r="H26" i="10" s="1"/>
  <c r="I26" i="10" s="1"/>
  <c r="E26" i="10"/>
  <c r="D26" i="10"/>
  <c r="F25" i="10"/>
  <c r="E25" i="10"/>
  <c r="D25" i="10"/>
  <c r="F24" i="10"/>
  <c r="E24" i="10"/>
  <c r="D24" i="10"/>
  <c r="F23" i="10"/>
  <c r="H23" i="10" s="1"/>
  <c r="I23" i="10" s="1"/>
  <c r="E23" i="10"/>
  <c r="D23" i="10"/>
  <c r="F22" i="10"/>
  <c r="H22" i="10" s="1"/>
  <c r="I22" i="10" s="1"/>
  <c r="E22" i="10"/>
  <c r="D22" i="10"/>
  <c r="F21" i="10"/>
  <c r="E21" i="10"/>
  <c r="D21" i="10"/>
  <c r="F20" i="10"/>
  <c r="E20" i="10"/>
  <c r="D20" i="10"/>
  <c r="F19" i="10"/>
  <c r="E19" i="10"/>
  <c r="D19" i="10"/>
  <c r="F18" i="10"/>
  <c r="H18" i="10" s="1"/>
  <c r="I18" i="10" s="1"/>
  <c r="E18" i="10"/>
  <c r="D18" i="10"/>
  <c r="F17" i="10"/>
  <c r="E17" i="10"/>
  <c r="D17" i="10"/>
  <c r="F16" i="10"/>
  <c r="H16" i="10" s="1"/>
  <c r="I16" i="10" s="1"/>
  <c r="E16" i="10"/>
  <c r="D16" i="10"/>
  <c r="F15" i="10"/>
  <c r="E15" i="10"/>
  <c r="D15" i="10"/>
  <c r="F14" i="10"/>
  <c r="E14" i="10"/>
  <c r="D14" i="10"/>
  <c r="F9" i="10"/>
  <c r="F8" i="10"/>
  <c r="H5" i="10"/>
  <c r="H4" i="10" s="1"/>
  <c r="F38" i="9"/>
  <c r="H38" i="9" s="1"/>
  <c r="I38" i="9" s="1"/>
  <c r="E38" i="9"/>
  <c r="D38" i="9"/>
  <c r="F37" i="9"/>
  <c r="H37" i="9" s="1"/>
  <c r="I37" i="9" s="1"/>
  <c r="E37" i="9"/>
  <c r="D37" i="9"/>
  <c r="F36" i="9"/>
  <c r="H36" i="9" s="1"/>
  <c r="I36" i="9" s="1"/>
  <c r="E36" i="9"/>
  <c r="D36" i="9"/>
  <c r="F35" i="9"/>
  <c r="E35" i="9"/>
  <c r="D35" i="9"/>
  <c r="F34" i="9"/>
  <c r="E34" i="9"/>
  <c r="D34" i="9"/>
  <c r="F33" i="9"/>
  <c r="H33" i="9" s="1"/>
  <c r="I33" i="9" s="1"/>
  <c r="E33" i="9"/>
  <c r="D33" i="9"/>
  <c r="F32" i="9"/>
  <c r="H32" i="9" s="1"/>
  <c r="I32" i="9" s="1"/>
  <c r="E32" i="9"/>
  <c r="D32" i="9"/>
  <c r="F31" i="9"/>
  <c r="E31" i="9"/>
  <c r="D31" i="9"/>
  <c r="F30" i="9"/>
  <c r="E30" i="9"/>
  <c r="D30" i="9"/>
  <c r="F29" i="9"/>
  <c r="E29" i="9"/>
  <c r="D29" i="9"/>
  <c r="F28" i="9"/>
  <c r="H28" i="9" s="1"/>
  <c r="I28" i="9" s="1"/>
  <c r="E28" i="9"/>
  <c r="D28" i="9"/>
  <c r="F27" i="9"/>
  <c r="E27" i="9"/>
  <c r="D27" i="9"/>
  <c r="F26" i="9"/>
  <c r="H26" i="9" s="1"/>
  <c r="I26" i="9" s="1"/>
  <c r="E26" i="9"/>
  <c r="D26" i="9"/>
  <c r="F25" i="9"/>
  <c r="E25" i="9"/>
  <c r="D25" i="9"/>
  <c r="F24" i="9"/>
  <c r="E24" i="9"/>
  <c r="D24" i="9"/>
  <c r="F23" i="9"/>
  <c r="E23" i="9"/>
  <c r="D23" i="9"/>
  <c r="F22" i="9"/>
  <c r="H22" i="9" s="1"/>
  <c r="I22" i="9" s="1"/>
  <c r="E22" i="9"/>
  <c r="D22" i="9"/>
  <c r="F21" i="9"/>
  <c r="H21" i="9" s="1"/>
  <c r="I21" i="9" s="1"/>
  <c r="E21" i="9"/>
  <c r="D21" i="9"/>
  <c r="F20" i="9"/>
  <c r="H20" i="9" s="1"/>
  <c r="I20" i="9" s="1"/>
  <c r="E20" i="9"/>
  <c r="D20" i="9"/>
  <c r="F19" i="9"/>
  <c r="E19" i="9"/>
  <c r="D19" i="9"/>
  <c r="F18" i="9"/>
  <c r="E18" i="9"/>
  <c r="D18" i="9"/>
  <c r="F17" i="9"/>
  <c r="H17" i="9" s="1"/>
  <c r="I17" i="9" s="1"/>
  <c r="E17" i="9"/>
  <c r="D17" i="9"/>
  <c r="F16" i="9"/>
  <c r="H16" i="9" s="1"/>
  <c r="I16" i="9" s="1"/>
  <c r="E16" i="9"/>
  <c r="D16" i="9"/>
  <c r="F15" i="9"/>
  <c r="E15" i="9"/>
  <c r="D15" i="9"/>
  <c r="F14" i="9"/>
  <c r="E14" i="9"/>
  <c r="D14" i="9"/>
  <c r="F9" i="9"/>
  <c r="F8" i="9"/>
  <c r="H5" i="9"/>
  <c r="H4" i="9"/>
  <c r="F38" i="8"/>
  <c r="H38" i="8" s="1"/>
  <c r="I38" i="8" s="1"/>
  <c r="E38" i="8"/>
  <c r="D38" i="8"/>
  <c r="F37" i="8"/>
  <c r="E37" i="8"/>
  <c r="D37" i="8"/>
  <c r="F36" i="8"/>
  <c r="E36" i="8"/>
  <c r="D36" i="8"/>
  <c r="F35" i="8"/>
  <c r="E35" i="8"/>
  <c r="D35" i="8"/>
  <c r="F34" i="8"/>
  <c r="H34" i="8" s="1"/>
  <c r="I34" i="8" s="1"/>
  <c r="E34" i="8"/>
  <c r="D34" i="8"/>
  <c r="F33" i="8"/>
  <c r="E33" i="8"/>
  <c r="D33" i="8"/>
  <c r="F32" i="8"/>
  <c r="E32" i="8"/>
  <c r="D32" i="8"/>
  <c r="F31" i="8"/>
  <c r="E31" i="8"/>
  <c r="D31" i="8"/>
  <c r="F30" i="8"/>
  <c r="H30" i="8" s="1"/>
  <c r="I30" i="8" s="1"/>
  <c r="E30" i="8"/>
  <c r="D30" i="8"/>
  <c r="F29" i="8"/>
  <c r="E29" i="8"/>
  <c r="D29" i="8"/>
  <c r="F28" i="8"/>
  <c r="E28" i="8"/>
  <c r="D28" i="8"/>
  <c r="F27" i="8"/>
  <c r="E27" i="8"/>
  <c r="D27" i="8"/>
  <c r="F26" i="8"/>
  <c r="H26" i="8" s="1"/>
  <c r="I26" i="8" s="1"/>
  <c r="E26" i="8"/>
  <c r="D26" i="8"/>
  <c r="F25" i="8"/>
  <c r="E25" i="8"/>
  <c r="D25" i="8"/>
  <c r="F24" i="8"/>
  <c r="E24" i="8"/>
  <c r="D24" i="8"/>
  <c r="F23" i="8"/>
  <c r="E23" i="8"/>
  <c r="D23" i="8"/>
  <c r="F22" i="8"/>
  <c r="H22" i="8" s="1"/>
  <c r="I22" i="8" s="1"/>
  <c r="E22" i="8"/>
  <c r="D22" i="8"/>
  <c r="F21" i="8"/>
  <c r="E21" i="8"/>
  <c r="D21" i="8"/>
  <c r="F20" i="8"/>
  <c r="E20" i="8"/>
  <c r="D20" i="8"/>
  <c r="F19" i="8"/>
  <c r="E19" i="8"/>
  <c r="D19" i="8"/>
  <c r="F18" i="8"/>
  <c r="H18" i="8" s="1"/>
  <c r="I18" i="8" s="1"/>
  <c r="E18" i="8"/>
  <c r="D18" i="8"/>
  <c r="F17" i="8"/>
  <c r="E17" i="8"/>
  <c r="D17" i="8"/>
  <c r="F16" i="8"/>
  <c r="E16" i="8"/>
  <c r="D16" i="8"/>
  <c r="F15" i="8"/>
  <c r="E15" i="8"/>
  <c r="D15" i="8"/>
  <c r="F14" i="8"/>
  <c r="H14" i="8" s="1"/>
  <c r="I14" i="8" s="1"/>
  <c r="E14" i="8"/>
  <c r="D14" i="8"/>
  <c r="F9" i="8"/>
  <c r="F8" i="8"/>
  <c r="K5" i="8"/>
  <c r="H5" i="8"/>
  <c r="H4" i="8"/>
  <c r="H22" i="13" l="1"/>
  <c r="I22" i="13" s="1"/>
  <c r="H33" i="13"/>
  <c r="I33" i="13" s="1"/>
  <c r="H38" i="13"/>
  <c r="I38" i="13" s="1"/>
  <c r="H17" i="13"/>
  <c r="I17" i="13" s="1"/>
  <c r="H37" i="13"/>
  <c r="I37" i="13" s="1"/>
  <c r="H21" i="13"/>
  <c r="I21" i="13" s="1"/>
  <c r="H25" i="13"/>
  <c r="I25" i="13" s="1"/>
  <c r="H29" i="13"/>
  <c r="I29" i="13" s="1"/>
  <c r="H38" i="12"/>
  <c r="I38" i="12" s="1"/>
  <c r="H33" i="12"/>
  <c r="I33" i="12" s="1"/>
  <c r="H21" i="12"/>
  <c r="I21" i="12" s="1"/>
  <c r="H25" i="12"/>
  <c r="I25" i="12" s="1"/>
  <c r="H29" i="12"/>
  <c r="I29" i="12" s="1"/>
  <c r="H37" i="12"/>
  <c r="I37" i="12" s="1"/>
  <c r="H17" i="12"/>
  <c r="I17" i="12" s="1"/>
  <c r="H22" i="12"/>
  <c r="I22" i="12" s="1"/>
  <c r="H26" i="12"/>
  <c r="I26" i="12" s="1"/>
  <c r="H26" i="11"/>
  <c r="I26" i="11" s="1"/>
  <c r="H30" i="11"/>
  <c r="I30" i="11" s="1"/>
  <c r="H21" i="11"/>
  <c r="I21" i="11" s="1"/>
  <c r="H25" i="11"/>
  <c r="I25" i="11" s="1"/>
  <c r="H29" i="11"/>
  <c r="I29" i="11" s="1"/>
  <c r="H33" i="11"/>
  <c r="I33" i="11" s="1"/>
  <c r="H14" i="11"/>
  <c r="I14" i="11" s="1"/>
  <c r="H37" i="11"/>
  <c r="I37" i="11" s="1"/>
  <c r="H17" i="11"/>
  <c r="I17" i="11" s="1"/>
  <c r="H23" i="13"/>
  <c r="I23" i="13" s="1"/>
  <c r="H28" i="13"/>
  <c r="I28" i="13" s="1"/>
  <c r="H16" i="13"/>
  <c r="I16" i="13" s="1"/>
  <c r="H8" i="13" s="1"/>
  <c r="J8" i="13" s="1"/>
  <c r="H27" i="13"/>
  <c r="I27" i="13" s="1"/>
  <c r="H32" i="13"/>
  <c r="I32" i="13" s="1"/>
  <c r="H16" i="12"/>
  <c r="I16" i="12" s="1"/>
  <c r="H27" i="12"/>
  <c r="I27" i="12" s="1"/>
  <c r="H32" i="12"/>
  <c r="I32" i="12" s="1"/>
  <c r="H15" i="12"/>
  <c r="I15" i="12" s="1"/>
  <c r="H20" i="12"/>
  <c r="I20" i="12" s="1"/>
  <c r="H31" i="12"/>
  <c r="I31" i="12" s="1"/>
  <c r="H36" i="12"/>
  <c r="I36" i="12" s="1"/>
  <c r="H15" i="11"/>
  <c r="I15" i="11" s="1"/>
  <c r="H20" i="11"/>
  <c r="I20" i="11" s="1"/>
  <c r="H31" i="11"/>
  <c r="I31" i="11" s="1"/>
  <c r="H36" i="11"/>
  <c r="I36" i="11" s="1"/>
  <c r="H19" i="11"/>
  <c r="I19" i="11" s="1"/>
  <c r="H24" i="11"/>
  <c r="I24" i="11" s="1"/>
  <c r="H35" i="11"/>
  <c r="I35" i="11" s="1"/>
  <c r="H30" i="10"/>
  <c r="I30" i="10" s="1"/>
  <c r="H21" i="10"/>
  <c r="I21" i="10" s="1"/>
  <c r="H25" i="10"/>
  <c r="I25" i="10" s="1"/>
  <c r="H14" i="10"/>
  <c r="I14" i="10" s="1"/>
  <c r="H29" i="10"/>
  <c r="I29" i="10" s="1"/>
  <c r="H33" i="10"/>
  <c r="I33" i="10" s="1"/>
  <c r="H17" i="10"/>
  <c r="I17" i="10" s="1"/>
  <c r="H37" i="10"/>
  <c r="I37" i="10" s="1"/>
  <c r="H31" i="9"/>
  <c r="I31" i="9" s="1"/>
  <c r="H35" i="9"/>
  <c r="I35" i="9" s="1"/>
  <c r="H15" i="9"/>
  <c r="I15" i="9" s="1"/>
  <c r="H19" i="9"/>
  <c r="I19" i="9" s="1"/>
  <c r="H24" i="9"/>
  <c r="I24" i="9" s="1"/>
  <c r="H23" i="9"/>
  <c r="I23" i="9" s="1"/>
  <c r="H27" i="9"/>
  <c r="I27" i="9" s="1"/>
  <c r="H37" i="8"/>
  <c r="I37" i="8" s="1"/>
  <c r="H15" i="8"/>
  <c r="I15" i="8" s="1"/>
  <c r="H27" i="8"/>
  <c r="I27" i="8" s="1"/>
  <c r="H32" i="8"/>
  <c r="I32" i="8" s="1"/>
  <c r="H36" i="8"/>
  <c r="I36" i="8" s="1"/>
  <c r="H21" i="8"/>
  <c r="I21" i="8" s="1"/>
  <c r="H31" i="8"/>
  <c r="I31" i="8" s="1"/>
  <c r="H16" i="8"/>
  <c r="I16" i="8" s="1"/>
  <c r="H20" i="8"/>
  <c r="I20" i="8" s="1"/>
  <c r="H25" i="8"/>
  <c r="I25" i="8" s="1"/>
  <c r="H19" i="8"/>
  <c r="I19" i="8" s="1"/>
  <c r="H24" i="8"/>
  <c r="I24" i="8" s="1"/>
  <c r="H29" i="8"/>
  <c r="I29" i="8" s="1"/>
  <c r="H35" i="8"/>
  <c r="I35" i="8" s="1"/>
  <c r="H17" i="8"/>
  <c r="I17" i="8" s="1"/>
  <c r="H23" i="8"/>
  <c r="I23" i="8" s="1"/>
  <c r="H28" i="8"/>
  <c r="I28" i="8" s="1"/>
  <c r="H33" i="8"/>
  <c r="I33" i="8" s="1"/>
  <c r="H15" i="10"/>
  <c r="I15" i="10" s="1"/>
  <c r="H20" i="10"/>
  <c r="I20" i="10" s="1"/>
  <c r="H31" i="10"/>
  <c r="I31" i="10" s="1"/>
  <c r="H36" i="10"/>
  <c r="I36" i="10" s="1"/>
  <c r="H19" i="10"/>
  <c r="I19" i="10" s="1"/>
  <c r="H24" i="10"/>
  <c r="I24" i="10" s="1"/>
  <c r="H35" i="10"/>
  <c r="I35" i="10" s="1"/>
  <c r="H14" i="9"/>
  <c r="I14" i="9" s="1"/>
  <c r="H25" i="9"/>
  <c r="I25" i="9" s="1"/>
  <c r="H30" i="9"/>
  <c r="I30" i="9" s="1"/>
  <c r="H18" i="9"/>
  <c r="I18" i="9" s="1"/>
  <c r="H29" i="9"/>
  <c r="I29" i="9" s="1"/>
  <c r="H34" i="9"/>
  <c r="I34" i="9" s="1"/>
  <c r="B51" i="7"/>
  <c r="B50" i="7"/>
  <c r="B49" i="7"/>
  <c r="B48" i="7"/>
  <c r="B47" i="7"/>
  <c r="B46" i="7"/>
  <c r="B45" i="7"/>
  <c r="B44" i="7"/>
  <c r="B43" i="7"/>
  <c r="B42" i="7"/>
  <c r="B41" i="7"/>
  <c r="B40" i="7"/>
  <c r="B39" i="7"/>
  <c r="B38" i="7"/>
  <c r="B37" i="7"/>
  <c r="B36" i="7"/>
  <c r="B35" i="7"/>
  <c r="B34" i="7"/>
  <c r="B33" i="7"/>
  <c r="B32" i="7"/>
  <c r="B31" i="7"/>
  <c r="B30" i="7"/>
  <c r="B29" i="7"/>
  <c r="B28" i="7"/>
  <c r="B27" i="7"/>
  <c r="B26" i="7"/>
  <c r="B25" i="7"/>
  <c r="B24" i="7"/>
  <c r="B23" i="7"/>
  <c r="B22" i="7"/>
  <c r="B21" i="7"/>
  <c r="B20" i="7"/>
  <c r="B19" i="7"/>
  <c r="B18" i="7"/>
  <c r="B17" i="7"/>
  <c r="B16" i="7"/>
  <c r="B15" i="7"/>
  <c r="B14" i="7"/>
  <c r="B13" i="7"/>
  <c r="B12" i="7"/>
  <c r="B11" i="7"/>
  <c r="B10" i="7"/>
  <c r="B9" i="7"/>
  <c r="B8" i="7"/>
  <c r="B7" i="7"/>
  <c r="B6" i="7"/>
  <c r="B5" i="7"/>
  <c r="B4" i="7"/>
  <c r="B3" i="7"/>
  <c r="B2" i="7"/>
  <c r="H8" i="12" l="1"/>
  <c r="J8" i="12" s="1"/>
  <c r="H8" i="11"/>
  <c r="J8" i="11" s="1"/>
  <c r="H8" i="10"/>
  <c r="J8" i="10" s="1"/>
  <c r="H8" i="9"/>
  <c r="J8" i="9" s="1"/>
  <c r="H8" i="8"/>
  <c r="J8" i="8" s="1"/>
  <c r="F38" i="6"/>
  <c r="H38" i="6" s="1"/>
  <c r="I38" i="6" s="1"/>
  <c r="E38" i="6"/>
  <c r="D38" i="6"/>
  <c r="F37" i="6"/>
  <c r="E37" i="6"/>
  <c r="D37" i="6"/>
  <c r="F36" i="6"/>
  <c r="H36" i="6" s="1"/>
  <c r="I36" i="6" s="1"/>
  <c r="E36" i="6"/>
  <c r="D36" i="6"/>
  <c r="F35" i="6"/>
  <c r="E35" i="6"/>
  <c r="D35" i="6"/>
  <c r="F34" i="6"/>
  <c r="E34" i="6"/>
  <c r="D34" i="6"/>
  <c r="F33" i="6"/>
  <c r="E33" i="6"/>
  <c r="D33" i="6"/>
  <c r="F32" i="6"/>
  <c r="H32" i="6" s="1"/>
  <c r="I32" i="6" s="1"/>
  <c r="E32" i="6"/>
  <c r="D32" i="6"/>
  <c r="F31" i="6"/>
  <c r="H31" i="6" s="1"/>
  <c r="I31" i="6" s="1"/>
  <c r="E31" i="6"/>
  <c r="D31" i="6"/>
  <c r="F30" i="6"/>
  <c r="H30" i="6" s="1"/>
  <c r="I30" i="6" s="1"/>
  <c r="E30" i="6"/>
  <c r="D30" i="6"/>
  <c r="F29" i="6"/>
  <c r="E29" i="6"/>
  <c r="D29" i="6"/>
  <c r="F28" i="6"/>
  <c r="E28" i="6"/>
  <c r="D28" i="6"/>
  <c r="F27" i="6"/>
  <c r="H27" i="6" s="1"/>
  <c r="I27" i="6" s="1"/>
  <c r="E27" i="6"/>
  <c r="D27" i="6"/>
  <c r="F26" i="6"/>
  <c r="H26" i="6" s="1"/>
  <c r="I26" i="6" s="1"/>
  <c r="E26" i="6"/>
  <c r="D26" i="6"/>
  <c r="F25" i="6"/>
  <c r="E25" i="6"/>
  <c r="D25" i="6"/>
  <c r="F24" i="6"/>
  <c r="E24" i="6"/>
  <c r="D24" i="6"/>
  <c r="F23" i="6"/>
  <c r="E23" i="6"/>
  <c r="D23" i="6"/>
  <c r="F22" i="6"/>
  <c r="H22" i="6" s="1"/>
  <c r="I22" i="6" s="1"/>
  <c r="E22" i="6"/>
  <c r="D22" i="6"/>
  <c r="F21" i="6"/>
  <c r="E21" i="6"/>
  <c r="D21" i="6"/>
  <c r="F20" i="6"/>
  <c r="H20" i="6" s="1"/>
  <c r="I20" i="6" s="1"/>
  <c r="E20" i="6"/>
  <c r="D20" i="6"/>
  <c r="F19" i="6"/>
  <c r="E19" i="6"/>
  <c r="D19" i="6"/>
  <c r="F18" i="6"/>
  <c r="E18" i="6"/>
  <c r="D18" i="6"/>
  <c r="F17" i="6"/>
  <c r="E17" i="6"/>
  <c r="D17" i="6"/>
  <c r="F16" i="6"/>
  <c r="H16" i="6" s="1"/>
  <c r="I16" i="6" s="1"/>
  <c r="E16" i="6"/>
  <c r="D16" i="6"/>
  <c r="F15" i="6"/>
  <c r="H15" i="6" s="1"/>
  <c r="I15" i="6" s="1"/>
  <c r="E15" i="6"/>
  <c r="D15" i="6"/>
  <c r="F14" i="6"/>
  <c r="H14" i="6" s="1"/>
  <c r="I14" i="6" s="1"/>
  <c r="E14" i="6"/>
  <c r="D14" i="6"/>
  <c r="F9" i="6"/>
  <c r="F8" i="6"/>
  <c r="H5" i="6"/>
  <c r="H4" i="6" s="1"/>
  <c r="F38" i="5"/>
  <c r="H38" i="5" s="1"/>
  <c r="I38" i="5" s="1"/>
  <c r="E38" i="5"/>
  <c r="D38" i="5"/>
  <c r="F37" i="5"/>
  <c r="H37" i="5" s="1"/>
  <c r="I37" i="5" s="1"/>
  <c r="E37" i="5"/>
  <c r="D37" i="5"/>
  <c r="F36" i="5"/>
  <c r="H36" i="5" s="1"/>
  <c r="I36" i="5" s="1"/>
  <c r="E36" i="5"/>
  <c r="D36" i="5"/>
  <c r="F35" i="5"/>
  <c r="E35" i="5"/>
  <c r="D35" i="5"/>
  <c r="F34" i="5"/>
  <c r="E34" i="5"/>
  <c r="D34" i="5"/>
  <c r="F33" i="5"/>
  <c r="H33" i="5" s="1"/>
  <c r="I33" i="5" s="1"/>
  <c r="E33" i="5"/>
  <c r="D33" i="5"/>
  <c r="F32" i="5"/>
  <c r="H32" i="5" s="1"/>
  <c r="I32" i="5" s="1"/>
  <c r="E32" i="5"/>
  <c r="D32" i="5"/>
  <c r="F31" i="5"/>
  <c r="E31" i="5"/>
  <c r="D31" i="5"/>
  <c r="F30" i="5"/>
  <c r="E30" i="5"/>
  <c r="D30" i="5"/>
  <c r="F29" i="5"/>
  <c r="E29" i="5"/>
  <c r="D29" i="5"/>
  <c r="F28" i="5"/>
  <c r="H28" i="5" s="1"/>
  <c r="I28" i="5" s="1"/>
  <c r="E28" i="5"/>
  <c r="D28" i="5"/>
  <c r="F27" i="5"/>
  <c r="E27" i="5"/>
  <c r="D27" i="5"/>
  <c r="F26" i="5"/>
  <c r="H26" i="5" s="1"/>
  <c r="I26" i="5" s="1"/>
  <c r="E26" i="5"/>
  <c r="D26" i="5"/>
  <c r="F25" i="5"/>
  <c r="E25" i="5"/>
  <c r="D25" i="5"/>
  <c r="F24" i="5"/>
  <c r="E24" i="5"/>
  <c r="D24" i="5"/>
  <c r="F23" i="5"/>
  <c r="E23" i="5"/>
  <c r="D23" i="5"/>
  <c r="F22" i="5"/>
  <c r="H22" i="5" s="1"/>
  <c r="I22" i="5" s="1"/>
  <c r="E22" i="5"/>
  <c r="D22" i="5"/>
  <c r="F21" i="5"/>
  <c r="E21" i="5"/>
  <c r="D21" i="5"/>
  <c r="F20" i="5"/>
  <c r="E20" i="5"/>
  <c r="D20" i="5"/>
  <c r="F19" i="5"/>
  <c r="E19" i="5"/>
  <c r="D19" i="5"/>
  <c r="F18" i="5"/>
  <c r="E18" i="5"/>
  <c r="D18" i="5"/>
  <c r="F17" i="5"/>
  <c r="H17" i="5" s="1"/>
  <c r="I17" i="5" s="1"/>
  <c r="E17" i="5"/>
  <c r="D17" i="5"/>
  <c r="F16" i="5"/>
  <c r="H16" i="5" s="1"/>
  <c r="I16" i="5" s="1"/>
  <c r="E16" i="5"/>
  <c r="D16" i="5"/>
  <c r="F15" i="5"/>
  <c r="E15" i="5"/>
  <c r="D15" i="5"/>
  <c r="F14" i="5"/>
  <c r="E14" i="5"/>
  <c r="D14" i="5"/>
  <c r="F9" i="5"/>
  <c r="F8" i="5"/>
  <c r="H5" i="5"/>
  <c r="H4" i="5"/>
  <c r="F38" i="4"/>
  <c r="E38" i="4"/>
  <c r="D38" i="4"/>
  <c r="F37" i="4"/>
  <c r="E37" i="4"/>
  <c r="D37" i="4"/>
  <c r="H37" i="4" s="1"/>
  <c r="I37" i="4" s="1"/>
  <c r="F36" i="4"/>
  <c r="H36" i="4" s="1"/>
  <c r="I36" i="4" s="1"/>
  <c r="E36" i="4"/>
  <c r="D36" i="4"/>
  <c r="F35" i="4"/>
  <c r="H35" i="4" s="1"/>
  <c r="I35" i="4" s="1"/>
  <c r="E35" i="4"/>
  <c r="D35" i="4"/>
  <c r="F34" i="4"/>
  <c r="H34" i="4" s="1"/>
  <c r="I34" i="4" s="1"/>
  <c r="E34" i="4"/>
  <c r="D34" i="4"/>
  <c r="F33" i="4"/>
  <c r="E33" i="4"/>
  <c r="D33" i="4"/>
  <c r="F32" i="4"/>
  <c r="E32" i="4"/>
  <c r="D32" i="4"/>
  <c r="F31" i="4"/>
  <c r="H31" i="4" s="1"/>
  <c r="I31" i="4" s="1"/>
  <c r="E31" i="4"/>
  <c r="D31" i="4"/>
  <c r="F30" i="4"/>
  <c r="H30" i="4" s="1"/>
  <c r="I30" i="4" s="1"/>
  <c r="E30" i="4"/>
  <c r="D30" i="4"/>
  <c r="F29" i="4"/>
  <c r="E29" i="4"/>
  <c r="D29" i="4"/>
  <c r="F28" i="4"/>
  <c r="E28" i="4"/>
  <c r="D28" i="4"/>
  <c r="F27" i="4"/>
  <c r="E27" i="4"/>
  <c r="D27" i="4"/>
  <c r="F26" i="4"/>
  <c r="H26" i="4" s="1"/>
  <c r="I26" i="4" s="1"/>
  <c r="E26" i="4"/>
  <c r="D26" i="4"/>
  <c r="F25" i="4"/>
  <c r="E25" i="4"/>
  <c r="D25" i="4"/>
  <c r="F24" i="4"/>
  <c r="H24" i="4" s="1"/>
  <c r="I24" i="4" s="1"/>
  <c r="E24" i="4"/>
  <c r="D24" i="4"/>
  <c r="F23" i="4"/>
  <c r="E23" i="4"/>
  <c r="D23" i="4"/>
  <c r="F22" i="4"/>
  <c r="E22" i="4"/>
  <c r="D22" i="4"/>
  <c r="F21" i="4"/>
  <c r="E21" i="4"/>
  <c r="D21" i="4"/>
  <c r="F20" i="4"/>
  <c r="H20" i="4" s="1"/>
  <c r="I20" i="4" s="1"/>
  <c r="E20" i="4"/>
  <c r="D20" i="4"/>
  <c r="F19" i="4"/>
  <c r="H19" i="4" s="1"/>
  <c r="I19" i="4" s="1"/>
  <c r="E19" i="4"/>
  <c r="D19" i="4"/>
  <c r="F18" i="4"/>
  <c r="H18" i="4" s="1"/>
  <c r="I18" i="4" s="1"/>
  <c r="E18" i="4"/>
  <c r="D18" i="4"/>
  <c r="F17" i="4"/>
  <c r="E17" i="4"/>
  <c r="D17" i="4"/>
  <c r="F16" i="4"/>
  <c r="E16" i="4"/>
  <c r="D16" i="4"/>
  <c r="F15" i="4"/>
  <c r="H15" i="4" s="1"/>
  <c r="I15" i="4" s="1"/>
  <c r="E15" i="4"/>
  <c r="D15" i="4"/>
  <c r="F14" i="4"/>
  <c r="H14" i="4" s="1"/>
  <c r="I14" i="4" s="1"/>
  <c r="E14" i="4"/>
  <c r="D14" i="4"/>
  <c r="F9" i="4"/>
  <c r="F8" i="4"/>
  <c r="K5" i="4"/>
  <c r="H5" i="4"/>
  <c r="H4" i="4"/>
  <c r="H18" i="6" l="1"/>
  <c r="I18" i="6" s="1"/>
  <c r="H34" i="6"/>
  <c r="I34" i="6" s="1"/>
  <c r="H29" i="6"/>
  <c r="I29" i="6" s="1"/>
  <c r="H33" i="6"/>
  <c r="I33" i="6" s="1"/>
  <c r="H37" i="6"/>
  <c r="I37" i="6" s="1"/>
  <c r="H17" i="6"/>
  <c r="I17" i="6" s="1"/>
  <c r="H21" i="6"/>
  <c r="I21" i="6" s="1"/>
  <c r="H25" i="6"/>
  <c r="I25" i="6" s="1"/>
  <c r="H24" i="5"/>
  <c r="I24" i="5" s="1"/>
  <c r="H15" i="5"/>
  <c r="I15" i="5" s="1"/>
  <c r="H20" i="5"/>
  <c r="I20" i="5" s="1"/>
  <c r="H31" i="5"/>
  <c r="I31" i="5" s="1"/>
  <c r="H35" i="5"/>
  <c r="I35" i="5" s="1"/>
  <c r="H19" i="5"/>
  <c r="I19" i="5" s="1"/>
  <c r="H23" i="5"/>
  <c r="I23" i="5" s="1"/>
  <c r="H27" i="5"/>
  <c r="I27" i="5" s="1"/>
  <c r="H22" i="4"/>
  <c r="I22" i="4" s="1"/>
  <c r="H17" i="4"/>
  <c r="I17" i="4" s="1"/>
  <c r="H21" i="4"/>
  <c r="I21" i="4" s="1"/>
  <c r="H25" i="4"/>
  <c r="I25" i="4" s="1"/>
  <c r="H29" i="4"/>
  <c r="I29" i="4" s="1"/>
  <c r="H33" i="4"/>
  <c r="I33" i="4" s="1"/>
  <c r="H38" i="4"/>
  <c r="I38" i="4" s="1"/>
  <c r="H19" i="6"/>
  <c r="I19" i="6" s="1"/>
  <c r="H24" i="6"/>
  <c r="I24" i="6" s="1"/>
  <c r="H35" i="6"/>
  <c r="I35" i="6" s="1"/>
  <c r="H23" i="6"/>
  <c r="I23" i="6" s="1"/>
  <c r="H28" i="6"/>
  <c r="I28" i="6" s="1"/>
  <c r="H21" i="5"/>
  <c r="I21" i="5" s="1"/>
  <c r="H14" i="5"/>
  <c r="I14" i="5" s="1"/>
  <c r="H25" i="5"/>
  <c r="I25" i="5" s="1"/>
  <c r="H30" i="5"/>
  <c r="I30" i="5" s="1"/>
  <c r="H18" i="5"/>
  <c r="I18" i="5" s="1"/>
  <c r="H29" i="5"/>
  <c r="I29" i="5" s="1"/>
  <c r="H34" i="5"/>
  <c r="I34" i="5" s="1"/>
  <c r="H23" i="4"/>
  <c r="I23" i="4" s="1"/>
  <c r="H28" i="4"/>
  <c r="I28" i="4" s="1"/>
  <c r="H16" i="4"/>
  <c r="I16" i="4" s="1"/>
  <c r="H27" i="4"/>
  <c r="I27" i="4" s="1"/>
  <c r="H32" i="4"/>
  <c r="I32" i="4" s="1"/>
  <c r="F38" i="3"/>
  <c r="D38" i="3"/>
  <c r="E38" i="3"/>
  <c r="F37" i="3"/>
  <c r="D37" i="3"/>
  <c r="E37" i="3"/>
  <c r="F36" i="3"/>
  <c r="D36" i="3"/>
  <c r="E36" i="3"/>
  <c r="F35" i="3"/>
  <c r="D35" i="3"/>
  <c r="E35" i="3"/>
  <c r="F34" i="3"/>
  <c r="D34" i="3"/>
  <c r="E34" i="3"/>
  <c r="F33" i="3"/>
  <c r="D33" i="3"/>
  <c r="E33" i="3"/>
  <c r="F32" i="3"/>
  <c r="D32" i="3"/>
  <c r="E32" i="3"/>
  <c r="F31" i="3"/>
  <c r="D31" i="3"/>
  <c r="E31" i="3"/>
  <c r="F30" i="3"/>
  <c r="D30" i="3"/>
  <c r="E30" i="3"/>
  <c r="F29" i="3"/>
  <c r="D29" i="3"/>
  <c r="E29" i="3"/>
  <c r="F28" i="3"/>
  <c r="D28" i="3"/>
  <c r="E28" i="3"/>
  <c r="F27" i="3"/>
  <c r="D27" i="3"/>
  <c r="E27" i="3"/>
  <c r="F26" i="3"/>
  <c r="D26" i="3"/>
  <c r="E26" i="3"/>
  <c r="F25" i="3"/>
  <c r="D25" i="3"/>
  <c r="E25" i="3"/>
  <c r="F24" i="3"/>
  <c r="D24" i="3"/>
  <c r="E24" i="3"/>
  <c r="F23" i="3"/>
  <c r="D23" i="3"/>
  <c r="E23" i="3"/>
  <c r="F22" i="3"/>
  <c r="D22" i="3"/>
  <c r="E22" i="3"/>
  <c r="F21" i="3"/>
  <c r="D21" i="3"/>
  <c r="E21" i="3"/>
  <c r="F20" i="3"/>
  <c r="D20" i="3"/>
  <c r="E20" i="3"/>
  <c r="F19" i="3"/>
  <c r="D19" i="3"/>
  <c r="E19" i="3"/>
  <c r="F18" i="3"/>
  <c r="D18" i="3"/>
  <c r="E18" i="3"/>
  <c r="F17" i="3"/>
  <c r="D17" i="3"/>
  <c r="E17" i="3"/>
  <c r="F16" i="3"/>
  <c r="D16" i="3"/>
  <c r="E16" i="3"/>
  <c r="F15" i="3"/>
  <c r="E15" i="3"/>
  <c r="F14" i="3"/>
  <c r="E14" i="3"/>
  <c r="F9" i="3"/>
  <c r="F8" i="3"/>
  <c r="H5" i="3"/>
  <c r="H4" i="3" s="1"/>
  <c r="D38" i="2"/>
  <c r="F38" i="2"/>
  <c r="D37" i="2"/>
  <c r="F37" i="2"/>
  <c r="D36" i="2"/>
  <c r="F36" i="2"/>
  <c r="D35" i="2"/>
  <c r="F35" i="2"/>
  <c r="D34" i="2"/>
  <c r="F34" i="2"/>
  <c r="D33" i="2"/>
  <c r="F33" i="2"/>
  <c r="D32" i="2"/>
  <c r="F32" i="2"/>
  <c r="D31" i="2"/>
  <c r="F31" i="2"/>
  <c r="D30" i="2"/>
  <c r="F30" i="2"/>
  <c r="D29" i="2"/>
  <c r="F29" i="2"/>
  <c r="D28" i="2"/>
  <c r="F28" i="2"/>
  <c r="D27" i="2"/>
  <c r="F27" i="2"/>
  <c r="D26" i="2"/>
  <c r="F26" i="2"/>
  <c r="D25" i="2"/>
  <c r="F25" i="2"/>
  <c r="D24" i="2"/>
  <c r="F24" i="2"/>
  <c r="D23" i="2"/>
  <c r="F23" i="2"/>
  <c r="D22" i="2"/>
  <c r="F22" i="2"/>
  <c r="D21" i="2"/>
  <c r="F21" i="2"/>
  <c r="D20" i="2"/>
  <c r="F20" i="2"/>
  <c r="D19" i="2"/>
  <c r="F19" i="2"/>
  <c r="D18" i="2"/>
  <c r="F18" i="2"/>
  <c r="D17" i="2"/>
  <c r="F17" i="2"/>
  <c r="D16" i="2"/>
  <c r="F16" i="2"/>
  <c r="D15" i="2"/>
  <c r="F15" i="2"/>
  <c r="D14" i="2"/>
  <c r="F14" i="2"/>
  <c r="F9" i="2"/>
  <c r="F8" i="2"/>
  <c r="H5" i="2"/>
  <c r="H4" i="2"/>
  <c r="H8" i="6" l="1"/>
  <c r="J8" i="6" s="1"/>
  <c r="H8" i="4"/>
  <c r="J8" i="4" s="1"/>
  <c r="H8" i="5"/>
  <c r="J8" i="5" s="1"/>
  <c r="H18" i="3"/>
  <c r="I18" i="3" s="1"/>
  <c r="H22" i="3"/>
  <c r="I22" i="3" s="1"/>
  <c r="H26" i="3"/>
  <c r="I26" i="3" s="1"/>
  <c r="H30" i="3"/>
  <c r="I30" i="3" s="1"/>
  <c r="H34" i="3"/>
  <c r="I34" i="3" s="1"/>
  <c r="H17" i="3"/>
  <c r="I17" i="3" s="1"/>
  <c r="H21" i="3"/>
  <c r="I21" i="3" s="1"/>
  <c r="H25" i="3"/>
  <c r="I25" i="3" s="1"/>
  <c r="H29" i="3"/>
  <c r="I29" i="3" s="1"/>
  <c r="H33" i="3"/>
  <c r="I33" i="3" s="1"/>
  <c r="H37" i="3"/>
  <c r="I37" i="3" s="1"/>
  <c r="H38" i="3"/>
  <c r="I38" i="3" s="1"/>
  <c r="H16" i="3"/>
  <c r="I16" i="3" s="1"/>
  <c r="H20" i="3"/>
  <c r="I20" i="3" s="1"/>
  <c r="H24" i="3"/>
  <c r="I24" i="3" s="1"/>
  <c r="H28" i="3"/>
  <c r="I28" i="3" s="1"/>
  <c r="H32" i="3"/>
  <c r="I32" i="3" s="1"/>
  <c r="H36" i="3"/>
  <c r="I36" i="3" s="1"/>
  <c r="H19" i="3"/>
  <c r="I19" i="3" s="1"/>
  <c r="H23" i="3"/>
  <c r="I23" i="3" s="1"/>
  <c r="H27" i="3"/>
  <c r="I27" i="3" s="1"/>
  <c r="H31" i="3"/>
  <c r="I31" i="3" s="1"/>
  <c r="H35" i="3"/>
  <c r="I35" i="3" s="1"/>
  <c r="D14" i="3"/>
  <c r="H14" i="3" s="1"/>
  <c r="I14" i="3" s="1"/>
  <c r="H8" i="3" s="1"/>
  <c r="D15" i="3"/>
  <c r="H15" i="3" s="1"/>
  <c r="I15" i="3" s="1"/>
  <c r="H15" i="2"/>
  <c r="I15" i="2" s="1"/>
  <c r="H19" i="2"/>
  <c r="I19" i="2" s="1"/>
  <c r="H23" i="2"/>
  <c r="I23" i="2" s="1"/>
  <c r="H27" i="2"/>
  <c r="I27" i="2" s="1"/>
  <c r="H31" i="2"/>
  <c r="I31" i="2" s="1"/>
  <c r="H35" i="2"/>
  <c r="I35" i="2" s="1"/>
  <c r="H14" i="2"/>
  <c r="I14" i="2" s="1"/>
  <c r="H18" i="2"/>
  <c r="I18" i="2" s="1"/>
  <c r="H22" i="2"/>
  <c r="I22" i="2" s="1"/>
  <c r="H26" i="2"/>
  <c r="I26" i="2" s="1"/>
  <c r="H30" i="2"/>
  <c r="I30" i="2" s="1"/>
  <c r="H34" i="2"/>
  <c r="I34" i="2" s="1"/>
  <c r="H38" i="2"/>
  <c r="I38" i="2" s="1"/>
  <c r="H17" i="2"/>
  <c r="I17" i="2" s="1"/>
  <c r="H21" i="2"/>
  <c r="I21" i="2" s="1"/>
  <c r="H25" i="2"/>
  <c r="I25" i="2" s="1"/>
  <c r="H29" i="2"/>
  <c r="I29" i="2" s="1"/>
  <c r="H33" i="2"/>
  <c r="I33" i="2" s="1"/>
  <c r="H37" i="2"/>
  <c r="I37" i="2" s="1"/>
  <c r="H16" i="2"/>
  <c r="I16" i="2" s="1"/>
  <c r="H20" i="2"/>
  <c r="I20" i="2" s="1"/>
  <c r="H24" i="2"/>
  <c r="I24" i="2" s="1"/>
  <c r="H28" i="2"/>
  <c r="I28" i="2" s="1"/>
  <c r="H32" i="2"/>
  <c r="I32" i="2" s="1"/>
  <c r="H36" i="2"/>
  <c r="I36" i="2" s="1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F38" i="1"/>
  <c r="H38" i="1" s="1"/>
  <c r="I38" i="1" s="1"/>
  <c r="E38" i="1"/>
  <c r="D38" i="1"/>
  <c r="F37" i="1"/>
  <c r="H37" i="1" s="1"/>
  <c r="I37" i="1" s="1"/>
  <c r="E37" i="1"/>
  <c r="D37" i="1"/>
  <c r="F36" i="1"/>
  <c r="H36" i="1" s="1"/>
  <c r="I36" i="1" s="1"/>
  <c r="E36" i="1"/>
  <c r="D36" i="1"/>
  <c r="F35" i="1"/>
  <c r="E35" i="1"/>
  <c r="D35" i="1"/>
  <c r="F34" i="1"/>
  <c r="H34" i="1" s="1"/>
  <c r="I34" i="1" s="1"/>
  <c r="E34" i="1"/>
  <c r="D34" i="1"/>
  <c r="F33" i="1"/>
  <c r="H33" i="1" s="1"/>
  <c r="I33" i="1" s="1"/>
  <c r="E33" i="1"/>
  <c r="D33" i="1"/>
  <c r="F32" i="1"/>
  <c r="H32" i="1" s="1"/>
  <c r="I32" i="1" s="1"/>
  <c r="E32" i="1"/>
  <c r="D32" i="1"/>
  <c r="F31" i="1"/>
  <c r="E31" i="1"/>
  <c r="D31" i="1"/>
  <c r="F30" i="1"/>
  <c r="H30" i="1" s="1"/>
  <c r="I30" i="1" s="1"/>
  <c r="E30" i="1"/>
  <c r="D30" i="1"/>
  <c r="F29" i="1"/>
  <c r="H29" i="1" s="1"/>
  <c r="I29" i="1" s="1"/>
  <c r="E29" i="1"/>
  <c r="D29" i="1"/>
  <c r="F28" i="1"/>
  <c r="H28" i="1" s="1"/>
  <c r="I28" i="1" s="1"/>
  <c r="E28" i="1"/>
  <c r="D28" i="1"/>
  <c r="F27" i="1"/>
  <c r="E27" i="1"/>
  <c r="D27" i="1"/>
  <c r="F26" i="1"/>
  <c r="H26" i="1" s="1"/>
  <c r="I26" i="1" s="1"/>
  <c r="E26" i="1"/>
  <c r="D26" i="1"/>
  <c r="F25" i="1"/>
  <c r="H25" i="1" s="1"/>
  <c r="I25" i="1" s="1"/>
  <c r="E25" i="1"/>
  <c r="D25" i="1"/>
  <c r="F24" i="1"/>
  <c r="H24" i="1" s="1"/>
  <c r="I24" i="1" s="1"/>
  <c r="E24" i="1"/>
  <c r="D24" i="1"/>
  <c r="F23" i="1"/>
  <c r="E23" i="1"/>
  <c r="D23" i="1"/>
  <c r="F22" i="1"/>
  <c r="H22" i="1" s="1"/>
  <c r="I22" i="1" s="1"/>
  <c r="E22" i="1"/>
  <c r="D22" i="1"/>
  <c r="F21" i="1"/>
  <c r="H21" i="1" s="1"/>
  <c r="I21" i="1" s="1"/>
  <c r="E21" i="1"/>
  <c r="D21" i="1"/>
  <c r="F20" i="1"/>
  <c r="H20" i="1" s="1"/>
  <c r="I20" i="1" s="1"/>
  <c r="E20" i="1"/>
  <c r="D20" i="1"/>
  <c r="F19" i="1"/>
  <c r="E19" i="1"/>
  <c r="D19" i="1"/>
  <c r="F18" i="1"/>
  <c r="H18" i="1" s="1"/>
  <c r="I18" i="1" s="1"/>
  <c r="E18" i="1"/>
  <c r="D18" i="1"/>
  <c r="F17" i="1"/>
  <c r="H17" i="1" s="1"/>
  <c r="I17" i="1" s="1"/>
  <c r="E17" i="1"/>
  <c r="D17" i="1"/>
  <c r="F16" i="1"/>
  <c r="H16" i="1" s="1"/>
  <c r="I16" i="1" s="1"/>
  <c r="E16" i="1"/>
  <c r="D16" i="1"/>
  <c r="F15" i="1"/>
  <c r="E15" i="1"/>
  <c r="D15" i="1"/>
  <c r="F14" i="1"/>
  <c r="H14" i="1" s="1"/>
  <c r="I14" i="1" s="1"/>
  <c r="E14" i="1"/>
  <c r="D14" i="1"/>
  <c r="F9" i="1"/>
  <c r="F8" i="1"/>
  <c r="K5" i="1"/>
  <c r="H5" i="1"/>
  <c r="H4" i="1"/>
  <c r="J8" i="3" l="1"/>
  <c r="H8" i="2"/>
  <c r="J8" i="2" s="1"/>
  <c r="H35" i="1"/>
  <c r="I35" i="1" s="1"/>
  <c r="H19" i="1"/>
  <c r="I19" i="1" s="1"/>
  <c r="H23" i="1"/>
  <c r="I23" i="1" s="1"/>
  <c r="H27" i="1"/>
  <c r="I27" i="1" s="1"/>
  <c r="H15" i="1"/>
  <c r="I15" i="1" s="1"/>
  <c r="H31" i="1"/>
  <c r="I31" i="1" s="1"/>
  <c r="H8" i="1" l="1"/>
  <c r="J8" i="1" s="1"/>
</calcChain>
</file>

<file path=xl/sharedStrings.xml><?xml version="1.0" encoding="utf-8"?>
<sst xmlns="http://schemas.openxmlformats.org/spreadsheetml/2006/main" count="415" uniqueCount="50">
  <si>
    <t>Maximum log-likelihood estimates of logistic parameters with Solver on MS-EXCEL</t>
  </si>
  <si>
    <t>Logistic equation r(l)=exp(a + bl) / [1+exp(a + bl)]</t>
  </si>
  <si>
    <t>Parameters</t>
  </si>
  <si>
    <t>Initial value</t>
  </si>
  <si>
    <t>Parameters estimated by eye</t>
  </si>
  <si>
    <t>West Point Selectivity study-2018</t>
  </si>
  <si>
    <t>a =</t>
  </si>
  <si>
    <t>L50% =</t>
  </si>
  <si>
    <t>Monique Niles</t>
  </si>
  <si>
    <t>b =</t>
  </si>
  <si>
    <t>S.R. =</t>
  </si>
  <si>
    <t>88.9R=88.9mm ring mesh with rubber washers</t>
  </si>
  <si>
    <t>14L=a4mm mesh liner</t>
  </si>
  <si>
    <t xml:space="preserve">Akaike's Information Criterion </t>
  </si>
  <si>
    <t>Sum of log-likelihood</t>
  </si>
  <si>
    <t>Value of AIC</t>
  </si>
  <si>
    <t>S.P. =</t>
  </si>
  <si>
    <t>Catch number of</t>
  </si>
  <si>
    <t>Propotion</t>
  </si>
  <si>
    <t>Selectivity</t>
  </si>
  <si>
    <t>Likelihood</t>
  </si>
  <si>
    <t>log(likelihood)</t>
  </si>
  <si>
    <t>Length(mm)</t>
  </si>
  <si>
    <t>88.9R</t>
  </si>
  <si>
    <t>14L</t>
  </si>
  <si>
    <t>Total</t>
  </si>
  <si>
    <t>retained in codend</t>
  </si>
  <si>
    <t xml:space="preserve">from logistic </t>
  </si>
  <si>
    <t>of each length class</t>
  </si>
  <si>
    <t>Maximum log-likelihood estimates of Richard curve parameters with Solver on MS-EXCEL</t>
  </si>
  <si>
    <r>
      <t>Richard curve equation r(l) = { exp(a + bl) / [1+exp(a + bl)] }</t>
    </r>
    <r>
      <rPr>
        <vertAlign val="superscript"/>
        <sz val="18"/>
        <rFont val="Times New Roman"/>
        <family val="1"/>
      </rPr>
      <t>1/</t>
    </r>
    <r>
      <rPr>
        <vertAlign val="superscript"/>
        <sz val="18"/>
        <rFont val="Symbol"/>
        <family val="1"/>
        <charset val="2"/>
      </rPr>
      <t>d</t>
    </r>
  </si>
  <si>
    <r>
      <t xml:space="preserve"> </t>
    </r>
    <r>
      <rPr>
        <sz val="12"/>
        <rFont val="Symbol"/>
        <family val="1"/>
        <charset val="2"/>
      </rPr>
      <t xml:space="preserve">d </t>
    </r>
    <r>
      <rPr>
        <sz val="12"/>
        <rFont val="Times New Roman"/>
        <family val="1"/>
      </rPr>
      <t>=</t>
    </r>
  </si>
  <si>
    <t>Length(cm)</t>
  </si>
  <si>
    <t>Cover</t>
  </si>
  <si>
    <t>Catch data for haddock in 60 min. coverd codend hauls with 113 mm experimental mesh (see Table 6.5.2a in page 49 of ICENS manual)</t>
  </si>
  <si>
    <t>Data from Clark, J.R. 1957.  Effect of length of haul on codend escapement.  ICNAF/ICES/FAO workshop on selectivity, Lisbon. Paper S25.</t>
  </si>
  <si>
    <t>Maximum log-likelihood estimates of Encounter probability model parameters with Solver on MS-EXCEL</t>
  </si>
  <si>
    <r>
      <t xml:space="preserve">Encounter probability </t>
    </r>
    <r>
      <rPr>
        <b/>
        <sz val="16"/>
        <rFont val="Times New Roman"/>
        <family val="1"/>
      </rPr>
      <t>model  r(l) = p exp(a + bl) / [1+exp(a + bl)]  +1 - p</t>
    </r>
  </si>
  <si>
    <t xml:space="preserve">(See TOKAI et al.(1996) Fish. Res. 27, 51-60.) </t>
  </si>
  <si>
    <r>
      <t xml:space="preserve"> p</t>
    </r>
    <r>
      <rPr>
        <sz val="12"/>
        <rFont val="Symbol"/>
        <family val="1"/>
        <charset val="2"/>
      </rPr>
      <t xml:space="preserve"> </t>
    </r>
    <r>
      <rPr>
        <sz val="12"/>
        <rFont val="Times New Roman"/>
        <family val="1"/>
      </rPr>
      <t>=</t>
    </r>
  </si>
  <si>
    <t>site</t>
  </si>
  <si>
    <t>midLengths</t>
  </si>
  <si>
    <t>classes.num</t>
  </si>
  <si>
    <t>82.6R</t>
  </si>
  <si>
    <t>82.6S</t>
  </si>
  <si>
    <t>88.9S</t>
  </si>
  <si>
    <t>wp</t>
  </si>
  <si>
    <t>ct</t>
  </si>
  <si>
    <t>Shell Height(mm)</t>
  </si>
  <si>
    <t>West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</si>
</sst>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_ "/>
    <numFmt numFmtId="165" formatCode="0.00_);[Red]\(0.00\)"/>
  </numFmts>
  <fonts count="8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sz val="12"/>
      <name val="Times New Roman"/>
      <family val="1"/>
    </font>
    <font>
      <sz val="12"/>
      <name val="ＭＳ 明朝"/>
      <family val="1"/>
      <charset val="128"/>
    </font>
    <font>
      <vertAlign val="superscript"/>
      <sz val="18"/>
      <name val="Times New Roman"/>
      <family val="1"/>
    </font>
    <font>
      <vertAlign val="superscript"/>
      <sz val="18"/>
      <name val="Symbol"/>
      <family val="1"/>
      <charset val="2"/>
    </font>
    <font>
      <sz val="12"/>
      <name val="Symbol"/>
      <family val="1"/>
      <charset val="2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double">
        <color indexed="8"/>
      </left>
      <right style="double">
        <color indexed="8"/>
      </right>
      <top style="double">
        <color indexed="8"/>
      </top>
      <bottom/>
      <diagonal/>
    </border>
    <border>
      <left style="double">
        <color indexed="8"/>
      </left>
      <right style="double">
        <color indexed="8"/>
      </right>
      <top/>
      <bottom style="double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8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0" fillId="2" borderId="0" xfId="0" applyFill="1"/>
    <xf numFmtId="0" fontId="2" fillId="2" borderId="0" xfId="0" applyFont="1" applyFill="1"/>
    <xf numFmtId="0" fontId="2" fillId="0" borderId="0" xfId="0" applyFont="1" applyAlignment="1">
      <alignment horizontal="right"/>
    </xf>
    <xf numFmtId="0" fontId="2" fillId="0" borderId="1" xfId="0" applyNumberFormat="1" applyFont="1" applyBorder="1"/>
    <xf numFmtId="0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2" xfId="0" applyNumberFormat="1" applyFont="1" applyBorder="1"/>
    <xf numFmtId="0" fontId="2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3" xfId="0" applyNumberFormat="1" applyFont="1" applyFill="1" applyBorder="1"/>
    <xf numFmtId="0" fontId="3" fillId="0" borderId="0" xfId="0" applyFont="1" applyAlignment="1">
      <alignment vertical="center" wrapText="1"/>
    </xf>
    <xf numFmtId="164" fontId="2" fillId="0" borderId="0" xfId="0" applyNumberFormat="1" applyFont="1" applyFill="1" applyBorder="1"/>
    <xf numFmtId="165" fontId="2" fillId="0" borderId="0" xfId="0" applyNumberFormat="1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10" fontId="2" fillId="0" borderId="0" xfId="0" applyNumberFormat="1" applyFont="1"/>
    <xf numFmtId="0" fontId="0" fillId="0" borderId="0" xfId="0" applyNumberFormat="1"/>
    <xf numFmtId="0" fontId="2" fillId="0" borderId="4" xfId="0" applyNumberFormat="1" applyFont="1" applyBorder="1"/>
    <xf numFmtId="0" fontId="0" fillId="0" borderId="0" xfId="0" applyAlignment="1"/>
    <xf numFmtId="0" fontId="2" fillId="0" borderId="2" xfId="0" applyFont="1" applyBorder="1"/>
    <xf numFmtId="0" fontId="2" fillId="0" borderId="0" xfId="0" applyFont="1" applyAlignment="1">
      <alignment vertical="center"/>
    </xf>
    <xf numFmtId="0" fontId="2" fillId="0" borderId="0" xfId="0" applyFont="1" applyAlignment="1"/>
    <xf numFmtId="0" fontId="7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701554693283053E-2"/>
          <c:w val="0.78240152812798458"/>
          <c:h val="0.7675914174850678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70</c:v>
                </c:pt>
                <c:pt idx="16">
                  <c:v>99</c:v>
                </c:pt>
                <c:pt idx="17">
                  <c:v>134</c:v>
                </c:pt>
                <c:pt idx="18">
                  <c:v>111</c:v>
                </c:pt>
                <c:pt idx="19">
                  <c:v>50</c:v>
                </c:pt>
                <c:pt idx="20">
                  <c:v>15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49B-46AC-B62A-751116E0EAAC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9B-46AC-B62A-751116E0E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00248"/>
        <c:axId val="1"/>
      </c:scatterChart>
      <c:valAx>
        <c:axId val="5503002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8812517212"/>
              <c:y val="0.9168453042182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200037500073243E-2"/>
              <c:y val="0.268656996119773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5503002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62232802011593"/>
          <c:y val="6.1320825334455764E-2"/>
          <c:w val="0.8105122396614769"/>
          <c:h val="0.72895788111866833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0</c:v>
                </c:pt>
                <c:pt idx="4">
                  <c:v>7.1428571428571425E-2</c:v>
                </c:pt>
                <c:pt idx="5">
                  <c:v>0</c:v>
                </c:pt>
                <c:pt idx="6">
                  <c:v>0</c:v>
                </c:pt>
                <c:pt idx="7">
                  <c:v>3.5714285714285712E-2</c:v>
                </c:pt>
                <c:pt idx="8">
                  <c:v>0.21428571428571427</c:v>
                </c:pt>
                <c:pt idx="9">
                  <c:v>0.22727272727272727</c:v>
                </c:pt>
                <c:pt idx="10">
                  <c:v>0.23076923076923078</c:v>
                </c:pt>
                <c:pt idx="11">
                  <c:v>0.20833333333333334</c:v>
                </c:pt>
                <c:pt idx="12">
                  <c:v>0.2</c:v>
                </c:pt>
                <c:pt idx="13">
                  <c:v>0.23076923076923078</c:v>
                </c:pt>
                <c:pt idx="14">
                  <c:v>0.2</c:v>
                </c:pt>
                <c:pt idx="15">
                  <c:v>0.3888888888888889</c:v>
                </c:pt>
                <c:pt idx="16">
                  <c:v>0.5</c:v>
                </c:pt>
                <c:pt idx="17">
                  <c:v>0.55144032921810704</c:v>
                </c:pt>
                <c:pt idx="18">
                  <c:v>0.59042553191489366</c:v>
                </c:pt>
                <c:pt idx="19">
                  <c:v>0.61728395061728392</c:v>
                </c:pt>
                <c:pt idx="20">
                  <c:v>0.7142857142857143</c:v>
                </c:pt>
                <c:pt idx="21">
                  <c:v>0.4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CE3-4FDD-9FE4-AD756B9E2A1B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curve'!$F$14:$F$38</c:f>
              <c:numCache>
                <c:formatCode>General</c:formatCode>
                <c:ptCount val="25"/>
                <c:pt idx="0">
                  <c:v>9.438190700422712E-3</c:v>
                </c:pt>
                <c:pt idx="1">
                  <c:v>1.2425842142220622E-2</c:v>
                </c:pt>
                <c:pt idx="2">
                  <c:v>1.634362809713542E-2</c:v>
                </c:pt>
                <c:pt idx="3">
                  <c:v>2.1469811770542226E-2</c:v>
                </c:pt>
                <c:pt idx="4">
                  <c:v>2.8157799289952806E-2</c:v>
                </c:pt>
                <c:pt idx="5">
                  <c:v>3.6850681481889858E-2</c:v>
                </c:pt>
                <c:pt idx="6">
                  <c:v>4.8094423134849323E-2</c:v>
                </c:pt>
                <c:pt idx="7">
                  <c:v>6.2546029909967382E-2</c:v>
                </c:pt>
                <c:pt idx="8">
                  <c:v>8.0970735308347488E-2</c:v>
                </c:pt>
                <c:pt idx="9">
                  <c:v>0.10421956620713854</c:v>
                </c:pt>
                <c:pt idx="10">
                  <c:v>0.13317642439073332</c:v>
                </c:pt>
                <c:pt idx="11">
                  <c:v>0.168663927159905</c:v>
                </c:pt>
                <c:pt idx="12">
                  <c:v>0.21130263746432532</c:v>
                </c:pt>
                <c:pt idx="13">
                  <c:v>0.2613320752352255</c:v>
                </c:pt>
                <c:pt idx="14">
                  <c:v>0.31842445914053025</c:v>
                </c:pt>
                <c:pt idx="15">
                  <c:v>0.38154701471952224</c:v>
                </c:pt>
                <c:pt idx="16">
                  <c:v>0.44894051388978379</c:v>
                </c:pt>
                <c:pt idx="17">
                  <c:v>0.51826246096599204</c:v>
                </c:pt>
                <c:pt idx="18">
                  <c:v>0.58688844148894304</c:v>
                </c:pt>
                <c:pt idx="19">
                  <c:v>0.65229711147476543</c:v>
                </c:pt>
                <c:pt idx="20">
                  <c:v>0.71242409470275669</c:v>
                </c:pt>
                <c:pt idx="21">
                  <c:v>0.76588530005472744</c:v>
                </c:pt>
                <c:pt idx="22">
                  <c:v>0.81203016315231158</c:v>
                </c:pt>
                <c:pt idx="23">
                  <c:v>0.85085093458692618</c:v>
                </c:pt>
                <c:pt idx="24">
                  <c:v>0.88281123894415137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CE3-4FDD-9FE4-AD756B9E2A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59096"/>
        <c:axId val="1"/>
      </c:scatterChart>
      <c:valAx>
        <c:axId val="608359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496331868989"/>
              <c:y val="0.90801991360636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665668535779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608359096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998216730085774"/>
          <c:y val="6.1320825334455764E-2"/>
          <c:w val="0.79456328724459679"/>
          <c:h val="0.66272830030755114"/>
        </c:manualLayout>
      </c:layout>
      <c:scatterChart>
        <c:scatterStyle val="lineMarker"/>
        <c:varyColors val="0"/>
        <c:ser>
          <c:idx val="2"/>
          <c:order val="0"/>
          <c:tx>
            <c:v>88.9 R</c:v>
          </c:tx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curve'!$F$14:$F$38</c:f>
              <c:numCache>
                <c:formatCode>General</c:formatCode>
                <c:ptCount val="25"/>
                <c:pt idx="0">
                  <c:v>9.438190700422712E-3</c:v>
                </c:pt>
                <c:pt idx="1">
                  <c:v>1.2425842142220622E-2</c:v>
                </c:pt>
                <c:pt idx="2">
                  <c:v>1.634362809713542E-2</c:v>
                </c:pt>
                <c:pt idx="3">
                  <c:v>2.1469811770542226E-2</c:v>
                </c:pt>
                <c:pt idx="4">
                  <c:v>2.8157799289952806E-2</c:v>
                </c:pt>
                <c:pt idx="5">
                  <c:v>3.6850681481889858E-2</c:v>
                </c:pt>
                <c:pt idx="6">
                  <c:v>4.8094423134849323E-2</c:v>
                </c:pt>
                <c:pt idx="7">
                  <c:v>6.2546029909967382E-2</c:v>
                </c:pt>
                <c:pt idx="8">
                  <c:v>8.0970735308347488E-2</c:v>
                </c:pt>
                <c:pt idx="9">
                  <c:v>0.10421956620713854</c:v>
                </c:pt>
                <c:pt idx="10">
                  <c:v>0.13317642439073332</c:v>
                </c:pt>
                <c:pt idx="11">
                  <c:v>0.168663927159905</c:v>
                </c:pt>
                <c:pt idx="12">
                  <c:v>0.21130263746432532</c:v>
                </c:pt>
                <c:pt idx="13">
                  <c:v>0.2613320752352255</c:v>
                </c:pt>
                <c:pt idx="14">
                  <c:v>0.31842445914053025</c:v>
                </c:pt>
                <c:pt idx="15">
                  <c:v>0.38154701471952224</c:v>
                </c:pt>
                <c:pt idx="16">
                  <c:v>0.44894051388978379</c:v>
                </c:pt>
                <c:pt idx="17">
                  <c:v>0.51826246096599204</c:v>
                </c:pt>
                <c:pt idx="18">
                  <c:v>0.58688844148894304</c:v>
                </c:pt>
                <c:pt idx="19">
                  <c:v>0.65229711147476543</c:v>
                </c:pt>
                <c:pt idx="20">
                  <c:v>0.71242409470275669</c:v>
                </c:pt>
                <c:pt idx="21">
                  <c:v>0.76588530005472744</c:v>
                </c:pt>
                <c:pt idx="22">
                  <c:v>0.81203016315231158</c:v>
                </c:pt>
                <c:pt idx="23">
                  <c:v>0.85085093458692618</c:v>
                </c:pt>
                <c:pt idx="24">
                  <c:v>0.88281123894415137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C31-49EB-ABA3-E8781D8CFC43}"/>
            </c:ext>
          </c:extLst>
        </c:ser>
        <c:ser>
          <c:idx val="0"/>
          <c:order val="1"/>
          <c:tx>
            <c:v>88.9 S</c:v>
          </c:tx>
          <c:marker>
            <c:symbol val="none"/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(88.9S)'!$F$14:$F$38</c:f>
              <c:numCache>
                <c:formatCode>General</c:formatCode>
                <c:ptCount val="25"/>
                <c:pt idx="0">
                  <c:v>3.4311469824103795E-3</c:v>
                </c:pt>
                <c:pt idx="1">
                  <c:v>4.7193256722894341E-3</c:v>
                </c:pt>
                <c:pt idx="2">
                  <c:v>6.4879854044621052E-3</c:v>
                </c:pt>
                <c:pt idx="3">
                  <c:v>8.9135487429012894E-3</c:v>
                </c:pt>
                <c:pt idx="4">
                  <c:v>1.2234753124845791E-2</c:v>
                </c:pt>
                <c:pt idx="5">
                  <c:v>1.6772501845734457E-2</c:v>
                </c:pt>
                <c:pt idx="6">
                  <c:v>2.2954146136787507E-2</c:v>
                </c:pt>
                <c:pt idx="7">
                  <c:v>3.134146335580118E-2</c:v>
                </c:pt>
                <c:pt idx="8">
                  <c:v>4.2659649976833885E-2</c:v>
                </c:pt>
                <c:pt idx="9">
                  <c:v>5.7821139152064577E-2</c:v>
                </c:pt>
                <c:pt idx="10">
                  <c:v>7.7932459956778583E-2</c:v>
                </c:pt>
                <c:pt idx="11">
                  <c:v>0.10426478751134889</c:v>
                </c:pt>
                <c:pt idx="12">
                  <c:v>0.13816128899624816</c:v>
                </c:pt>
                <c:pt idx="13">
                  <c:v>0.18085261478763773</c:v>
                </c:pt>
                <c:pt idx="14">
                  <c:v>0.23316651250001719</c:v>
                </c:pt>
                <c:pt idx="15">
                  <c:v>0.29516024499723265</c:v>
                </c:pt>
                <c:pt idx="16">
                  <c:v>0.36577455802168019</c:v>
                </c:pt>
                <c:pt idx="17">
                  <c:v>0.44267257259668119</c:v>
                </c:pt>
                <c:pt idx="18">
                  <c:v>0.52242051615248553</c:v>
                </c:pt>
                <c:pt idx="19">
                  <c:v>0.60104160413092689</c:v>
                </c:pt>
                <c:pt idx="20">
                  <c:v>0.67477713657596328</c:v>
                </c:pt>
                <c:pt idx="21">
                  <c:v>0.74076271643603242</c:v>
                </c:pt>
                <c:pt idx="22">
                  <c:v>0.79738036830276005</c:v>
                </c:pt>
                <c:pt idx="23">
                  <c:v>0.84423285246327584</c:v>
                </c:pt>
                <c:pt idx="24">
                  <c:v>0.88185665770974875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31-49EB-ABA3-E8781D8CFC43}"/>
            </c:ext>
          </c:extLst>
        </c:ser>
        <c:ser>
          <c:idx val="1"/>
          <c:order val="2"/>
          <c:tx>
            <c:v>82.6 R</c:v>
          </c:tx>
          <c:marker>
            <c:symbol val="none"/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(82.6R) '!$F$14:$F$38</c:f>
              <c:numCache>
                <c:formatCode>General</c:formatCode>
                <c:ptCount val="25"/>
                <c:pt idx="0">
                  <c:v>6.825961880103773E-2</c:v>
                </c:pt>
                <c:pt idx="1">
                  <c:v>8.0909940407649594E-2</c:v>
                </c:pt>
                <c:pt idx="2">
                  <c:v>9.5663993538997752E-2</c:v>
                </c:pt>
                <c:pt idx="3">
                  <c:v>0.11277833853160192</c:v>
                </c:pt>
                <c:pt idx="4">
                  <c:v>0.13250583141080036</c:v>
                </c:pt>
                <c:pt idx="5">
                  <c:v>0.15508093441213655</c:v>
                </c:pt>
                <c:pt idx="6">
                  <c:v>0.18070101348133796</c:v>
                </c:pt>
                <c:pt idx="7">
                  <c:v>0.20950415248230578</c:v>
                </c:pt>
                <c:pt idx="8">
                  <c:v>0.24154486535561367</c:v>
                </c:pt>
                <c:pt idx="9">
                  <c:v>0.27677009433375682</c:v>
                </c:pt>
                <c:pt idx="10">
                  <c:v>0.31499884493647751</c:v>
                </c:pt>
                <c:pt idx="11">
                  <c:v>0.35590941677317045</c:v>
                </c:pt>
                <c:pt idx="12">
                  <c:v>0.39903808687924736</c:v>
                </c:pt>
                <c:pt idx="13">
                  <c:v>0.44379201957816161</c:v>
                </c:pt>
                <c:pt idx="14">
                  <c:v>0.48947709624725261</c:v>
                </c:pt>
                <c:pt idx="15">
                  <c:v>0.53533863074384735</c:v>
                </c:pt>
                <c:pt idx="16">
                  <c:v>0.58061025059532356</c:v>
                </c:pt>
                <c:pt idx="17">
                  <c:v>0.62456439178614254</c:v>
                </c:pt>
                <c:pt idx="18">
                  <c:v>0.66655748209919152</c:v>
                </c:pt>
                <c:pt idx="19">
                  <c:v>0.70606410214928483</c:v>
                </c:pt>
                <c:pt idx="20">
                  <c:v>0.74269680399589189</c:v>
                </c:pt>
                <c:pt idx="21">
                  <c:v>0.77621107546991674</c:v>
                </c:pt>
                <c:pt idx="22">
                  <c:v>0.80649738235388102</c:v>
                </c:pt>
                <c:pt idx="23">
                  <c:v>0.83356377930138525</c:v>
                </c:pt>
                <c:pt idx="24">
                  <c:v>0.85751311002715125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C31-49EB-ABA3-E8781D8CFC43}"/>
            </c:ext>
          </c:extLst>
        </c:ser>
        <c:ser>
          <c:idx val="3"/>
          <c:order val="3"/>
          <c:tx>
            <c:v>82.6 S</c:v>
          </c:tx>
          <c:marker>
            <c:symbol val="none"/>
          </c:marker>
          <c:xVal>
            <c:numRef>
              <c:f>'Logistic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(82.6S) '!$F$14:$F$38</c:f>
              <c:numCache>
                <c:formatCode>General</c:formatCode>
                <c:ptCount val="25"/>
                <c:pt idx="0">
                  <c:v>1.8982863584691E-2</c:v>
                </c:pt>
                <c:pt idx="1">
                  <c:v>2.4257687697822283E-2</c:v>
                </c:pt>
                <c:pt idx="2">
                  <c:v>3.0951997530688252E-2</c:v>
                </c:pt>
                <c:pt idx="3">
                  <c:v>3.9419079343828968E-2</c:v>
                </c:pt>
                <c:pt idx="4">
                  <c:v>5.008266854526363E-2</c:v>
                </c:pt>
                <c:pt idx="5">
                  <c:v>6.3440439142969665E-2</c:v>
                </c:pt>
                <c:pt idx="6">
                  <c:v>8.0060648687411695E-2</c:v>
                </c:pt>
                <c:pt idx="7">
                  <c:v>0.10056749151307361</c:v>
                </c:pt>
                <c:pt idx="8">
                  <c:v>0.12560978069591258</c:v>
                </c:pt>
                <c:pt idx="9">
                  <c:v>0.15580762894032699</c:v>
                </c:pt>
                <c:pt idx="10">
                  <c:v>0.1916739167617631</c:v>
                </c:pt>
                <c:pt idx="11">
                  <c:v>0.2335127048311986</c:v>
                </c:pt>
                <c:pt idx="12">
                  <c:v>0.28130586346786995</c:v>
                </c:pt>
                <c:pt idx="13">
                  <c:v>0.33461059764886414</c:v>
                </c:pt>
                <c:pt idx="14">
                  <c:v>0.39249975973830326</c:v>
                </c:pt>
                <c:pt idx="15">
                  <c:v>0.45357700997891076</c:v>
                </c:pt>
                <c:pt idx="16">
                  <c:v>0.51608445211130727</c:v>
                </c:pt>
                <c:pt idx="17">
                  <c:v>0.57809263439090808</c:v>
                </c:pt>
                <c:pt idx="18">
                  <c:v>0.63773264994526291</c:v>
                </c:pt>
                <c:pt idx="19">
                  <c:v>0.69341316804345354</c:v>
                </c:pt>
                <c:pt idx="20">
                  <c:v>0.74397138112912142</c:v>
                </c:pt>
                <c:pt idx="21">
                  <c:v>0.78873242402787225</c:v>
                </c:pt>
                <c:pt idx="22">
                  <c:v>0.82748260274277186</c:v>
                </c:pt>
                <c:pt idx="23">
                  <c:v>0.86038343833707942</c:v>
                </c:pt>
                <c:pt idx="24">
                  <c:v>0.88786006738766188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C31-49EB-ABA3-E8781D8CFC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59096"/>
        <c:axId val="1"/>
      </c:scatterChart>
      <c:valAx>
        <c:axId val="608359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Shell</a:t>
                </a:r>
                <a:r>
                  <a:rPr lang="en-CA" baseline="0"/>
                  <a:t> height</a:t>
                </a:r>
                <a:r>
                  <a:rPr lang="en-CA"/>
                  <a:t> (mm)</a:t>
                </a:r>
              </a:p>
            </c:rich>
          </c:tx>
          <c:layout>
            <c:manualLayout>
              <c:xMode val="edge"/>
              <c:yMode val="edge"/>
              <c:x val="0.43705609765286513"/>
              <c:y val="0.8003965310217241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  <c:majorUnit val="10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665668535779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608359096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4.9999874417611681E-2"/>
          <c:y val="0.90111071709340085"/>
          <c:w val="0.90000000000000013"/>
          <c:h val="6.9913770962430261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8091462852523416E-2"/>
          <c:w val="0.78240152812798458"/>
          <c:h val="0.773861272999686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70</c:v>
                </c:pt>
                <c:pt idx="16">
                  <c:v>99</c:v>
                </c:pt>
                <c:pt idx="17">
                  <c:v>134</c:v>
                </c:pt>
                <c:pt idx="18">
                  <c:v>111</c:v>
                </c:pt>
                <c:pt idx="19">
                  <c:v>50</c:v>
                </c:pt>
                <c:pt idx="20">
                  <c:v>15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67-4625-9760-762BFF693BF1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567-4625-9760-762BFF693B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4880"/>
        <c:axId val="1"/>
      </c:scatterChart>
      <c:valAx>
        <c:axId val="4868548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9089895013123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73859908136482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4880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666566853578"/>
          <c:y val="5.3497969261373769E-2"/>
          <c:w val="0.84129493187756699"/>
          <c:h val="0.7757205542899195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0</c:v>
                </c:pt>
                <c:pt idx="4">
                  <c:v>7.1428571428571425E-2</c:v>
                </c:pt>
                <c:pt idx="5">
                  <c:v>0</c:v>
                </c:pt>
                <c:pt idx="6">
                  <c:v>0</c:v>
                </c:pt>
                <c:pt idx="7">
                  <c:v>3.5714285714285712E-2</c:v>
                </c:pt>
                <c:pt idx="8">
                  <c:v>0.21428571428571427</c:v>
                </c:pt>
                <c:pt idx="9">
                  <c:v>0.22727272727272727</c:v>
                </c:pt>
                <c:pt idx="10">
                  <c:v>0.23076923076923078</c:v>
                </c:pt>
                <c:pt idx="11">
                  <c:v>0.20833333333333334</c:v>
                </c:pt>
                <c:pt idx="12">
                  <c:v>0.2</c:v>
                </c:pt>
                <c:pt idx="13">
                  <c:v>0.23076923076923078</c:v>
                </c:pt>
                <c:pt idx="14">
                  <c:v>0.2</c:v>
                </c:pt>
                <c:pt idx="15">
                  <c:v>0.3888888888888889</c:v>
                </c:pt>
                <c:pt idx="16">
                  <c:v>0.5</c:v>
                </c:pt>
                <c:pt idx="17">
                  <c:v>0.55144032921810704</c:v>
                </c:pt>
                <c:pt idx="18">
                  <c:v>0.59042553191489366</c:v>
                </c:pt>
                <c:pt idx="19">
                  <c:v>0.61728395061728392</c:v>
                </c:pt>
                <c:pt idx="20">
                  <c:v>0.7142857142857143</c:v>
                </c:pt>
                <c:pt idx="21">
                  <c:v>0.4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18-4F0C-81E0-3CEA1EA71B04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'Richard curve'!$A$14:$A$38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curve'!$F$14:$F$38</c:f>
              <c:numCache>
                <c:formatCode>General</c:formatCode>
                <c:ptCount val="25"/>
                <c:pt idx="0">
                  <c:v>6.0030237616494515E-3</c:v>
                </c:pt>
                <c:pt idx="1">
                  <c:v>8.4004214401448094E-3</c:v>
                </c:pt>
                <c:pt idx="2">
                  <c:v>1.171830454955862E-2</c:v>
                </c:pt>
                <c:pt idx="3">
                  <c:v>1.6283048399858085E-2</c:v>
                </c:pt>
                <c:pt idx="4">
                  <c:v>2.2517595895780864E-2</c:v>
                </c:pt>
                <c:pt idx="5">
                  <c:v>3.0956926821710699E-2</c:v>
                </c:pt>
                <c:pt idx="6">
                  <c:v>4.2256934833634921E-2</c:v>
                </c:pt>
                <c:pt idx="7">
                  <c:v>5.7189580501689666E-2</c:v>
                </c:pt>
                <c:pt idx="8">
                  <c:v>7.6615075755663828E-2</c:v>
                </c:pt>
                <c:pt idx="9">
                  <c:v>0.10142140483121115</c:v>
                </c:pt>
                <c:pt idx="10">
                  <c:v>0.13242470265806566</c:v>
                </c:pt>
                <c:pt idx="11">
                  <c:v>0.17023279940615244</c:v>
                </c:pt>
                <c:pt idx="12">
                  <c:v>0.21508877482668787</c:v>
                </c:pt>
                <c:pt idx="13">
                  <c:v>0.26672807422780853</c:v>
                </c:pt>
                <c:pt idx="14">
                  <c:v>0.3242936484133116</c:v>
                </c:pt>
                <c:pt idx="15">
                  <c:v>0.38634926210052434</c:v>
                </c:pt>
                <c:pt idx="16">
                  <c:v>0.45100727955557807</c:v>
                </c:pt>
                <c:pt idx="17">
                  <c:v>0.51615066428713274</c:v>
                </c:pt>
                <c:pt idx="18">
                  <c:v>0.57969626663321938</c:v>
                </c:pt>
                <c:pt idx="19">
                  <c:v>0.63983430629440807</c:v>
                </c:pt>
                <c:pt idx="20">
                  <c:v>0.69519245890315495</c:v>
                </c:pt>
                <c:pt idx="21">
                  <c:v>0.74490297451720999</c:v>
                </c:pt>
                <c:pt idx="22">
                  <c:v>0.78858188049743594</c:v>
                </c:pt>
                <c:pt idx="23">
                  <c:v>0.82624843917534163</c:v>
                </c:pt>
                <c:pt idx="24">
                  <c:v>0.85821753013862656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18-4F0C-81E0-3CEA1EA71B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6848"/>
        <c:axId val="1"/>
      </c:scatterChart>
      <c:valAx>
        <c:axId val="486856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68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82909103998222E-2"/>
          <c:w val="0.78240152812798458"/>
          <c:h val="0.7670944172626291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model'!$A$14:$A$38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model'!$B$14:$B$38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3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19</c:v>
                </c:pt>
                <c:pt idx="13">
                  <c:v>24</c:v>
                </c:pt>
                <c:pt idx="14">
                  <c:v>24</c:v>
                </c:pt>
                <c:pt idx="15">
                  <c:v>70</c:v>
                </c:pt>
                <c:pt idx="16">
                  <c:v>99</c:v>
                </c:pt>
                <c:pt idx="17">
                  <c:v>134</c:v>
                </c:pt>
                <c:pt idx="18">
                  <c:v>111</c:v>
                </c:pt>
                <c:pt idx="19">
                  <c:v>50</c:v>
                </c:pt>
                <c:pt idx="20">
                  <c:v>15</c:v>
                </c:pt>
                <c:pt idx="21">
                  <c:v>2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800-40F3-B7CF-61F9608F2B2E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model'!$A$14:$A$38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model'!$C$14:$C$38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800-40F3-B7CF-61F9608F2B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6432"/>
        <c:axId val="1"/>
      </c:scatterChart>
      <c:valAx>
        <c:axId val="4871364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6667229900983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670940488662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6432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45363224945718"/>
          <c:y val="5.3497969261373769E-2"/>
          <c:w val="0.77484971355324772"/>
          <c:h val="0.7431119479630264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'Encounter probability model'!$A$14:$A$38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model'!$E$14:$E$38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0</c:v>
                </c:pt>
                <c:pt idx="4">
                  <c:v>7.1428571428571425E-2</c:v>
                </c:pt>
                <c:pt idx="5">
                  <c:v>0</c:v>
                </c:pt>
                <c:pt idx="6">
                  <c:v>0</c:v>
                </c:pt>
                <c:pt idx="7">
                  <c:v>3.5714285714285712E-2</c:v>
                </c:pt>
                <c:pt idx="8">
                  <c:v>0.21428571428571427</c:v>
                </c:pt>
                <c:pt idx="9">
                  <c:v>0.22727272727272727</c:v>
                </c:pt>
                <c:pt idx="10">
                  <c:v>0.23076923076923078</c:v>
                </c:pt>
                <c:pt idx="11">
                  <c:v>0.20833333333333334</c:v>
                </c:pt>
                <c:pt idx="12">
                  <c:v>0.2</c:v>
                </c:pt>
                <c:pt idx="13">
                  <c:v>0.23076923076923078</c:v>
                </c:pt>
                <c:pt idx="14">
                  <c:v>0.2</c:v>
                </c:pt>
                <c:pt idx="15">
                  <c:v>0.3888888888888889</c:v>
                </c:pt>
                <c:pt idx="16">
                  <c:v>0.5</c:v>
                </c:pt>
                <c:pt idx="17">
                  <c:v>0.55144032921810704</c:v>
                </c:pt>
                <c:pt idx="18">
                  <c:v>0.59042553191489366</c:v>
                </c:pt>
                <c:pt idx="19">
                  <c:v>0.61728395061728392</c:v>
                </c:pt>
                <c:pt idx="20">
                  <c:v>0.7142857142857143</c:v>
                </c:pt>
                <c:pt idx="21">
                  <c:v>0.4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42-4DF1-92DD-61D37A5D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8072"/>
        <c:axId val="1"/>
      </c:scatterChart>
      <c:scatterChart>
        <c:scatterStyle val="smoothMarker"/>
        <c:varyColors val="0"/>
        <c:ser>
          <c:idx val="2"/>
          <c:order val="1"/>
          <c:spPr>
            <a:ln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'Encounter probability model'!$A$14:$A$38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model'!$F$14:$F$38</c:f>
              <c:numCache>
                <c:formatCode>General</c:formatCode>
                <c:ptCount val="25"/>
                <c:pt idx="0">
                  <c:v>-5.6700595398639919E-2</c:v>
                </c:pt>
                <c:pt idx="1">
                  <c:v>-4.8594109088262671E-2</c:v>
                </c:pt>
                <c:pt idx="2">
                  <c:v>-3.8905566955204529E-2</c:v>
                </c:pt>
                <c:pt idx="3">
                  <c:v>-2.7366306014719788E-2</c:v>
                </c:pt>
                <c:pt idx="4">
                  <c:v>-1.3679433771223604E-2</c:v>
                </c:pt>
                <c:pt idx="5">
                  <c:v>2.4754612590878189E-3</c:v>
                </c:pt>
                <c:pt idx="6">
                  <c:v>2.1433589935231145E-2</c:v>
                </c:pt>
                <c:pt idx="7">
                  <c:v>4.3531152165884546E-2</c:v>
                </c:pt>
                <c:pt idx="8">
                  <c:v>6.9085540760310149E-2</c:v>
                </c:pt>
                <c:pt idx="9">
                  <c:v>9.8369181498800362E-2</c:v>
                </c:pt>
                <c:pt idx="10">
                  <c:v>0.13157758343447568</c:v>
                </c:pt>
                <c:pt idx="11">
                  <c:v>0.1687935900288462</c:v>
                </c:pt>
                <c:pt idx="12">
                  <c:v>0.20995157583942614</c:v>
                </c:pt>
                <c:pt idx="13">
                  <c:v>0.25480706679149612</c:v>
                </c:pt>
                <c:pt idx="14">
                  <c:v>0.30291837805180077</c:v>
                </c:pt>
                <c:pt idx="15">
                  <c:v>0.35364665637513859</c:v>
                </c:pt>
                <c:pt idx="16">
                  <c:v>0.40617865803790076</c:v>
                </c:pt>
                <c:pt idx="17">
                  <c:v>0.45957270983908272</c:v>
                </c:pt>
                <c:pt idx="18">
                  <c:v>0.51282339038145164</c:v>
                </c:pt>
                <c:pt idx="19">
                  <c:v>0.56493598659089761</c:v>
                </c:pt>
                <c:pt idx="20">
                  <c:v>0.61499928652423153</c:v>
                </c:pt>
                <c:pt idx="21">
                  <c:v>0.66224570083377055</c:v>
                </c:pt>
                <c:pt idx="22">
                  <c:v>0.70609089672078396</c:v>
                </c:pt>
                <c:pt idx="23">
                  <c:v>0.74614989887187866</c:v>
                </c:pt>
                <c:pt idx="24">
                  <c:v>0.78223135781980435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342-4DF1-92DD-61D37A5D95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8544"/>
        <c:axId val="585270680"/>
      </c:scatterChart>
      <c:valAx>
        <c:axId val="4871380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8072"/>
        <c:crossesAt val="0"/>
        <c:crossBetween val="midCat"/>
      </c:valAx>
      <c:valAx>
        <c:axId val="585270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85258544"/>
        <c:crosses val="max"/>
        <c:crossBetween val="midCat"/>
      </c:valAx>
      <c:valAx>
        <c:axId val="5852585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585270680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701554693283053E-2"/>
          <c:w val="0.78240152812798458"/>
          <c:h val="0.7675914174850678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(88.9S)'!$B$14:$B$38</c:f>
              <c:numCache>
                <c:formatCode>General</c:formatCode>
                <c:ptCount val="2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14</c:v>
                </c:pt>
                <c:pt idx="15">
                  <c:v>30</c:v>
                </c:pt>
                <c:pt idx="16">
                  <c:v>61</c:v>
                </c:pt>
                <c:pt idx="17">
                  <c:v>101</c:v>
                </c:pt>
                <c:pt idx="18">
                  <c:v>101</c:v>
                </c:pt>
                <c:pt idx="19">
                  <c:v>57</c:v>
                </c:pt>
                <c:pt idx="20">
                  <c:v>10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652-4698-9DCC-73F35A1019F4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(88.9S)'!$C$14:$C$38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652-4698-9DCC-73F35A1019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00248"/>
        <c:axId val="1"/>
      </c:scatterChart>
      <c:valAx>
        <c:axId val="5503002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8812517212"/>
              <c:y val="0.9168453042182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200037500073243E-2"/>
              <c:y val="0.268656996119773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5503002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62232802011593"/>
          <c:y val="6.1320825334455764E-2"/>
          <c:w val="0.8105122396614769"/>
          <c:h val="0.72895788111866833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(88.9S)'!$E$14:$E$38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4.1666666666666664E-2</c:v>
                </c:pt>
                <c:pt idx="7">
                  <c:v>3.5714285714285712E-2</c:v>
                </c:pt>
                <c:pt idx="8">
                  <c:v>0.15384615384615385</c:v>
                </c:pt>
                <c:pt idx="9">
                  <c:v>0</c:v>
                </c:pt>
                <c:pt idx="10">
                  <c:v>0.23076923076923078</c:v>
                </c:pt>
                <c:pt idx="11">
                  <c:v>0.19148936170212766</c:v>
                </c:pt>
                <c:pt idx="12">
                  <c:v>0.10588235294117647</c:v>
                </c:pt>
                <c:pt idx="13">
                  <c:v>0.14893617021276595</c:v>
                </c:pt>
                <c:pt idx="14">
                  <c:v>0.12727272727272726</c:v>
                </c:pt>
                <c:pt idx="15">
                  <c:v>0.21428571428571427</c:v>
                </c:pt>
                <c:pt idx="16">
                  <c:v>0.38124999999999998</c:v>
                </c:pt>
                <c:pt idx="17">
                  <c:v>0.48095238095238096</c:v>
                </c:pt>
                <c:pt idx="18">
                  <c:v>0.56741573033707871</c:v>
                </c:pt>
                <c:pt idx="19">
                  <c:v>0.64772727272727271</c:v>
                </c:pt>
                <c:pt idx="20">
                  <c:v>0.625</c:v>
                </c:pt>
                <c:pt idx="21">
                  <c:v>0.5714285714285714</c:v>
                </c:pt>
                <c:pt idx="22">
                  <c:v>0.4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D8-49EC-9BA1-501F79923207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'Logistic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(88.9S)'!$F$14:$F$38</c:f>
              <c:numCache>
                <c:formatCode>General</c:formatCode>
                <c:ptCount val="25"/>
                <c:pt idx="0">
                  <c:v>3.4311469824103795E-3</c:v>
                </c:pt>
                <c:pt idx="1">
                  <c:v>4.7193256722894341E-3</c:v>
                </c:pt>
                <c:pt idx="2">
                  <c:v>6.4879854044621052E-3</c:v>
                </c:pt>
                <c:pt idx="3">
                  <c:v>8.9135487429012894E-3</c:v>
                </c:pt>
                <c:pt idx="4">
                  <c:v>1.2234753124845791E-2</c:v>
                </c:pt>
                <c:pt idx="5">
                  <c:v>1.6772501845734457E-2</c:v>
                </c:pt>
                <c:pt idx="6">
                  <c:v>2.2954146136787507E-2</c:v>
                </c:pt>
                <c:pt idx="7">
                  <c:v>3.134146335580118E-2</c:v>
                </c:pt>
                <c:pt idx="8">
                  <c:v>4.2659649976833885E-2</c:v>
                </c:pt>
                <c:pt idx="9">
                  <c:v>5.7821139152064577E-2</c:v>
                </c:pt>
                <c:pt idx="10">
                  <c:v>7.7932459956778583E-2</c:v>
                </c:pt>
                <c:pt idx="11">
                  <c:v>0.10426478751134889</c:v>
                </c:pt>
                <c:pt idx="12">
                  <c:v>0.13816128899624816</c:v>
                </c:pt>
                <c:pt idx="13">
                  <c:v>0.18085261478763773</c:v>
                </c:pt>
                <c:pt idx="14">
                  <c:v>0.23316651250001719</c:v>
                </c:pt>
                <c:pt idx="15">
                  <c:v>0.29516024499723265</c:v>
                </c:pt>
                <c:pt idx="16">
                  <c:v>0.36577455802168019</c:v>
                </c:pt>
                <c:pt idx="17">
                  <c:v>0.44267257259668119</c:v>
                </c:pt>
                <c:pt idx="18">
                  <c:v>0.52242051615248553</c:v>
                </c:pt>
                <c:pt idx="19">
                  <c:v>0.60104160413092689</c:v>
                </c:pt>
                <c:pt idx="20">
                  <c:v>0.67477713657596328</c:v>
                </c:pt>
                <c:pt idx="21">
                  <c:v>0.74076271643603242</c:v>
                </c:pt>
                <c:pt idx="22">
                  <c:v>0.79738036830276005</c:v>
                </c:pt>
                <c:pt idx="23">
                  <c:v>0.84423285246327584</c:v>
                </c:pt>
                <c:pt idx="24">
                  <c:v>0.88185665770974875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5D8-49EC-9BA1-501F799232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59096"/>
        <c:axId val="1"/>
      </c:scatterChart>
      <c:valAx>
        <c:axId val="608359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496331868989"/>
              <c:y val="0.90801991360636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665668535779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608359096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8091462852523416E-2"/>
          <c:w val="0.78240152812798458"/>
          <c:h val="0.773861272999686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(88.9S)'!$B$14:$B$38</c:f>
              <c:numCache>
                <c:formatCode>General</c:formatCode>
                <c:ptCount val="2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14</c:v>
                </c:pt>
                <c:pt idx="15">
                  <c:v>30</c:v>
                </c:pt>
                <c:pt idx="16">
                  <c:v>61</c:v>
                </c:pt>
                <c:pt idx="17">
                  <c:v>101</c:v>
                </c:pt>
                <c:pt idx="18">
                  <c:v>101</c:v>
                </c:pt>
                <c:pt idx="19">
                  <c:v>57</c:v>
                </c:pt>
                <c:pt idx="20">
                  <c:v>10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61-404C-9824-A735BC9D4E0A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(88.9S)'!$C$14:$C$38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561-404C-9824-A735BC9D4E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4880"/>
        <c:axId val="1"/>
      </c:scatterChart>
      <c:valAx>
        <c:axId val="4868548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9089895013123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73859908136482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4880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666566853578"/>
          <c:y val="5.3497969261373769E-2"/>
          <c:w val="0.84129493187756699"/>
          <c:h val="0.7757205542899195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(88.9S)'!$E$14:$E$38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4.1666666666666664E-2</c:v>
                </c:pt>
                <c:pt idx="7">
                  <c:v>3.5714285714285712E-2</c:v>
                </c:pt>
                <c:pt idx="8">
                  <c:v>0.15384615384615385</c:v>
                </c:pt>
                <c:pt idx="9">
                  <c:v>0</c:v>
                </c:pt>
                <c:pt idx="10">
                  <c:v>0.23076923076923078</c:v>
                </c:pt>
                <c:pt idx="11">
                  <c:v>0.19148936170212766</c:v>
                </c:pt>
                <c:pt idx="12">
                  <c:v>0.10588235294117647</c:v>
                </c:pt>
                <c:pt idx="13">
                  <c:v>0.14893617021276595</c:v>
                </c:pt>
                <c:pt idx="14">
                  <c:v>0.12727272727272726</c:v>
                </c:pt>
                <c:pt idx="15">
                  <c:v>0.21428571428571427</c:v>
                </c:pt>
                <c:pt idx="16">
                  <c:v>0.38124999999999998</c:v>
                </c:pt>
                <c:pt idx="17">
                  <c:v>0.48095238095238096</c:v>
                </c:pt>
                <c:pt idx="18">
                  <c:v>0.56741573033707871</c:v>
                </c:pt>
                <c:pt idx="19">
                  <c:v>0.64772727272727271</c:v>
                </c:pt>
                <c:pt idx="20">
                  <c:v>0.625</c:v>
                </c:pt>
                <c:pt idx="21">
                  <c:v>0.5714285714285714</c:v>
                </c:pt>
                <c:pt idx="22">
                  <c:v>0.4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177-41FC-8330-BF2CCF0137BA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'Richard curve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(88.9S)'!$F$14:$F$38</c:f>
              <c:numCache>
                <c:formatCode>General</c:formatCode>
                <c:ptCount val="25"/>
                <c:pt idx="0">
                  <c:v>6.1205852335960084E-3</c:v>
                </c:pt>
                <c:pt idx="1">
                  <c:v>7.9414689888000801E-3</c:v>
                </c:pt>
                <c:pt idx="2">
                  <c:v>1.0303802608641213E-2</c:v>
                </c:pt>
                <c:pt idx="3">
                  <c:v>1.3368311354429282E-2</c:v>
                </c:pt>
                <c:pt idx="4">
                  <c:v>1.7343140355032E-2</c:v>
                </c:pt>
                <c:pt idx="5">
                  <c:v>2.2497542174531714E-2</c:v>
                </c:pt>
                <c:pt idx="6">
                  <c:v>2.9179198151759306E-2</c:v>
                </c:pt>
                <c:pt idx="7">
                  <c:v>3.7835801910608917E-2</c:v>
                </c:pt>
                <c:pt idx="8">
                  <c:v>4.9041260627016289E-2</c:v>
                </c:pt>
                <c:pt idx="9">
                  <c:v>6.3526064767463308E-2</c:v>
                </c:pt>
                <c:pt idx="10">
                  <c:v>8.2209474469909449E-2</c:v>
                </c:pt>
                <c:pt idx="11">
                  <c:v>0.10622714437073423</c:v>
                </c:pt>
                <c:pt idx="12">
                  <c:v>0.13693999183376412</c:v>
                </c:pt>
                <c:pt idx="13">
                  <c:v>0.175896377378814</c:v>
                </c:pt>
                <c:pt idx="14">
                  <c:v>0.22469907578427525</c:v>
                </c:pt>
                <c:pt idx="15">
                  <c:v>0.28470700046681868</c:v>
                </c:pt>
                <c:pt idx="16">
                  <c:v>0.35650457015441811</c:v>
                </c:pt>
                <c:pt idx="17">
                  <c:v>0.43915690935523033</c:v>
                </c:pt>
                <c:pt idx="18">
                  <c:v>0.52950009419649358</c:v>
                </c:pt>
                <c:pt idx="19">
                  <c:v>0.62202064565821702</c:v>
                </c:pt>
                <c:pt idx="20">
                  <c:v>0.70987691533817521</c:v>
                </c:pt>
                <c:pt idx="21">
                  <c:v>0.7869013078680096</c:v>
                </c:pt>
                <c:pt idx="22">
                  <c:v>0.84944993498856136</c:v>
                </c:pt>
                <c:pt idx="23">
                  <c:v>0.89695588953778027</c:v>
                </c:pt>
                <c:pt idx="24">
                  <c:v>0.93114734973337043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77-41FC-8330-BF2CCF0137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6848"/>
        <c:axId val="1"/>
      </c:scatterChart>
      <c:valAx>
        <c:axId val="486856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68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82909103998222E-2"/>
          <c:w val="0.78240152812798458"/>
          <c:h val="0.7670944172626291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(88.9S)'!$B$14:$B$38</c:f>
              <c:numCache>
                <c:formatCode>General</c:formatCode>
                <c:ptCount val="25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0</c:v>
                </c:pt>
                <c:pt idx="10">
                  <c:v>6</c:v>
                </c:pt>
                <c:pt idx="11">
                  <c:v>9</c:v>
                </c:pt>
                <c:pt idx="12">
                  <c:v>9</c:v>
                </c:pt>
                <c:pt idx="13">
                  <c:v>14</c:v>
                </c:pt>
                <c:pt idx="14">
                  <c:v>14</c:v>
                </c:pt>
                <c:pt idx="15">
                  <c:v>30</c:v>
                </c:pt>
                <c:pt idx="16">
                  <c:v>61</c:v>
                </c:pt>
                <c:pt idx="17">
                  <c:v>101</c:v>
                </c:pt>
                <c:pt idx="18">
                  <c:v>101</c:v>
                </c:pt>
                <c:pt idx="19">
                  <c:v>57</c:v>
                </c:pt>
                <c:pt idx="20">
                  <c:v>10</c:v>
                </c:pt>
                <c:pt idx="21">
                  <c:v>4</c:v>
                </c:pt>
                <c:pt idx="22">
                  <c:v>2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07-444B-808A-55C537C5281E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(88.9S)'!$C$14:$C$38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07-444B-808A-55C537C52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6432"/>
        <c:axId val="1"/>
      </c:scatterChart>
      <c:valAx>
        <c:axId val="4871364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6667229900983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670940488662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6432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45363224945718"/>
          <c:y val="5.3497969261373769E-2"/>
          <c:w val="0.77484971355324772"/>
          <c:h val="0.7431119479630264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'Encounter probability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(88.9S)'!$E$14:$E$38</c:f>
              <c:numCache>
                <c:formatCode>General</c:formatCode>
                <c:ptCount val="25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4.1666666666666664E-2</c:v>
                </c:pt>
                <c:pt idx="7">
                  <c:v>3.5714285714285712E-2</c:v>
                </c:pt>
                <c:pt idx="8">
                  <c:v>0.15384615384615385</c:v>
                </c:pt>
                <c:pt idx="9">
                  <c:v>0</c:v>
                </c:pt>
                <c:pt idx="10">
                  <c:v>0.23076923076923078</c:v>
                </c:pt>
                <c:pt idx="11">
                  <c:v>0.19148936170212766</c:v>
                </c:pt>
                <c:pt idx="12">
                  <c:v>0.10588235294117647</c:v>
                </c:pt>
                <c:pt idx="13">
                  <c:v>0.14893617021276595</c:v>
                </c:pt>
                <c:pt idx="14">
                  <c:v>0.12727272727272726</c:v>
                </c:pt>
                <c:pt idx="15">
                  <c:v>0.21428571428571427</c:v>
                </c:pt>
                <c:pt idx="16">
                  <c:v>0.38124999999999998</c:v>
                </c:pt>
                <c:pt idx="17">
                  <c:v>0.48095238095238096</c:v>
                </c:pt>
                <c:pt idx="18">
                  <c:v>0.56741573033707871</c:v>
                </c:pt>
                <c:pt idx="19">
                  <c:v>0.64772727272727271</c:v>
                </c:pt>
                <c:pt idx="20">
                  <c:v>0.625</c:v>
                </c:pt>
                <c:pt idx="21">
                  <c:v>0.5714285714285714</c:v>
                </c:pt>
                <c:pt idx="22">
                  <c:v>0.4</c:v>
                </c:pt>
                <c:pt idx="23">
                  <c:v>0</c:v>
                </c:pt>
                <c:pt idx="24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9B2-4D23-9AEB-F8809CF6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8072"/>
        <c:axId val="1"/>
      </c:scatterChart>
      <c:scatterChart>
        <c:scatterStyle val="smoothMarker"/>
        <c:varyColors val="0"/>
        <c:ser>
          <c:idx val="2"/>
          <c:order val="1"/>
          <c:spPr>
            <a:ln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'Encounter probability (88.9S)'!$A$14:$A$38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(88.9S)'!$F$14:$F$38</c:f>
              <c:numCache>
                <c:formatCode>General</c:formatCode>
                <c:ptCount val="25"/>
                <c:pt idx="0">
                  <c:v>-7.1389603292971504E-2</c:v>
                </c:pt>
                <c:pt idx="1">
                  <c:v>-7.0744913967967893E-2</c:v>
                </c:pt>
                <c:pt idx="2">
                  <c:v>-6.9789179932246759E-2</c:v>
                </c:pt>
                <c:pt idx="3">
                  <c:v>-6.8373353942882797E-2</c:v>
                </c:pt>
                <c:pt idx="4">
                  <c:v>-6.6278190029926076E-2</c:v>
                </c:pt>
                <c:pt idx="5">
                  <c:v>-6.3182634267130666E-2</c:v>
                </c:pt>
                <c:pt idx="6">
                  <c:v>-5.8619703507073906E-2</c:v>
                </c:pt>
                <c:pt idx="7">
                  <c:v>-5.1916949863550332E-2</c:v>
                </c:pt>
                <c:pt idx="8">
                  <c:v>-4.2120537914081435E-2</c:v>
                </c:pt>
                <c:pt idx="9">
                  <c:v>-2.7907871006256357E-2</c:v>
                </c:pt>
                <c:pt idx="10">
                  <c:v>-7.5073321776104596E-3</c:v>
                </c:pt>
                <c:pt idx="11">
                  <c:v>2.1330286535961918E-2</c:v>
                </c:pt>
                <c:pt idx="12">
                  <c:v>6.122439600146623E-2</c:v>
                </c:pt>
                <c:pt idx="13">
                  <c:v>0.11479799415568581</c:v>
                </c:pt>
                <c:pt idx="14">
                  <c:v>0.18394072464766009</c:v>
                </c:pt>
                <c:pt idx="15">
                  <c:v>0.26874343185511318</c:v>
                </c:pt>
                <c:pt idx="16">
                  <c:v>0.36648527515541862</c:v>
                </c:pt>
                <c:pt idx="17">
                  <c:v>0.47138735379858909</c:v>
                </c:pt>
                <c:pt idx="18">
                  <c:v>0.57569985525954515</c:v>
                </c:pt>
                <c:pt idx="19">
                  <c:v>0.67184265085990624</c:v>
                </c:pt>
                <c:pt idx="20">
                  <c:v>0.75445008808011638</c:v>
                </c:pt>
                <c:pt idx="21">
                  <c:v>0.82125481196035932</c:v>
                </c:pt>
                <c:pt idx="22">
                  <c:v>0.87268201855758765</c:v>
                </c:pt>
                <c:pt idx="23">
                  <c:v>0.91078950631576916</c:v>
                </c:pt>
                <c:pt idx="24">
                  <c:v>0.93823621517627842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9B2-4D23-9AEB-F8809CF63F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8544"/>
        <c:axId val="585270680"/>
      </c:scatterChart>
      <c:valAx>
        <c:axId val="4871380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8072"/>
        <c:crossesAt val="0"/>
        <c:crossBetween val="midCat"/>
      </c:valAx>
      <c:valAx>
        <c:axId val="585270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85258544"/>
        <c:crosses val="max"/>
        <c:crossBetween val="midCat"/>
      </c:valAx>
      <c:valAx>
        <c:axId val="5852585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585270680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701554693283053E-2"/>
          <c:w val="0.78240152812798458"/>
          <c:h val="0.7675914174850678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(82.6R) 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10</c:v>
                </c:pt>
                <c:pt idx="10">
                  <c:v>9</c:v>
                </c:pt>
                <c:pt idx="11">
                  <c:v>35</c:v>
                </c:pt>
                <c:pt idx="12">
                  <c:v>50</c:v>
                </c:pt>
                <c:pt idx="13">
                  <c:v>62</c:v>
                </c:pt>
                <c:pt idx="14">
                  <c:v>89</c:v>
                </c:pt>
                <c:pt idx="15">
                  <c:v>145</c:v>
                </c:pt>
                <c:pt idx="16">
                  <c:v>192</c:v>
                </c:pt>
                <c:pt idx="17">
                  <c:v>176</c:v>
                </c:pt>
                <c:pt idx="18">
                  <c:v>112</c:v>
                </c:pt>
                <c:pt idx="19">
                  <c:v>50</c:v>
                </c:pt>
                <c:pt idx="20">
                  <c:v>14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54-4A2F-BAC3-503901617A42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(82.6R) 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F54-4A2F-BAC3-503901617A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00248"/>
        <c:axId val="1"/>
      </c:scatterChart>
      <c:valAx>
        <c:axId val="5503002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8812517212"/>
              <c:y val="0.9168453042182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200037500073243E-2"/>
              <c:y val="0.268656996119773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5503002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62232802011593"/>
          <c:y val="6.1320825334455764E-2"/>
          <c:w val="0.8105122396614769"/>
          <c:h val="0.72895788111866833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(82.6R) 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8.4745762711864403E-2</c:v>
                </c:pt>
                <c:pt idx="4">
                  <c:v>0.10344827586206896</c:v>
                </c:pt>
                <c:pt idx="5">
                  <c:v>0.21621621621621623</c:v>
                </c:pt>
                <c:pt idx="6">
                  <c:v>0.08</c:v>
                </c:pt>
                <c:pt idx="7">
                  <c:v>0.15625</c:v>
                </c:pt>
                <c:pt idx="8">
                  <c:v>0.15384615384615385</c:v>
                </c:pt>
                <c:pt idx="9">
                  <c:v>0.37037037037037035</c:v>
                </c:pt>
                <c:pt idx="10">
                  <c:v>0.31034482758620691</c:v>
                </c:pt>
                <c:pt idx="11">
                  <c:v>0.47945205479452052</c:v>
                </c:pt>
                <c:pt idx="12">
                  <c:v>0.3968253968253968</c:v>
                </c:pt>
                <c:pt idx="13">
                  <c:v>0.43661971830985913</c:v>
                </c:pt>
                <c:pt idx="14">
                  <c:v>0.48108108108108111</c:v>
                </c:pt>
                <c:pt idx="15">
                  <c:v>0.56862745098039214</c:v>
                </c:pt>
                <c:pt idx="16">
                  <c:v>0.65979381443298968</c:v>
                </c:pt>
                <c:pt idx="17">
                  <c:v>0.61754385964912284</c:v>
                </c:pt>
                <c:pt idx="18">
                  <c:v>0.59259259259259256</c:v>
                </c:pt>
                <c:pt idx="19">
                  <c:v>0.61728395061728392</c:v>
                </c:pt>
                <c:pt idx="20">
                  <c:v>0.7</c:v>
                </c:pt>
                <c:pt idx="21">
                  <c:v>0.5714285714285714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D37-4018-B6CC-9654BF4343D7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'Logistic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(82.6R) '!$F$14:$F$38</c:f>
              <c:numCache>
                <c:formatCode>General</c:formatCode>
                <c:ptCount val="25"/>
                <c:pt idx="0">
                  <c:v>6.825961880103773E-2</c:v>
                </c:pt>
                <c:pt idx="1">
                  <c:v>8.0909940407649594E-2</c:v>
                </c:pt>
                <c:pt idx="2">
                  <c:v>9.5663993538997752E-2</c:v>
                </c:pt>
                <c:pt idx="3">
                  <c:v>0.11277833853160192</c:v>
                </c:pt>
                <c:pt idx="4">
                  <c:v>0.13250583141080036</c:v>
                </c:pt>
                <c:pt idx="5">
                  <c:v>0.15508093441213655</c:v>
                </c:pt>
                <c:pt idx="6">
                  <c:v>0.18070101348133796</c:v>
                </c:pt>
                <c:pt idx="7">
                  <c:v>0.20950415248230578</c:v>
                </c:pt>
                <c:pt idx="8">
                  <c:v>0.24154486535561367</c:v>
                </c:pt>
                <c:pt idx="9">
                  <c:v>0.27677009433375682</c:v>
                </c:pt>
                <c:pt idx="10">
                  <c:v>0.31499884493647751</c:v>
                </c:pt>
                <c:pt idx="11">
                  <c:v>0.35590941677317045</c:v>
                </c:pt>
                <c:pt idx="12">
                  <c:v>0.39903808687924736</c:v>
                </c:pt>
                <c:pt idx="13">
                  <c:v>0.44379201957816161</c:v>
                </c:pt>
                <c:pt idx="14">
                  <c:v>0.48947709624725261</c:v>
                </c:pt>
                <c:pt idx="15">
                  <c:v>0.53533863074384735</c:v>
                </c:pt>
                <c:pt idx="16">
                  <c:v>0.58061025059532356</c:v>
                </c:pt>
                <c:pt idx="17">
                  <c:v>0.62456439178614254</c:v>
                </c:pt>
                <c:pt idx="18">
                  <c:v>0.66655748209919152</c:v>
                </c:pt>
                <c:pt idx="19">
                  <c:v>0.70606410214928483</c:v>
                </c:pt>
                <c:pt idx="20">
                  <c:v>0.74269680399589189</c:v>
                </c:pt>
                <c:pt idx="21">
                  <c:v>0.77621107546991674</c:v>
                </c:pt>
                <c:pt idx="22">
                  <c:v>0.80649738235388102</c:v>
                </c:pt>
                <c:pt idx="23">
                  <c:v>0.83356377930138525</c:v>
                </c:pt>
                <c:pt idx="24">
                  <c:v>0.85751311002715125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7-4018-B6CC-9654BF434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59096"/>
        <c:axId val="1"/>
      </c:scatterChart>
      <c:valAx>
        <c:axId val="608359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496331868989"/>
              <c:y val="0.90801991360636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665668535779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608359096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8091462852523416E-2"/>
          <c:w val="0.78240152812798458"/>
          <c:h val="0.773861272999686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(82.6R) 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10</c:v>
                </c:pt>
                <c:pt idx="10">
                  <c:v>9</c:v>
                </c:pt>
                <c:pt idx="11">
                  <c:v>35</c:v>
                </c:pt>
                <c:pt idx="12">
                  <c:v>50</c:v>
                </c:pt>
                <c:pt idx="13">
                  <c:v>62</c:v>
                </c:pt>
                <c:pt idx="14">
                  <c:v>89</c:v>
                </c:pt>
                <c:pt idx="15">
                  <c:v>145</c:v>
                </c:pt>
                <c:pt idx="16">
                  <c:v>192</c:v>
                </c:pt>
                <c:pt idx="17">
                  <c:v>176</c:v>
                </c:pt>
                <c:pt idx="18">
                  <c:v>112</c:v>
                </c:pt>
                <c:pt idx="19">
                  <c:v>50</c:v>
                </c:pt>
                <c:pt idx="20">
                  <c:v>14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F9-48D2-9FC6-935AB65194AC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(82.6R) 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F9-48D2-9FC6-935AB65194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4880"/>
        <c:axId val="1"/>
      </c:scatterChart>
      <c:valAx>
        <c:axId val="4868548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9089895013123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73859908136482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4880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666566853578"/>
          <c:y val="5.3497969261373769E-2"/>
          <c:w val="0.84129493187756699"/>
          <c:h val="0.7757205542899195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(82.6R) 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8.4745762711864403E-2</c:v>
                </c:pt>
                <c:pt idx="4">
                  <c:v>0.10344827586206896</c:v>
                </c:pt>
                <c:pt idx="5">
                  <c:v>0.21621621621621623</c:v>
                </c:pt>
                <c:pt idx="6">
                  <c:v>0.08</c:v>
                </c:pt>
                <c:pt idx="7">
                  <c:v>0.15625</c:v>
                </c:pt>
                <c:pt idx="8">
                  <c:v>0.15384615384615385</c:v>
                </c:pt>
                <c:pt idx="9">
                  <c:v>0.37037037037037035</c:v>
                </c:pt>
                <c:pt idx="10">
                  <c:v>0.31034482758620691</c:v>
                </c:pt>
                <c:pt idx="11">
                  <c:v>0.47945205479452052</c:v>
                </c:pt>
                <c:pt idx="12">
                  <c:v>0.3968253968253968</c:v>
                </c:pt>
                <c:pt idx="13">
                  <c:v>0.43661971830985913</c:v>
                </c:pt>
                <c:pt idx="14">
                  <c:v>0.48108108108108111</c:v>
                </c:pt>
                <c:pt idx="15">
                  <c:v>0.56862745098039214</c:v>
                </c:pt>
                <c:pt idx="16">
                  <c:v>0.65979381443298968</c:v>
                </c:pt>
                <c:pt idx="17">
                  <c:v>0.61754385964912284</c:v>
                </c:pt>
                <c:pt idx="18">
                  <c:v>0.59259259259259256</c:v>
                </c:pt>
                <c:pt idx="19">
                  <c:v>0.61728395061728392</c:v>
                </c:pt>
                <c:pt idx="20">
                  <c:v>0.7</c:v>
                </c:pt>
                <c:pt idx="21">
                  <c:v>0.5714285714285714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7F-49A5-ABF9-7AD3C09C5A78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'Richard curve (82.6R)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(82.6R) '!$F$14:$F$38</c:f>
              <c:numCache>
                <c:formatCode>General</c:formatCode>
                <c:ptCount val="25"/>
                <c:pt idx="0">
                  <c:v>3.2277084096406582E-2</c:v>
                </c:pt>
                <c:pt idx="1">
                  <c:v>4.5049195462302967E-2</c:v>
                </c:pt>
                <c:pt idx="2">
                  <c:v>6.1283009123212481E-2</c:v>
                </c:pt>
                <c:pt idx="3">
                  <c:v>8.1324044563174089E-2</c:v>
                </c:pt>
                <c:pt idx="4">
                  <c:v>0.1053800918816168</c:v>
                </c:pt>
                <c:pt idx="5">
                  <c:v>0.13349055549425187</c:v>
                </c:pt>
                <c:pt idx="6">
                  <c:v>0.16551223233729567</c:v>
                </c:pt>
                <c:pt idx="7">
                  <c:v>0.20112351519756394</c:v>
                </c:pt>
                <c:pt idx="8">
                  <c:v>0.23984584727441638</c:v>
                </c:pt>
                <c:pt idx="9">
                  <c:v>0.28107860884132385</c:v>
                </c:pt>
                <c:pt idx="10">
                  <c:v>0.32414202131586822</c:v>
                </c:pt>
                <c:pt idx="11">
                  <c:v>0.36832227551645741</c:v>
                </c:pt>
                <c:pt idx="12">
                  <c:v>0.41291376454187001</c:v>
                </c:pt>
                <c:pt idx="13">
                  <c:v>0.45725465779214242</c:v>
                </c:pt>
                <c:pt idx="14">
                  <c:v>0.50075366867256355</c:v>
                </c:pt>
                <c:pt idx="15">
                  <c:v>0.54290738900929192</c:v>
                </c:pt>
                <c:pt idx="16">
                  <c:v>0.5833087611372032</c:v>
                </c:pt>
                <c:pt idx="17">
                  <c:v>0.62164804197324408</c:v>
                </c:pt>
                <c:pt idx="18">
                  <c:v>0.65770799619287978</c:v>
                </c:pt>
                <c:pt idx="19">
                  <c:v>0.69135511561854612</c:v>
                </c:pt>
                <c:pt idx="20">
                  <c:v>0.72252850115124967</c:v>
                </c:pt>
                <c:pt idx="21">
                  <c:v>0.75122776018680892</c:v>
                </c:pt>
                <c:pt idx="22">
                  <c:v>0.77750094527199543</c:v>
                </c:pt>
                <c:pt idx="23">
                  <c:v>0.80143324317413966</c:v>
                </c:pt>
                <c:pt idx="24">
                  <c:v>0.8231368491586798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F-49A5-ABF9-7AD3C09C5A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6848"/>
        <c:axId val="1"/>
      </c:scatterChart>
      <c:valAx>
        <c:axId val="486856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68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82909103998222E-2"/>
          <c:w val="0.78240152812798458"/>
          <c:h val="0.7670944172626291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(82.6R)'!$A$14:$A$38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(82.6R)'!$B$14:$B$38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5</c:v>
                </c:pt>
                <c:pt idx="4">
                  <c:v>3</c:v>
                </c:pt>
                <c:pt idx="5">
                  <c:v>8</c:v>
                </c:pt>
                <c:pt idx="6">
                  <c:v>4</c:v>
                </c:pt>
                <c:pt idx="7">
                  <c:v>5</c:v>
                </c:pt>
                <c:pt idx="8">
                  <c:v>2</c:v>
                </c:pt>
                <c:pt idx="9">
                  <c:v>10</c:v>
                </c:pt>
                <c:pt idx="10">
                  <c:v>9</c:v>
                </c:pt>
                <c:pt idx="11">
                  <c:v>35</c:v>
                </c:pt>
                <c:pt idx="12">
                  <c:v>50</c:v>
                </c:pt>
                <c:pt idx="13">
                  <c:v>62</c:v>
                </c:pt>
                <c:pt idx="14">
                  <c:v>89</c:v>
                </c:pt>
                <c:pt idx="15">
                  <c:v>145</c:v>
                </c:pt>
                <c:pt idx="16">
                  <c:v>192</c:v>
                </c:pt>
                <c:pt idx="17">
                  <c:v>176</c:v>
                </c:pt>
                <c:pt idx="18">
                  <c:v>112</c:v>
                </c:pt>
                <c:pt idx="19">
                  <c:v>50</c:v>
                </c:pt>
                <c:pt idx="20">
                  <c:v>14</c:v>
                </c:pt>
                <c:pt idx="21">
                  <c:v>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756-4425-B606-5653E3B9B42F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(82.6R)'!$A$14:$A$38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(82.6R)'!$C$14:$C$38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756-4425-B606-5653E3B9B4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6432"/>
        <c:axId val="1"/>
      </c:scatterChart>
      <c:valAx>
        <c:axId val="4871364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6667229900983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670940488662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6432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45363224945718"/>
          <c:y val="5.3497969261373769E-2"/>
          <c:w val="0.77484971355324772"/>
          <c:h val="0.7431119479630264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'Encounter probability (82.6R)'!$A$14:$A$38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(82.6R)'!$E$14:$E$38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2.2727272727272728E-2</c:v>
                </c:pt>
                <c:pt idx="3">
                  <c:v>8.4745762711864403E-2</c:v>
                </c:pt>
                <c:pt idx="4">
                  <c:v>0.10344827586206896</c:v>
                </c:pt>
                <c:pt idx="5">
                  <c:v>0.21621621621621623</c:v>
                </c:pt>
                <c:pt idx="6">
                  <c:v>0.08</c:v>
                </c:pt>
                <c:pt idx="7">
                  <c:v>0.15625</c:v>
                </c:pt>
                <c:pt idx="8">
                  <c:v>0.15384615384615385</c:v>
                </c:pt>
                <c:pt idx="9">
                  <c:v>0.37037037037037035</c:v>
                </c:pt>
                <c:pt idx="10">
                  <c:v>0.31034482758620691</c:v>
                </c:pt>
                <c:pt idx="11">
                  <c:v>0.47945205479452052</c:v>
                </c:pt>
                <c:pt idx="12">
                  <c:v>0.3968253968253968</c:v>
                </c:pt>
                <c:pt idx="13">
                  <c:v>0.43661971830985913</c:v>
                </c:pt>
                <c:pt idx="14">
                  <c:v>0.48108108108108111</c:v>
                </c:pt>
                <c:pt idx="15">
                  <c:v>0.56862745098039214</c:v>
                </c:pt>
                <c:pt idx="16">
                  <c:v>0.65979381443298968</c:v>
                </c:pt>
                <c:pt idx="17">
                  <c:v>0.61754385964912284</c:v>
                </c:pt>
                <c:pt idx="18">
                  <c:v>0.59259259259259256</c:v>
                </c:pt>
                <c:pt idx="19">
                  <c:v>0.61728395061728392</c:v>
                </c:pt>
                <c:pt idx="20">
                  <c:v>0.7</c:v>
                </c:pt>
                <c:pt idx="21">
                  <c:v>0.5714285714285714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4F-4284-AC91-950BA88D1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8072"/>
        <c:axId val="1"/>
      </c:scatterChart>
      <c:scatterChart>
        <c:scatterStyle val="smoothMarker"/>
        <c:varyColors val="0"/>
        <c:ser>
          <c:idx val="2"/>
          <c:order val="1"/>
          <c:spPr>
            <a:ln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'Encounter probability (82.6R)'!$A$14:$A$38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(82.6R)'!$F$14:$F$38</c:f>
              <c:numCache>
                <c:formatCode>General</c:formatCode>
                <c:ptCount val="25"/>
                <c:pt idx="0">
                  <c:v>-9.368818767746534E-3</c:v>
                </c:pt>
                <c:pt idx="1">
                  <c:v>-9.294211623024573E-3</c:v>
                </c:pt>
                <c:pt idx="2">
                  <c:v>-9.1872942394011226E-3</c:v>
                </c:pt>
                <c:pt idx="3">
                  <c:v>-9.0340859051376565E-3</c:v>
                </c:pt>
                <c:pt idx="4">
                  <c:v>-8.8145689976724118E-3</c:v>
                </c:pt>
                <c:pt idx="5">
                  <c:v>-8.50009546771191E-3</c:v>
                </c:pt>
                <c:pt idx="6">
                  <c:v>-8.0496930580948867E-3</c:v>
                </c:pt>
                <c:pt idx="7">
                  <c:v>-7.4048191594127122E-3</c:v>
                </c:pt>
                <c:pt idx="8">
                  <c:v>-6.4819399604971739E-3</c:v>
                </c:pt>
                <c:pt idx="9">
                  <c:v>-5.1620949055422027E-3</c:v>
                </c:pt>
                <c:pt idx="10">
                  <c:v>-3.2763473633341533E-3</c:v>
                </c:pt>
                <c:pt idx="11">
                  <c:v>-5.8575579386177523E-4</c:v>
                </c:pt>
                <c:pt idx="12">
                  <c:v>3.2456781657241862E-3</c:v>
                </c:pt>
                <c:pt idx="13">
                  <c:v>8.6864944877265149E-3</c:v>
                </c:pt>
                <c:pt idx="14">
                  <c:v>1.6382198060428621E-2</c:v>
                </c:pt>
                <c:pt idx="15">
                  <c:v>2.7206600652350588E-2</c:v>
                </c:pt>
                <c:pt idx="16">
                  <c:v>4.2312527469678951E-2</c:v>
                </c:pt>
                <c:pt idx="17">
                  <c:v>6.3163981944634795E-2</c:v>
                </c:pt>
                <c:pt idx="18">
                  <c:v>9.151548515575314E-2</c:v>
                </c:pt>
                <c:pt idx="19">
                  <c:v>0.12928442856747258</c:v>
                </c:pt>
                <c:pt idx="20">
                  <c:v>0.17825129877213763</c:v>
                </c:pt>
                <c:pt idx="21">
                  <c:v>0.23954888190575474</c:v>
                </c:pt>
                <c:pt idx="22">
                  <c:v>0.31300132385421309</c:v>
                </c:pt>
                <c:pt idx="23">
                  <c:v>0.39654707128022104</c:v>
                </c:pt>
                <c:pt idx="24">
                  <c:v>0.486119895167618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D4F-4284-AC91-950BA88D16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8544"/>
        <c:axId val="585270680"/>
      </c:scatterChart>
      <c:valAx>
        <c:axId val="4871380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8072"/>
        <c:crossesAt val="0"/>
        <c:crossBetween val="midCat"/>
      </c:valAx>
      <c:valAx>
        <c:axId val="585270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85258544"/>
        <c:crosses val="max"/>
        <c:crossBetween val="midCat"/>
      </c:valAx>
      <c:valAx>
        <c:axId val="5852585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585270680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701554693283053E-2"/>
          <c:w val="0.78240152812798458"/>
          <c:h val="0.7675914174850678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(82.6S)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(82.6S) '!$B$14:$B$38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13</c:v>
                </c:pt>
                <c:pt idx="12">
                  <c:v>21</c:v>
                </c:pt>
                <c:pt idx="13">
                  <c:v>27</c:v>
                </c:pt>
                <c:pt idx="14">
                  <c:v>52</c:v>
                </c:pt>
                <c:pt idx="15">
                  <c:v>109</c:v>
                </c:pt>
                <c:pt idx="16">
                  <c:v>179</c:v>
                </c:pt>
                <c:pt idx="17">
                  <c:v>161</c:v>
                </c:pt>
                <c:pt idx="18">
                  <c:v>102</c:v>
                </c:pt>
                <c:pt idx="19">
                  <c:v>43</c:v>
                </c:pt>
                <c:pt idx="20">
                  <c:v>6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2C-49EA-B373-5B8F0342A26D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(82.6S)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(82.6S) 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72C-49EA-B373-5B8F0342A2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0300248"/>
        <c:axId val="1"/>
      </c:scatterChart>
      <c:valAx>
        <c:axId val="5503002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8812517212"/>
              <c:y val="0.9168453042182754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200037500073243E-2"/>
              <c:y val="0.2686569961197737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5503002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562232802011593"/>
          <c:y val="6.1320825334455764E-2"/>
          <c:w val="0.8105122396614769"/>
          <c:h val="0.72895788111866833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'Logistic curve (82.6S)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(82.6S) '!$E$14:$E$38</c:f>
              <c:numCache>
                <c:formatCode>General</c:formatCode>
                <c:ptCount val="25"/>
                <c:pt idx="0">
                  <c:v>1</c:v>
                </c:pt>
                <c:pt idx="1">
                  <c:v>8.3333333333333329E-2</c:v>
                </c:pt>
                <c:pt idx="2">
                  <c:v>0</c:v>
                </c:pt>
                <c:pt idx="3">
                  <c:v>3.5714285714285712E-2</c:v>
                </c:pt>
                <c:pt idx="4">
                  <c:v>0</c:v>
                </c:pt>
                <c:pt idx="5">
                  <c:v>3.3333333333333333E-2</c:v>
                </c:pt>
                <c:pt idx="6">
                  <c:v>2.1276595744680851E-2</c:v>
                </c:pt>
                <c:pt idx="7">
                  <c:v>0.1</c:v>
                </c:pt>
                <c:pt idx="8">
                  <c:v>0.21428571428571427</c:v>
                </c:pt>
                <c:pt idx="9">
                  <c:v>0.2608695652173913</c:v>
                </c:pt>
                <c:pt idx="10">
                  <c:v>0.13043478260869565</c:v>
                </c:pt>
                <c:pt idx="11">
                  <c:v>0.25490196078431371</c:v>
                </c:pt>
                <c:pt idx="12">
                  <c:v>0.21649484536082475</c:v>
                </c:pt>
                <c:pt idx="13">
                  <c:v>0.25233644859813081</c:v>
                </c:pt>
                <c:pt idx="14">
                  <c:v>0.35135135135135137</c:v>
                </c:pt>
                <c:pt idx="15">
                  <c:v>0.49771689497716892</c:v>
                </c:pt>
                <c:pt idx="16">
                  <c:v>0.64388489208633093</c:v>
                </c:pt>
                <c:pt idx="17">
                  <c:v>0.59629629629629632</c:v>
                </c:pt>
                <c:pt idx="18">
                  <c:v>0.56983240223463683</c:v>
                </c:pt>
                <c:pt idx="19">
                  <c:v>0.58108108108108103</c:v>
                </c:pt>
                <c:pt idx="20">
                  <c:v>0.5</c:v>
                </c:pt>
                <c:pt idx="21">
                  <c:v>0.5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6EC-4A53-BBDB-D444CFA2BC97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'Logistic curve (82.6S) 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'Logistic curve (82.6S) '!$F$14:$F$38</c:f>
              <c:numCache>
                <c:formatCode>General</c:formatCode>
                <c:ptCount val="25"/>
                <c:pt idx="0">
                  <c:v>1.8982863584691E-2</c:v>
                </c:pt>
                <c:pt idx="1">
                  <c:v>2.4257687697822283E-2</c:v>
                </c:pt>
                <c:pt idx="2">
                  <c:v>3.0951997530688252E-2</c:v>
                </c:pt>
                <c:pt idx="3">
                  <c:v>3.9419079343828968E-2</c:v>
                </c:pt>
                <c:pt idx="4">
                  <c:v>5.008266854526363E-2</c:v>
                </c:pt>
                <c:pt idx="5">
                  <c:v>6.3440439142969665E-2</c:v>
                </c:pt>
                <c:pt idx="6">
                  <c:v>8.0060648687411695E-2</c:v>
                </c:pt>
                <c:pt idx="7">
                  <c:v>0.10056749151307361</c:v>
                </c:pt>
                <c:pt idx="8">
                  <c:v>0.12560978069591258</c:v>
                </c:pt>
                <c:pt idx="9">
                  <c:v>0.15580762894032699</c:v>
                </c:pt>
                <c:pt idx="10">
                  <c:v>0.1916739167617631</c:v>
                </c:pt>
                <c:pt idx="11">
                  <c:v>0.2335127048311986</c:v>
                </c:pt>
                <c:pt idx="12">
                  <c:v>0.28130586346786995</c:v>
                </c:pt>
                <c:pt idx="13">
                  <c:v>0.33461059764886414</c:v>
                </c:pt>
                <c:pt idx="14">
                  <c:v>0.39249975973830326</c:v>
                </c:pt>
                <c:pt idx="15">
                  <c:v>0.45357700997891076</c:v>
                </c:pt>
                <c:pt idx="16">
                  <c:v>0.51608445211130727</c:v>
                </c:pt>
                <c:pt idx="17">
                  <c:v>0.57809263439090808</c:v>
                </c:pt>
                <c:pt idx="18">
                  <c:v>0.63773264994526291</c:v>
                </c:pt>
                <c:pt idx="19">
                  <c:v>0.69341316804345354</c:v>
                </c:pt>
                <c:pt idx="20">
                  <c:v>0.74397138112912142</c:v>
                </c:pt>
                <c:pt idx="21">
                  <c:v>0.78873242402787225</c:v>
                </c:pt>
                <c:pt idx="22">
                  <c:v>0.82748260274277186</c:v>
                </c:pt>
                <c:pt idx="23">
                  <c:v>0.86038343833707942</c:v>
                </c:pt>
                <c:pt idx="24">
                  <c:v>0.88786006738766188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EC-4A53-BBDB-D444CFA2BC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359096"/>
        <c:axId val="1"/>
      </c:scatterChart>
      <c:valAx>
        <c:axId val="608359096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496331868989"/>
              <c:y val="0.9080199136063642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665668535779E-2"/>
              <c:y val="0.3113211132364677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608359096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8091462852523416E-2"/>
          <c:w val="0.78240152812798458"/>
          <c:h val="0.77386127299968699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(82.6S)'!$B$14:$B$38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13</c:v>
                </c:pt>
                <c:pt idx="12">
                  <c:v>21</c:v>
                </c:pt>
                <c:pt idx="13">
                  <c:v>27</c:v>
                </c:pt>
                <c:pt idx="14">
                  <c:v>52</c:v>
                </c:pt>
                <c:pt idx="15">
                  <c:v>109</c:v>
                </c:pt>
                <c:pt idx="16">
                  <c:v>179</c:v>
                </c:pt>
                <c:pt idx="17">
                  <c:v>161</c:v>
                </c:pt>
                <c:pt idx="18">
                  <c:v>102</c:v>
                </c:pt>
                <c:pt idx="19">
                  <c:v>43</c:v>
                </c:pt>
                <c:pt idx="20">
                  <c:v>6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B72-4494-BC9F-F447F8316D9D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(82.6S)'!$C$14:$C$38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B72-4494-BC9F-F447F8316D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4880"/>
        <c:axId val="1"/>
      </c:scatterChart>
      <c:valAx>
        <c:axId val="486854880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90898950131233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7385990813648298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4880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232666566853578"/>
          <c:y val="5.3497969261373769E-2"/>
          <c:w val="0.84129493187756699"/>
          <c:h val="0.7757205542899195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'Richard curve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(82.6S)'!$E$14:$E$38</c:f>
              <c:numCache>
                <c:formatCode>General</c:formatCode>
                <c:ptCount val="25"/>
                <c:pt idx="0">
                  <c:v>1</c:v>
                </c:pt>
                <c:pt idx="1">
                  <c:v>8.3333333333333329E-2</c:v>
                </c:pt>
                <c:pt idx="2">
                  <c:v>0</c:v>
                </c:pt>
                <c:pt idx="3">
                  <c:v>3.5714285714285712E-2</c:v>
                </c:pt>
                <c:pt idx="4">
                  <c:v>0</c:v>
                </c:pt>
                <c:pt idx="5">
                  <c:v>3.3333333333333333E-2</c:v>
                </c:pt>
                <c:pt idx="6">
                  <c:v>2.1276595744680851E-2</c:v>
                </c:pt>
                <c:pt idx="7">
                  <c:v>0.1</c:v>
                </c:pt>
                <c:pt idx="8">
                  <c:v>0.21428571428571427</c:v>
                </c:pt>
                <c:pt idx="9">
                  <c:v>0.2608695652173913</c:v>
                </c:pt>
                <c:pt idx="10">
                  <c:v>0.13043478260869565</c:v>
                </c:pt>
                <c:pt idx="11">
                  <c:v>0.25490196078431371</c:v>
                </c:pt>
                <c:pt idx="12">
                  <c:v>0.21649484536082475</c:v>
                </c:pt>
                <c:pt idx="13">
                  <c:v>0.25233644859813081</c:v>
                </c:pt>
                <c:pt idx="14">
                  <c:v>0.35135135135135137</c:v>
                </c:pt>
                <c:pt idx="15">
                  <c:v>0.49771689497716892</c:v>
                </c:pt>
                <c:pt idx="16">
                  <c:v>0.64388489208633093</c:v>
                </c:pt>
                <c:pt idx="17">
                  <c:v>0.59629629629629632</c:v>
                </c:pt>
                <c:pt idx="18">
                  <c:v>0.56983240223463683</c:v>
                </c:pt>
                <c:pt idx="19">
                  <c:v>0.58108108108108103</c:v>
                </c:pt>
                <c:pt idx="20">
                  <c:v>0.5</c:v>
                </c:pt>
                <c:pt idx="21">
                  <c:v>0.5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A34-4E9D-A246-8A947D54E8ED}"/>
            </c:ext>
          </c:extLst>
        </c:ser>
        <c:ser>
          <c:idx val="2"/>
          <c:order val="1"/>
          <c:spPr>
            <a:ln w="25400">
              <a:solidFill>
                <a:srgbClr val="000000"/>
              </a:solidFill>
              <a:prstDash val="sysDash"/>
            </a:ln>
          </c:spPr>
          <c:marker>
            <c:symbol val="none"/>
          </c:marker>
          <c:xVal>
            <c:numRef>
              <c:f>'Richard curve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'Richard curve (82.6S)'!$F$14:$F$38</c:f>
              <c:numCache>
                <c:formatCode>General</c:formatCode>
                <c:ptCount val="25"/>
                <c:pt idx="0">
                  <c:v>8.2397220123928885E-3</c:v>
                </c:pt>
                <c:pt idx="1">
                  <c:v>1.2140036798459188E-2</c:v>
                </c:pt>
                <c:pt idx="2">
                  <c:v>1.7677133177973554E-2</c:v>
                </c:pt>
                <c:pt idx="3">
                  <c:v>2.540018211579434E-2</c:v>
                </c:pt>
                <c:pt idx="4">
                  <c:v>3.5960940331532201E-2</c:v>
                </c:pt>
                <c:pt idx="5">
                  <c:v>5.0088755996473666E-2</c:v>
                </c:pt>
                <c:pt idx="6">
                  <c:v>6.8540437651593816E-2</c:v>
                </c:pt>
                <c:pt idx="7">
                  <c:v>9.2023701158893079E-2</c:v>
                </c:pt>
                <c:pt idx="8">
                  <c:v>0.12109992857198217</c:v>
                </c:pt>
                <c:pt idx="9">
                  <c:v>0.15608037584195153</c:v>
                </c:pt>
                <c:pt idx="10">
                  <c:v>0.19693675098408439</c:v>
                </c:pt>
                <c:pt idx="11">
                  <c:v>0.24324872453693691</c:v>
                </c:pt>
                <c:pt idx="12">
                  <c:v>0.29420524714904839</c:v>
                </c:pt>
                <c:pt idx="13">
                  <c:v>0.34866436986317506</c:v>
                </c:pt>
                <c:pt idx="14">
                  <c:v>0.40526161213424211</c:v>
                </c:pt>
                <c:pt idx="15">
                  <c:v>0.46254522158536832</c:v>
                </c:pt>
                <c:pt idx="16">
                  <c:v>0.51911200508644761</c:v>
                </c:pt>
                <c:pt idx="17">
                  <c:v>0.57372062978716221</c:v>
                </c:pt>
                <c:pt idx="18">
                  <c:v>0.6253680426136744</c:v>
                </c:pt>
                <c:pt idx="19">
                  <c:v>0.67332504700880613</c:v>
                </c:pt>
                <c:pt idx="20">
                  <c:v>0.71713567311759485</c:v>
                </c:pt>
                <c:pt idx="21">
                  <c:v>0.75658999595983123</c:v>
                </c:pt>
                <c:pt idx="22">
                  <c:v>0.79168143039623573</c:v>
                </c:pt>
                <c:pt idx="23">
                  <c:v>0.82255827446500418</c:v>
                </c:pt>
                <c:pt idx="24">
                  <c:v>0.84947669823988359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34-4E9D-A246-8A947D54E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856848"/>
        <c:axId val="1"/>
      </c:scatterChart>
      <c:valAx>
        <c:axId val="48685684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6856848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5520030312559205"/>
          <c:y val="5.982909103998222E-2"/>
          <c:w val="0.78240152812798458"/>
          <c:h val="0.76709441726262917"/>
        </c:manualLayout>
      </c:layout>
      <c:scatterChart>
        <c:scatterStyle val="lineMarker"/>
        <c:varyColors val="0"/>
        <c:ser>
          <c:idx val="0"/>
          <c:order val="0"/>
          <c:spPr>
            <a:ln w="127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000000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(82.6S)'!$B$14:$B$38</c:f>
              <c:numCache>
                <c:formatCode>General</c:formatCode>
                <c:ptCount val="2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3</c:v>
                </c:pt>
                <c:pt idx="8">
                  <c:v>3</c:v>
                </c:pt>
                <c:pt idx="9">
                  <c:v>6</c:v>
                </c:pt>
                <c:pt idx="10">
                  <c:v>3</c:v>
                </c:pt>
                <c:pt idx="11">
                  <c:v>13</c:v>
                </c:pt>
                <c:pt idx="12">
                  <c:v>21</c:v>
                </c:pt>
                <c:pt idx="13">
                  <c:v>27</c:v>
                </c:pt>
                <c:pt idx="14">
                  <c:v>52</c:v>
                </c:pt>
                <c:pt idx="15">
                  <c:v>109</c:v>
                </c:pt>
                <c:pt idx="16">
                  <c:v>179</c:v>
                </c:pt>
                <c:pt idx="17">
                  <c:v>161</c:v>
                </c:pt>
                <c:pt idx="18">
                  <c:v>102</c:v>
                </c:pt>
                <c:pt idx="19">
                  <c:v>43</c:v>
                </c:pt>
                <c:pt idx="20">
                  <c:v>6</c:v>
                </c:pt>
                <c:pt idx="21">
                  <c:v>3</c:v>
                </c:pt>
                <c:pt idx="22">
                  <c:v>1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476-444B-A841-00081DFCA293}"/>
            </c:ext>
          </c:extLst>
        </c:ser>
        <c:ser>
          <c:idx val="1"/>
          <c:order val="1"/>
          <c:spPr>
            <a:ln w="25400">
              <a:solidFill>
                <a:srgbClr val="000000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FFFF"/>
              </a:solidFill>
              <a:ln>
                <a:solidFill>
                  <a:srgbClr val="000000"/>
                </a:solidFill>
                <a:prstDash val="solid"/>
              </a:ln>
            </c:spPr>
          </c:marker>
          <c:xVal>
            <c:numRef>
              <c:f>'Encounter probability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(82.6S)'!$C$14:$C$38</c:f>
              <c:numCache>
                <c:formatCode>General</c:formatCode>
                <c:ptCount val="25"/>
                <c:pt idx="0">
                  <c:v>0</c:v>
                </c:pt>
                <c:pt idx="1">
                  <c:v>11</c:v>
                </c:pt>
                <c:pt idx="2">
                  <c:v>43</c:v>
                </c:pt>
                <c:pt idx="3">
                  <c:v>54</c:v>
                </c:pt>
                <c:pt idx="4">
                  <c:v>26</c:v>
                </c:pt>
                <c:pt idx="5">
                  <c:v>29</c:v>
                </c:pt>
                <c:pt idx="6">
                  <c:v>46</c:v>
                </c:pt>
                <c:pt idx="7">
                  <c:v>27</c:v>
                </c:pt>
                <c:pt idx="8">
                  <c:v>11</c:v>
                </c:pt>
                <c:pt idx="9">
                  <c:v>17</c:v>
                </c:pt>
                <c:pt idx="10">
                  <c:v>20</c:v>
                </c:pt>
                <c:pt idx="11">
                  <c:v>38</c:v>
                </c:pt>
                <c:pt idx="12">
                  <c:v>76</c:v>
                </c:pt>
                <c:pt idx="13">
                  <c:v>80</c:v>
                </c:pt>
                <c:pt idx="14">
                  <c:v>96</c:v>
                </c:pt>
                <c:pt idx="15">
                  <c:v>110</c:v>
                </c:pt>
                <c:pt idx="16">
                  <c:v>99</c:v>
                </c:pt>
                <c:pt idx="17">
                  <c:v>109</c:v>
                </c:pt>
                <c:pt idx="18">
                  <c:v>77</c:v>
                </c:pt>
                <c:pt idx="19">
                  <c:v>31</c:v>
                </c:pt>
                <c:pt idx="20">
                  <c:v>6</c:v>
                </c:pt>
                <c:pt idx="21">
                  <c:v>3</c:v>
                </c:pt>
                <c:pt idx="22">
                  <c:v>3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476-444B-A841-00081DFCA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6432"/>
        <c:axId val="1"/>
      </c:scatterChart>
      <c:valAx>
        <c:axId val="48713643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120078740157482"/>
              <c:y val="0.9166672299009833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Individual number</a:t>
                </a:r>
              </a:p>
            </c:rich>
          </c:tx>
          <c:layout>
            <c:manualLayout>
              <c:xMode val="edge"/>
              <c:yMode val="edge"/>
              <c:x val="1.9199979810216032E-2"/>
              <c:y val="0.267094048866209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6432"/>
        <c:crossesAt val="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 paperSize="9" orientation="landscape" horizontalDpi="300" verticalDpi="300"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745363224945718"/>
          <c:y val="5.3497969261373769E-2"/>
          <c:w val="0.77484971355324772"/>
          <c:h val="0.74311194796302649"/>
        </c:manualLayout>
      </c:layout>
      <c:scatterChart>
        <c:scatterStyle val="lineMarker"/>
        <c:varyColors val="0"/>
        <c:ser>
          <c:idx val="1"/>
          <c:order val="0"/>
          <c:spPr>
            <a:ln w="19050">
              <a:noFill/>
            </a:ln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</c:spPr>
          </c:marker>
          <c:xVal>
            <c:numRef>
              <c:f>'Encounter probability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(82.6S)'!$E$14:$E$38</c:f>
              <c:numCache>
                <c:formatCode>General</c:formatCode>
                <c:ptCount val="25"/>
                <c:pt idx="0">
                  <c:v>1</c:v>
                </c:pt>
                <c:pt idx="1">
                  <c:v>8.3333333333333329E-2</c:v>
                </c:pt>
                <c:pt idx="2">
                  <c:v>0</c:v>
                </c:pt>
                <c:pt idx="3">
                  <c:v>3.5714285714285712E-2</c:v>
                </c:pt>
                <c:pt idx="4">
                  <c:v>0</c:v>
                </c:pt>
                <c:pt idx="5">
                  <c:v>3.3333333333333333E-2</c:v>
                </c:pt>
                <c:pt idx="6">
                  <c:v>2.1276595744680851E-2</c:v>
                </c:pt>
                <c:pt idx="7">
                  <c:v>0.1</c:v>
                </c:pt>
                <c:pt idx="8">
                  <c:v>0.21428571428571427</c:v>
                </c:pt>
                <c:pt idx="9">
                  <c:v>0.2608695652173913</c:v>
                </c:pt>
                <c:pt idx="10">
                  <c:v>0.13043478260869565</c:v>
                </c:pt>
                <c:pt idx="11">
                  <c:v>0.25490196078431371</c:v>
                </c:pt>
                <c:pt idx="12">
                  <c:v>0.21649484536082475</c:v>
                </c:pt>
                <c:pt idx="13">
                  <c:v>0.25233644859813081</c:v>
                </c:pt>
                <c:pt idx="14">
                  <c:v>0.35135135135135137</c:v>
                </c:pt>
                <c:pt idx="15">
                  <c:v>0.49771689497716892</c:v>
                </c:pt>
                <c:pt idx="16">
                  <c:v>0.64388489208633093</c:v>
                </c:pt>
                <c:pt idx="17">
                  <c:v>0.59629629629629632</c:v>
                </c:pt>
                <c:pt idx="18">
                  <c:v>0.56983240223463683</c:v>
                </c:pt>
                <c:pt idx="19">
                  <c:v>0.58108108108108103</c:v>
                </c:pt>
                <c:pt idx="20">
                  <c:v>0.5</c:v>
                </c:pt>
                <c:pt idx="21">
                  <c:v>0.5</c:v>
                </c:pt>
                <c:pt idx="22">
                  <c:v>0.25</c:v>
                </c:pt>
                <c:pt idx="23">
                  <c:v>0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52-40BE-BC84-2E70BFB5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138072"/>
        <c:axId val="1"/>
      </c:scatterChart>
      <c:scatterChart>
        <c:scatterStyle val="smoothMarker"/>
        <c:varyColors val="0"/>
        <c:ser>
          <c:idx val="2"/>
          <c:order val="1"/>
          <c:spPr>
            <a:ln>
              <a:solidFill>
                <a:srgbClr val="000000"/>
              </a:solidFill>
              <a:prstDash val="dash"/>
            </a:ln>
          </c:spPr>
          <c:marker>
            <c:symbol val="none"/>
          </c:marker>
          <c:xVal>
            <c:numRef>
              <c:f>'Encounter probability (82.6S)'!$A$14:$A$38</c:f>
              <c:numCache>
                <c:formatCode>General</c:formatCode>
                <c:ptCount val="25"/>
                <c:pt idx="0">
                  <c:v>12.5</c:v>
                </c:pt>
                <c:pt idx="1">
                  <c:v>17.5</c:v>
                </c:pt>
                <c:pt idx="2">
                  <c:v>22.5</c:v>
                </c:pt>
                <c:pt idx="3">
                  <c:v>27.5</c:v>
                </c:pt>
                <c:pt idx="4">
                  <c:v>32.5</c:v>
                </c:pt>
                <c:pt idx="5">
                  <c:v>37.5</c:v>
                </c:pt>
                <c:pt idx="6">
                  <c:v>42.5</c:v>
                </c:pt>
                <c:pt idx="7">
                  <c:v>47.5</c:v>
                </c:pt>
                <c:pt idx="8">
                  <c:v>52.5</c:v>
                </c:pt>
                <c:pt idx="9">
                  <c:v>57.5</c:v>
                </c:pt>
                <c:pt idx="10">
                  <c:v>62.5</c:v>
                </c:pt>
                <c:pt idx="11">
                  <c:v>67.5</c:v>
                </c:pt>
                <c:pt idx="12">
                  <c:v>72.5</c:v>
                </c:pt>
                <c:pt idx="13">
                  <c:v>77.5</c:v>
                </c:pt>
                <c:pt idx="14">
                  <c:v>82.5</c:v>
                </c:pt>
                <c:pt idx="15">
                  <c:v>87.5</c:v>
                </c:pt>
                <c:pt idx="16">
                  <c:v>92.5</c:v>
                </c:pt>
                <c:pt idx="17">
                  <c:v>97.5</c:v>
                </c:pt>
                <c:pt idx="18">
                  <c:v>102.5</c:v>
                </c:pt>
                <c:pt idx="19">
                  <c:v>107.5</c:v>
                </c:pt>
                <c:pt idx="20">
                  <c:v>112.5</c:v>
                </c:pt>
                <c:pt idx="21">
                  <c:v>117.5</c:v>
                </c:pt>
                <c:pt idx="22">
                  <c:v>122.5</c:v>
                </c:pt>
                <c:pt idx="23">
                  <c:v>127.5</c:v>
                </c:pt>
                <c:pt idx="24">
                  <c:v>132.5</c:v>
                </c:pt>
              </c:numCache>
            </c:numRef>
          </c:xVal>
          <c:yVal>
            <c:numRef>
              <c:f>'Encounter probability (82.6S)'!$F$14:$F$38</c:f>
              <c:numCache>
                <c:formatCode>General</c:formatCode>
                <c:ptCount val="25"/>
                <c:pt idx="0">
                  <c:v>-9.8867378030413455E-2</c:v>
                </c:pt>
                <c:pt idx="1">
                  <c:v>-9.8233573947044572E-2</c:v>
                </c:pt>
                <c:pt idx="2">
                  <c:v>-9.7245988234734515E-2</c:v>
                </c:pt>
                <c:pt idx="3">
                  <c:v>-9.5708413893545563E-2</c:v>
                </c:pt>
                <c:pt idx="4">
                  <c:v>-9.3317634418389472E-2</c:v>
                </c:pt>
                <c:pt idx="5">
                  <c:v>-8.960761914070825E-2</c:v>
                </c:pt>
                <c:pt idx="6">
                  <c:v>-8.3868214167787336E-2</c:v>
                </c:pt>
                <c:pt idx="7">
                  <c:v>-7.5031738841807138E-2</c:v>
                </c:pt>
                <c:pt idx="8">
                  <c:v>-6.1526739366489558E-2</c:v>
                </c:pt>
                <c:pt idx="9">
                  <c:v>-4.1117165519676702E-2</c:v>
                </c:pt>
                <c:pt idx="10">
                  <c:v>-1.0790463864216893E-2</c:v>
                </c:pt>
                <c:pt idx="11">
                  <c:v>3.3157847510250305E-2</c:v>
                </c:pt>
                <c:pt idx="12">
                  <c:v>9.4588894659823453E-2</c:v>
                </c:pt>
                <c:pt idx="13">
                  <c:v>0.17626258492783142</c:v>
                </c:pt>
                <c:pt idx="14">
                  <c:v>0.27790844029773321</c:v>
                </c:pt>
                <c:pt idx="15">
                  <c:v>0.39450201752651926</c:v>
                </c:pt>
                <c:pt idx="16">
                  <c:v>0.51636260695740854</c:v>
                </c:pt>
                <c:pt idx="17">
                  <c:v>0.63195161462149541</c:v>
                </c:pt>
                <c:pt idx="18">
                  <c:v>0.73192996710910352</c:v>
                </c:pt>
                <c:pt idx="19">
                  <c:v>0.81173518211906481</c:v>
                </c:pt>
                <c:pt idx="20">
                  <c:v>0.87145319382830211</c:v>
                </c:pt>
                <c:pt idx="21">
                  <c:v>0.9140149909239117</c:v>
                </c:pt>
                <c:pt idx="22">
                  <c:v>0.94330699953709596</c:v>
                </c:pt>
                <c:pt idx="23">
                  <c:v>0.96298453387333804</c:v>
                </c:pt>
                <c:pt idx="24">
                  <c:v>0.97598938849481787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C52-40BE-BC84-2E70BFB5A1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258544"/>
        <c:axId val="585270680"/>
      </c:scatterChart>
      <c:valAx>
        <c:axId val="487138072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CA"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</a:rPr>
                  <a:t>Length (ｃm)</a:t>
                </a:r>
              </a:p>
            </c:rich>
          </c:tx>
          <c:layout>
            <c:manualLayout>
              <c:xMode val="edge"/>
              <c:yMode val="edge"/>
              <c:x val="0.45300500631865459"/>
              <c:y val="0.9197534663676395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00" b="0" i="0" u="none" strike="noStrike" baseline="0">
                    <a:solidFill>
                      <a:srgbClr val="000000"/>
                    </a:solidFill>
                    <a:latin typeface="ＭＳ Ｐゴシック"/>
                    <a:ea typeface="ＭＳ Ｐゴシック"/>
                    <a:cs typeface="ＭＳ Ｐゴシック"/>
                  </a:defRPr>
                </a:pPr>
                <a:r>
                  <a:rPr lang="en-CA"/>
                  <a:t>Selectivity</a:t>
                </a:r>
              </a:p>
            </c:rich>
          </c:tx>
          <c:layout>
            <c:manualLayout>
              <c:xMode val="edge"/>
              <c:yMode val="edge"/>
              <c:x val="1.2326723048507826E-2"/>
              <c:y val="0.33539116342265946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cross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  <a:cs typeface="ＭＳ Ｐゴシック"/>
              </a:defRPr>
            </a:pPr>
            <a:endParaRPr lang="en-US"/>
          </a:p>
        </c:txPr>
        <c:crossAx val="487138072"/>
        <c:crossesAt val="0"/>
        <c:crossBetween val="midCat"/>
      </c:valAx>
      <c:valAx>
        <c:axId val="5852706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crossAx val="585258544"/>
        <c:crosses val="max"/>
        <c:crossBetween val="midCat"/>
      </c:valAx>
      <c:valAx>
        <c:axId val="585258544"/>
        <c:scaling>
          <c:orientation val="minMax"/>
        </c:scaling>
        <c:delete val="0"/>
        <c:axPos val="t"/>
        <c:numFmt formatCode="General" sourceLinked="1"/>
        <c:majorTickMark val="out"/>
        <c:minorTickMark val="none"/>
        <c:tickLblPos val="nextTo"/>
        <c:crossAx val="585270680"/>
        <c:crosses val="max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en-US"/>
    </a:p>
  </c:txPr>
  <c:printSettings>
    <c:headerFooter alignWithMargins="0">
      <c:oddHeader>&amp;A</c:oddHeader>
      <c:oddFooter>- &amp;P -</c:oddFooter>
    </c:headerFooter>
    <c:pageMargins b="1" l="0.75" r="0.75" t="1" header="0.51200000000000001" footer="0.512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9.xml"/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5.xml"/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7.xml"/><Relationship Id="rId1" Type="http://schemas.openxmlformats.org/officeDocument/2006/relationships/chart" Target="../charts/chart16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9.xml"/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1.xml"/><Relationship Id="rId1" Type="http://schemas.openxmlformats.org/officeDocument/2006/relationships/chart" Target="../charts/chart20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120650</xdr:colOff>
      <xdr:row>0</xdr:row>
      <xdr:rowOff>0</xdr:rowOff>
    </xdr:from>
    <xdr:to>
      <xdr:col>17</xdr:col>
      <xdr:colOff>57150</xdr:colOff>
      <xdr:row>14</xdr:row>
      <xdr:rowOff>6350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82550</xdr:colOff>
      <xdr:row>15</xdr:row>
      <xdr:rowOff>149224</xdr:rowOff>
    </xdr:from>
    <xdr:to>
      <xdr:col>17</xdr:col>
      <xdr:colOff>381000</xdr:colOff>
      <xdr:row>31</xdr:row>
      <xdr:rowOff>-1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139700</xdr:colOff>
      <xdr:row>5</xdr:row>
      <xdr:rowOff>63500</xdr:rowOff>
    </xdr:from>
    <xdr:to>
      <xdr:col>6</xdr:col>
      <xdr:colOff>628650</xdr:colOff>
      <xdr:row>6</xdr:row>
      <xdr:rowOff>114300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527550" y="1181100"/>
          <a:ext cx="1295400" cy="10414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14255750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6267450" y="2609850"/>
          <a:ext cx="2444750" cy="3619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  <xdr:twoCellAnchor>
    <xdr:from>
      <xdr:col>20</xdr:col>
      <xdr:colOff>0</xdr:colOff>
      <xdr:row>15</xdr:row>
      <xdr:rowOff>0</xdr:rowOff>
    </xdr:from>
    <xdr:to>
      <xdr:col>26</xdr:col>
      <xdr:colOff>298450</xdr:colOff>
      <xdr:row>30</xdr:row>
      <xdr:rowOff>51858</xdr:rowOff>
    </xdr:to>
    <xdr:graphicFrame macro="">
      <xdr:nvGraphicFramePr>
        <xdr:cNvPr id="6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1</xdr:row>
      <xdr:rowOff>88900</xdr:rowOff>
    </xdr:from>
    <xdr:to>
      <xdr:col>16</xdr:col>
      <xdr:colOff>749300</xdr:colOff>
      <xdr:row>15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17</xdr:row>
      <xdr:rowOff>25400</xdr:rowOff>
    </xdr:from>
    <xdr:to>
      <xdr:col>17</xdr:col>
      <xdr:colOff>114300</xdr:colOff>
      <xdr:row>32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584700" y="1403350"/>
          <a:ext cx="1295400" cy="228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6267450" y="1898650"/>
          <a:ext cx="24447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0</xdr:row>
      <xdr:rowOff>114300</xdr:rowOff>
    </xdr:from>
    <xdr:to>
      <xdr:col>21</xdr:col>
      <xdr:colOff>457200</xdr:colOff>
      <xdr:row>16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19</xdr:row>
      <xdr:rowOff>114300</xdr:rowOff>
    </xdr:from>
    <xdr:to>
      <xdr:col>21</xdr:col>
      <xdr:colOff>584200</xdr:colOff>
      <xdr:row>37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584700" y="1320800"/>
          <a:ext cx="1295400" cy="2286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6267450" y="1816100"/>
          <a:ext cx="24447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120650</xdr:colOff>
      <xdr:row>0</xdr:row>
      <xdr:rowOff>0</xdr:rowOff>
    </xdr:from>
    <xdr:to>
      <xdr:col>17</xdr:col>
      <xdr:colOff>57150</xdr:colOff>
      <xdr:row>14</xdr:row>
      <xdr:rowOff>6350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82550</xdr:colOff>
      <xdr:row>15</xdr:row>
      <xdr:rowOff>149224</xdr:rowOff>
    </xdr:from>
    <xdr:to>
      <xdr:col>17</xdr:col>
      <xdr:colOff>381000</xdr:colOff>
      <xdr:row>31</xdr:row>
      <xdr:rowOff>-1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139700</xdr:colOff>
      <xdr:row>5</xdr:row>
      <xdr:rowOff>63500</xdr:rowOff>
    </xdr:from>
    <xdr:to>
      <xdr:col>6</xdr:col>
      <xdr:colOff>628650</xdr:colOff>
      <xdr:row>6</xdr:row>
      <xdr:rowOff>114300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076700" y="1181100"/>
          <a:ext cx="1638300" cy="14351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14255750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5867400" y="2952750"/>
          <a:ext cx="2692400" cy="3619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1</xdr:row>
      <xdr:rowOff>88900</xdr:rowOff>
    </xdr:from>
    <xdr:to>
      <xdr:col>16</xdr:col>
      <xdr:colOff>749300</xdr:colOff>
      <xdr:row>15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17</xdr:row>
      <xdr:rowOff>25400</xdr:rowOff>
    </xdr:from>
    <xdr:to>
      <xdr:col>17</xdr:col>
      <xdr:colOff>114300</xdr:colOff>
      <xdr:row>32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40335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85420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0</xdr:row>
      <xdr:rowOff>114300</xdr:rowOff>
    </xdr:from>
    <xdr:to>
      <xdr:col>21</xdr:col>
      <xdr:colOff>457200</xdr:colOff>
      <xdr:row>16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19</xdr:row>
      <xdr:rowOff>114300</xdr:rowOff>
    </xdr:from>
    <xdr:to>
      <xdr:col>21</xdr:col>
      <xdr:colOff>584200</xdr:colOff>
      <xdr:row>37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32080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77165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120650</xdr:colOff>
      <xdr:row>0</xdr:row>
      <xdr:rowOff>0</xdr:rowOff>
    </xdr:from>
    <xdr:to>
      <xdr:col>17</xdr:col>
      <xdr:colOff>57150</xdr:colOff>
      <xdr:row>14</xdr:row>
      <xdr:rowOff>6350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82550</xdr:colOff>
      <xdr:row>15</xdr:row>
      <xdr:rowOff>149224</xdr:rowOff>
    </xdr:from>
    <xdr:to>
      <xdr:col>17</xdr:col>
      <xdr:colOff>381000</xdr:colOff>
      <xdr:row>31</xdr:row>
      <xdr:rowOff>-1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139700</xdr:colOff>
      <xdr:row>5</xdr:row>
      <xdr:rowOff>63500</xdr:rowOff>
    </xdr:from>
    <xdr:to>
      <xdr:col>6</xdr:col>
      <xdr:colOff>628650</xdr:colOff>
      <xdr:row>6</xdr:row>
      <xdr:rowOff>114300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076700" y="1181100"/>
          <a:ext cx="1638300" cy="14351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14255750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5867400" y="2952750"/>
          <a:ext cx="2692400" cy="3619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1</xdr:row>
      <xdr:rowOff>88900</xdr:rowOff>
    </xdr:from>
    <xdr:to>
      <xdr:col>16</xdr:col>
      <xdr:colOff>749300</xdr:colOff>
      <xdr:row>15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17</xdr:row>
      <xdr:rowOff>25400</xdr:rowOff>
    </xdr:from>
    <xdr:to>
      <xdr:col>17</xdr:col>
      <xdr:colOff>114300</xdr:colOff>
      <xdr:row>32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40335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85420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0</xdr:row>
      <xdr:rowOff>114300</xdr:rowOff>
    </xdr:from>
    <xdr:to>
      <xdr:col>21</xdr:col>
      <xdr:colOff>457200</xdr:colOff>
      <xdr:row>16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19</xdr:row>
      <xdr:rowOff>114300</xdr:rowOff>
    </xdr:from>
    <xdr:to>
      <xdr:col>21</xdr:col>
      <xdr:colOff>584200</xdr:colOff>
      <xdr:row>37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32080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77165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120650</xdr:colOff>
      <xdr:row>0</xdr:row>
      <xdr:rowOff>0</xdr:rowOff>
    </xdr:from>
    <xdr:to>
      <xdr:col>17</xdr:col>
      <xdr:colOff>57150</xdr:colOff>
      <xdr:row>14</xdr:row>
      <xdr:rowOff>6350</xdr:rowOff>
    </xdr:to>
    <xdr:graphicFrame macro="">
      <xdr:nvGraphicFramePr>
        <xdr:cNvPr id="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82550</xdr:colOff>
      <xdr:row>15</xdr:row>
      <xdr:rowOff>149224</xdr:rowOff>
    </xdr:from>
    <xdr:to>
      <xdr:col>17</xdr:col>
      <xdr:colOff>381000</xdr:colOff>
      <xdr:row>31</xdr:row>
      <xdr:rowOff>-1</xdr:rowOff>
    </xdr:to>
    <xdr:graphicFrame macro="">
      <xdr:nvGraphicFramePr>
        <xdr:cNvPr id="3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139700</xdr:colOff>
      <xdr:row>5</xdr:row>
      <xdr:rowOff>63500</xdr:rowOff>
    </xdr:from>
    <xdr:to>
      <xdr:col>6</xdr:col>
      <xdr:colOff>628650</xdr:colOff>
      <xdr:row>6</xdr:row>
      <xdr:rowOff>114300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4076700" y="1181100"/>
          <a:ext cx="1638300" cy="14351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14255750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5867400" y="2952750"/>
          <a:ext cx="2692400" cy="3619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6350</xdr:colOff>
      <xdr:row>1</xdr:row>
      <xdr:rowOff>88900</xdr:rowOff>
    </xdr:from>
    <xdr:to>
      <xdr:col>16</xdr:col>
      <xdr:colOff>749300</xdr:colOff>
      <xdr:row>15</xdr:row>
      <xdr:rowOff>158750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25400</xdr:colOff>
      <xdr:row>17</xdr:row>
      <xdr:rowOff>25400</xdr:rowOff>
    </xdr:from>
    <xdr:to>
      <xdr:col>17</xdr:col>
      <xdr:colOff>114300</xdr:colOff>
      <xdr:row>32</xdr:row>
      <xdr:rowOff>158750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40335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85420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63500</xdr:colOff>
      <xdr:row>0</xdr:row>
      <xdr:rowOff>114300</xdr:rowOff>
    </xdr:from>
    <xdr:to>
      <xdr:col>21</xdr:col>
      <xdr:colOff>457200</xdr:colOff>
      <xdr:row>16</xdr:row>
      <xdr:rowOff>50800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19</xdr:row>
      <xdr:rowOff>114300</xdr:rowOff>
    </xdr:from>
    <xdr:to>
      <xdr:col>21</xdr:col>
      <xdr:colOff>584200</xdr:colOff>
      <xdr:row>37</xdr:row>
      <xdr:rowOff>50800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196850</xdr:colOff>
      <xdr:row>6</xdr:row>
      <xdr:rowOff>6350</xdr:rowOff>
    </xdr:from>
    <xdr:to>
      <xdr:col>6</xdr:col>
      <xdr:colOff>685800</xdr:colOff>
      <xdr:row>6</xdr:row>
      <xdr:rowOff>234950</xdr:rowOff>
    </xdr:to>
    <xdr:sp macro="" textlink="">
      <xdr:nvSpPr>
        <xdr:cNvPr id="4" name="テキスト 5"/>
        <xdr:cNvSpPr>
          <a:spLocks noChangeArrowheads="1"/>
        </xdr:cNvSpPr>
      </xdr:nvSpPr>
      <xdr:spPr bwMode="auto">
        <a:xfrm>
          <a:off x="3244850" y="1320800"/>
          <a:ext cx="1022350" cy="20320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Changing cells</a:t>
          </a:r>
        </a:p>
      </xdr:txBody>
    </xdr:sp>
    <xdr:clientData/>
  </xdr:twoCellAnchor>
  <xdr:twoCellAnchor>
    <xdr:from>
      <xdr:col>7</xdr:col>
      <xdr:colOff>152400</xdr:colOff>
      <xdr:row>8</xdr:row>
      <xdr:rowOff>38100</xdr:rowOff>
    </xdr:from>
    <xdr:to>
      <xdr:col>9</xdr:col>
      <xdr:colOff>577850</xdr:colOff>
      <xdr:row>9</xdr:row>
      <xdr:rowOff>82550</xdr:rowOff>
    </xdr:to>
    <xdr:sp macro="" textlink="">
      <xdr:nvSpPr>
        <xdr:cNvPr id="5" name="テキスト 6"/>
        <xdr:cNvSpPr>
          <a:spLocks noChangeArrowheads="1"/>
        </xdr:cNvSpPr>
      </xdr:nvSpPr>
      <xdr:spPr bwMode="auto">
        <a:xfrm>
          <a:off x="4419600" y="1771650"/>
          <a:ext cx="1644650" cy="247650"/>
        </a:xfrm>
        <a:prstGeom prst="roundRect">
          <a:avLst>
            <a:gd name="adj" fmla="val 1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  <xdr:txBody>
        <a:bodyPr vertOverflow="clip" wrap="square" lIns="36576" tIns="27432" rIns="0" bIns="0" anchor="t" upright="1"/>
        <a:lstStyle/>
        <a:p>
          <a:pPr algn="l" rtl="0">
            <a:defRPr sz="1000"/>
          </a:pPr>
          <a:r>
            <a:rPr lang="en-CA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Target cell should be maximized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A26" sqref="A26"/>
    </sheetView>
  </sheetViews>
  <sheetFormatPr defaultRowHeight="14.5"/>
  <cols>
    <col min="3" max="3" width="10.6328125" bestFit="1" customWidth="1"/>
  </cols>
  <sheetData>
    <row r="1" spans="1:8">
      <c r="A1" t="s">
        <v>40</v>
      </c>
      <c r="B1" t="s">
        <v>41</v>
      </c>
      <c r="C1" t="s">
        <v>42</v>
      </c>
      <c r="D1" t="s">
        <v>24</v>
      </c>
      <c r="E1" t="s">
        <v>43</v>
      </c>
      <c r="F1" t="s">
        <v>44</v>
      </c>
      <c r="G1" t="s">
        <v>23</v>
      </c>
      <c r="H1" t="s">
        <v>45</v>
      </c>
    </row>
    <row r="2" spans="1:8">
      <c r="A2" t="s">
        <v>46</v>
      </c>
      <c r="B2">
        <f>C2+2.5</f>
        <v>12.5</v>
      </c>
      <c r="C2">
        <v>10</v>
      </c>
      <c r="D2">
        <v>0</v>
      </c>
      <c r="E2">
        <v>0</v>
      </c>
      <c r="F2">
        <v>1</v>
      </c>
      <c r="G2">
        <v>0</v>
      </c>
      <c r="H2">
        <v>2</v>
      </c>
    </row>
    <row r="3" spans="1:8">
      <c r="A3" t="s">
        <v>46</v>
      </c>
      <c r="B3">
        <f t="shared" ref="B3:B51" si="0">C3+2.5</f>
        <v>17.5</v>
      </c>
      <c r="C3">
        <v>15</v>
      </c>
      <c r="D3">
        <v>11</v>
      </c>
      <c r="E3">
        <v>0</v>
      </c>
      <c r="F3">
        <v>1</v>
      </c>
      <c r="G3">
        <v>0</v>
      </c>
      <c r="H3">
        <v>0</v>
      </c>
    </row>
    <row r="4" spans="1:8">
      <c r="A4" t="s">
        <v>46</v>
      </c>
      <c r="B4">
        <f t="shared" si="0"/>
        <v>22.5</v>
      </c>
      <c r="C4">
        <v>20</v>
      </c>
      <c r="D4">
        <v>43</v>
      </c>
      <c r="E4">
        <v>1</v>
      </c>
      <c r="F4">
        <v>0</v>
      </c>
      <c r="G4">
        <v>1</v>
      </c>
      <c r="H4">
        <v>0</v>
      </c>
    </row>
    <row r="5" spans="1:8">
      <c r="A5" t="s">
        <v>46</v>
      </c>
      <c r="B5">
        <f t="shared" si="0"/>
        <v>27.5</v>
      </c>
      <c r="C5">
        <v>25</v>
      </c>
      <c r="D5">
        <v>54</v>
      </c>
      <c r="E5">
        <v>5</v>
      </c>
      <c r="F5">
        <v>2</v>
      </c>
      <c r="G5">
        <v>0</v>
      </c>
      <c r="H5">
        <v>0</v>
      </c>
    </row>
    <row r="6" spans="1:8">
      <c r="A6" t="s">
        <v>46</v>
      </c>
      <c r="B6">
        <f t="shared" si="0"/>
        <v>32.5</v>
      </c>
      <c r="C6">
        <v>30</v>
      </c>
      <c r="D6">
        <v>26</v>
      </c>
      <c r="E6">
        <v>3</v>
      </c>
      <c r="F6">
        <v>0</v>
      </c>
      <c r="G6">
        <v>2</v>
      </c>
      <c r="H6">
        <v>0</v>
      </c>
    </row>
    <row r="7" spans="1:8">
      <c r="A7" t="s">
        <v>46</v>
      </c>
      <c r="B7">
        <f t="shared" si="0"/>
        <v>37.5</v>
      </c>
      <c r="C7">
        <v>35</v>
      </c>
      <c r="D7">
        <v>29</v>
      </c>
      <c r="E7">
        <v>8</v>
      </c>
      <c r="F7">
        <v>1</v>
      </c>
      <c r="G7">
        <v>0</v>
      </c>
      <c r="H7">
        <v>0</v>
      </c>
    </row>
    <row r="8" spans="1:8">
      <c r="A8" t="s">
        <v>46</v>
      </c>
      <c r="B8">
        <f t="shared" si="0"/>
        <v>42.5</v>
      </c>
      <c r="C8">
        <v>40</v>
      </c>
      <c r="D8">
        <v>46</v>
      </c>
      <c r="E8">
        <v>4</v>
      </c>
      <c r="F8">
        <v>1</v>
      </c>
      <c r="G8">
        <v>0</v>
      </c>
      <c r="H8">
        <v>2</v>
      </c>
    </row>
    <row r="9" spans="1:8">
      <c r="A9" t="s">
        <v>46</v>
      </c>
      <c r="B9">
        <f t="shared" si="0"/>
        <v>47.5</v>
      </c>
      <c r="C9">
        <v>45</v>
      </c>
      <c r="D9">
        <v>27</v>
      </c>
      <c r="E9">
        <v>5</v>
      </c>
      <c r="F9">
        <v>3</v>
      </c>
      <c r="G9">
        <v>1</v>
      </c>
      <c r="H9">
        <v>1</v>
      </c>
    </row>
    <row r="10" spans="1:8">
      <c r="A10" t="s">
        <v>46</v>
      </c>
      <c r="B10">
        <f t="shared" si="0"/>
        <v>52.5</v>
      </c>
      <c r="C10">
        <v>50</v>
      </c>
      <c r="D10">
        <v>11</v>
      </c>
      <c r="E10">
        <v>2</v>
      </c>
      <c r="F10">
        <v>3</v>
      </c>
      <c r="G10">
        <v>3</v>
      </c>
      <c r="H10">
        <v>2</v>
      </c>
    </row>
    <row r="11" spans="1:8">
      <c r="A11" t="s">
        <v>46</v>
      </c>
      <c r="B11">
        <f t="shared" si="0"/>
        <v>57.5</v>
      </c>
      <c r="C11">
        <v>55</v>
      </c>
      <c r="D11">
        <v>17</v>
      </c>
      <c r="E11">
        <v>10</v>
      </c>
      <c r="F11">
        <v>6</v>
      </c>
      <c r="G11">
        <v>5</v>
      </c>
      <c r="H11">
        <v>0</v>
      </c>
    </row>
    <row r="12" spans="1:8">
      <c r="A12" t="s">
        <v>46</v>
      </c>
      <c r="B12">
        <f t="shared" si="0"/>
        <v>62.5</v>
      </c>
      <c r="C12">
        <v>60</v>
      </c>
      <c r="D12">
        <v>20</v>
      </c>
      <c r="E12">
        <v>9</v>
      </c>
      <c r="F12">
        <v>3</v>
      </c>
      <c r="G12">
        <v>6</v>
      </c>
      <c r="H12">
        <v>6</v>
      </c>
    </row>
    <row r="13" spans="1:8">
      <c r="A13" t="s">
        <v>46</v>
      </c>
      <c r="B13">
        <f t="shared" si="0"/>
        <v>67.5</v>
      </c>
      <c r="C13">
        <v>65</v>
      </c>
      <c r="D13">
        <v>38</v>
      </c>
      <c r="E13">
        <v>35</v>
      </c>
      <c r="F13">
        <v>13</v>
      </c>
      <c r="G13">
        <v>10</v>
      </c>
      <c r="H13">
        <v>9</v>
      </c>
    </row>
    <row r="14" spans="1:8">
      <c r="A14" t="s">
        <v>46</v>
      </c>
      <c r="B14">
        <f t="shared" si="0"/>
        <v>72.5</v>
      </c>
      <c r="C14">
        <v>70</v>
      </c>
      <c r="D14">
        <v>76</v>
      </c>
      <c r="E14">
        <v>50</v>
      </c>
      <c r="F14">
        <v>21</v>
      </c>
      <c r="G14">
        <v>19</v>
      </c>
      <c r="H14">
        <v>9</v>
      </c>
    </row>
    <row r="15" spans="1:8">
      <c r="A15" t="s">
        <v>46</v>
      </c>
      <c r="B15">
        <f t="shared" si="0"/>
        <v>77.5</v>
      </c>
      <c r="C15">
        <v>75</v>
      </c>
      <c r="D15">
        <v>80</v>
      </c>
      <c r="E15">
        <v>62</v>
      </c>
      <c r="F15">
        <v>27</v>
      </c>
      <c r="G15">
        <v>24</v>
      </c>
      <c r="H15">
        <v>14</v>
      </c>
    </row>
    <row r="16" spans="1:8">
      <c r="A16" t="s">
        <v>46</v>
      </c>
      <c r="B16">
        <f t="shared" si="0"/>
        <v>82.5</v>
      </c>
      <c r="C16">
        <v>80</v>
      </c>
      <c r="D16">
        <v>96</v>
      </c>
      <c r="E16">
        <v>89</v>
      </c>
      <c r="F16">
        <v>52</v>
      </c>
      <c r="G16">
        <v>24</v>
      </c>
      <c r="H16">
        <v>14</v>
      </c>
    </row>
    <row r="17" spans="1:8">
      <c r="A17" t="s">
        <v>46</v>
      </c>
      <c r="B17">
        <f t="shared" si="0"/>
        <v>87.5</v>
      </c>
      <c r="C17">
        <v>85</v>
      </c>
      <c r="D17">
        <v>110</v>
      </c>
      <c r="E17">
        <v>145</v>
      </c>
      <c r="F17">
        <v>109</v>
      </c>
      <c r="G17">
        <v>70</v>
      </c>
      <c r="H17">
        <v>30</v>
      </c>
    </row>
    <row r="18" spans="1:8">
      <c r="A18" t="s">
        <v>46</v>
      </c>
      <c r="B18">
        <f t="shared" si="0"/>
        <v>92.5</v>
      </c>
      <c r="C18">
        <v>90</v>
      </c>
      <c r="D18">
        <v>99</v>
      </c>
      <c r="E18">
        <v>192</v>
      </c>
      <c r="F18">
        <v>179</v>
      </c>
      <c r="G18">
        <v>99</v>
      </c>
      <c r="H18">
        <v>61</v>
      </c>
    </row>
    <row r="19" spans="1:8">
      <c r="A19" t="s">
        <v>46</v>
      </c>
      <c r="B19">
        <f t="shared" si="0"/>
        <v>97.5</v>
      </c>
      <c r="C19">
        <v>95</v>
      </c>
      <c r="D19">
        <v>109</v>
      </c>
      <c r="E19">
        <v>176</v>
      </c>
      <c r="F19">
        <v>161</v>
      </c>
      <c r="G19">
        <v>134</v>
      </c>
      <c r="H19">
        <v>101</v>
      </c>
    </row>
    <row r="20" spans="1:8">
      <c r="A20" t="s">
        <v>46</v>
      </c>
      <c r="B20">
        <f t="shared" si="0"/>
        <v>102.5</v>
      </c>
      <c r="C20">
        <v>100</v>
      </c>
      <c r="D20">
        <v>77</v>
      </c>
      <c r="E20">
        <v>112</v>
      </c>
      <c r="F20">
        <v>102</v>
      </c>
      <c r="G20">
        <v>111</v>
      </c>
      <c r="H20">
        <v>101</v>
      </c>
    </row>
    <row r="21" spans="1:8">
      <c r="A21" t="s">
        <v>46</v>
      </c>
      <c r="B21">
        <f t="shared" si="0"/>
        <v>107.5</v>
      </c>
      <c r="C21">
        <v>105</v>
      </c>
      <c r="D21">
        <v>31</v>
      </c>
      <c r="E21">
        <v>50</v>
      </c>
      <c r="F21">
        <v>43</v>
      </c>
      <c r="G21">
        <v>50</v>
      </c>
      <c r="H21">
        <v>57</v>
      </c>
    </row>
    <row r="22" spans="1:8">
      <c r="A22" t="s">
        <v>46</v>
      </c>
      <c r="B22">
        <f t="shared" si="0"/>
        <v>112.5</v>
      </c>
      <c r="C22">
        <v>110</v>
      </c>
      <c r="D22">
        <v>6</v>
      </c>
      <c r="E22">
        <v>14</v>
      </c>
      <c r="F22">
        <v>6</v>
      </c>
      <c r="G22">
        <v>15</v>
      </c>
      <c r="H22">
        <v>10</v>
      </c>
    </row>
    <row r="23" spans="1:8">
      <c r="A23" t="s">
        <v>46</v>
      </c>
      <c r="B23">
        <f t="shared" si="0"/>
        <v>117.5</v>
      </c>
      <c r="C23">
        <v>115</v>
      </c>
      <c r="D23">
        <v>3</v>
      </c>
      <c r="E23">
        <v>4</v>
      </c>
      <c r="F23">
        <v>3</v>
      </c>
      <c r="G23">
        <v>2</v>
      </c>
      <c r="H23">
        <v>4</v>
      </c>
    </row>
    <row r="24" spans="1:8">
      <c r="A24" t="s">
        <v>46</v>
      </c>
      <c r="B24">
        <f t="shared" si="0"/>
        <v>122.5</v>
      </c>
      <c r="C24">
        <v>120</v>
      </c>
      <c r="D24">
        <v>3</v>
      </c>
      <c r="E24">
        <v>0</v>
      </c>
      <c r="F24">
        <v>1</v>
      </c>
      <c r="G24">
        <v>1</v>
      </c>
      <c r="H24">
        <v>2</v>
      </c>
    </row>
    <row r="25" spans="1:8">
      <c r="A25" t="s">
        <v>46</v>
      </c>
      <c r="B25">
        <f t="shared" si="0"/>
        <v>127.5</v>
      </c>
      <c r="C25">
        <v>125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t="s">
        <v>46</v>
      </c>
      <c r="B26">
        <f t="shared" si="0"/>
        <v>132.5</v>
      </c>
      <c r="C26">
        <v>130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>
      <c r="A27" t="s">
        <v>47</v>
      </c>
      <c r="B27">
        <f t="shared" si="0"/>
        <v>12.5</v>
      </c>
      <c r="C27" s="28">
        <v>10</v>
      </c>
      <c r="D27" s="21">
        <v>1</v>
      </c>
      <c r="E27" s="21">
        <v>0</v>
      </c>
      <c r="F27" s="21">
        <v>1</v>
      </c>
      <c r="G27" s="21">
        <v>1</v>
      </c>
      <c r="H27" s="21">
        <v>0</v>
      </c>
    </row>
    <row r="28" spans="1:8">
      <c r="A28" t="s">
        <v>47</v>
      </c>
      <c r="B28">
        <f t="shared" si="0"/>
        <v>17.5</v>
      </c>
      <c r="C28" s="28">
        <v>15</v>
      </c>
      <c r="D28" s="21">
        <v>13</v>
      </c>
      <c r="E28" s="21">
        <v>1</v>
      </c>
      <c r="F28" s="21">
        <v>1</v>
      </c>
      <c r="G28" s="21">
        <v>1</v>
      </c>
      <c r="H28" s="21">
        <v>0</v>
      </c>
    </row>
    <row r="29" spans="1:8">
      <c r="A29" t="s">
        <v>47</v>
      </c>
      <c r="B29">
        <f t="shared" si="0"/>
        <v>22.5</v>
      </c>
      <c r="C29" s="28">
        <v>20</v>
      </c>
      <c r="D29" s="21">
        <v>11</v>
      </c>
      <c r="E29" s="21">
        <v>0</v>
      </c>
      <c r="F29" s="21">
        <v>0</v>
      </c>
      <c r="G29" s="21">
        <v>0</v>
      </c>
      <c r="H29" s="21">
        <v>0</v>
      </c>
    </row>
    <row r="30" spans="1:8">
      <c r="A30" t="s">
        <v>47</v>
      </c>
      <c r="B30">
        <f t="shared" si="0"/>
        <v>27.5</v>
      </c>
      <c r="C30" s="28">
        <v>25</v>
      </c>
      <c r="D30" s="21">
        <v>30</v>
      </c>
      <c r="E30" s="21">
        <v>1</v>
      </c>
      <c r="F30" s="21">
        <v>0</v>
      </c>
      <c r="G30" s="21">
        <v>3</v>
      </c>
      <c r="H30" s="21">
        <v>0</v>
      </c>
    </row>
    <row r="31" spans="1:8">
      <c r="A31" t="s">
        <v>47</v>
      </c>
      <c r="B31">
        <f t="shared" si="0"/>
        <v>32.5</v>
      </c>
      <c r="C31" s="28">
        <v>30</v>
      </c>
      <c r="D31" s="21">
        <v>101</v>
      </c>
      <c r="E31" s="21">
        <v>3</v>
      </c>
      <c r="F31" s="21">
        <v>4</v>
      </c>
      <c r="G31" s="21">
        <v>5</v>
      </c>
      <c r="H31" s="21">
        <v>0</v>
      </c>
    </row>
    <row r="32" spans="1:8">
      <c r="A32" t="s">
        <v>47</v>
      </c>
      <c r="B32">
        <f t="shared" si="0"/>
        <v>37.5</v>
      </c>
      <c r="C32" s="28">
        <v>35</v>
      </c>
      <c r="D32" s="21">
        <v>80</v>
      </c>
      <c r="E32" s="21">
        <v>6</v>
      </c>
      <c r="F32" s="21">
        <v>2</v>
      </c>
      <c r="G32" s="21">
        <v>5</v>
      </c>
      <c r="H32" s="21">
        <v>2</v>
      </c>
    </row>
    <row r="33" spans="1:8">
      <c r="A33" t="s">
        <v>47</v>
      </c>
      <c r="B33">
        <f t="shared" si="0"/>
        <v>42.5</v>
      </c>
      <c r="C33" s="28">
        <v>40</v>
      </c>
      <c r="D33" s="21">
        <v>44</v>
      </c>
      <c r="E33" s="21">
        <v>4</v>
      </c>
      <c r="F33" s="21">
        <v>1</v>
      </c>
      <c r="G33" s="21">
        <v>2</v>
      </c>
      <c r="H33" s="21">
        <v>2</v>
      </c>
    </row>
    <row r="34" spans="1:8">
      <c r="A34" t="s">
        <v>47</v>
      </c>
      <c r="B34">
        <f t="shared" si="0"/>
        <v>47.5</v>
      </c>
      <c r="C34" s="28">
        <v>45</v>
      </c>
      <c r="D34" s="21">
        <v>47</v>
      </c>
      <c r="E34" s="21">
        <v>3</v>
      </c>
      <c r="F34" s="21">
        <v>7</v>
      </c>
      <c r="G34" s="21">
        <v>8</v>
      </c>
      <c r="H34" s="21">
        <v>2</v>
      </c>
    </row>
    <row r="35" spans="1:8">
      <c r="A35" t="s">
        <v>47</v>
      </c>
      <c r="B35">
        <f t="shared" si="0"/>
        <v>52.5</v>
      </c>
      <c r="C35" s="28">
        <v>50</v>
      </c>
      <c r="D35" s="21">
        <v>108</v>
      </c>
      <c r="E35" s="21">
        <v>14</v>
      </c>
      <c r="F35" s="21">
        <v>23</v>
      </c>
      <c r="G35" s="21">
        <v>17</v>
      </c>
      <c r="H35" s="21">
        <v>11</v>
      </c>
    </row>
    <row r="36" spans="1:8">
      <c r="A36" t="s">
        <v>47</v>
      </c>
      <c r="B36">
        <f t="shared" si="0"/>
        <v>57.5</v>
      </c>
      <c r="C36" s="28">
        <v>55</v>
      </c>
      <c r="D36" s="21">
        <v>170</v>
      </c>
      <c r="E36" s="21">
        <v>47</v>
      </c>
      <c r="F36" s="21">
        <v>54</v>
      </c>
      <c r="G36" s="21">
        <v>35</v>
      </c>
      <c r="H36" s="21">
        <v>15</v>
      </c>
    </row>
    <row r="37" spans="1:8">
      <c r="A37" t="s">
        <v>47</v>
      </c>
      <c r="B37">
        <f t="shared" si="0"/>
        <v>62.5</v>
      </c>
      <c r="C37" s="28">
        <v>60</v>
      </c>
      <c r="D37" s="21">
        <v>135</v>
      </c>
      <c r="E37" s="21">
        <v>51</v>
      </c>
      <c r="F37" s="21">
        <v>54</v>
      </c>
      <c r="G37" s="21">
        <v>26</v>
      </c>
      <c r="H37" s="21">
        <v>18</v>
      </c>
    </row>
    <row r="38" spans="1:8">
      <c r="A38" t="s">
        <v>47</v>
      </c>
      <c r="B38">
        <f t="shared" si="0"/>
        <v>67.5</v>
      </c>
      <c r="C38" s="28">
        <v>65</v>
      </c>
      <c r="D38" s="21">
        <v>102</v>
      </c>
      <c r="E38" s="21">
        <v>37</v>
      </c>
      <c r="F38" s="21">
        <v>47</v>
      </c>
      <c r="G38" s="21">
        <v>28</v>
      </c>
      <c r="H38" s="21">
        <v>25</v>
      </c>
    </row>
    <row r="39" spans="1:8">
      <c r="A39" t="s">
        <v>47</v>
      </c>
      <c r="B39">
        <f t="shared" si="0"/>
        <v>72.5</v>
      </c>
      <c r="C39" s="28">
        <v>70</v>
      </c>
      <c r="D39" s="21">
        <v>137</v>
      </c>
      <c r="E39" s="21">
        <v>96</v>
      </c>
      <c r="F39" s="21">
        <v>97</v>
      </c>
      <c r="G39" s="21">
        <v>75</v>
      </c>
      <c r="H39" s="21">
        <v>41</v>
      </c>
    </row>
    <row r="40" spans="1:8">
      <c r="A40" t="s">
        <v>47</v>
      </c>
      <c r="B40">
        <f t="shared" si="0"/>
        <v>77.5</v>
      </c>
      <c r="C40" s="28">
        <v>75</v>
      </c>
      <c r="D40" s="21">
        <v>243</v>
      </c>
      <c r="E40" s="21">
        <v>248</v>
      </c>
      <c r="F40" s="21">
        <v>200</v>
      </c>
      <c r="G40" s="21">
        <v>140</v>
      </c>
      <c r="H40" s="21">
        <v>78</v>
      </c>
    </row>
    <row r="41" spans="1:8">
      <c r="A41" t="s">
        <v>47</v>
      </c>
      <c r="B41">
        <f t="shared" si="0"/>
        <v>82.5</v>
      </c>
      <c r="C41" s="28">
        <v>80</v>
      </c>
      <c r="D41" s="21">
        <v>440</v>
      </c>
      <c r="E41" s="21">
        <v>562</v>
      </c>
      <c r="F41" s="21">
        <v>490</v>
      </c>
      <c r="G41" s="21">
        <v>266</v>
      </c>
      <c r="H41" s="21">
        <v>169</v>
      </c>
    </row>
    <row r="42" spans="1:8">
      <c r="A42" t="s">
        <v>47</v>
      </c>
      <c r="B42">
        <f t="shared" si="0"/>
        <v>87.5</v>
      </c>
      <c r="C42" s="28">
        <v>85</v>
      </c>
      <c r="D42" s="21">
        <v>634</v>
      </c>
      <c r="E42" s="21">
        <v>847</v>
      </c>
      <c r="F42" s="21">
        <v>803</v>
      </c>
      <c r="G42" s="21">
        <v>410</v>
      </c>
      <c r="H42" s="21">
        <v>269</v>
      </c>
    </row>
    <row r="43" spans="1:8">
      <c r="A43" t="s">
        <v>47</v>
      </c>
      <c r="B43">
        <f t="shared" si="0"/>
        <v>92.5</v>
      </c>
      <c r="C43" s="28">
        <v>90</v>
      </c>
      <c r="D43" s="21">
        <v>530</v>
      </c>
      <c r="E43" s="21">
        <v>742</v>
      </c>
      <c r="F43" s="21">
        <v>699</v>
      </c>
      <c r="G43" s="21">
        <v>423</v>
      </c>
      <c r="H43" s="21">
        <v>290</v>
      </c>
    </row>
    <row r="44" spans="1:8">
      <c r="A44" t="s">
        <v>47</v>
      </c>
      <c r="B44">
        <f t="shared" si="0"/>
        <v>97.5</v>
      </c>
      <c r="C44" s="28">
        <v>95</v>
      </c>
      <c r="D44" s="21">
        <v>247</v>
      </c>
      <c r="E44" s="21">
        <v>288</v>
      </c>
      <c r="F44" s="21">
        <v>328</v>
      </c>
      <c r="G44" s="21">
        <v>233</v>
      </c>
      <c r="H44" s="21">
        <v>196</v>
      </c>
    </row>
    <row r="45" spans="1:8">
      <c r="A45" t="s">
        <v>47</v>
      </c>
      <c r="B45">
        <f t="shared" si="0"/>
        <v>102.5</v>
      </c>
      <c r="C45" s="28">
        <v>100</v>
      </c>
      <c r="D45" s="21">
        <v>56</v>
      </c>
      <c r="E45" s="21">
        <v>77</v>
      </c>
      <c r="F45" s="21">
        <v>81</v>
      </c>
      <c r="G45" s="21">
        <v>86</v>
      </c>
      <c r="H45" s="21">
        <v>62</v>
      </c>
    </row>
    <row r="46" spans="1:8">
      <c r="A46" t="s">
        <v>47</v>
      </c>
      <c r="B46">
        <f t="shared" si="0"/>
        <v>107.5</v>
      </c>
      <c r="C46" s="28">
        <v>105</v>
      </c>
      <c r="D46" s="21">
        <v>13</v>
      </c>
      <c r="E46" s="21">
        <v>13</v>
      </c>
      <c r="F46" s="21">
        <v>28</v>
      </c>
      <c r="G46" s="21">
        <v>14</v>
      </c>
      <c r="H46" s="21">
        <v>21</v>
      </c>
    </row>
    <row r="47" spans="1:8">
      <c r="A47" t="s">
        <v>47</v>
      </c>
      <c r="B47">
        <f t="shared" si="0"/>
        <v>112.5</v>
      </c>
      <c r="C47" s="28">
        <v>110</v>
      </c>
      <c r="D47" s="21">
        <v>4</v>
      </c>
      <c r="E47" s="21">
        <v>3</v>
      </c>
      <c r="F47" s="21">
        <v>3</v>
      </c>
      <c r="G47" s="21">
        <v>2</v>
      </c>
      <c r="H47" s="21">
        <v>1</v>
      </c>
    </row>
    <row r="48" spans="1:8">
      <c r="A48" t="s">
        <v>47</v>
      </c>
      <c r="B48">
        <f t="shared" si="0"/>
        <v>117.5</v>
      </c>
      <c r="C48" s="28">
        <v>115</v>
      </c>
      <c r="D48" s="21">
        <v>0</v>
      </c>
      <c r="E48" s="21">
        <v>0</v>
      </c>
      <c r="F48" s="21">
        <v>1</v>
      </c>
      <c r="G48" s="21">
        <v>1</v>
      </c>
      <c r="H48" s="21">
        <v>0</v>
      </c>
    </row>
    <row r="49" spans="1:8">
      <c r="A49" t="s">
        <v>47</v>
      </c>
      <c r="B49">
        <f t="shared" si="0"/>
        <v>122.5</v>
      </c>
      <c r="C49" s="28">
        <v>120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>
        <f t="shared" si="0"/>
        <v>127.5</v>
      </c>
      <c r="C50" s="28">
        <v>125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>
      <c r="A51" t="s">
        <v>47</v>
      </c>
      <c r="B51">
        <f t="shared" si="0"/>
        <v>132.5</v>
      </c>
      <c r="C51" s="28">
        <v>130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C52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A7" zoomScale="60" zoomScaleNormal="60" workbookViewId="0">
      <selection activeCell="S35" sqref="S35"/>
    </sheetView>
  </sheetViews>
  <sheetFormatPr defaultRowHeight="14.5"/>
  <cols>
    <col min="5" max="5" width="21.453125" bestFit="1" customWidth="1"/>
    <col min="6" max="6" width="16.7265625" bestFit="1" customWidth="1"/>
    <col min="8" max="8" width="23.7265625" bestFit="1" customWidth="1"/>
  </cols>
  <sheetData>
    <row r="1" spans="1:2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21" ht="20">
      <c r="B2" s="1" t="s">
        <v>1</v>
      </c>
      <c r="C2" s="2"/>
      <c r="D2" s="2"/>
      <c r="G2" s="2"/>
      <c r="H2" s="3"/>
      <c r="I2" s="2"/>
      <c r="J2" s="2"/>
    </row>
    <row r="3" spans="1:21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21" ht="16" thickTop="1">
      <c r="A4" s="4" t="s">
        <v>5</v>
      </c>
      <c r="B4" s="5"/>
      <c r="C4" s="5"/>
      <c r="D4" s="5"/>
      <c r="E4" s="6" t="s">
        <v>6</v>
      </c>
      <c r="F4" s="7">
        <v>-5.3485947796789874</v>
      </c>
      <c r="G4" s="2"/>
      <c r="H4" s="8">
        <f>-J4*H5</f>
        <v>-8.1297309361440124</v>
      </c>
      <c r="I4" s="6" t="s">
        <v>7</v>
      </c>
      <c r="J4" s="9">
        <v>92.5</v>
      </c>
    </row>
    <row r="5" spans="1:21" ht="16" thickBot="1">
      <c r="A5" s="5" t="s">
        <v>8</v>
      </c>
      <c r="B5" s="5"/>
      <c r="C5" s="5"/>
      <c r="D5" s="5"/>
      <c r="E5" s="6" t="s">
        <v>9</v>
      </c>
      <c r="F5" s="10">
        <v>5.5606944965158084E-2</v>
      </c>
      <c r="G5" s="2"/>
      <c r="H5" s="8">
        <f>2*LN(3)/J5</f>
        <v>8.788898309344878E-2</v>
      </c>
      <c r="I5" s="6" t="s">
        <v>10</v>
      </c>
      <c r="J5" s="9">
        <v>25</v>
      </c>
      <c r="K5">
        <f>107-82</f>
        <v>25</v>
      </c>
    </row>
    <row r="6" spans="1:21" ht="109" thickTop="1">
      <c r="A6" s="11" t="s">
        <v>11</v>
      </c>
      <c r="B6" s="12" t="s">
        <v>12</v>
      </c>
      <c r="C6" s="12"/>
      <c r="D6" s="12"/>
      <c r="E6" s="6"/>
      <c r="F6" s="2"/>
      <c r="G6" s="2"/>
      <c r="H6" s="9"/>
      <c r="I6" s="2"/>
      <c r="J6" s="2" t="s">
        <v>13</v>
      </c>
    </row>
    <row r="7" spans="1:21" ht="16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21" ht="16.5" thickTop="1" thickBot="1">
      <c r="A8" s="13"/>
      <c r="B8" s="13"/>
      <c r="C8" s="13"/>
      <c r="D8" s="13"/>
      <c r="E8" s="6" t="s">
        <v>7</v>
      </c>
      <c r="F8" s="2">
        <f>-F4/F5</f>
        <v>96.185733329358101</v>
      </c>
      <c r="G8" s="2"/>
      <c r="H8" s="14">
        <f>SUM(I14:I38)</f>
        <v>-54.574762278044865</v>
      </c>
      <c r="I8" s="2"/>
      <c r="J8" s="2">
        <f>-2*H8+2*2</f>
        <v>113.14952455608973</v>
      </c>
    </row>
    <row r="9" spans="1:21" ht="16" thickTop="1">
      <c r="A9" s="15"/>
      <c r="B9" s="15"/>
      <c r="C9" s="15"/>
      <c r="D9" s="15"/>
      <c r="E9" s="6" t="s">
        <v>16</v>
      </c>
      <c r="F9" s="16">
        <f>2*LN(3)/F5</f>
        <v>39.513492041559651</v>
      </c>
      <c r="G9" s="2"/>
      <c r="H9" s="17"/>
      <c r="I9" s="2"/>
      <c r="J9" s="2"/>
    </row>
    <row r="10" spans="1:21" ht="15.5">
      <c r="A10" s="18"/>
      <c r="B10" s="19"/>
      <c r="C10" s="19"/>
      <c r="D10" s="19"/>
      <c r="E10" s="19"/>
      <c r="F10" s="19"/>
      <c r="G10" s="2"/>
      <c r="H10" s="17"/>
      <c r="I10" s="2"/>
      <c r="J10" s="2"/>
    </row>
    <row r="11" spans="1:21" ht="15.5">
      <c r="A11" s="19"/>
      <c r="B11" s="19"/>
      <c r="C11" s="19"/>
      <c r="D11" s="19"/>
      <c r="E11" s="19"/>
      <c r="F11" s="19"/>
      <c r="G11" s="2"/>
      <c r="H11" s="17"/>
      <c r="I11" s="16"/>
      <c r="J11" s="2"/>
    </row>
    <row r="12" spans="1:21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21" ht="15.5">
      <c r="A13" s="2" t="s">
        <v>48</v>
      </c>
      <c r="B13" t="s">
        <v>23</v>
      </c>
      <c r="C13" t="s">
        <v>24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21" ht="15.5">
      <c r="A14">
        <v>12.5</v>
      </c>
      <c r="B14">
        <v>0</v>
      </c>
      <c r="C14">
        <v>0</v>
      </c>
      <c r="D14" s="2">
        <f>+C14+B14</f>
        <v>0</v>
      </c>
      <c r="E14" s="8" t="e">
        <f t="shared" ref="E14:E38" si="0">+B14/(C14+B14)</f>
        <v>#DIV/0!</v>
      </c>
      <c r="F14" s="8">
        <f>EXP($F$4+$F$5*A14)/(1+EXP($F$4+$F$5*A14))</f>
        <v>9.438190700422712E-3</v>
      </c>
      <c r="G14" s="8"/>
      <c r="H14" s="8">
        <f>COMBIN(D14,B14)*(F14^B14)*((1-F14)^C14)</f>
        <v>1</v>
      </c>
      <c r="I14" s="8">
        <f>LN(H14)</f>
        <v>0</v>
      </c>
      <c r="J14" s="2"/>
    </row>
    <row r="15" spans="1:21" ht="15.5">
      <c r="A15">
        <v>17.5</v>
      </c>
      <c r="B15">
        <v>0</v>
      </c>
      <c r="C15">
        <v>11</v>
      </c>
      <c r="D15" s="2">
        <f>+C15+B15</f>
        <v>11</v>
      </c>
      <c r="E15" s="8">
        <f t="shared" si="0"/>
        <v>0</v>
      </c>
      <c r="F15" s="8">
        <f t="shared" ref="F15:F38" si="1">EXP($F$4+$F$5*A15)/(1+EXP($F$4+$F$5*A15))</f>
        <v>1.2425842142220622E-2</v>
      </c>
      <c r="G15" s="8"/>
      <c r="H15" s="8">
        <f>COMBIN(D15,B15)*(F15^B15)*((1-F15)^C15)</f>
        <v>0.87149898988343333</v>
      </c>
      <c r="I15" s="8">
        <f>LN(H15)</f>
        <v>-0.13754057307788711</v>
      </c>
      <c r="J15" s="2"/>
      <c r="U15" t="s">
        <v>49</v>
      </c>
    </row>
    <row r="16" spans="1:21" ht="15.5">
      <c r="A16">
        <v>22.5</v>
      </c>
      <c r="B16">
        <v>1</v>
      </c>
      <c r="C16">
        <v>43</v>
      </c>
      <c r="D16" s="2">
        <f>+C16+B16</f>
        <v>44</v>
      </c>
      <c r="E16" s="8">
        <f t="shared" si="0"/>
        <v>2.2727272727272728E-2</v>
      </c>
      <c r="F16" s="8">
        <f t="shared" si="1"/>
        <v>1.634362809713542E-2</v>
      </c>
      <c r="G16" s="8"/>
      <c r="H16" s="8">
        <f>COMBIN(D16,B16)*(F16^B16)*((1-F16)^C16)</f>
        <v>0.3540525762006772</v>
      </c>
      <c r="I16" s="8">
        <f>LN(H16)</f>
        <v>-1.0383098565355204</v>
      </c>
      <c r="J16" s="2"/>
    </row>
    <row r="17" spans="1:10" ht="15.5">
      <c r="A17">
        <v>27.5</v>
      </c>
      <c r="B17">
        <v>0</v>
      </c>
      <c r="C17">
        <v>54</v>
      </c>
      <c r="D17" s="2">
        <f>+C17+B17</f>
        <v>54</v>
      </c>
      <c r="E17" s="8">
        <f t="shared" si="0"/>
        <v>0</v>
      </c>
      <c r="F17" s="8">
        <f t="shared" si="1"/>
        <v>2.1469811770542226E-2</v>
      </c>
      <c r="G17" s="8"/>
      <c r="H17" s="8">
        <f>COMBIN(D17,B17)*(F17^B17)*((1-F17)^C17)</f>
        <v>0.30974787509620411</v>
      </c>
      <c r="I17" s="8">
        <f t="shared" ref="I17:I38" si="2">LN(H17)</f>
        <v>-1.1719966185570965</v>
      </c>
      <c r="J17" s="2"/>
    </row>
    <row r="18" spans="1:10" ht="15.5">
      <c r="A18">
        <v>32.5</v>
      </c>
      <c r="B18">
        <v>2</v>
      </c>
      <c r="C18">
        <v>26</v>
      </c>
      <c r="D18" s="2">
        <f t="shared" ref="D18:D38" si="3">+C18+B18</f>
        <v>28</v>
      </c>
      <c r="E18" s="8">
        <f t="shared" si="0"/>
        <v>7.1428571428571425E-2</v>
      </c>
      <c r="F18" s="8">
        <f t="shared" si="1"/>
        <v>2.8157799289952806E-2</v>
      </c>
      <c r="G18" s="8"/>
      <c r="H18" s="8">
        <f t="shared" ref="H18:H38" si="4">COMBIN(D18,B18)*(F18^B18)*((1-F18)^C18)</f>
        <v>0.14261946848345103</v>
      </c>
      <c r="I18" s="8">
        <f t="shared" si="2"/>
        <v>-1.9475752551912586</v>
      </c>
      <c r="J18" s="2"/>
    </row>
    <row r="19" spans="1:10" ht="15.5">
      <c r="A19">
        <v>37.5</v>
      </c>
      <c r="B19">
        <v>0</v>
      </c>
      <c r="C19">
        <v>29</v>
      </c>
      <c r="D19" s="2">
        <f t="shared" si="3"/>
        <v>29</v>
      </c>
      <c r="E19" s="8">
        <f t="shared" si="0"/>
        <v>0</v>
      </c>
      <c r="F19" s="8">
        <f t="shared" si="1"/>
        <v>3.6850681481889858E-2</v>
      </c>
      <c r="G19" s="8"/>
      <c r="H19" s="8">
        <f t="shared" si="4"/>
        <v>0.33660071088960464</v>
      </c>
      <c r="I19" s="8">
        <f t="shared" si="2"/>
        <v>-1.0888578852561683</v>
      </c>
      <c r="J19" s="2"/>
    </row>
    <row r="20" spans="1:10" ht="15.5">
      <c r="A20">
        <v>42.5</v>
      </c>
      <c r="B20">
        <v>0</v>
      </c>
      <c r="C20">
        <v>46</v>
      </c>
      <c r="D20" s="2">
        <f t="shared" si="3"/>
        <v>46</v>
      </c>
      <c r="E20" s="8">
        <f t="shared" si="0"/>
        <v>0</v>
      </c>
      <c r="F20" s="8">
        <f t="shared" si="1"/>
        <v>4.8094423134849323E-2</v>
      </c>
      <c r="G20" s="8"/>
      <c r="H20" s="8">
        <f t="shared" si="4"/>
        <v>0.10359005774749717</v>
      </c>
      <c r="I20" s="8">
        <f>LN(H20)</f>
        <v>-2.2673139214501989</v>
      </c>
      <c r="J20" s="2"/>
    </row>
    <row r="21" spans="1:10" ht="15.5">
      <c r="A21">
        <v>47.5</v>
      </c>
      <c r="B21">
        <v>1</v>
      </c>
      <c r="C21">
        <v>27</v>
      </c>
      <c r="D21" s="2">
        <f t="shared" si="3"/>
        <v>28</v>
      </c>
      <c r="E21" s="8">
        <f t="shared" si="0"/>
        <v>3.5714285714285712E-2</v>
      </c>
      <c r="F21" s="8">
        <f t="shared" si="1"/>
        <v>6.2546029909967382E-2</v>
      </c>
      <c r="G21" s="8"/>
      <c r="H21" s="8">
        <f t="shared" si="4"/>
        <v>0.30620092672170812</v>
      </c>
      <c r="I21" s="8">
        <f t="shared" si="2"/>
        <v>-1.1835137692389399</v>
      </c>
      <c r="J21" s="2"/>
    </row>
    <row r="22" spans="1:10" ht="15.5">
      <c r="A22">
        <v>52.5</v>
      </c>
      <c r="B22">
        <v>3</v>
      </c>
      <c r="C22">
        <v>11</v>
      </c>
      <c r="D22" s="2">
        <f t="shared" si="3"/>
        <v>14</v>
      </c>
      <c r="E22" s="8">
        <f t="shared" si="0"/>
        <v>0.21428571428571427</v>
      </c>
      <c r="F22" s="8">
        <f t="shared" si="1"/>
        <v>8.0970735308347488E-2</v>
      </c>
      <c r="G22" s="8"/>
      <c r="H22" s="8">
        <f t="shared" si="4"/>
        <v>7.6332306022394616E-2</v>
      </c>
      <c r="I22" s="8">
        <f t="shared" si="2"/>
        <v>-2.5726590224084744</v>
      </c>
      <c r="J22" s="2"/>
    </row>
    <row r="23" spans="1:10" ht="15.5">
      <c r="A23">
        <v>57.5</v>
      </c>
      <c r="B23">
        <v>5</v>
      </c>
      <c r="C23">
        <v>17</v>
      </c>
      <c r="D23" s="2">
        <f t="shared" si="3"/>
        <v>22</v>
      </c>
      <c r="E23" s="8">
        <f t="shared" si="0"/>
        <v>0.22727272727272727</v>
      </c>
      <c r="F23" s="8">
        <f t="shared" si="1"/>
        <v>0.10421956620713854</v>
      </c>
      <c r="G23" s="8"/>
      <c r="H23" s="8">
        <f t="shared" si="4"/>
        <v>4.9852835210083775E-2</v>
      </c>
      <c r="I23" s="8">
        <f t="shared" si="2"/>
        <v>-2.9986799093654475</v>
      </c>
      <c r="J23" s="2"/>
    </row>
    <row r="24" spans="1:10" ht="15.5">
      <c r="A24">
        <v>62.5</v>
      </c>
      <c r="B24">
        <v>6</v>
      </c>
      <c r="C24">
        <v>20</v>
      </c>
      <c r="D24" s="2">
        <f t="shared" si="3"/>
        <v>26</v>
      </c>
      <c r="E24" s="8">
        <f t="shared" si="0"/>
        <v>0.23076923076923078</v>
      </c>
      <c r="F24" s="8">
        <f t="shared" si="1"/>
        <v>0.13317642439073332</v>
      </c>
      <c r="G24" s="8"/>
      <c r="H24" s="8">
        <f t="shared" si="4"/>
        <v>7.3678420810141226E-2</v>
      </c>
      <c r="I24" s="8">
        <f t="shared" si="2"/>
        <v>-2.6080453203518945</v>
      </c>
      <c r="J24" s="2"/>
    </row>
    <row r="25" spans="1:10" ht="15.5">
      <c r="A25">
        <v>67.5</v>
      </c>
      <c r="B25">
        <v>10</v>
      </c>
      <c r="C25">
        <v>38</v>
      </c>
      <c r="D25" s="2">
        <f t="shared" si="3"/>
        <v>48</v>
      </c>
      <c r="E25" s="8">
        <f t="shared" si="0"/>
        <v>0.20833333333333334</v>
      </c>
      <c r="F25" s="8">
        <f t="shared" si="1"/>
        <v>0.168663927159905</v>
      </c>
      <c r="G25" s="8"/>
      <c r="H25" s="8">
        <f t="shared" si="4"/>
        <v>0.10898309533975327</v>
      </c>
      <c r="I25" s="8">
        <f t="shared" si="2"/>
        <v>-2.2165624974065947</v>
      </c>
      <c r="J25" s="2"/>
    </row>
    <row r="26" spans="1:10" ht="15.5">
      <c r="A26">
        <v>72.5</v>
      </c>
      <c r="B26">
        <v>19</v>
      </c>
      <c r="C26">
        <v>76</v>
      </c>
      <c r="D26" s="2">
        <f t="shared" si="3"/>
        <v>95</v>
      </c>
      <c r="E26" s="8">
        <f t="shared" si="0"/>
        <v>0.2</v>
      </c>
      <c r="F26" s="8">
        <f t="shared" si="1"/>
        <v>0.21130263746432532</v>
      </c>
      <c r="G26" s="8"/>
      <c r="H26" s="8">
        <f t="shared" si="4"/>
        <v>9.8166305618909558E-2</v>
      </c>
      <c r="I26" s="8">
        <f t="shared" si="2"/>
        <v>-2.3210922424712139</v>
      </c>
      <c r="J26" s="2"/>
    </row>
    <row r="27" spans="1:10" ht="15.5">
      <c r="A27">
        <v>77.5</v>
      </c>
      <c r="B27">
        <v>24</v>
      </c>
      <c r="C27">
        <v>80</v>
      </c>
      <c r="D27" s="2">
        <f t="shared" si="3"/>
        <v>104</v>
      </c>
      <c r="E27" s="8">
        <f t="shared" si="0"/>
        <v>0.23076923076923078</v>
      </c>
      <c r="F27" s="8">
        <f t="shared" si="1"/>
        <v>0.2613320752352255</v>
      </c>
      <c r="G27" s="8"/>
      <c r="H27" s="8">
        <f t="shared" si="4"/>
        <v>7.1437601793913952E-2</v>
      </c>
      <c r="I27" s="8">
        <f t="shared" si="2"/>
        <v>-2.6389309124914444</v>
      </c>
      <c r="J27" s="2"/>
    </row>
    <row r="28" spans="1:10" ht="15.5">
      <c r="A28">
        <v>82.5</v>
      </c>
      <c r="B28">
        <v>24</v>
      </c>
      <c r="C28">
        <v>96</v>
      </c>
      <c r="D28" s="2">
        <f t="shared" si="3"/>
        <v>120</v>
      </c>
      <c r="E28" s="8">
        <f t="shared" si="0"/>
        <v>0.2</v>
      </c>
      <c r="F28" s="8">
        <f t="shared" si="1"/>
        <v>0.31842445914053025</v>
      </c>
      <c r="G28" s="8"/>
      <c r="H28" s="8">
        <f t="shared" si="4"/>
        <v>1.3360272058620172E-3</v>
      </c>
      <c r="I28" s="8">
        <f t="shared" si="2"/>
        <v>-6.6180548404058452</v>
      </c>
      <c r="J28" s="2"/>
    </row>
    <row r="29" spans="1:10" ht="15.5">
      <c r="A29">
        <v>87.5</v>
      </c>
      <c r="B29">
        <v>70</v>
      </c>
      <c r="C29">
        <v>110</v>
      </c>
      <c r="D29" s="2">
        <f t="shared" si="3"/>
        <v>180</v>
      </c>
      <c r="E29" s="8">
        <f t="shared" si="0"/>
        <v>0.3888888888888889</v>
      </c>
      <c r="F29" s="8">
        <f t="shared" si="1"/>
        <v>0.38154701471952224</v>
      </c>
      <c r="G29" s="8"/>
      <c r="H29" s="8">
        <f t="shared" si="4"/>
        <v>5.9669013995560412E-2</v>
      </c>
      <c r="I29" s="8">
        <f t="shared" si="2"/>
        <v>-2.8189424218756005</v>
      </c>
      <c r="J29" s="2"/>
    </row>
    <row r="30" spans="1:10" ht="15.5">
      <c r="A30">
        <v>92.5</v>
      </c>
      <c r="B30">
        <v>99</v>
      </c>
      <c r="C30">
        <v>99</v>
      </c>
      <c r="D30" s="2">
        <f t="shared" si="3"/>
        <v>198</v>
      </c>
      <c r="E30" s="8">
        <f t="shared" si="0"/>
        <v>0.5</v>
      </c>
      <c r="F30" s="8">
        <f t="shared" si="1"/>
        <v>0.44894051388978379</v>
      </c>
      <c r="G30" s="8"/>
      <c r="H30" s="8">
        <f t="shared" si="4"/>
        <v>2.0060381998914637E-2</v>
      </c>
      <c r="I30" s="8">
        <f t="shared" si="2"/>
        <v>-3.9090084538123797</v>
      </c>
      <c r="J30" s="2"/>
    </row>
    <row r="31" spans="1:10" ht="15.5">
      <c r="A31">
        <v>97.5</v>
      </c>
      <c r="B31">
        <v>134</v>
      </c>
      <c r="C31">
        <v>109</v>
      </c>
      <c r="D31" s="2">
        <f t="shared" si="3"/>
        <v>243</v>
      </c>
      <c r="E31" s="8">
        <f t="shared" si="0"/>
        <v>0.55144032921810704</v>
      </c>
      <c r="F31" s="8">
        <f t="shared" si="1"/>
        <v>0.51826246096599204</v>
      </c>
      <c r="G31" s="8"/>
      <c r="H31" s="8">
        <f t="shared" si="4"/>
        <v>3.0046775985273264E-2</v>
      </c>
      <c r="I31" s="8">
        <f t="shared" si="2"/>
        <v>-3.5049999121003781</v>
      </c>
      <c r="J31" s="2"/>
    </row>
    <row r="32" spans="1:10" ht="15.5">
      <c r="A32">
        <v>102.5</v>
      </c>
      <c r="B32">
        <v>111</v>
      </c>
      <c r="C32">
        <v>77</v>
      </c>
      <c r="D32" s="2">
        <f t="shared" si="3"/>
        <v>188</v>
      </c>
      <c r="E32" s="8">
        <f t="shared" si="0"/>
        <v>0.59042553191489366</v>
      </c>
      <c r="F32" s="8">
        <f t="shared" si="1"/>
        <v>0.58688844148894304</v>
      </c>
      <c r="G32" s="2"/>
      <c r="H32" s="8">
        <f t="shared" si="4"/>
        <v>5.8799033485609796E-2</v>
      </c>
      <c r="I32" s="8">
        <f t="shared" si="2"/>
        <v>-2.8336298615322115</v>
      </c>
      <c r="J32" s="2"/>
    </row>
    <row r="33" spans="1:10" ht="15.5">
      <c r="A33">
        <v>107.5</v>
      </c>
      <c r="B33">
        <v>50</v>
      </c>
      <c r="C33">
        <v>31</v>
      </c>
      <c r="D33" s="2">
        <f t="shared" si="3"/>
        <v>81</v>
      </c>
      <c r="E33" s="8">
        <f t="shared" si="0"/>
        <v>0.61728395061728392</v>
      </c>
      <c r="F33" s="8">
        <f t="shared" si="1"/>
        <v>0.65229711147476543</v>
      </c>
      <c r="G33" s="20"/>
      <c r="H33" s="8">
        <f t="shared" si="4"/>
        <v>7.3256493105694001E-2</v>
      </c>
      <c r="I33" s="8">
        <f t="shared" si="2"/>
        <v>-2.6137883919323794</v>
      </c>
      <c r="J33" s="2"/>
    </row>
    <row r="34" spans="1:10" ht="15.5">
      <c r="A34">
        <v>112.5</v>
      </c>
      <c r="B34">
        <v>15</v>
      </c>
      <c r="C34">
        <v>6</v>
      </c>
      <c r="D34" s="2">
        <f t="shared" si="3"/>
        <v>21</v>
      </c>
      <c r="E34" s="8">
        <f t="shared" si="0"/>
        <v>0.7142857142857143</v>
      </c>
      <c r="F34" s="8">
        <f t="shared" si="1"/>
        <v>0.71242409470275669</v>
      </c>
      <c r="G34" s="20"/>
      <c r="H34" s="8">
        <f t="shared" si="4"/>
        <v>0.18971678913502801</v>
      </c>
      <c r="I34" s="8">
        <f t="shared" si="2"/>
        <v>-1.6622229023462698</v>
      </c>
      <c r="J34" s="2"/>
    </row>
    <row r="35" spans="1:10" ht="15.5">
      <c r="A35">
        <v>117.5</v>
      </c>
      <c r="B35">
        <v>2</v>
      </c>
      <c r="C35">
        <v>3</v>
      </c>
      <c r="D35" s="2">
        <f t="shared" si="3"/>
        <v>5</v>
      </c>
      <c r="E35" s="8">
        <f t="shared" si="0"/>
        <v>0.4</v>
      </c>
      <c r="F35" s="8">
        <f t="shared" si="1"/>
        <v>0.76588530005472744</v>
      </c>
      <c r="G35" s="20"/>
      <c r="H35" s="8">
        <f t="shared" si="4"/>
        <v>7.5268544692789416E-2</v>
      </c>
      <c r="I35" s="8">
        <f t="shared" si="2"/>
        <v>-2.58669296461458</v>
      </c>
      <c r="J35" s="2"/>
    </row>
    <row r="36" spans="1:10" ht="15.5">
      <c r="A36">
        <v>122.5</v>
      </c>
      <c r="B36">
        <v>1</v>
      </c>
      <c r="C36">
        <v>3</v>
      </c>
      <c r="D36" s="2">
        <f t="shared" si="3"/>
        <v>4</v>
      </c>
      <c r="E36" s="8">
        <f t="shared" si="0"/>
        <v>0.25</v>
      </c>
      <c r="F36" s="8">
        <f t="shared" si="1"/>
        <v>0.81203016315231158</v>
      </c>
      <c r="G36" s="20"/>
      <c r="H36" s="8">
        <f t="shared" si="4"/>
        <v>2.1572309687354387E-2</v>
      </c>
      <c r="I36" s="8">
        <f t="shared" si="2"/>
        <v>-3.8363447456230717</v>
      </c>
      <c r="J36" s="2"/>
    </row>
    <row r="37" spans="1:10" ht="15.5">
      <c r="A37">
        <v>127.5</v>
      </c>
      <c r="B37">
        <v>0</v>
      </c>
      <c r="C37">
        <v>0</v>
      </c>
      <c r="D37" s="2">
        <f t="shared" si="3"/>
        <v>0</v>
      </c>
      <c r="E37" s="8" t="e">
        <f t="shared" si="0"/>
        <v>#DIV/0!</v>
      </c>
      <c r="F37" s="8">
        <f t="shared" si="1"/>
        <v>0.85085093458692618</v>
      </c>
      <c r="G37" s="2"/>
      <c r="H37" s="8">
        <f t="shared" si="4"/>
        <v>1</v>
      </c>
      <c r="I37" s="8">
        <f t="shared" si="2"/>
        <v>0</v>
      </c>
      <c r="J37" s="2"/>
    </row>
    <row r="38" spans="1:10" ht="15.5">
      <c r="A38">
        <v>132.5</v>
      </c>
      <c r="B38">
        <v>0</v>
      </c>
      <c r="C38">
        <v>0</v>
      </c>
      <c r="D38" s="2">
        <f t="shared" si="3"/>
        <v>0</v>
      </c>
      <c r="E38" s="8" t="e">
        <f t="shared" si="0"/>
        <v>#DIV/0!</v>
      </c>
      <c r="F38" s="8">
        <f t="shared" si="1"/>
        <v>0.88281123894415137</v>
      </c>
      <c r="G38" s="2"/>
      <c r="H38" s="8">
        <f t="shared" si="4"/>
        <v>1</v>
      </c>
      <c r="I38" s="8">
        <f t="shared" si="2"/>
        <v>0</v>
      </c>
      <c r="J38" s="2"/>
    </row>
    <row r="39" spans="1:10" ht="15.5">
      <c r="B39" s="21"/>
      <c r="C39" s="21"/>
      <c r="D39" s="2"/>
      <c r="E39" s="8"/>
      <c r="F39" s="8"/>
      <c r="G39" s="2"/>
      <c r="H39" s="8"/>
      <c r="I39" s="8"/>
      <c r="J39" s="2"/>
    </row>
    <row r="40" spans="1:10" ht="15.5">
      <c r="B40" s="21"/>
      <c r="C40" s="21"/>
      <c r="D40" s="2"/>
      <c r="E40" s="8"/>
      <c r="F40" s="8"/>
      <c r="G40" s="2"/>
      <c r="H40" s="8"/>
      <c r="I40" s="8"/>
      <c r="J40" s="2"/>
    </row>
    <row r="41" spans="1:10" ht="15.5">
      <c r="B41" s="21"/>
      <c r="C41" s="21"/>
      <c r="D41" s="2"/>
      <c r="E41" s="8"/>
      <c r="F41" s="8"/>
      <c r="G41" s="2"/>
      <c r="H41" s="8"/>
      <c r="I41" s="8"/>
      <c r="J41" s="2"/>
    </row>
    <row r="42" spans="1:10" ht="15.5">
      <c r="B42" s="21"/>
      <c r="C42" s="21"/>
      <c r="D42" s="2"/>
      <c r="E42" s="8"/>
      <c r="F42" s="8"/>
      <c r="G42" s="2"/>
      <c r="H42" s="8"/>
      <c r="I42" s="8"/>
      <c r="J42" s="2"/>
    </row>
    <row r="43" spans="1:10" ht="15.5">
      <c r="B43" s="21"/>
      <c r="C43" s="21"/>
      <c r="D43" s="2"/>
      <c r="E43" s="8"/>
      <c r="F43" s="8"/>
      <c r="G43" s="2"/>
      <c r="H43" s="8"/>
      <c r="I43" s="8"/>
      <c r="J43" s="2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9" zoomScale="70" zoomScaleNormal="70" workbookViewId="0">
      <selection activeCell="B13" sqref="B13"/>
    </sheetView>
  </sheetViews>
  <sheetFormatPr defaultRowHeight="14.5"/>
  <sheetData>
    <row r="1" spans="1:10" ht="20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0" ht="26.5">
      <c r="B2" s="1" t="s">
        <v>30</v>
      </c>
      <c r="C2" s="2"/>
      <c r="D2" s="2"/>
      <c r="G2" s="2"/>
      <c r="H2" s="3"/>
      <c r="I2" s="2"/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-4.0015396288517833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4.6961312450748881E-2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23"/>
      <c r="C6" s="23"/>
      <c r="D6" s="23"/>
      <c r="E6" s="6" t="s">
        <v>31</v>
      </c>
      <c r="F6" s="24">
        <v>0.6738131848030714</v>
      </c>
      <c r="G6" s="2"/>
      <c r="H6" s="9"/>
      <c r="I6" s="2"/>
      <c r="J6" s="2" t="s">
        <v>13</v>
      </c>
    </row>
    <row r="7" spans="1:10" ht="16.5" thickTop="1" thickBot="1">
      <c r="A7" s="23"/>
      <c r="B7" s="23"/>
      <c r="C7" s="23"/>
      <c r="D7" s="2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23"/>
      <c r="B8" s="23"/>
      <c r="C8" s="23"/>
      <c r="D8" s="23"/>
      <c r="E8" s="6" t="s">
        <v>7</v>
      </c>
      <c r="F8" s="2">
        <f>(LN(0.5^$F6/(1-0.5^$F6))-$F4)/$F5</f>
        <v>96.254901116459664</v>
      </c>
      <c r="G8" s="2"/>
      <c r="H8" s="14">
        <f>SUM(I14:I38)</f>
        <v>-54.233541141729077</v>
      </c>
      <c r="I8" s="2"/>
      <c r="J8" s="2">
        <f>-2*H8+2*3</f>
        <v>114.46708228345815</v>
      </c>
    </row>
    <row r="9" spans="1:10" ht="16" thickTop="1">
      <c r="A9" s="23"/>
      <c r="B9" s="23"/>
      <c r="C9" s="23"/>
      <c r="D9" s="23"/>
      <c r="E9" s="6" t="s">
        <v>16</v>
      </c>
      <c r="F9" s="16">
        <f>(LN(0.75^$F6/(1-0.75^$F6))-LN(0.25^$F6/(1-0.25^$F6)))/$F5</f>
        <v>42.102605566751819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23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 s="2">
        <v>0</v>
      </c>
      <c r="C14" s="2">
        <v>0</v>
      </c>
      <c r="D14" s="2">
        <f t="shared" ref="D14:D38" si="0">+C14+B14</f>
        <v>0</v>
      </c>
      <c r="E14" s="8" t="e">
        <f t="shared" ref="E14:E38" si="1">+B14/(C14+B14)</f>
        <v>#DIV/0!</v>
      </c>
      <c r="F14" s="8">
        <f>(EXP($F$4+$F$5*A14)/(1+EXP($F$4+$F$5*A14)))^(1/$F$6)</f>
        <v>6.0030237616494515E-3</v>
      </c>
      <c r="G14" s="8"/>
      <c r="H14" s="8">
        <f t="shared" ref="H14:H38" si="2">COMBIN(D14,B14)*(F14^B14)*((1-F14)^C14)</f>
        <v>1</v>
      </c>
      <c r="I14" s="8">
        <f t="shared" ref="I14:I38" si="3">LN(H14)</f>
        <v>0</v>
      </c>
      <c r="J14" s="2"/>
    </row>
    <row r="15" spans="1:10" ht="15.5">
      <c r="A15" s="2">
        <v>17.5</v>
      </c>
      <c r="B15" s="2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(EXP($F$4+$F$5*A15)/(1+EXP($F$4+$F$5*A15)))^(1/$F$6)</f>
        <v>8.4004214401448094E-3</v>
      </c>
      <c r="G15" s="8"/>
      <c r="H15" s="8">
        <f t="shared" si="2"/>
        <v>0.9113803668387801</v>
      </c>
      <c r="I15" s="8">
        <f t="shared" si="3"/>
        <v>-9.2794942145650219E-2</v>
      </c>
      <c r="J15" s="2"/>
    </row>
    <row r="16" spans="1:10" ht="15.5">
      <c r="A16" s="2">
        <v>22.5</v>
      </c>
      <c r="B16" s="2">
        <v>1</v>
      </c>
      <c r="C16" s="2">
        <v>43</v>
      </c>
      <c r="D16" s="2">
        <f t="shared" si="0"/>
        <v>44</v>
      </c>
      <c r="E16" s="8">
        <f t="shared" si="1"/>
        <v>2.2727272727272728E-2</v>
      </c>
      <c r="F16" s="8">
        <f t="shared" si="4"/>
        <v>1.171830454955862E-2</v>
      </c>
      <c r="G16" s="8"/>
      <c r="H16" s="8">
        <f t="shared" si="2"/>
        <v>0.31059165057377081</v>
      </c>
      <c r="I16" s="8">
        <f t="shared" si="3"/>
        <v>-1.1692762502329535</v>
      </c>
      <c r="J16" s="2"/>
    </row>
    <row r="17" spans="1:10" ht="15.5">
      <c r="A17" s="2">
        <v>27.5</v>
      </c>
      <c r="B17" s="2">
        <v>0</v>
      </c>
      <c r="C17" s="2">
        <v>54</v>
      </c>
      <c r="D17" s="2">
        <f t="shared" si="0"/>
        <v>54</v>
      </c>
      <c r="E17" s="8">
        <f t="shared" si="1"/>
        <v>0</v>
      </c>
      <c r="F17" s="8">
        <f t="shared" si="4"/>
        <v>1.6283048399858085E-2</v>
      </c>
      <c r="G17" s="8"/>
      <c r="H17" s="8">
        <f t="shared" si="2"/>
        <v>0.41208649901734312</v>
      </c>
      <c r="I17" s="8">
        <f t="shared" si="3"/>
        <v>-0.88652200259761149</v>
      </c>
      <c r="J17" s="2"/>
    </row>
    <row r="18" spans="1:10" ht="15.5">
      <c r="A18" s="2">
        <v>32.5</v>
      </c>
      <c r="B18" s="2">
        <v>2</v>
      </c>
      <c r="C18" s="2">
        <v>26</v>
      </c>
      <c r="D18" s="2">
        <f t="shared" si="0"/>
        <v>28</v>
      </c>
      <c r="E18" s="8">
        <f t="shared" si="1"/>
        <v>7.1428571428571425E-2</v>
      </c>
      <c r="F18" s="8">
        <f t="shared" si="4"/>
        <v>2.2517595895780864E-2</v>
      </c>
      <c r="G18" s="8"/>
      <c r="H18" s="8">
        <f t="shared" si="2"/>
        <v>0.10601528800648155</v>
      </c>
      <c r="I18" s="8">
        <f t="shared" si="3"/>
        <v>-2.2441719687934674</v>
      </c>
      <c r="J18" s="2"/>
    </row>
    <row r="19" spans="1:10" ht="15.5">
      <c r="A19" s="2">
        <v>37.5</v>
      </c>
      <c r="B19" s="2">
        <v>0</v>
      </c>
      <c r="C19" s="2">
        <v>29</v>
      </c>
      <c r="D19" s="2">
        <f t="shared" si="0"/>
        <v>29</v>
      </c>
      <c r="E19" s="8">
        <f t="shared" si="1"/>
        <v>0</v>
      </c>
      <c r="F19" s="8">
        <f t="shared" si="4"/>
        <v>3.0956926821710699E-2</v>
      </c>
      <c r="G19" s="8"/>
      <c r="H19" s="8">
        <f t="shared" si="2"/>
        <v>0.40174396729985856</v>
      </c>
      <c r="I19" s="8">
        <f t="shared" si="3"/>
        <v>-0.91194029053236969</v>
      </c>
      <c r="J19" s="2"/>
    </row>
    <row r="20" spans="1:10" ht="15.5">
      <c r="A20" s="2">
        <v>42.5</v>
      </c>
      <c r="B20" s="2">
        <v>0</v>
      </c>
      <c r="C20" s="2">
        <v>46</v>
      </c>
      <c r="D20" s="2">
        <f t="shared" si="0"/>
        <v>46</v>
      </c>
      <c r="E20" s="8">
        <f t="shared" si="1"/>
        <v>0</v>
      </c>
      <c r="F20" s="8">
        <f t="shared" si="4"/>
        <v>4.2256934833634921E-2</v>
      </c>
      <c r="G20" s="8"/>
      <c r="H20" s="8">
        <f t="shared" si="2"/>
        <v>0.13723179282226272</v>
      </c>
      <c r="I20" s="8">
        <f t="shared" si="3"/>
        <v>-1.9860838644249137</v>
      </c>
      <c r="J20" s="2"/>
    </row>
    <row r="21" spans="1:10" ht="15.5">
      <c r="A21" s="2">
        <v>47.5</v>
      </c>
      <c r="B21" s="2">
        <v>1</v>
      </c>
      <c r="C21" s="2">
        <v>27</v>
      </c>
      <c r="D21" s="2">
        <f t="shared" si="0"/>
        <v>28</v>
      </c>
      <c r="E21" s="8">
        <f t="shared" si="1"/>
        <v>3.5714285714285712E-2</v>
      </c>
      <c r="F21" s="8">
        <f t="shared" si="4"/>
        <v>5.7189580501689666E-2</v>
      </c>
      <c r="G21" s="8"/>
      <c r="H21" s="8">
        <f t="shared" si="2"/>
        <v>0.32653747237545877</v>
      </c>
      <c r="I21" s="8">
        <f t="shared" si="3"/>
        <v>-1.1192105669416921</v>
      </c>
      <c r="J21" s="2"/>
    </row>
    <row r="22" spans="1:10" ht="15.5">
      <c r="A22" s="2">
        <v>52.5</v>
      </c>
      <c r="B22" s="2">
        <v>3</v>
      </c>
      <c r="C22" s="2">
        <v>11</v>
      </c>
      <c r="D22" s="2">
        <f t="shared" si="0"/>
        <v>14</v>
      </c>
      <c r="E22" s="8">
        <f t="shared" si="1"/>
        <v>0.21428571428571427</v>
      </c>
      <c r="F22" s="8">
        <f t="shared" si="4"/>
        <v>7.6615075755663828E-2</v>
      </c>
      <c r="G22" s="8"/>
      <c r="H22" s="8">
        <f t="shared" si="2"/>
        <v>6.8116867298069012E-2</v>
      </c>
      <c r="I22" s="8">
        <f t="shared" si="3"/>
        <v>-2.6865304122358955</v>
      </c>
      <c r="J22" s="2"/>
    </row>
    <row r="23" spans="1:10" ht="15.5">
      <c r="A23" s="2">
        <v>57.5</v>
      </c>
      <c r="B23" s="2">
        <v>5</v>
      </c>
      <c r="C23" s="2">
        <v>17</v>
      </c>
      <c r="D23" s="2">
        <f t="shared" si="0"/>
        <v>22</v>
      </c>
      <c r="E23" s="8">
        <f t="shared" si="1"/>
        <v>0.22727272727272727</v>
      </c>
      <c r="F23" s="8">
        <f t="shared" si="4"/>
        <v>0.10142140483121115</v>
      </c>
      <c r="G23" s="8"/>
      <c r="H23" s="8">
        <f t="shared" si="2"/>
        <v>4.5879440821646578E-2</v>
      </c>
      <c r="I23" s="8">
        <f t="shared" si="3"/>
        <v>-3.0817381746407806</v>
      </c>
      <c r="J23" s="2"/>
    </row>
    <row r="24" spans="1:10" ht="15.5">
      <c r="A24" s="2">
        <v>62.5</v>
      </c>
      <c r="B24" s="2">
        <v>6</v>
      </c>
      <c r="C24" s="2">
        <v>20</v>
      </c>
      <c r="D24" s="2">
        <f t="shared" si="0"/>
        <v>26</v>
      </c>
      <c r="E24" s="8">
        <f t="shared" si="1"/>
        <v>0.23076923076923078</v>
      </c>
      <c r="F24" s="8">
        <f t="shared" si="4"/>
        <v>0.13242470265806566</v>
      </c>
      <c r="G24" s="8"/>
      <c r="H24" s="8">
        <f t="shared" si="2"/>
        <v>7.2463533487881093E-2</v>
      </c>
      <c r="I24" s="8">
        <f t="shared" si="3"/>
        <v>-2.6246718300356418</v>
      </c>
      <c r="J24" s="2"/>
    </row>
    <row r="25" spans="1:10" ht="15.5">
      <c r="A25" s="2">
        <v>67.5</v>
      </c>
      <c r="B25" s="2">
        <v>10</v>
      </c>
      <c r="C25" s="2">
        <v>38</v>
      </c>
      <c r="D25" s="2">
        <f t="shared" si="0"/>
        <v>48</v>
      </c>
      <c r="E25" s="8">
        <f t="shared" si="1"/>
        <v>0.20833333333333334</v>
      </c>
      <c r="F25" s="8">
        <f t="shared" si="4"/>
        <v>0.17023279940615244</v>
      </c>
      <c r="G25" s="8"/>
      <c r="H25" s="8">
        <f t="shared" si="2"/>
        <v>0.11127451795016151</v>
      </c>
      <c r="I25" s="8">
        <f t="shared" si="3"/>
        <v>-2.195754996148362</v>
      </c>
      <c r="J25" s="2"/>
    </row>
    <row r="26" spans="1:10" ht="15.5">
      <c r="A26" s="2">
        <v>72.5</v>
      </c>
      <c r="B26" s="2">
        <v>19</v>
      </c>
      <c r="C26" s="2">
        <v>76</v>
      </c>
      <c r="D26" s="2">
        <f t="shared" si="0"/>
        <v>95</v>
      </c>
      <c r="E26" s="8">
        <f t="shared" si="1"/>
        <v>0.2</v>
      </c>
      <c r="F26" s="8">
        <f t="shared" si="4"/>
        <v>0.21508877482668787</v>
      </c>
      <c r="G26" s="8"/>
      <c r="H26" s="8">
        <f t="shared" si="2"/>
        <v>9.5428411335954755E-2</v>
      </c>
      <c r="I26" s="8">
        <f t="shared" si="3"/>
        <v>-2.3493789321194525</v>
      </c>
      <c r="J26" s="2"/>
    </row>
    <row r="27" spans="1:10" ht="15.5">
      <c r="A27" s="2">
        <v>77.5</v>
      </c>
      <c r="B27" s="2">
        <v>24</v>
      </c>
      <c r="C27" s="2">
        <v>80</v>
      </c>
      <c r="D27" s="2">
        <f t="shared" si="0"/>
        <v>104</v>
      </c>
      <c r="E27" s="8">
        <f t="shared" si="1"/>
        <v>0.23076923076923078</v>
      </c>
      <c r="F27" s="8">
        <f t="shared" si="4"/>
        <v>0.26672807422780853</v>
      </c>
      <c r="G27" s="8"/>
      <c r="H27" s="8">
        <f t="shared" si="2"/>
        <v>6.4895786682179143E-2</v>
      </c>
      <c r="I27" s="8">
        <f t="shared" si="3"/>
        <v>-2.73497257753082</v>
      </c>
      <c r="J27" s="2"/>
    </row>
    <row r="28" spans="1:10" ht="15.5">
      <c r="A28" s="2">
        <v>82.5</v>
      </c>
      <c r="B28" s="2">
        <v>24</v>
      </c>
      <c r="C28" s="2">
        <v>96</v>
      </c>
      <c r="D28" s="2">
        <f t="shared" si="0"/>
        <v>120</v>
      </c>
      <c r="E28" s="8">
        <f t="shared" si="1"/>
        <v>0.2</v>
      </c>
      <c r="F28" s="8">
        <f t="shared" si="4"/>
        <v>0.3242936484133116</v>
      </c>
      <c r="G28" s="8"/>
      <c r="H28" s="8">
        <f t="shared" si="2"/>
        <v>9.0283476623282441E-4</v>
      </c>
      <c r="I28" s="8">
        <f t="shared" si="3"/>
        <v>-7.0099710044216144</v>
      </c>
      <c r="J28" s="2"/>
    </row>
    <row r="29" spans="1:10" ht="15.5">
      <c r="A29" s="2">
        <v>87.5</v>
      </c>
      <c r="B29" s="2">
        <v>70</v>
      </c>
      <c r="C29" s="2">
        <v>110</v>
      </c>
      <c r="D29" s="2">
        <f t="shared" si="0"/>
        <v>180</v>
      </c>
      <c r="E29" s="8">
        <f t="shared" si="1"/>
        <v>0.3888888888888889</v>
      </c>
      <c r="F29" s="8">
        <f t="shared" si="4"/>
        <v>0.38634926210052434</v>
      </c>
      <c r="G29" s="8"/>
      <c r="H29" s="8">
        <f t="shared" si="2"/>
        <v>6.0756609195306274E-2</v>
      </c>
      <c r="I29" s="8">
        <f t="shared" si="3"/>
        <v>-2.8008794093406704</v>
      </c>
      <c r="J29" s="2"/>
    </row>
    <row r="30" spans="1:10" ht="15.5">
      <c r="A30" s="2">
        <v>92.5</v>
      </c>
      <c r="B30" s="2">
        <v>99</v>
      </c>
      <c r="C30" s="2">
        <v>99</v>
      </c>
      <c r="D30" s="2">
        <f t="shared" si="0"/>
        <v>198</v>
      </c>
      <c r="E30" s="8">
        <f t="shared" si="1"/>
        <v>0.5</v>
      </c>
      <c r="F30" s="8">
        <f t="shared" si="4"/>
        <v>0.45100727955557807</v>
      </c>
      <c r="G30" s="8"/>
      <c r="H30" s="8">
        <f t="shared" si="2"/>
        <v>2.1790233080923576E-2</v>
      </c>
      <c r="I30" s="8">
        <f t="shared" si="3"/>
        <v>-3.8262934333905929</v>
      </c>
      <c r="J30" s="2"/>
    </row>
    <row r="31" spans="1:10" ht="15.5">
      <c r="A31" s="2">
        <v>97.5</v>
      </c>
      <c r="B31" s="2">
        <v>134</v>
      </c>
      <c r="C31" s="2">
        <v>109</v>
      </c>
      <c r="D31" s="2">
        <f t="shared" si="0"/>
        <v>243</v>
      </c>
      <c r="E31" s="8">
        <f t="shared" si="1"/>
        <v>0.55144032921810704</v>
      </c>
      <c r="F31" s="8">
        <f t="shared" si="4"/>
        <v>0.51615066428713274</v>
      </c>
      <c r="G31" s="8"/>
      <c r="H31" s="8">
        <f t="shared" si="2"/>
        <v>2.8005517603554572E-2</v>
      </c>
      <c r="I31" s="8">
        <f t="shared" si="3"/>
        <v>-3.5753537309503605</v>
      </c>
      <c r="J31" s="2"/>
    </row>
    <row r="32" spans="1:10" ht="15.5">
      <c r="A32" s="2">
        <v>102.5</v>
      </c>
      <c r="B32" s="2">
        <v>111</v>
      </c>
      <c r="C32" s="2">
        <v>77</v>
      </c>
      <c r="D32" s="2">
        <f t="shared" si="0"/>
        <v>188</v>
      </c>
      <c r="E32" s="8">
        <f t="shared" si="1"/>
        <v>0.59042553191489366</v>
      </c>
      <c r="F32" s="8">
        <f t="shared" si="4"/>
        <v>0.57969626663321938</v>
      </c>
      <c r="G32" s="2"/>
      <c r="H32" s="8">
        <f t="shared" si="2"/>
        <v>5.6512395183659428E-2</v>
      </c>
      <c r="I32" s="8">
        <f t="shared" si="3"/>
        <v>-2.8732952811092618</v>
      </c>
      <c r="J32" s="2"/>
    </row>
    <row r="33" spans="1:10" ht="15.5">
      <c r="A33" s="2">
        <v>107.5</v>
      </c>
      <c r="B33" s="2">
        <v>50</v>
      </c>
      <c r="C33" s="2">
        <v>31</v>
      </c>
      <c r="D33" s="2">
        <f t="shared" si="0"/>
        <v>81</v>
      </c>
      <c r="E33" s="8">
        <f t="shared" si="1"/>
        <v>0.61728395061728392</v>
      </c>
      <c r="F33" s="8">
        <f t="shared" si="4"/>
        <v>0.63983430629440807</v>
      </c>
      <c r="G33" s="20"/>
      <c r="H33" s="8">
        <f t="shared" si="2"/>
        <v>8.3188797989405053E-2</v>
      </c>
      <c r="I33" s="8">
        <f t="shared" si="3"/>
        <v>-2.4866425797701122</v>
      </c>
      <c r="J33" s="2"/>
    </row>
    <row r="34" spans="1:10" ht="15.5">
      <c r="A34" s="2">
        <v>112.5</v>
      </c>
      <c r="B34" s="2">
        <v>15</v>
      </c>
      <c r="C34" s="2">
        <v>6</v>
      </c>
      <c r="D34" s="2">
        <f t="shared" si="0"/>
        <v>21</v>
      </c>
      <c r="E34" s="8">
        <f t="shared" si="1"/>
        <v>0.7142857142857143</v>
      </c>
      <c r="F34" s="8">
        <f t="shared" si="4"/>
        <v>0.69519245890315495</v>
      </c>
      <c r="G34" s="20"/>
      <c r="H34" s="8">
        <f t="shared" si="2"/>
        <v>0.1863124323861558</v>
      </c>
      <c r="I34" s="8">
        <f t="shared" si="3"/>
        <v>-1.6803302704494838</v>
      </c>
      <c r="J34" s="2"/>
    </row>
    <row r="35" spans="1:10" ht="15.5">
      <c r="A35" s="2">
        <v>117.5</v>
      </c>
      <c r="B35" s="2">
        <v>2</v>
      </c>
      <c r="C35" s="2">
        <v>3</v>
      </c>
      <c r="D35" s="2">
        <f t="shared" si="0"/>
        <v>5</v>
      </c>
      <c r="E35" s="8">
        <f t="shared" si="1"/>
        <v>0.4</v>
      </c>
      <c r="F35" s="8">
        <f t="shared" si="4"/>
        <v>0.74490297451720999</v>
      </c>
      <c r="G35" s="20"/>
      <c r="H35" s="8">
        <f t="shared" si="2"/>
        <v>9.2111870349759248E-2</v>
      </c>
      <c r="I35" s="8">
        <f t="shared" si="3"/>
        <v>-2.3847514585779086</v>
      </c>
      <c r="J35" s="2"/>
    </row>
    <row r="36" spans="1:10" ht="15.5">
      <c r="A36" s="2">
        <v>122.5</v>
      </c>
      <c r="B36" s="2">
        <v>1</v>
      </c>
      <c r="C36" s="2">
        <v>3</v>
      </c>
      <c r="D36" s="2">
        <f t="shared" si="0"/>
        <v>4</v>
      </c>
      <c r="E36" s="8">
        <f t="shared" si="1"/>
        <v>0.25</v>
      </c>
      <c r="F36" s="8">
        <f t="shared" si="4"/>
        <v>0.78858188049743594</v>
      </c>
      <c r="G36" s="20"/>
      <c r="H36" s="8">
        <f t="shared" si="2"/>
        <v>2.9808038743970172E-2</v>
      </c>
      <c r="I36" s="8">
        <f t="shared" si="3"/>
        <v>-3.5129771653394575</v>
      </c>
      <c r="J36" s="2"/>
    </row>
    <row r="37" spans="1:10" ht="15.5">
      <c r="A37" s="2">
        <v>127.5</v>
      </c>
      <c r="B37" s="2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0.82624843917534163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 s="2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0.85821753013862656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50" zoomScaleNormal="50" workbookViewId="0">
      <selection activeCell="B13" sqref="B13"/>
    </sheetView>
  </sheetViews>
  <sheetFormatPr defaultRowHeight="14.5"/>
  <sheetData>
    <row r="1" spans="1:10" ht="20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ht="20">
      <c r="B2" s="1" t="s">
        <v>37</v>
      </c>
      <c r="C2" s="2"/>
      <c r="D2" s="2"/>
      <c r="G2" s="2"/>
      <c r="H2" s="3"/>
      <c r="I2" s="27" t="s">
        <v>38</v>
      </c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-3.7800000000000002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3.9052606392135904E-2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13"/>
      <c r="C6" s="13"/>
      <c r="D6" s="13"/>
      <c r="E6" s="6" t="s">
        <v>39</v>
      </c>
      <c r="F6" s="24">
        <v>1.0959942979966635</v>
      </c>
      <c r="G6" s="2"/>
      <c r="H6" s="9"/>
      <c r="I6" s="2"/>
      <c r="J6" s="2" t="s">
        <v>13</v>
      </c>
    </row>
    <row r="7" spans="1:10" ht="16.5" thickTop="1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13"/>
      <c r="B8" s="13"/>
      <c r="C8" s="13"/>
      <c r="D8" s="13"/>
      <c r="E8" s="6" t="s">
        <v>7</v>
      </c>
      <c r="F8" s="2">
        <f>-F4/F5</f>
        <v>96.792515256067162</v>
      </c>
      <c r="G8" s="2"/>
      <c r="H8" s="14" t="e">
        <f>SUM(I14:I38)</f>
        <v>#NUM!</v>
      </c>
      <c r="I8" s="2"/>
      <c r="J8" s="2" t="e">
        <f>-2*H8+2*3</f>
        <v>#NUM!</v>
      </c>
    </row>
    <row r="9" spans="1:10" ht="16" thickTop="1">
      <c r="A9" s="13"/>
      <c r="B9" s="13"/>
      <c r="C9" s="13"/>
      <c r="D9" s="13"/>
      <c r="E9" s="6" t="s">
        <v>16</v>
      </c>
      <c r="F9" s="16">
        <f>2*LN(3)/F5</f>
        <v>56.263199318206809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23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 s="2">
        <v>0</v>
      </c>
      <c r="C14" s="2">
        <v>0</v>
      </c>
      <c r="D14" s="2">
        <f t="shared" ref="D14:D38" si="0">+C14+B14</f>
        <v>0</v>
      </c>
      <c r="E14" s="8" t="e">
        <f t="shared" ref="E14:E38" si="1">+B14/(C14+B14)</f>
        <v>#DIV/0!</v>
      </c>
      <c r="F14" s="8">
        <f>$F$6*EXP($F$4+$F$5*A14)/(1+EXP($F$4+$F$5*A14))+1-$F$6</f>
        <v>-5.6700595398639919E-2</v>
      </c>
      <c r="G14" s="8"/>
      <c r="H14" s="8">
        <f t="shared" ref="H14:H38" si="2">COMBIN(D14,B14)*(F14^B14)*((1-F14)^C14)</f>
        <v>1</v>
      </c>
      <c r="I14" s="8">
        <f t="shared" ref="I14:I38" si="3">LN(H14)</f>
        <v>0</v>
      </c>
      <c r="J14" s="2"/>
    </row>
    <row r="15" spans="1:10" ht="15.5">
      <c r="A15" s="2">
        <v>17.5</v>
      </c>
      <c r="B15" s="2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$F$6*EXP($F$4+$F$5*A15)/(1+EXP($F$4+$F$5*A15))+1-$F$6</f>
        <v>-4.8594109088262671E-2</v>
      </c>
      <c r="G15" s="8"/>
      <c r="H15" s="8">
        <f t="shared" si="2"/>
        <v>1.6853167963510687</v>
      </c>
      <c r="I15" s="8">
        <f t="shared" si="3"/>
        <v>0.52195355583661396</v>
      </c>
      <c r="J15" s="2"/>
    </row>
    <row r="16" spans="1:10" ht="15.5">
      <c r="A16" s="2">
        <v>22.5</v>
      </c>
      <c r="B16" s="2">
        <v>1</v>
      </c>
      <c r="C16" s="2">
        <v>43</v>
      </c>
      <c r="D16" s="2">
        <f t="shared" si="0"/>
        <v>44</v>
      </c>
      <c r="E16" s="8">
        <f t="shared" si="1"/>
        <v>2.2727272727272728E-2</v>
      </c>
      <c r="F16" s="8">
        <f t="shared" si="4"/>
        <v>-3.8905566955204529E-2</v>
      </c>
      <c r="G16" s="8"/>
      <c r="H16" s="8">
        <f t="shared" si="2"/>
        <v>-8.8355905623846738</v>
      </c>
      <c r="I16" s="8" t="e">
        <f t="shared" si="3"/>
        <v>#NUM!</v>
      </c>
      <c r="J16" s="2"/>
    </row>
    <row r="17" spans="1:10" ht="15.5">
      <c r="A17" s="2">
        <v>27.5</v>
      </c>
      <c r="B17" s="2">
        <v>0</v>
      </c>
      <c r="C17" s="2">
        <v>54</v>
      </c>
      <c r="D17" s="2">
        <f t="shared" si="0"/>
        <v>54</v>
      </c>
      <c r="E17" s="8">
        <f t="shared" si="1"/>
        <v>0</v>
      </c>
      <c r="F17" s="8">
        <f t="shared" si="4"/>
        <v>-2.7366306014719788E-2</v>
      </c>
      <c r="G17" s="8"/>
      <c r="H17" s="8">
        <f t="shared" si="2"/>
        <v>4.2970181496160187</v>
      </c>
      <c r="I17" s="8">
        <f t="shared" si="3"/>
        <v>1.4579213285717012</v>
      </c>
      <c r="J17" s="2"/>
    </row>
    <row r="18" spans="1:10" ht="15.5">
      <c r="A18" s="2">
        <v>32.5</v>
      </c>
      <c r="B18" s="2">
        <v>2</v>
      </c>
      <c r="C18" s="2">
        <v>26</v>
      </c>
      <c r="D18" s="2">
        <f t="shared" si="0"/>
        <v>28</v>
      </c>
      <c r="E18" s="8">
        <f t="shared" si="1"/>
        <v>7.1428571428571425E-2</v>
      </c>
      <c r="F18" s="8">
        <f t="shared" si="4"/>
        <v>-1.3679433771223604E-2</v>
      </c>
      <c r="G18" s="8"/>
      <c r="H18" s="8">
        <f t="shared" si="2"/>
        <v>0.10070349893778455</v>
      </c>
      <c r="I18" s="8">
        <f t="shared" si="3"/>
        <v>-2.2955747337064918</v>
      </c>
      <c r="J18" s="2"/>
    </row>
    <row r="19" spans="1:10" ht="15.5">
      <c r="A19" s="2">
        <v>37.5</v>
      </c>
      <c r="B19" s="2">
        <v>0</v>
      </c>
      <c r="C19" s="2">
        <v>29</v>
      </c>
      <c r="D19" s="2">
        <f t="shared" si="0"/>
        <v>29</v>
      </c>
      <c r="E19" s="8">
        <f t="shared" si="1"/>
        <v>0</v>
      </c>
      <c r="F19" s="8">
        <f t="shared" si="4"/>
        <v>2.4754612590878189E-3</v>
      </c>
      <c r="G19" s="8"/>
      <c r="H19" s="8">
        <f t="shared" si="2"/>
        <v>0.93064500627715852</v>
      </c>
      <c r="I19" s="8">
        <f t="shared" si="3"/>
        <v>-7.1877378096323163E-2</v>
      </c>
      <c r="J19" s="2"/>
    </row>
    <row r="20" spans="1:10" ht="15.5">
      <c r="A20" s="2">
        <v>42.5</v>
      </c>
      <c r="B20" s="2">
        <v>0</v>
      </c>
      <c r="C20" s="2">
        <v>46</v>
      </c>
      <c r="D20" s="2">
        <f t="shared" si="0"/>
        <v>46</v>
      </c>
      <c r="E20" s="8">
        <f t="shared" si="1"/>
        <v>0</v>
      </c>
      <c r="F20" s="8">
        <f t="shared" si="4"/>
        <v>2.1433589935231145E-2</v>
      </c>
      <c r="G20" s="8"/>
      <c r="H20" s="8">
        <f t="shared" si="2"/>
        <v>0.36910845616405225</v>
      </c>
      <c r="I20" s="8">
        <f t="shared" si="3"/>
        <v>-0.99666475898360651</v>
      </c>
      <c r="J20" s="2"/>
    </row>
    <row r="21" spans="1:10" ht="15.5">
      <c r="A21" s="2">
        <v>47.5</v>
      </c>
      <c r="B21" s="2">
        <v>1</v>
      </c>
      <c r="C21" s="2">
        <v>27</v>
      </c>
      <c r="D21" s="2">
        <f t="shared" si="0"/>
        <v>28</v>
      </c>
      <c r="E21" s="8">
        <f t="shared" si="1"/>
        <v>3.5714285714285712E-2</v>
      </c>
      <c r="F21" s="8">
        <f t="shared" si="4"/>
        <v>4.3531152165884546E-2</v>
      </c>
      <c r="G21" s="8"/>
      <c r="H21" s="8">
        <f t="shared" si="2"/>
        <v>0.36649714301276376</v>
      </c>
      <c r="I21" s="8">
        <f t="shared" si="3"/>
        <v>-1.0037645530125165</v>
      </c>
      <c r="J21" s="2"/>
    </row>
    <row r="22" spans="1:10" ht="15.5">
      <c r="A22" s="2">
        <v>52.5</v>
      </c>
      <c r="B22" s="2">
        <v>3</v>
      </c>
      <c r="C22" s="2">
        <v>11</v>
      </c>
      <c r="D22" s="2">
        <f t="shared" si="0"/>
        <v>14</v>
      </c>
      <c r="E22" s="8">
        <f t="shared" si="1"/>
        <v>0.21428571428571427</v>
      </c>
      <c r="F22" s="8">
        <f t="shared" si="4"/>
        <v>6.9085540760310149E-2</v>
      </c>
      <c r="G22" s="8"/>
      <c r="H22" s="8">
        <f t="shared" si="2"/>
        <v>5.4609776998766776E-2</v>
      </c>
      <c r="I22" s="8">
        <f t="shared" si="3"/>
        <v>-2.9075423463501848</v>
      </c>
      <c r="J22" s="2"/>
    </row>
    <row r="23" spans="1:10" ht="15.5">
      <c r="A23" s="2">
        <v>57.5</v>
      </c>
      <c r="B23" s="2">
        <v>5</v>
      </c>
      <c r="C23" s="2">
        <v>17</v>
      </c>
      <c r="D23" s="2">
        <f t="shared" si="0"/>
        <v>22</v>
      </c>
      <c r="E23" s="8">
        <f t="shared" si="1"/>
        <v>0.22727272727272727</v>
      </c>
      <c r="F23" s="8">
        <f t="shared" si="4"/>
        <v>9.8369181498800362E-2</v>
      </c>
      <c r="G23" s="8"/>
      <c r="H23" s="8">
        <f t="shared" si="2"/>
        <v>4.1715824663123152E-2</v>
      </c>
      <c r="I23" s="8">
        <f t="shared" si="3"/>
        <v>-3.1768747338405676</v>
      </c>
      <c r="J23" s="2"/>
    </row>
    <row r="24" spans="1:10" ht="15.5">
      <c r="A24" s="2">
        <v>62.5</v>
      </c>
      <c r="B24" s="2">
        <v>6</v>
      </c>
      <c r="C24" s="2">
        <v>20</v>
      </c>
      <c r="D24" s="2">
        <f t="shared" si="0"/>
        <v>26</v>
      </c>
      <c r="E24" s="8">
        <f t="shared" si="1"/>
        <v>0.23076923076923078</v>
      </c>
      <c r="F24" s="8">
        <f t="shared" si="4"/>
        <v>0.13157758343447568</v>
      </c>
      <c r="G24" s="8"/>
      <c r="H24" s="8">
        <f t="shared" si="2"/>
        <v>7.1100696608270147E-2</v>
      </c>
      <c r="I24" s="8">
        <f t="shared" si="3"/>
        <v>-2.6436581446362664</v>
      </c>
      <c r="J24" s="2"/>
    </row>
    <row r="25" spans="1:10" ht="15.5">
      <c r="A25" s="2">
        <v>67.5</v>
      </c>
      <c r="B25" s="2">
        <v>10</v>
      </c>
      <c r="C25" s="2">
        <v>38</v>
      </c>
      <c r="D25" s="2">
        <f t="shared" si="0"/>
        <v>48</v>
      </c>
      <c r="E25" s="8">
        <f t="shared" si="1"/>
        <v>0.20833333333333334</v>
      </c>
      <c r="F25" s="8">
        <f t="shared" si="4"/>
        <v>0.1687935900288462</v>
      </c>
      <c r="G25" s="8"/>
      <c r="H25" s="8">
        <f t="shared" si="2"/>
        <v>0.10917479054510996</v>
      </c>
      <c r="I25" s="8">
        <f t="shared" si="3"/>
        <v>-2.2148050981366492</v>
      </c>
      <c r="J25" s="2"/>
    </row>
    <row r="26" spans="1:10" ht="15.5">
      <c r="A26" s="2">
        <v>72.5</v>
      </c>
      <c r="B26" s="2">
        <v>19</v>
      </c>
      <c r="C26" s="2">
        <v>76</v>
      </c>
      <c r="D26" s="2">
        <f t="shared" si="0"/>
        <v>95</v>
      </c>
      <c r="E26" s="8">
        <f t="shared" si="1"/>
        <v>0.2</v>
      </c>
      <c r="F26" s="8">
        <f t="shared" si="4"/>
        <v>0.20995157583942614</v>
      </c>
      <c r="G26" s="8"/>
      <c r="H26" s="8">
        <f t="shared" si="2"/>
        <v>9.8974920842782851E-2</v>
      </c>
      <c r="I26" s="8">
        <f t="shared" si="3"/>
        <v>-2.3128887857600744</v>
      </c>
      <c r="J26" s="2"/>
    </row>
    <row r="27" spans="1:10" ht="15.5">
      <c r="A27" s="2">
        <v>77.5</v>
      </c>
      <c r="B27" s="2">
        <v>24</v>
      </c>
      <c r="C27" s="2">
        <v>80</v>
      </c>
      <c r="D27" s="2">
        <f t="shared" si="0"/>
        <v>104</v>
      </c>
      <c r="E27" s="8">
        <f t="shared" si="1"/>
        <v>0.23076923076923078</v>
      </c>
      <c r="F27" s="8">
        <f t="shared" si="4"/>
        <v>0.25480706679149612</v>
      </c>
      <c r="G27" s="8"/>
      <c r="H27" s="8">
        <f t="shared" si="2"/>
        <v>7.8692951802902367E-2</v>
      </c>
      <c r="I27" s="8">
        <f t="shared" si="3"/>
        <v>-2.5422016853469231</v>
      </c>
      <c r="J27" s="2"/>
    </row>
    <row r="28" spans="1:10" ht="15.5">
      <c r="A28" s="2">
        <v>82.5</v>
      </c>
      <c r="B28" s="2">
        <v>24</v>
      </c>
      <c r="C28" s="2">
        <v>96</v>
      </c>
      <c r="D28" s="2">
        <f t="shared" si="0"/>
        <v>120</v>
      </c>
      <c r="E28" s="8">
        <f t="shared" si="1"/>
        <v>0.2</v>
      </c>
      <c r="F28" s="8">
        <f t="shared" si="4"/>
        <v>0.30291837805180077</v>
      </c>
      <c r="G28" s="8"/>
      <c r="H28" s="8">
        <f t="shared" si="2"/>
        <v>3.4943084953450278E-3</v>
      </c>
      <c r="I28" s="8">
        <f t="shared" si="3"/>
        <v>-5.6566197782814749</v>
      </c>
      <c r="J28" s="2"/>
    </row>
    <row r="29" spans="1:10" ht="15.5">
      <c r="A29" s="2">
        <v>87.5</v>
      </c>
      <c r="B29" s="2">
        <v>70</v>
      </c>
      <c r="C29" s="2">
        <v>110</v>
      </c>
      <c r="D29" s="2">
        <f t="shared" si="0"/>
        <v>180</v>
      </c>
      <c r="E29" s="8">
        <f t="shared" si="1"/>
        <v>0.3888888888888889</v>
      </c>
      <c r="F29" s="8">
        <f t="shared" si="4"/>
        <v>0.35364665637513859</v>
      </c>
      <c r="G29" s="8"/>
      <c r="H29" s="8">
        <f t="shared" si="2"/>
        <v>3.7602581568394584E-2</v>
      </c>
      <c r="I29" s="8">
        <f t="shared" si="3"/>
        <v>-3.2806825722092925</v>
      </c>
      <c r="J29" s="2"/>
    </row>
    <row r="30" spans="1:10" ht="15.5">
      <c r="A30" s="2">
        <v>92.5</v>
      </c>
      <c r="B30" s="2">
        <v>99</v>
      </c>
      <c r="C30" s="2">
        <v>99</v>
      </c>
      <c r="D30" s="2">
        <f t="shared" si="0"/>
        <v>198</v>
      </c>
      <c r="E30" s="8">
        <f t="shared" si="1"/>
        <v>0.5</v>
      </c>
      <c r="F30" s="8">
        <f t="shared" si="4"/>
        <v>0.40617865803790076</v>
      </c>
      <c r="G30" s="8"/>
      <c r="H30" s="8">
        <f t="shared" si="2"/>
        <v>1.6289794551083375E-3</v>
      </c>
      <c r="I30" s="8">
        <f t="shared" si="3"/>
        <v>-6.4198015614071764</v>
      </c>
      <c r="J30" s="2"/>
    </row>
    <row r="31" spans="1:10" ht="15.5">
      <c r="A31" s="2">
        <v>97.5</v>
      </c>
      <c r="B31" s="2">
        <v>134</v>
      </c>
      <c r="C31" s="2">
        <v>109</v>
      </c>
      <c r="D31" s="2">
        <f t="shared" si="0"/>
        <v>243</v>
      </c>
      <c r="E31" s="8">
        <f t="shared" si="1"/>
        <v>0.55144032921810704</v>
      </c>
      <c r="F31" s="8">
        <f t="shared" si="4"/>
        <v>0.45957270983908272</v>
      </c>
      <c r="G31" s="8"/>
      <c r="H31" s="8">
        <f t="shared" si="2"/>
        <v>8.4259186060124929E-4</v>
      </c>
      <c r="I31" s="8">
        <f t="shared" si="3"/>
        <v>-7.0790278683268628</v>
      </c>
      <c r="J31" s="2"/>
    </row>
    <row r="32" spans="1:10" ht="15.5">
      <c r="A32" s="2">
        <v>102.5</v>
      </c>
      <c r="B32" s="2">
        <v>111</v>
      </c>
      <c r="C32" s="2">
        <v>77</v>
      </c>
      <c r="D32" s="2">
        <f t="shared" si="0"/>
        <v>188</v>
      </c>
      <c r="E32" s="8">
        <f t="shared" si="1"/>
        <v>0.59042553191489366</v>
      </c>
      <c r="F32" s="8">
        <f t="shared" si="4"/>
        <v>0.51282339038145164</v>
      </c>
      <c r="G32" s="2"/>
      <c r="H32" s="8">
        <f t="shared" si="2"/>
        <v>6.0367252897246858E-3</v>
      </c>
      <c r="I32" s="8">
        <f t="shared" si="3"/>
        <v>-5.1098935846384084</v>
      </c>
      <c r="J32" s="2"/>
    </row>
    <row r="33" spans="1:10" ht="15.5">
      <c r="A33" s="2">
        <v>107.5</v>
      </c>
      <c r="B33" s="2">
        <v>50</v>
      </c>
      <c r="C33" s="2">
        <v>31</v>
      </c>
      <c r="D33" s="2">
        <f t="shared" si="0"/>
        <v>81</v>
      </c>
      <c r="E33" s="8">
        <f t="shared" si="1"/>
        <v>0.61728395061728392</v>
      </c>
      <c r="F33" s="8">
        <f t="shared" si="4"/>
        <v>0.56493598659089761</v>
      </c>
      <c r="G33" s="20"/>
      <c r="H33" s="8">
        <f t="shared" si="2"/>
        <v>5.7573964072894127E-2</v>
      </c>
      <c r="I33" s="8">
        <f t="shared" si="3"/>
        <v>-2.854684826092158</v>
      </c>
      <c r="J33" s="2"/>
    </row>
    <row r="34" spans="1:10" ht="15.5">
      <c r="A34" s="2">
        <v>112.5</v>
      </c>
      <c r="B34" s="2">
        <v>15</v>
      </c>
      <c r="C34" s="2">
        <v>6</v>
      </c>
      <c r="D34" s="2">
        <f t="shared" si="0"/>
        <v>21</v>
      </c>
      <c r="E34" s="8">
        <f t="shared" si="1"/>
        <v>0.7142857142857143</v>
      </c>
      <c r="F34" s="8">
        <f t="shared" si="4"/>
        <v>0.61499928652423153</v>
      </c>
      <c r="G34" s="20"/>
      <c r="H34" s="8">
        <f t="shared" si="2"/>
        <v>0.1203372795344458</v>
      </c>
      <c r="I34" s="8">
        <f t="shared" si="3"/>
        <v>-2.1174568159400127</v>
      </c>
      <c r="J34" s="2"/>
    </row>
    <row r="35" spans="1:10" ht="15.5">
      <c r="A35" s="2">
        <v>117.5</v>
      </c>
      <c r="B35" s="2">
        <v>2</v>
      </c>
      <c r="C35" s="2">
        <v>3</v>
      </c>
      <c r="D35" s="2">
        <f t="shared" si="0"/>
        <v>5</v>
      </c>
      <c r="E35" s="8">
        <f t="shared" si="1"/>
        <v>0.4</v>
      </c>
      <c r="F35" s="8">
        <f t="shared" si="4"/>
        <v>0.66224570083377055</v>
      </c>
      <c r="G35" s="20"/>
      <c r="H35" s="8">
        <f t="shared" si="2"/>
        <v>0.16898219707383225</v>
      </c>
      <c r="I35" s="8">
        <f t="shared" si="3"/>
        <v>-1.7779619123663908</v>
      </c>
      <c r="J35" s="2"/>
    </row>
    <row r="36" spans="1:10" ht="15.5">
      <c r="A36" s="2">
        <v>122.5</v>
      </c>
      <c r="B36" s="2">
        <v>1</v>
      </c>
      <c r="C36" s="2">
        <v>3</v>
      </c>
      <c r="D36" s="2">
        <f t="shared" si="0"/>
        <v>4</v>
      </c>
      <c r="E36" s="8">
        <f t="shared" si="1"/>
        <v>0.25</v>
      </c>
      <c r="F36" s="8">
        <f t="shared" si="4"/>
        <v>0.70609089672078396</v>
      </c>
      <c r="G36" s="20"/>
      <c r="H36" s="8">
        <f t="shared" si="2"/>
        <v>7.1706696785558466E-2</v>
      </c>
      <c r="I36" s="8">
        <f t="shared" si="3"/>
        <v>-2.6351711356605541</v>
      </c>
      <c r="J36" s="2"/>
    </row>
    <row r="37" spans="1:10" ht="15.5">
      <c r="A37" s="2">
        <v>127.5</v>
      </c>
      <c r="B37" s="2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0.74614989887187866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 s="2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0.78223135781980435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zoomScale="60" zoomScaleNormal="60" workbookViewId="0">
      <selection activeCell="B14" sqref="B14"/>
    </sheetView>
  </sheetViews>
  <sheetFormatPr defaultRowHeight="14.5"/>
  <cols>
    <col min="5" max="5" width="21.453125" bestFit="1" customWidth="1"/>
    <col min="6" max="6" width="16.7265625" bestFit="1" customWidth="1"/>
    <col min="8" max="8" width="23.7265625" bestFit="1" customWidth="1"/>
  </cols>
  <sheetData>
    <row r="1" spans="1:1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ht="20">
      <c r="B2" s="1" t="s">
        <v>1</v>
      </c>
      <c r="C2" s="2"/>
      <c r="D2" s="2"/>
      <c r="G2" s="2"/>
      <c r="H2" s="3"/>
      <c r="I2" s="2"/>
      <c r="J2" s="2"/>
    </row>
    <row r="3" spans="1:11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1" ht="16" thickTop="1">
      <c r="A4" s="4" t="s">
        <v>5</v>
      </c>
      <c r="B4" s="5"/>
      <c r="C4" s="5"/>
      <c r="D4" s="5"/>
      <c r="E4" s="6" t="s">
        <v>6</v>
      </c>
      <c r="F4" s="7">
        <v>-6.4715855567588259</v>
      </c>
      <c r="G4" s="2"/>
      <c r="H4" s="8">
        <f>-J4*H5</f>
        <v>-8.1297309361440124</v>
      </c>
      <c r="I4" s="6" t="s">
        <v>7</v>
      </c>
      <c r="J4" s="9">
        <v>92.5</v>
      </c>
    </row>
    <row r="5" spans="1:11" ht="16" thickBot="1">
      <c r="A5" s="5" t="s">
        <v>8</v>
      </c>
      <c r="B5" s="5"/>
      <c r="C5" s="5"/>
      <c r="D5" s="5"/>
      <c r="E5" s="6" t="s">
        <v>9</v>
      </c>
      <c r="F5" s="10">
        <v>6.4012954170168765E-2</v>
      </c>
      <c r="G5" s="2"/>
      <c r="H5" s="8">
        <f>2*LN(3)/J5</f>
        <v>8.788898309344878E-2</v>
      </c>
      <c r="I5" s="6" t="s">
        <v>10</v>
      </c>
      <c r="J5" s="9">
        <v>25</v>
      </c>
      <c r="K5">
        <f>107-82</f>
        <v>25</v>
      </c>
    </row>
    <row r="6" spans="1:11" ht="109" thickTop="1">
      <c r="A6" s="11" t="s">
        <v>11</v>
      </c>
      <c r="B6" s="12" t="s">
        <v>12</v>
      </c>
      <c r="C6" s="12"/>
      <c r="D6" s="12"/>
      <c r="E6" s="6"/>
      <c r="F6" s="2"/>
      <c r="G6" s="2"/>
      <c r="H6" s="9"/>
      <c r="I6" s="2"/>
      <c r="J6" s="2" t="s">
        <v>13</v>
      </c>
    </row>
    <row r="7" spans="1:11" ht="16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1" ht="16.5" thickTop="1" thickBot="1">
      <c r="A8" s="13"/>
      <c r="B8" s="13"/>
      <c r="C8" s="13"/>
      <c r="D8" s="13"/>
      <c r="E8" s="6" t="s">
        <v>7</v>
      </c>
      <c r="F8" s="2">
        <f>-F4/F5</f>
        <v>101.09806117610341</v>
      </c>
      <c r="G8" s="2"/>
      <c r="H8" s="14">
        <f>SUM(I14:I38)</f>
        <v>-62.067787230321755</v>
      </c>
      <c r="I8" s="2"/>
      <c r="J8" s="2">
        <f>-2*H8+2*2</f>
        <v>128.13557446064351</v>
      </c>
    </row>
    <row r="9" spans="1:11" ht="16" thickTop="1">
      <c r="A9" s="15"/>
      <c r="B9" s="15"/>
      <c r="C9" s="15"/>
      <c r="D9" s="15"/>
      <c r="E9" s="6" t="s">
        <v>16</v>
      </c>
      <c r="F9" s="16">
        <f>2*LN(3)/F5</f>
        <v>34.324686398556615</v>
      </c>
      <c r="G9" s="2"/>
      <c r="H9" s="17"/>
      <c r="I9" s="2"/>
      <c r="J9" s="2"/>
    </row>
    <row r="10" spans="1:11" ht="15.5">
      <c r="A10" s="18"/>
      <c r="B10" s="19"/>
      <c r="C10" s="19"/>
      <c r="D10" s="19"/>
      <c r="E10" s="19"/>
      <c r="F10" s="19"/>
      <c r="G10" s="2"/>
      <c r="H10" s="17"/>
      <c r="I10" s="2"/>
      <c r="J10" s="2"/>
    </row>
    <row r="11" spans="1:11" ht="15.5">
      <c r="A11" s="19"/>
      <c r="B11" s="19"/>
      <c r="C11" s="19"/>
      <c r="D11" s="19"/>
      <c r="E11" s="19"/>
      <c r="F11" s="19"/>
      <c r="G11" s="2"/>
      <c r="H11" s="17"/>
      <c r="I11" s="16"/>
      <c r="J11" s="2"/>
    </row>
    <row r="12" spans="1:11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1" ht="15.5">
      <c r="A13" s="2" t="s">
        <v>22</v>
      </c>
      <c r="B13" t="s">
        <v>45</v>
      </c>
      <c r="C13" t="s">
        <v>24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1" ht="15.5">
      <c r="A14">
        <v>12.5</v>
      </c>
      <c r="B14">
        <v>2</v>
      </c>
      <c r="C14">
        <v>0</v>
      </c>
      <c r="D14" s="2">
        <f>+C14+B14</f>
        <v>2</v>
      </c>
      <c r="E14" s="8">
        <f t="shared" ref="E14:E38" si="0">+B14/(C14+B14)</f>
        <v>1</v>
      </c>
      <c r="F14" s="8">
        <f>EXP($F$4+$F$5*A14)/(1+EXP($F$4+$F$5*A14))</f>
        <v>3.4311469824103795E-3</v>
      </c>
      <c r="G14" s="8"/>
      <c r="H14" s="8">
        <f>COMBIN(D14,B14)*(F14^B14)*((1-F14)^C14)</f>
        <v>1.1772769614903853E-5</v>
      </c>
      <c r="I14" s="8">
        <f>LN(H14)</f>
        <v>-11.34972135299676</v>
      </c>
      <c r="J14" s="2"/>
    </row>
    <row r="15" spans="1:11" ht="15.5">
      <c r="A15">
        <v>17.5</v>
      </c>
      <c r="B15">
        <v>0</v>
      </c>
      <c r="C15">
        <v>11</v>
      </c>
      <c r="D15" s="2">
        <f>+C15+B15</f>
        <v>11</v>
      </c>
      <c r="E15" s="8">
        <f t="shared" si="0"/>
        <v>0</v>
      </c>
      <c r="F15" s="8">
        <f t="shared" ref="F15:F38" si="1">EXP($F$4+$F$5*A15)/(1+EXP($F$4+$F$5*A15))</f>
        <v>4.7193256722894341E-3</v>
      </c>
      <c r="G15" s="8"/>
      <c r="H15" s="8">
        <f>COMBIN(D15,B15)*(F15^B15)*((1-F15)^C15)</f>
        <v>0.94929519915416838</v>
      </c>
      <c r="I15" s="8">
        <f>LN(H15)</f>
        <v>-5.2035465355493693E-2</v>
      </c>
      <c r="J15" s="2"/>
    </row>
    <row r="16" spans="1:11" ht="15.5">
      <c r="A16">
        <v>22.5</v>
      </c>
      <c r="B16">
        <v>0</v>
      </c>
      <c r="C16">
        <v>43</v>
      </c>
      <c r="D16" s="2">
        <f>+C16+B16</f>
        <v>43</v>
      </c>
      <c r="E16" s="8">
        <f t="shared" si="0"/>
        <v>0</v>
      </c>
      <c r="F16" s="8">
        <f t="shared" si="1"/>
        <v>6.4879854044621052E-3</v>
      </c>
      <c r="G16" s="8"/>
      <c r="H16" s="8">
        <f>COMBIN(D16,B16)*(F16^B16)*((1-F16)^C16)</f>
        <v>0.75586512404439921</v>
      </c>
      <c r="I16" s="8">
        <f>LN(H16)</f>
        <v>-0.27989232606776648</v>
      </c>
      <c r="J16" s="2"/>
    </row>
    <row r="17" spans="1:10" ht="15.5">
      <c r="A17">
        <v>27.5</v>
      </c>
      <c r="B17">
        <v>0</v>
      </c>
      <c r="C17">
        <v>54</v>
      </c>
      <c r="D17" s="2">
        <f>+C17+B17</f>
        <v>54</v>
      </c>
      <c r="E17" s="8">
        <f t="shared" si="0"/>
        <v>0</v>
      </c>
      <c r="F17" s="8">
        <f t="shared" si="1"/>
        <v>8.9135487429012894E-3</v>
      </c>
      <c r="G17" s="8"/>
      <c r="H17" s="8">
        <f>COMBIN(D17,B17)*(F17^B17)*((1-F17)^C17)</f>
        <v>0.61662781645056397</v>
      </c>
      <c r="I17" s="8">
        <f t="shared" ref="I17:I38" si="2">LN(H17)</f>
        <v>-0.48348965191291848</v>
      </c>
      <c r="J17" s="2"/>
    </row>
    <row r="18" spans="1:10" ht="15.5">
      <c r="A18">
        <v>32.5</v>
      </c>
      <c r="B18">
        <v>0</v>
      </c>
      <c r="C18">
        <v>26</v>
      </c>
      <c r="D18" s="2">
        <f t="shared" ref="D18:D38" si="3">+C18+B18</f>
        <v>26</v>
      </c>
      <c r="E18" s="8">
        <f t="shared" si="0"/>
        <v>0</v>
      </c>
      <c r="F18" s="8">
        <f t="shared" si="1"/>
        <v>1.2234753124845791E-2</v>
      </c>
      <c r="G18" s="8"/>
      <c r="H18" s="8">
        <f t="shared" ref="H18:H38" si="4">COMBIN(D18,B18)*(F18^B18)*((1-F18)^C18)</f>
        <v>0.72610143234330793</v>
      </c>
      <c r="I18" s="8">
        <f t="shared" si="2"/>
        <v>-0.32006555994493036</v>
      </c>
      <c r="J18" s="2"/>
    </row>
    <row r="19" spans="1:10" ht="15.5">
      <c r="A19">
        <v>37.5</v>
      </c>
      <c r="B19">
        <v>0</v>
      </c>
      <c r="C19">
        <v>29</v>
      </c>
      <c r="D19" s="2">
        <f t="shared" si="3"/>
        <v>29</v>
      </c>
      <c r="E19" s="8">
        <f t="shared" si="0"/>
        <v>0</v>
      </c>
      <c r="F19" s="8">
        <f t="shared" si="1"/>
        <v>1.6772501845734457E-2</v>
      </c>
      <c r="G19" s="8"/>
      <c r="H19" s="8">
        <f t="shared" si="4"/>
        <v>0.612303110779014</v>
      </c>
      <c r="I19" s="8">
        <f t="shared" si="2"/>
        <v>-0.49052784002932104</v>
      </c>
      <c r="J19" s="2"/>
    </row>
    <row r="20" spans="1:10" ht="15.5">
      <c r="A20">
        <v>42.5</v>
      </c>
      <c r="B20">
        <v>2</v>
      </c>
      <c r="C20">
        <v>46</v>
      </c>
      <c r="D20" s="2">
        <f t="shared" si="3"/>
        <v>48</v>
      </c>
      <c r="E20" s="8">
        <f t="shared" si="0"/>
        <v>4.1666666666666664E-2</v>
      </c>
      <c r="F20" s="8">
        <f t="shared" si="1"/>
        <v>2.2954146136787507E-2</v>
      </c>
      <c r="G20" s="8"/>
      <c r="H20" s="8">
        <f t="shared" si="4"/>
        <v>0.2042297030773696</v>
      </c>
      <c r="I20" s="8">
        <f>LN(H20)</f>
        <v>-1.5885099231180573</v>
      </c>
      <c r="J20" s="2"/>
    </row>
    <row r="21" spans="1:10" ht="15.5">
      <c r="A21">
        <v>47.5</v>
      </c>
      <c r="B21">
        <v>1</v>
      </c>
      <c r="C21">
        <v>27</v>
      </c>
      <c r="D21" s="2">
        <f t="shared" si="3"/>
        <v>28</v>
      </c>
      <c r="E21" s="8">
        <f t="shared" si="0"/>
        <v>3.5714285714285712E-2</v>
      </c>
      <c r="F21" s="8">
        <f t="shared" si="1"/>
        <v>3.134146335580118E-2</v>
      </c>
      <c r="G21" s="8"/>
      <c r="H21" s="8">
        <f t="shared" si="4"/>
        <v>0.37143812353909111</v>
      </c>
      <c r="I21" s="8">
        <f t="shared" si="2"/>
        <v>-0.99037298713792909</v>
      </c>
      <c r="J21" s="2"/>
    </row>
    <row r="22" spans="1:10" ht="15.5">
      <c r="A22">
        <v>52.5</v>
      </c>
      <c r="B22">
        <v>2</v>
      </c>
      <c r="C22">
        <v>11</v>
      </c>
      <c r="D22" s="2">
        <f t="shared" si="3"/>
        <v>13</v>
      </c>
      <c r="E22" s="8">
        <f t="shared" si="0"/>
        <v>0.15384615384615385</v>
      </c>
      <c r="F22" s="8">
        <f t="shared" si="1"/>
        <v>4.2659649976833885E-2</v>
      </c>
      <c r="G22" s="8"/>
      <c r="H22" s="8">
        <f t="shared" si="4"/>
        <v>8.7873754347494143E-2</v>
      </c>
      <c r="I22" s="8">
        <f t="shared" si="2"/>
        <v>-2.4318541042292274</v>
      </c>
      <c r="J22" s="2"/>
    </row>
    <row r="23" spans="1:10" ht="15.5">
      <c r="A23">
        <v>57.5</v>
      </c>
      <c r="B23">
        <v>0</v>
      </c>
      <c r="C23">
        <v>17</v>
      </c>
      <c r="D23" s="2">
        <f t="shared" si="3"/>
        <v>17</v>
      </c>
      <c r="E23" s="8">
        <f t="shared" si="0"/>
        <v>0</v>
      </c>
      <c r="F23" s="8">
        <f t="shared" si="1"/>
        <v>5.7821139152064577E-2</v>
      </c>
      <c r="G23" s="8"/>
      <c r="H23" s="8">
        <f t="shared" si="4"/>
        <v>0.36330138350402996</v>
      </c>
      <c r="I23" s="8">
        <f t="shared" si="2"/>
        <v>-1.0125225316036026</v>
      </c>
      <c r="J23" s="2"/>
    </row>
    <row r="24" spans="1:10" ht="15.5">
      <c r="A24">
        <v>62.5</v>
      </c>
      <c r="B24">
        <v>6</v>
      </c>
      <c r="C24">
        <v>20</v>
      </c>
      <c r="D24" s="2">
        <f t="shared" si="3"/>
        <v>26</v>
      </c>
      <c r="E24" s="8">
        <f t="shared" si="0"/>
        <v>0.23076923076923078</v>
      </c>
      <c r="F24" s="8">
        <f t="shared" si="1"/>
        <v>7.7932459956778583E-2</v>
      </c>
      <c r="G24" s="8"/>
      <c r="H24" s="8">
        <f t="shared" si="4"/>
        <v>1.0179510541643705E-2</v>
      </c>
      <c r="I24" s="8">
        <f t="shared" si="2"/>
        <v>-4.5873783494042932</v>
      </c>
      <c r="J24" s="2"/>
    </row>
    <row r="25" spans="1:10" ht="15.5">
      <c r="A25">
        <v>67.5</v>
      </c>
      <c r="B25">
        <v>9</v>
      </c>
      <c r="C25">
        <v>38</v>
      </c>
      <c r="D25" s="2">
        <f t="shared" si="3"/>
        <v>47</v>
      </c>
      <c r="E25" s="8">
        <f t="shared" si="0"/>
        <v>0.19148936170212766</v>
      </c>
      <c r="F25" s="8">
        <f t="shared" si="1"/>
        <v>0.10426478751134889</v>
      </c>
      <c r="G25" s="8"/>
      <c r="H25" s="8">
        <f t="shared" si="4"/>
        <v>3.0230797536074168E-2</v>
      </c>
      <c r="I25" s="8">
        <f t="shared" si="2"/>
        <v>-3.4988940882670541</v>
      </c>
      <c r="J25" s="2"/>
    </row>
    <row r="26" spans="1:10" ht="15.5">
      <c r="A26">
        <v>72.5</v>
      </c>
      <c r="B26">
        <v>9</v>
      </c>
      <c r="C26">
        <v>76</v>
      </c>
      <c r="D26" s="2">
        <f t="shared" si="3"/>
        <v>85</v>
      </c>
      <c r="E26" s="8">
        <f t="shared" si="0"/>
        <v>0.10588235294117647</v>
      </c>
      <c r="F26" s="8">
        <f t="shared" si="1"/>
        <v>0.13816128899624816</v>
      </c>
      <c r="G26" s="8"/>
      <c r="H26" s="8">
        <f t="shared" si="4"/>
        <v>9.3425994693643169E-2</v>
      </c>
      <c r="I26" s="8">
        <f t="shared" si="2"/>
        <v>-2.3705856566922274</v>
      </c>
      <c r="J26" s="2"/>
    </row>
    <row r="27" spans="1:10" ht="15.5">
      <c r="A27">
        <v>77.5</v>
      </c>
      <c r="B27">
        <v>14</v>
      </c>
      <c r="C27">
        <v>80</v>
      </c>
      <c r="D27" s="2">
        <f t="shared" si="3"/>
        <v>94</v>
      </c>
      <c r="E27" s="8">
        <f t="shared" si="0"/>
        <v>0.14893617021276595</v>
      </c>
      <c r="F27" s="8">
        <f t="shared" si="1"/>
        <v>0.18085261478763773</v>
      </c>
      <c r="G27" s="8"/>
      <c r="H27" s="8">
        <f t="shared" si="4"/>
        <v>8.1799523058112278E-2</v>
      </c>
      <c r="I27" s="8">
        <f t="shared" si="2"/>
        <v>-2.5034838659758583</v>
      </c>
      <c r="J27" s="2"/>
    </row>
    <row r="28" spans="1:10" ht="15.5">
      <c r="A28">
        <v>82.5</v>
      </c>
      <c r="B28">
        <v>14</v>
      </c>
      <c r="C28">
        <v>96</v>
      </c>
      <c r="D28" s="2">
        <f t="shared" si="3"/>
        <v>110</v>
      </c>
      <c r="E28" s="8">
        <f t="shared" si="0"/>
        <v>0.12727272727272726</v>
      </c>
      <c r="F28" s="8">
        <f t="shared" si="1"/>
        <v>0.23316651250001719</v>
      </c>
      <c r="G28" s="8"/>
      <c r="H28" s="8">
        <f t="shared" si="4"/>
        <v>2.2017492577136328E-3</v>
      </c>
      <c r="I28" s="8">
        <f t="shared" si="2"/>
        <v>-6.1185031174134812</v>
      </c>
      <c r="J28" s="2"/>
    </row>
    <row r="29" spans="1:10" ht="15.5">
      <c r="A29">
        <v>87.5</v>
      </c>
      <c r="B29">
        <v>30</v>
      </c>
      <c r="C29">
        <v>110</v>
      </c>
      <c r="D29" s="2">
        <f t="shared" si="3"/>
        <v>140</v>
      </c>
      <c r="E29" s="8">
        <f t="shared" si="0"/>
        <v>0.21428571428571427</v>
      </c>
      <c r="F29" s="8">
        <f t="shared" si="1"/>
        <v>0.29516024499723265</v>
      </c>
      <c r="G29" s="8"/>
      <c r="H29" s="8">
        <f t="shared" si="4"/>
        <v>7.8742863755479706E-3</v>
      </c>
      <c r="I29" s="8">
        <f t="shared" si="2"/>
        <v>-4.8441527173546231</v>
      </c>
      <c r="J29" s="2"/>
    </row>
    <row r="30" spans="1:10" ht="15.5">
      <c r="A30">
        <v>92.5</v>
      </c>
      <c r="B30">
        <v>61</v>
      </c>
      <c r="C30">
        <v>99</v>
      </c>
      <c r="D30" s="2">
        <f t="shared" si="3"/>
        <v>160</v>
      </c>
      <c r="E30" s="8">
        <f t="shared" si="0"/>
        <v>0.38124999999999998</v>
      </c>
      <c r="F30" s="8">
        <f t="shared" si="1"/>
        <v>0.36577455802168019</v>
      </c>
      <c r="G30" s="8"/>
      <c r="H30" s="8">
        <f t="shared" si="4"/>
        <v>5.9716365383121882E-2</v>
      </c>
      <c r="I30" s="8">
        <f t="shared" si="2"/>
        <v>-2.8181491691290601</v>
      </c>
      <c r="J30" s="2"/>
    </row>
    <row r="31" spans="1:10" ht="15.5">
      <c r="A31">
        <v>97.5</v>
      </c>
      <c r="B31">
        <v>101</v>
      </c>
      <c r="C31">
        <v>109</v>
      </c>
      <c r="D31" s="2">
        <f t="shared" si="3"/>
        <v>210</v>
      </c>
      <c r="E31" s="8">
        <f t="shared" si="0"/>
        <v>0.48095238095238096</v>
      </c>
      <c r="F31" s="8">
        <f t="shared" si="1"/>
        <v>0.44267257259668119</v>
      </c>
      <c r="G31" s="8"/>
      <c r="H31" s="8">
        <f t="shared" si="4"/>
        <v>2.9587758286101006E-2</v>
      </c>
      <c r="I31" s="8">
        <f t="shared" si="2"/>
        <v>-3.5203945746118732</v>
      </c>
      <c r="J31" s="2"/>
    </row>
    <row r="32" spans="1:10" ht="15.5">
      <c r="A32">
        <v>102.5</v>
      </c>
      <c r="B32">
        <v>101</v>
      </c>
      <c r="C32">
        <v>77</v>
      </c>
      <c r="D32" s="2">
        <f t="shared" si="3"/>
        <v>178</v>
      </c>
      <c r="E32" s="8">
        <f t="shared" si="0"/>
        <v>0.56741573033707871</v>
      </c>
      <c r="F32" s="8">
        <f t="shared" si="1"/>
        <v>0.52242051615248553</v>
      </c>
      <c r="G32" s="2"/>
      <c r="H32" s="8">
        <f t="shared" si="4"/>
        <v>2.91852485666085E-2</v>
      </c>
      <c r="I32" s="8">
        <f t="shared" si="2"/>
        <v>-3.5340918834324304</v>
      </c>
      <c r="J32" s="2"/>
    </row>
    <row r="33" spans="1:10" ht="15.5">
      <c r="A33">
        <v>107.5</v>
      </c>
      <c r="B33">
        <v>57</v>
      </c>
      <c r="C33">
        <v>31</v>
      </c>
      <c r="D33" s="2">
        <f t="shared" si="3"/>
        <v>88</v>
      </c>
      <c r="E33" s="8">
        <f t="shared" si="0"/>
        <v>0.64772727272727271</v>
      </c>
      <c r="F33" s="8">
        <f t="shared" si="1"/>
        <v>0.60104160413092689</v>
      </c>
      <c r="G33" s="20"/>
      <c r="H33" s="8">
        <f t="shared" si="4"/>
        <v>5.9136045788278302E-2</v>
      </c>
      <c r="I33" s="8">
        <f t="shared" si="2"/>
        <v>-2.827914628675503</v>
      </c>
      <c r="J33" s="2"/>
    </row>
    <row r="34" spans="1:10" ht="15.5">
      <c r="A34">
        <v>112.5</v>
      </c>
      <c r="B34">
        <v>10</v>
      </c>
      <c r="C34">
        <v>6</v>
      </c>
      <c r="D34" s="2">
        <f t="shared" si="3"/>
        <v>16</v>
      </c>
      <c r="E34" s="8">
        <f t="shared" si="0"/>
        <v>0.625</v>
      </c>
      <c r="F34" s="8">
        <f t="shared" si="1"/>
        <v>0.67477713657596328</v>
      </c>
      <c r="G34" s="20"/>
      <c r="H34" s="8">
        <f t="shared" si="4"/>
        <v>0.18544454805927282</v>
      </c>
      <c r="I34" s="8">
        <f t="shared" si="2"/>
        <v>-1.6849993739188371</v>
      </c>
      <c r="J34" s="2"/>
    </row>
    <row r="35" spans="1:10" ht="15.5">
      <c r="A35">
        <v>117.5</v>
      </c>
      <c r="B35">
        <v>4</v>
      </c>
      <c r="C35">
        <v>3</v>
      </c>
      <c r="D35" s="2">
        <f t="shared" si="3"/>
        <v>7</v>
      </c>
      <c r="E35" s="8">
        <f t="shared" si="0"/>
        <v>0.5714285714285714</v>
      </c>
      <c r="F35" s="8">
        <f t="shared" si="1"/>
        <v>0.74076271643603242</v>
      </c>
      <c r="G35" s="20"/>
      <c r="H35" s="8">
        <f t="shared" si="4"/>
        <v>0.18360178233591803</v>
      </c>
      <c r="I35" s="8">
        <f t="shared" si="2"/>
        <v>-1.6949860931308947</v>
      </c>
      <c r="J35" s="2"/>
    </row>
    <row r="36" spans="1:10" ht="15.5">
      <c r="A36">
        <v>122.5</v>
      </c>
      <c r="B36">
        <v>2</v>
      </c>
      <c r="C36">
        <v>3</v>
      </c>
      <c r="D36" s="2">
        <f t="shared" si="3"/>
        <v>5</v>
      </c>
      <c r="E36" s="8">
        <f t="shared" si="0"/>
        <v>0.4</v>
      </c>
      <c r="F36" s="8">
        <f t="shared" si="1"/>
        <v>0.79738036830276005</v>
      </c>
      <c r="G36" s="20"/>
      <c r="H36" s="8">
        <f t="shared" si="4"/>
        <v>5.2890252802701571E-2</v>
      </c>
      <c r="I36" s="8">
        <f t="shared" si="2"/>
        <v>-2.9395362141330743</v>
      </c>
      <c r="J36" s="2"/>
    </row>
    <row r="37" spans="1:10" ht="15.5">
      <c r="A37">
        <v>127.5</v>
      </c>
      <c r="B37">
        <v>0</v>
      </c>
      <c r="C37">
        <v>0</v>
      </c>
      <c r="D37" s="2">
        <f t="shared" si="3"/>
        <v>0</v>
      </c>
      <c r="E37" s="8" t="e">
        <f t="shared" si="0"/>
        <v>#DIV/0!</v>
      </c>
      <c r="F37" s="8">
        <f t="shared" si="1"/>
        <v>0.84423285246327584</v>
      </c>
      <c r="G37" s="2"/>
      <c r="H37" s="8">
        <f t="shared" si="4"/>
        <v>1</v>
      </c>
      <c r="I37" s="8">
        <f t="shared" si="2"/>
        <v>0</v>
      </c>
      <c r="J37" s="2"/>
    </row>
    <row r="38" spans="1:10" ht="15.5">
      <c r="A38">
        <v>132.5</v>
      </c>
      <c r="B38">
        <v>1</v>
      </c>
      <c r="C38">
        <v>0</v>
      </c>
      <c r="D38" s="2">
        <f t="shared" si="3"/>
        <v>1</v>
      </c>
      <c r="E38" s="8">
        <f t="shared" si="0"/>
        <v>1</v>
      </c>
      <c r="F38" s="8">
        <f t="shared" si="1"/>
        <v>0.88185665770974875</v>
      </c>
      <c r="G38" s="2"/>
      <c r="H38" s="8">
        <f t="shared" si="4"/>
        <v>0.88185665770974875</v>
      </c>
      <c r="I38" s="8">
        <f t="shared" si="2"/>
        <v>-0.12572575578654702</v>
      </c>
      <c r="J38" s="2"/>
    </row>
    <row r="39" spans="1:10" ht="15.5">
      <c r="B39" s="21"/>
      <c r="C39" s="21"/>
      <c r="D39" s="2"/>
      <c r="E39" s="8"/>
      <c r="F39" s="8"/>
      <c r="G39" s="2"/>
      <c r="H39" s="8"/>
      <c r="I39" s="8"/>
      <c r="J39" s="2"/>
    </row>
    <row r="40" spans="1:10" ht="15.5">
      <c r="B40" s="21"/>
      <c r="C40" s="21"/>
      <c r="D40" s="2"/>
      <c r="E40" s="8"/>
      <c r="F40" s="8"/>
      <c r="G40" s="2"/>
      <c r="H40" s="8"/>
      <c r="I40" s="8"/>
      <c r="J40" s="2"/>
    </row>
    <row r="41" spans="1:10" ht="15.5">
      <c r="B41" s="21"/>
      <c r="C41" s="21"/>
      <c r="D41" s="2"/>
      <c r="E41" s="8"/>
      <c r="F41" s="8"/>
      <c r="G41" s="2"/>
      <c r="H41" s="8"/>
      <c r="I41" s="8"/>
      <c r="J41" s="2"/>
    </row>
    <row r="42" spans="1:10" ht="15.5">
      <c r="B42" s="21"/>
      <c r="C42" s="21"/>
      <c r="D42" s="2"/>
      <c r="E42" s="8"/>
      <c r="F42" s="8"/>
      <c r="G42" s="2"/>
      <c r="H42" s="8"/>
      <c r="I42" s="8"/>
      <c r="J42" s="2"/>
    </row>
    <row r="43" spans="1:10" ht="15.5">
      <c r="B43" s="21"/>
      <c r="C43" s="21"/>
      <c r="D43" s="2"/>
      <c r="E43" s="8"/>
      <c r="F43" s="8"/>
      <c r="G43" s="2"/>
      <c r="H43" s="8"/>
      <c r="I43" s="8"/>
      <c r="J43" s="2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6" zoomScale="70" zoomScaleNormal="70" workbookViewId="0">
      <selection activeCell="B13" sqref="B13"/>
    </sheetView>
  </sheetViews>
  <sheetFormatPr defaultRowHeight="14.5"/>
  <sheetData>
    <row r="1" spans="1:10" ht="20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0" ht="26.5">
      <c r="B2" s="1" t="s">
        <v>30</v>
      </c>
      <c r="C2" s="2"/>
      <c r="D2" s="2"/>
      <c r="G2" s="2"/>
      <c r="H2" s="3"/>
      <c r="I2" s="2"/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-10.042327168395207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9.1030897126143109E-2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23"/>
      <c r="C6" s="23"/>
      <c r="D6" s="23"/>
      <c r="E6" s="6" t="s">
        <v>31</v>
      </c>
      <c r="F6" s="24">
        <v>1.7473324683722236</v>
      </c>
      <c r="G6" s="2"/>
      <c r="H6" s="9"/>
      <c r="I6" s="2"/>
      <c r="J6" s="2" t="s">
        <v>13</v>
      </c>
    </row>
    <row r="7" spans="1:10" ht="16.5" thickTop="1" thickBot="1">
      <c r="A7" s="23"/>
      <c r="B7" s="23"/>
      <c r="C7" s="23"/>
      <c r="D7" s="2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23"/>
      <c r="B8" s="23"/>
      <c r="C8" s="23"/>
      <c r="D8" s="23"/>
      <c r="E8" s="6" t="s">
        <v>7</v>
      </c>
      <c r="F8" s="2">
        <f>(LN(0.5^$F6/(1-0.5^$F6))-$F4)/$F5</f>
        <v>100.89738703576248</v>
      </c>
      <c r="G8" s="2"/>
      <c r="H8" s="14">
        <f>SUM(I14:I38)</f>
        <v>-60.850184061717385</v>
      </c>
      <c r="I8" s="2"/>
      <c r="J8" s="2">
        <f>-2*H8+2*3</f>
        <v>127.70036812343477</v>
      </c>
    </row>
    <row r="9" spans="1:10" ht="16" thickTop="1">
      <c r="A9" s="23"/>
      <c r="B9" s="23"/>
      <c r="C9" s="23"/>
      <c r="D9" s="23"/>
      <c r="E9" s="6" t="s">
        <v>16</v>
      </c>
      <c r="F9" s="16">
        <f>(LN(0.75^$F6/(1-0.75^$F6))-LN(0.25^$F6/(1-0.25^$F6)))/$F5</f>
        <v>30.26863683862706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45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2</v>
      </c>
      <c r="C14" s="2">
        <v>0</v>
      </c>
      <c r="D14" s="2">
        <f t="shared" ref="D14:D38" si="0">+C14+B14</f>
        <v>2</v>
      </c>
      <c r="E14" s="8">
        <f t="shared" ref="E14:E38" si="1">+B14/(C14+B14)</f>
        <v>1</v>
      </c>
      <c r="F14" s="8">
        <f>(EXP($F$4+$F$5*A14)/(1+EXP($F$4+$F$5*A14)))^(1/$F$6)</f>
        <v>6.1205852335960084E-3</v>
      </c>
      <c r="G14" s="8"/>
      <c r="H14" s="8">
        <f t="shared" ref="H14:H38" si="2">COMBIN(D14,B14)*(F14^B14)*((1-F14)^C14)</f>
        <v>3.7461563601713503E-5</v>
      </c>
      <c r="I14" s="8">
        <f t="shared" ref="I14:I38" si="3">LN(H14)</f>
        <v>-10.192195121250478</v>
      </c>
      <c r="J14" s="2"/>
    </row>
    <row r="15" spans="1:10" ht="15.5">
      <c r="A15" s="2">
        <v>17.5</v>
      </c>
      <c r="B15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(EXP($F$4+$F$5*A15)/(1+EXP($F$4+$F$5*A15)))^(1/$F$6)</f>
        <v>7.9414689888000801E-3</v>
      </c>
      <c r="G15" s="8"/>
      <c r="H15" s="8">
        <f t="shared" si="2"/>
        <v>0.91603118106233805</v>
      </c>
      <c r="I15" s="8">
        <f t="shared" si="3"/>
        <v>-8.7704874426302384E-2</v>
      </c>
      <c r="J15" s="2"/>
    </row>
    <row r="16" spans="1:10" ht="15.5">
      <c r="A16" s="2">
        <v>22.5</v>
      </c>
      <c r="B16">
        <v>0</v>
      </c>
      <c r="C16" s="2">
        <v>43</v>
      </c>
      <c r="D16" s="2">
        <f t="shared" si="0"/>
        <v>43</v>
      </c>
      <c r="E16" s="8">
        <f t="shared" si="1"/>
        <v>0</v>
      </c>
      <c r="F16" s="8">
        <f t="shared" si="4"/>
        <v>1.0303802608641213E-2</v>
      </c>
      <c r="G16" s="8"/>
      <c r="H16" s="8">
        <f t="shared" si="2"/>
        <v>0.64059238215633918</v>
      </c>
      <c r="I16" s="8">
        <f t="shared" si="3"/>
        <v>-0.44536193361000759</v>
      </c>
      <c r="J16" s="2"/>
    </row>
    <row r="17" spans="1:10" ht="15.5">
      <c r="A17" s="2">
        <v>27.5</v>
      </c>
      <c r="B17">
        <v>0</v>
      </c>
      <c r="C17" s="2">
        <v>54</v>
      </c>
      <c r="D17" s="2">
        <f t="shared" si="0"/>
        <v>54</v>
      </c>
      <c r="E17" s="8">
        <f t="shared" si="1"/>
        <v>0</v>
      </c>
      <c r="F17" s="8">
        <f t="shared" si="4"/>
        <v>1.3368311354429282E-2</v>
      </c>
      <c r="G17" s="8"/>
      <c r="H17" s="8">
        <f t="shared" si="2"/>
        <v>0.48347413082103557</v>
      </c>
      <c r="I17" s="8">
        <f t="shared" si="3"/>
        <v>-0.72675746950976272</v>
      </c>
      <c r="J17" s="2"/>
    </row>
    <row r="18" spans="1:10" ht="15.5">
      <c r="A18" s="2">
        <v>32.5</v>
      </c>
      <c r="B18">
        <v>0</v>
      </c>
      <c r="C18" s="2">
        <v>26</v>
      </c>
      <c r="D18" s="2">
        <f t="shared" si="0"/>
        <v>26</v>
      </c>
      <c r="E18" s="8">
        <f t="shared" si="1"/>
        <v>0</v>
      </c>
      <c r="F18" s="8">
        <f t="shared" si="4"/>
        <v>1.7343140355032E-2</v>
      </c>
      <c r="G18" s="8"/>
      <c r="H18" s="8">
        <f t="shared" si="2"/>
        <v>0.63452559462508229</v>
      </c>
      <c r="I18" s="8">
        <f t="shared" si="3"/>
        <v>-0.45487765438265942</v>
      </c>
      <c r="J18" s="2"/>
    </row>
    <row r="19" spans="1:10" ht="15.5">
      <c r="A19" s="2">
        <v>37.5</v>
      </c>
      <c r="B19">
        <v>0</v>
      </c>
      <c r="C19" s="2">
        <v>29</v>
      </c>
      <c r="D19" s="2">
        <f t="shared" si="0"/>
        <v>29</v>
      </c>
      <c r="E19" s="8">
        <f t="shared" si="1"/>
        <v>0</v>
      </c>
      <c r="F19" s="8">
        <f t="shared" si="4"/>
        <v>2.2497542174531714E-2</v>
      </c>
      <c r="G19" s="8"/>
      <c r="H19" s="8">
        <f t="shared" si="2"/>
        <v>0.51691351076239778</v>
      </c>
      <c r="I19" s="8">
        <f t="shared" si="3"/>
        <v>-0.65987970906331561</v>
      </c>
      <c r="J19" s="2"/>
    </row>
    <row r="20" spans="1:10" ht="15.5">
      <c r="A20" s="2">
        <v>42.5</v>
      </c>
      <c r="B20">
        <v>2</v>
      </c>
      <c r="C20" s="2">
        <v>46</v>
      </c>
      <c r="D20" s="2">
        <f t="shared" si="0"/>
        <v>48</v>
      </c>
      <c r="E20" s="8">
        <f t="shared" si="1"/>
        <v>4.1666666666666664E-2</v>
      </c>
      <c r="F20" s="8">
        <f t="shared" si="4"/>
        <v>2.9179198151759306E-2</v>
      </c>
      <c r="G20" s="8"/>
      <c r="H20" s="8">
        <f t="shared" si="2"/>
        <v>0.24595359986559601</v>
      </c>
      <c r="I20" s="8">
        <f t="shared" si="3"/>
        <v>-1.4026123792730045</v>
      </c>
      <c r="J20" s="2"/>
    </row>
    <row r="21" spans="1:10" ht="15.5">
      <c r="A21" s="2">
        <v>47.5</v>
      </c>
      <c r="B21">
        <v>1</v>
      </c>
      <c r="C21" s="2">
        <v>27</v>
      </c>
      <c r="D21" s="2">
        <f t="shared" si="0"/>
        <v>28</v>
      </c>
      <c r="E21" s="8">
        <f t="shared" si="1"/>
        <v>3.5714285714285712E-2</v>
      </c>
      <c r="F21" s="8">
        <f t="shared" si="4"/>
        <v>3.7835801910608917E-2</v>
      </c>
      <c r="G21" s="8"/>
      <c r="H21" s="8">
        <f t="shared" si="2"/>
        <v>0.37392902905697761</v>
      </c>
      <c r="I21" s="8">
        <f t="shared" si="3"/>
        <v>-0.98368926145440772</v>
      </c>
      <c r="J21" s="2"/>
    </row>
    <row r="22" spans="1:10" ht="15.5">
      <c r="A22" s="2">
        <v>52.5</v>
      </c>
      <c r="B22">
        <v>2</v>
      </c>
      <c r="C22" s="2">
        <v>11</v>
      </c>
      <c r="D22" s="2">
        <f t="shared" si="0"/>
        <v>13</v>
      </c>
      <c r="E22" s="8">
        <f t="shared" si="1"/>
        <v>0.15384615384615385</v>
      </c>
      <c r="F22" s="8">
        <f t="shared" si="4"/>
        <v>4.9041260627016289E-2</v>
      </c>
      <c r="G22" s="8"/>
      <c r="H22" s="8">
        <f t="shared" si="2"/>
        <v>0.10789374487495523</v>
      </c>
      <c r="I22" s="8">
        <f t="shared" si="3"/>
        <v>-2.2266083799002656</v>
      </c>
      <c r="J22" s="2"/>
    </row>
    <row r="23" spans="1:10" ht="15.5">
      <c r="A23" s="2">
        <v>57.5</v>
      </c>
      <c r="B23">
        <v>0</v>
      </c>
      <c r="C23" s="2">
        <v>17</v>
      </c>
      <c r="D23" s="2">
        <f t="shared" si="0"/>
        <v>17</v>
      </c>
      <c r="E23" s="8">
        <f t="shared" si="1"/>
        <v>0</v>
      </c>
      <c r="F23" s="8">
        <f t="shared" si="4"/>
        <v>6.3526064767463308E-2</v>
      </c>
      <c r="G23" s="8"/>
      <c r="H23" s="8">
        <f t="shared" si="2"/>
        <v>0.32766254610311241</v>
      </c>
      <c r="I23" s="8">
        <f t="shared" si="3"/>
        <v>-1.1157710230558682</v>
      </c>
      <c r="J23" s="2"/>
    </row>
    <row r="24" spans="1:10" ht="15.5">
      <c r="A24" s="2">
        <v>62.5</v>
      </c>
      <c r="B24">
        <v>6</v>
      </c>
      <c r="C24" s="2">
        <v>20</v>
      </c>
      <c r="D24" s="2">
        <f t="shared" si="0"/>
        <v>26</v>
      </c>
      <c r="E24" s="8">
        <f t="shared" si="1"/>
        <v>0.23076923076923078</v>
      </c>
      <c r="F24" s="8">
        <f t="shared" si="4"/>
        <v>8.2209474469909449E-2</v>
      </c>
      <c r="G24" s="8"/>
      <c r="H24" s="8">
        <f t="shared" si="2"/>
        <v>1.278099153776161E-2</v>
      </c>
      <c r="I24" s="8">
        <f t="shared" si="3"/>
        <v>-4.3597962479279504</v>
      </c>
      <c r="J24" s="2"/>
    </row>
    <row r="25" spans="1:10" ht="15.5">
      <c r="A25" s="2">
        <v>67.5</v>
      </c>
      <c r="B25">
        <v>9</v>
      </c>
      <c r="C25" s="2">
        <v>38</v>
      </c>
      <c r="D25" s="2">
        <f t="shared" si="0"/>
        <v>47</v>
      </c>
      <c r="E25" s="8">
        <f t="shared" si="1"/>
        <v>0.19148936170212766</v>
      </c>
      <c r="F25" s="8">
        <f t="shared" si="4"/>
        <v>0.10622714437073423</v>
      </c>
      <c r="G25" s="8"/>
      <c r="H25" s="8">
        <f t="shared" si="2"/>
        <v>3.2895441403136751E-2</v>
      </c>
      <c r="I25" s="8">
        <f t="shared" si="3"/>
        <v>-3.4144211899861947</v>
      </c>
      <c r="J25" s="2"/>
    </row>
    <row r="26" spans="1:10" ht="15.5">
      <c r="A26" s="2">
        <v>72.5</v>
      </c>
      <c r="B26">
        <v>9</v>
      </c>
      <c r="C26" s="2">
        <v>76</v>
      </c>
      <c r="D26" s="2">
        <f t="shared" si="0"/>
        <v>85</v>
      </c>
      <c r="E26" s="8">
        <f t="shared" si="1"/>
        <v>0.10588235294117647</v>
      </c>
      <c r="F26" s="8">
        <f t="shared" si="4"/>
        <v>0.13693999183376412</v>
      </c>
      <c r="G26" s="8"/>
      <c r="H26" s="8">
        <f t="shared" si="2"/>
        <v>9.6051178988367486E-2</v>
      </c>
      <c r="I26" s="8">
        <f t="shared" si="3"/>
        <v>-2.3428741151071688</v>
      </c>
      <c r="J26" s="2"/>
    </row>
    <row r="27" spans="1:10" ht="15.5">
      <c r="A27" s="2">
        <v>77.5</v>
      </c>
      <c r="B27">
        <v>14</v>
      </c>
      <c r="C27" s="2">
        <v>80</v>
      </c>
      <c r="D27" s="2">
        <f t="shared" si="0"/>
        <v>94</v>
      </c>
      <c r="E27" s="8">
        <f t="shared" si="1"/>
        <v>0.14893617021276595</v>
      </c>
      <c r="F27" s="8">
        <f t="shared" si="4"/>
        <v>0.175896377378814</v>
      </c>
      <c r="G27" s="8"/>
      <c r="H27" s="8">
        <f t="shared" si="2"/>
        <v>8.9821877367880901E-2</v>
      </c>
      <c r="I27" s="8">
        <f t="shared" si="3"/>
        <v>-2.4099267100949642</v>
      </c>
      <c r="J27" s="2"/>
    </row>
    <row r="28" spans="1:10" ht="15.5">
      <c r="A28" s="2">
        <v>82.5</v>
      </c>
      <c r="B28">
        <v>14</v>
      </c>
      <c r="C28" s="2">
        <v>96</v>
      </c>
      <c r="D28" s="2">
        <f t="shared" si="0"/>
        <v>110</v>
      </c>
      <c r="E28" s="8">
        <f t="shared" si="1"/>
        <v>0.12727272727272726</v>
      </c>
      <c r="F28" s="8">
        <f t="shared" si="4"/>
        <v>0.22469907578427525</v>
      </c>
      <c r="G28" s="8"/>
      <c r="H28" s="8">
        <f t="shared" si="2"/>
        <v>3.764485334728894E-3</v>
      </c>
      <c r="I28" s="8">
        <f t="shared" si="3"/>
        <v>-5.5821441243573675</v>
      </c>
      <c r="J28" s="2"/>
    </row>
    <row r="29" spans="1:10" ht="15.5">
      <c r="A29" s="2">
        <v>87.5</v>
      </c>
      <c r="B29">
        <v>30</v>
      </c>
      <c r="C29" s="2">
        <v>110</v>
      </c>
      <c r="D29" s="2">
        <f t="shared" si="0"/>
        <v>140</v>
      </c>
      <c r="E29" s="8">
        <f t="shared" si="1"/>
        <v>0.21428571428571427</v>
      </c>
      <c r="F29" s="8">
        <f t="shared" si="4"/>
        <v>0.28470700046681868</v>
      </c>
      <c r="G29" s="8"/>
      <c r="H29" s="8">
        <f t="shared" si="2"/>
        <v>1.3480743960481613E-2</v>
      </c>
      <c r="I29" s="8">
        <f t="shared" si="3"/>
        <v>-4.3064929850741782</v>
      </c>
      <c r="J29" s="2"/>
    </row>
    <row r="30" spans="1:10" ht="15.5">
      <c r="A30" s="2">
        <v>92.5</v>
      </c>
      <c r="B30">
        <v>61</v>
      </c>
      <c r="C30" s="2">
        <v>99</v>
      </c>
      <c r="D30" s="2">
        <f t="shared" si="0"/>
        <v>160</v>
      </c>
      <c r="E30" s="8">
        <f t="shared" si="1"/>
        <v>0.38124999999999998</v>
      </c>
      <c r="F30" s="8">
        <f t="shared" si="4"/>
        <v>0.35650457015441811</v>
      </c>
      <c r="G30" s="8"/>
      <c r="H30" s="8">
        <f t="shared" si="2"/>
        <v>5.2471117994160835E-2</v>
      </c>
      <c r="I30" s="8">
        <f t="shared" si="3"/>
        <v>-2.9474923942080395</v>
      </c>
      <c r="J30" s="2"/>
    </row>
    <row r="31" spans="1:10" ht="15.5">
      <c r="A31" s="2">
        <v>97.5</v>
      </c>
      <c r="B31">
        <v>101</v>
      </c>
      <c r="C31" s="2">
        <v>109</v>
      </c>
      <c r="D31" s="2">
        <f t="shared" si="0"/>
        <v>210</v>
      </c>
      <c r="E31" s="8">
        <f t="shared" si="1"/>
        <v>0.48095238095238096</v>
      </c>
      <c r="F31" s="8">
        <f t="shared" si="4"/>
        <v>0.43915690935523033</v>
      </c>
      <c r="G31" s="8"/>
      <c r="H31" s="8">
        <f t="shared" si="2"/>
        <v>2.6244246178890797E-2</v>
      </c>
      <c r="I31" s="8">
        <f t="shared" si="3"/>
        <v>-3.6403085071559542</v>
      </c>
      <c r="J31" s="2"/>
    </row>
    <row r="32" spans="1:10" ht="15.5">
      <c r="A32" s="2">
        <v>102.5</v>
      </c>
      <c r="B32">
        <v>101</v>
      </c>
      <c r="C32" s="2">
        <v>77</v>
      </c>
      <c r="D32" s="2">
        <f t="shared" si="0"/>
        <v>178</v>
      </c>
      <c r="E32" s="8">
        <f t="shared" si="1"/>
        <v>0.56741573033707871</v>
      </c>
      <c r="F32" s="8">
        <f t="shared" si="4"/>
        <v>0.52950009419649358</v>
      </c>
      <c r="G32" s="2"/>
      <c r="H32" s="8">
        <f t="shared" si="2"/>
        <v>3.5988162555879201E-2</v>
      </c>
      <c r="I32" s="8">
        <f t="shared" si="3"/>
        <v>-3.3245652124907283</v>
      </c>
      <c r="J32" s="2"/>
    </row>
    <row r="33" spans="1:10" ht="15.5">
      <c r="A33" s="2">
        <v>107.5</v>
      </c>
      <c r="B33">
        <v>57</v>
      </c>
      <c r="C33" s="2">
        <v>31</v>
      </c>
      <c r="D33" s="2">
        <f t="shared" si="0"/>
        <v>88</v>
      </c>
      <c r="E33" s="8">
        <f t="shared" si="1"/>
        <v>0.64772727272727271</v>
      </c>
      <c r="F33" s="8">
        <f t="shared" si="4"/>
        <v>0.62202064565821702</v>
      </c>
      <c r="G33" s="20"/>
      <c r="H33" s="8">
        <f t="shared" si="2"/>
        <v>7.8328884019117237E-2</v>
      </c>
      <c r="I33" s="8">
        <f t="shared" si="3"/>
        <v>-2.546838854875205</v>
      </c>
      <c r="J33" s="2"/>
    </row>
    <row r="34" spans="1:10" ht="15.5">
      <c r="A34" s="2">
        <v>112.5</v>
      </c>
      <c r="B34">
        <v>10</v>
      </c>
      <c r="C34" s="2">
        <v>6</v>
      </c>
      <c r="D34" s="2">
        <f t="shared" si="0"/>
        <v>16</v>
      </c>
      <c r="E34" s="8">
        <f t="shared" si="1"/>
        <v>0.625</v>
      </c>
      <c r="F34" s="8">
        <f t="shared" si="4"/>
        <v>0.70987691533817521</v>
      </c>
      <c r="G34" s="20"/>
      <c r="H34" s="8">
        <f t="shared" si="2"/>
        <v>0.15518449142499979</v>
      </c>
      <c r="I34" s="8">
        <f t="shared" si="3"/>
        <v>-1.8631406026113031</v>
      </c>
      <c r="J34" s="2"/>
    </row>
    <row r="35" spans="1:10" ht="15.5">
      <c r="A35" s="2">
        <v>117.5</v>
      </c>
      <c r="B35">
        <v>4</v>
      </c>
      <c r="C35" s="2">
        <v>3</v>
      </c>
      <c r="D35" s="2">
        <f t="shared" si="0"/>
        <v>7</v>
      </c>
      <c r="E35" s="8">
        <f t="shared" si="1"/>
        <v>0.5714285714285714</v>
      </c>
      <c r="F35" s="8">
        <f t="shared" si="4"/>
        <v>0.7869013078680096</v>
      </c>
      <c r="G35" s="20"/>
      <c r="H35" s="8">
        <f t="shared" si="2"/>
        <v>0.12986480440294221</v>
      </c>
      <c r="I35" s="8">
        <f t="shared" si="3"/>
        <v>-2.0412613357977563</v>
      </c>
      <c r="J35" s="2"/>
    </row>
    <row r="36" spans="1:10" ht="15.5">
      <c r="A36" s="2">
        <v>122.5</v>
      </c>
      <c r="B36">
        <v>2</v>
      </c>
      <c r="C36" s="2">
        <v>3</v>
      </c>
      <c r="D36" s="2">
        <f t="shared" si="0"/>
        <v>5</v>
      </c>
      <c r="E36" s="8">
        <f t="shared" si="1"/>
        <v>0.4</v>
      </c>
      <c r="F36" s="8">
        <f t="shared" si="4"/>
        <v>0.84944993498856136</v>
      </c>
      <c r="G36" s="20"/>
      <c r="H36" s="8">
        <f t="shared" si="2"/>
        <v>2.4621721637316504E-2</v>
      </c>
      <c r="I36" s="8">
        <f t="shared" si="3"/>
        <v>-3.7041262322662991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0.89695588953778027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1</v>
      </c>
      <c r="C38" s="2">
        <v>0</v>
      </c>
      <c r="D38" s="2">
        <f t="shared" si="0"/>
        <v>1</v>
      </c>
      <c r="E38" s="8">
        <f t="shared" si="1"/>
        <v>1</v>
      </c>
      <c r="F38" s="8">
        <f t="shared" si="4"/>
        <v>0.93114734973337043</v>
      </c>
      <c r="G38" s="2"/>
      <c r="H38" s="8">
        <f t="shared" si="2"/>
        <v>0.93114734973337043</v>
      </c>
      <c r="I38" s="8">
        <f t="shared" si="3"/>
        <v>-7.1337743838205611E-2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50" zoomScaleNormal="50" workbookViewId="0">
      <selection activeCell="L23" sqref="L23"/>
    </sheetView>
  </sheetViews>
  <sheetFormatPr defaultRowHeight="14.5"/>
  <sheetData>
    <row r="1" spans="1:10" ht="20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ht="20">
      <c r="B2" s="1" t="s">
        <v>37</v>
      </c>
      <c r="C2" s="2"/>
      <c r="D2" s="2"/>
      <c r="G2" s="2"/>
      <c r="H2" s="3"/>
      <c r="I2" s="27" t="s">
        <v>38</v>
      </c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-7.6776230499320466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7.9041206908251921E-2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13"/>
      <c r="C6" s="13"/>
      <c r="D6" s="13"/>
      <c r="E6" s="6" t="s">
        <v>39</v>
      </c>
      <c r="F6" s="24">
        <v>1.0727221658405384</v>
      </c>
      <c r="G6" s="2"/>
      <c r="H6" s="9"/>
      <c r="I6" s="2"/>
      <c r="J6" s="2" t="s">
        <v>13</v>
      </c>
    </row>
    <row r="7" spans="1:10" ht="16.5" thickTop="1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13"/>
      <c r="B8" s="13"/>
      <c r="C8" s="13"/>
      <c r="D8" s="13"/>
      <c r="E8" s="6" t="s">
        <v>7</v>
      </c>
      <c r="F8" s="2">
        <f>-F4/F5</f>
        <v>97.134435951160825</v>
      </c>
      <c r="G8" s="2"/>
      <c r="H8" s="14" t="e">
        <f>SUM(I14:I38)</f>
        <v>#NUM!</v>
      </c>
      <c r="I8" s="2"/>
      <c r="J8" s="2" t="e">
        <f>-2*H8+2*3</f>
        <v>#NUM!</v>
      </c>
    </row>
    <row r="9" spans="1:10" ht="16" thickTop="1">
      <c r="A9" s="13"/>
      <c r="B9" s="13"/>
      <c r="C9" s="13"/>
      <c r="D9" s="13"/>
      <c r="E9" s="6" t="s">
        <v>16</v>
      </c>
      <c r="F9" s="16">
        <f>2*LN(3)/F5</f>
        <v>27.798469472849469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45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2</v>
      </c>
      <c r="C14" s="2">
        <v>0</v>
      </c>
      <c r="D14" s="2">
        <f t="shared" ref="D14:D38" si="0">+C14+B14</f>
        <v>2</v>
      </c>
      <c r="E14" s="8">
        <f t="shared" ref="E14:E38" si="1">+B14/(C14+B14)</f>
        <v>1</v>
      </c>
      <c r="F14" s="8">
        <f>$F$6*EXP($F$4+$F$5*A14)/(1+EXP($F$4+$F$5*A14))+1-$F$6</f>
        <v>-7.1389603292971504E-2</v>
      </c>
      <c r="G14" s="8"/>
      <c r="H14" s="8">
        <f t="shared" ref="H14:H38" si="2">COMBIN(D14,B14)*(F14^B14)*((1-F14)^C14)</f>
        <v>5.0964754583278475E-3</v>
      </c>
      <c r="I14" s="8">
        <f t="shared" ref="I14:I38" si="3">LN(H14)</f>
        <v>-5.2792060647646641</v>
      </c>
      <c r="J14" s="2"/>
    </row>
    <row r="15" spans="1:10" ht="15.5">
      <c r="A15" s="2">
        <v>17.5</v>
      </c>
      <c r="B15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$F$6*EXP($F$4+$F$5*A15)/(1+EXP($F$4+$F$5*A15))+1-$F$6</f>
        <v>-7.0744913967967893E-2</v>
      </c>
      <c r="G15" s="8"/>
      <c r="H15" s="8">
        <f t="shared" si="2"/>
        <v>2.1210271219373187</v>
      </c>
      <c r="I15" s="8">
        <f t="shared" si="3"/>
        <v>0.75190046283568612</v>
      </c>
      <c r="J15" s="2"/>
    </row>
    <row r="16" spans="1:10" ht="15.5">
      <c r="A16" s="2">
        <v>22.5</v>
      </c>
      <c r="B16">
        <v>0</v>
      </c>
      <c r="C16" s="2">
        <v>43</v>
      </c>
      <c r="D16" s="2">
        <f t="shared" si="0"/>
        <v>43</v>
      </c>
      <c r="E16" s="8">
        <f t="shared" si="1"/>
        <v>0</v>
      </c>
      <c r="F16" s="8">
        <f t="shared" si="4"/>
        <v>-6.9789179932246759E-2</v>
      </c>
      <c r="G16" s="8"/>
      <c r="H16" s="8">
        <f t="shared" si="2"/>
        <v>18.18957888404702</v>
      </c>
      <c r="I16" s="8">
        <f t="shared" si="3"/>
        <v>2.9008488413025613</v>
      </c>
      <c r="J16" s="2"/>
    </row>
    <row r="17" spans="1:10" ht="15.5">
      <c r="A17" s="2">
        <v>27.5</v>
      </c>
      <c r="B17">
        <v>0</v>
      </c>
      <c r="C17" s="2">
        <v>54</v>
      </c>
      <c r="D17" s="2">
        <f t="shared" si="0"/>
        <v>54</v>
      </c>
      <c r="E17" s="8">
        <f t="shared" si="1"/>
        <v>0</v>
      </c>
      <c r="F17" s="8">
        <f t="shared" si="4"/>
        <v>-6.8373353942882797E-2</v>
      </c>
      <c r="G17" s="8"/>
      <c r="H17" s="8">
        <f t="shared" si="2"/>
        <v>35.566782867446236</v>
      </c>
      <c r="I17" s="8">
        <f t="shared" si="3"/>
        <v>3.5714121367602094</v>
      </c>
      <c r="J17" s="2"/>
    </row>
    <row r="18" spans="1:10" ht="15.5">
      <c r="A18" s="2">
        <v>32.5</v>
      </c>
      <c r="B18">
        <v>0</v>
      </c>
      <c r="C18" s="2">
        <v>26</v>
      </c>
      <c r="D18" s="2">
        <f t="shared" si="0"/>
        <v>26</v>
      </c>
      <c r="E18" s="8">
        <f t="shared" si="1"/>
        <v>0</v>
      </c>
      <c r="F18" s="8">
        <f t="shared" si="4"/>
        <v>-6.6278190029926076E-2</v>
      </c>
      <c r="G18" s="8"/>
      <c r="H18" s="8">
        <f t="shared" si="2"/>
        <v>5.3043683965041639</v>
      </c>
      <c r="I18" s="8">
        <f t="shared" si="3"/>
        <v>1.6685307068260609</v>
      </c>
      <c r="J18" s="2"/>
    </row>
    <row r="19" spans="1:10" ht="15.5">
      <c r="A19" s="2">
        <v>37.5</v>
      </c>
      <c r="B19">
        <v>0</v>
      </c>
      <c r="C19" s="2">
        <v>29</v>
      </c>
      <c r="D19" s="2">
        <f t="shared" si="0"/>
        <v>29</v>
      </c>
      <c r="E19" s="8">
        <f t="shared" si="1"/>
        <v>0</v>
      </c>
      <c r="F19" s="8">
        <f t="shared" si="4"/>
        <v>-6.3182634267130666E-2</v>
      </c>
      <c r="G19" s="8"/>
      <c r="H19" s="8">
        <f t="shared" si="2"/>
        <v>5.9105562665879781</v>
      </c>
      <c r="I19" s="8">
        <f t="shared" si="3"/>
        <v>1.7767399499308489</v>
      </c>
      <c r="J19" s="2"/>
    </row>
    <row r="20" spans="1:10" ht="15.5">
      <c r="A20" s="2">
        <v>42.5</v>
      </c>
      <c r="B20">
        <v>2</v>
      </c>
      <c r="C20" s="2">
        <v>46</v>
      </c>
      <c r="D20" s="2">
        <f t="shared" si="0"/>
        <v>48</v>
      </c>
      <c r="E20" s="8">
        <f t="shared" si="1"/>
        <v>4.1666666666666664E-2</v>
      </c>
      <c r="F20" s="8">
        <f t="shared" si="4"/>
        <v>-5.8619703507073906E-2</v>
      </c>
      <c r="G20" s="8"/>
      <c r="H20" s="8">
        <f t="shared" si="2"/>
        <v>53.264161340250865</v>
      </c>
      <c r="I20" s="8">
        <f t="shared" si="3"/>
        <v>3.975263709895573</v>
      </c>
      <c r="J20" s="2"/>
    </row>
    <row r="21" spans="1:10" ht="15.5">
      <c r="A21" s="2">
        <v>47.5</v>
      </c>
      <c r="B21">
        <v>1</v>
      </c>
      <c r="C21" s="2">
        <v>27</v>
      </c>
      <c r="D21" s="2">
        <f t="shared" si="0"/>
        <v>28</v>
      </c>
      <c r="E21" s="8">
        <f t="shared" si="1"/>
        <v>3.5714285714285712E-2</v>
      </c>
      <c r="F21" s="8">
        <f t="shared" si="4"/>
        <v>-5.1916949863550332E-2</v>
      </c>
      <c r="G21" s="8"/>
      <c r="H21" s="8">
        <f t="shared" si="2"/>
        <v>-5.7012020722953949</v>
      </c>
      <c r="I21" s="8" t="e">
        <f t="shared" si="3"/>
        <v>#NUM!</v>
      </c>
      <c r="J21" s="2"/>
    </row>
    <row r="22" spans="1:10" ht="15.5">
      <c r="A22" s="2">
        <v>52.5</v>
      </c>
      <c r="B22">
        <v>2</v>
      </c>
      <c r="C22" s="2">
        <v>11</v>
      </c>
      <c r="D22" s="2">
        <f t="shared" si="0"/>
        <v>13</v>
      </c>
      <c r="E22" s="8">
        <f t="shared" si="1"/>
        <v>0.15384615384615385</v>
      </c>
      <c r="F22" s="8">
        <f t="shared" si="4"/>
        <v>-4.2120537914081435E-2</v>
      </c>
      <c r="G22" s="8"/>
      <c r="H22" s="8">
        <f t="shared" si="2"/>
        <v>0.21786121688901458</v>
      </c>
      <c r="I22" s="8">
        <f t="shared" si="3"/>
        <v>-1.5238970386966249</v>
      </c>
      <c r="J22" s="2"/>
    </row>
    <row r="23" spans="1:10" ht="15.5">
      <c r="A23" s="2">
        <v>57.5</v>
      </c>
      <c r="B23">
        <v>0</v>
      </c>
      <c r="C23" s="2">
        <v>17</v>
      </c>
      <c r="D23" s="2">
        <f t="shared" si="0"/>
        <v>17</v>
      </c>
      <c r="E23" s="8">
        <f t="shared" si="1"/>
        <v>0</v>
      </c>
      <c r="F23" s="8">
        <f t="shared" si="4"/>
        <v>-2.7907871006256357E-2</v>
      </c>
      <c r="G23" s="8"/>
      <c r="H23" s="8">
        <f t="shared" si="2"/>
        <v>1.5966923965014619</v>
      </c>
      <c r="I23" s="8">
        <f t="shared" si="3"/>
        <v>0.4679342373439519</v>
      </c>
      <c r="J23" s="2"/>
    </row>
    <row r="24" spans="1:10" ht="15.5">
      <c r="A24" s="2">
        <v>62.5</v>
      </c>
      <c r="B24">
        <v>6</v>
      </c>
      <c r="C24" s="2">
        <v>20</v>
      </c>
      <c r="D24" s="2">
        <f t="shared" si="0"/>
        <v>26</v>
      </c>
      <c r="E24" s="8">
        <f t="shared" si="1"/>
        <v>0.23076923076923078</v>
      </c>
      <c r="F24" s="8">
        <f t="shared" si="4"/>
        <v>-7.5073321776104596E-3</v>
      </c>
      <c r="G24" s="8"/>
      <c r="H24" s="8">
        <f t="shared" si="2"/>
        <v>4.7867419685542125E-8</v>
      </c>
      <c r="I24" s="8">
        <f t="shared" si="3"/>
        <v>-16.85483073753203</v>
      </c>
      <c r="J24" s="2"/>
    </row>
    <row r="25" spans="1:10" ht="15.5">
      <c r="A25" s="2">
        <v>67.5</v>
      </c>
      <c r="B25">
        <v>9</v>
      </c>
      <c r="C25" s="2">
        <v>38</v>
      </c>
      <c r="D25" s="2">
        <f t="shared" si="0"/>
        <v>47</v>
      </c>
      <c r="E25" s="8">
        <f t="shared" si="1"/>
        <v>0.19148936170212766</v>
      </c>
      <c r="F25" s="8">
        <f t="shared" si="4"/>
        <v>2.1330286535961918E-2</v>
      </c>
      <c r="G25" s="8"/>
      <c r="H25" s="8">
        <f t="shared" si="2"/>
        <v>5.4894381887769212E-7</v>
      </c>
      <c r="I25" s="8">
        <f t="shared" si="3"/>
        <v>-14.415269734229433</v>
      </c>
      <c r="J25" s="2"/>
    </row>
    <row r="26" spans="1:10" ht="15.5">
      <c r="A26" s="2">
        <v>72.5</v>
      </c>
      <c r="B26">
        <v>9</v>
      </c>
      <c r="C26" s="2">
        <v>76</v>
      </c>
      <c r="D26" s="2">
        <f t="shared" si="0"/>
        <v>85</v>
      </c>
      <c r="E26" s="8">
        <f t="shared" si="1"/>
        <v>0.10588235294117647</v>
      </c>
      <c r="F26" s="8">
        <f t="shared" si="4"/>
        <v>6.122439600146623E-2</v>
      </c>
      <c r="G26" s="8"/>
      <c r="H26" s="8">
        <f t="shared" si="2"/>
        <v>4.0891360127609598E-2</v>
      </c>
      <c r="I26" s="8">
        <f t="shared" si="3"/>
        <v>-3.1968364820722264</v>
      </c>
      <c r="J26" s="2"/>
    </row>
    <row r="27" spans="1:10" ht="15.5">
      <c r="A27" s="2">
        <v>77.5</v>
      </c>
      <c r="B27">
        <v>14</v>
      </c>
      <c r="C27" s="2">
        <v>80</v>
      </c>
      <c r="D27" s="2">
        <f t="shared" si="0"/>
        <v>94</v>
      </c>
      <c r="E27" s="8">
        <f t="shared" si="1"/>
        <v>0.14893617021276595</v>
      </c>
      <c r="F27" s="8">
        <f t="shared" si="4"/>
        <v>0.11479799415568581</v>
      </c>
      <c r="G27" s="8"/>
      <c r="H27" s="8">
        <f t="shared" si="2"/>
        <v>6.9776805475454298E-2</v>
      </c>
      <c r="I27" s="8">
        <f t="shared" si="3"/>
        <v>-2.6624536242162078</v>
      </c>
      <c r="J27" s="2"/>
    </row>
    <row r="28" spans="1:10" ht="15.5">
      <c r="A28" s="2">
        <v>82.5</v>
      </c>
      <c r="B28">
        <v>14</v>
      </c>
      <c r="C28" s="2">
        <v>96</v>
      </c>
      <c r="D28" s="2">
        <f t="shared" si="0"/>
        <v>110</v>
      </c>
      <c r="E28" s="8">
        <f t="shared" si="1"/>
        <v>0.12727272727272726</v>
      </c>
      <c r="F28" s="8">
        <f t="shared" si="4"/>
        <v>0.18394072464766009</v>
      </c>
      <c r="G28" s="8"/>
      <c r="H28" s="8">
        <f t="shared" si="2"/>
        <v>3.1254521877026098E-2</v>
      </c>
      <c r="I28" s="8">
        <f t="shared" si="3"/>
        <v>-3.4655912132029361</v>
      </c>
      <c r="J28" s="2"/>
    </row>
    <row r="29" spans="1:10" ht="15.5">
      <c r="A29" s="2">
        <v>87.5</v>
      </c>
      <c r="B29">
        <v>30</v>
      </c>
      <c r="C29" s="2">
        <v>110</v>
      </c>
      <c r="D29" s="2">
        <f t="shared" si="0"/>
        <v>140</v>
      </c>
      <c r="E29" s="8">
        <f t="shared" si="1"/>
        <v>0.21428571428571427</v>
      </c>
      <c r="F29" s="8">
        <f t="shared" si="4"/>
        <v>0.26874343185511318</v>
      </c>
      <c r="G29" s="8"/>
      <c r="H29" s="8">
        <f t="shared" si="2"/>
        <v>2.7060999077985256E-2</v>
      </c>
      <c r="I29" s="8">
        <f t="shared" si="3"/>
        <v>-3.6096617360790253</v>
      </c>
      <c r="J29" s="2"/>
    </row>
    <row r="30" spans="1:10" ht="15.5">
      <c r="A30" s="2">
        <v>92.5</v>
      </c>
      <c r="B30">
        <v>61</v>
      </c>
      <c r="C30" s="2">
        <v>99</v>
      </c>
      <c r="D30" s="2">
        <f t="shared" si="0"/>
        <v>160</v>
      </c>
      <c r="E30" s="8">
        <f t="shared" si="1"/>
        <v>0.38124999999999998</v>
      </c>
      <c r="F30" s="8">
        <f t="shared" si="4"/>
        <v>0.36648527515541862</v>
      </c>
      <c r="G30" s="8"/>
      <c r="H30" s="8">
        <f t="shared" si="2"/>
        <v>6.016042379496931E-2</v>
      </c>
      <c r="I30" s="8">
        <f t="shared" si="3"/>
        <v>-2.8107405549011144</v>
      </c>
      <c r="J30" s="2"/>
    </row>
    <row r="31" spans="1:10" ht="15.5">
      <c r="A31" s="2">
        <v>97.5</v>
      </c>
      <c r="B31">
        <v>101</v>
      </c>
      <c r="C31" s="2">
        <v>109</v>
      </c>
      <c r="D31" s="2">
        <f t="shared" si="0"/>
        <v>210</v>
      </c>
      <c r="E31" s="8">
        <f t="shared" si="1"/>
        <v>0.48095238095238096</v>
      </c>
      <c r="F31" s="8">
        <f t="shared" si="4"/>
        <v>0.47138735379858909</v>
      </c>
      <c r="G31" s="8"/>
      <c r="H31" s="8">
        <f t="shared" si="2"/>
        <v>5.2953673002519026E-2</v>
      </c>
      <c r="I31" s="8">
        <f t="shared" si="3"/>
        <v>-2.9383378419652852</v>
      </c>
      <c r="J31" s="2"/>
    </row>
    <row r="32" spans="1:10" ht="15.5">
      <c r="A32" s="2">
        <v>102.5</v>
      </c>
      <c r="B32">
        <v>101</v>
      </c>
      <c r="C32" s="2">
        <v>77</v>
      </c>
      <c r="D32" s="2">
        <f t="shared" si="0"/>
        <v>178</v>
      </c>
      <c r="E32" s="8">
        <f t="shared" si="1"/>
        <v>0.56741573033707871</v>
      </c>
      <c r="F32" s="8">
        <f t="shared" si="4"/>
        <v>0.57569985525954515</v>
      </c>
      <c r="G32" s="2"/>
      <c r="H32" s="8">
        <f t="shared" si="2"/>
        <v>5.8782468412115534E-2</v>
      </c>
      <c r="I32" s="8">
        <f t="shared" si="3"/>
        <v>-2.8339116247915079</v>
      </c>
      <c r="J32" s="2"/>
    </row>
    <row r="33" spans="1:10" ht="15.5">
      <c r="A33" s="2">
        <v>107.5</v>
      </c>
      <c r="B33">
        <v>57</v>
      </c>
      <c r="C33" s="2">
        <v>31</v>
      </c>
      <c r="D33" s="2">
        <f t="shared" si="0"/>
        <v>88</v>
      </c>
      <c r="E33" s="8">
        <f t="shared" si="1"/>
        <v>0.64772727272727271</v>
      </c>
      <c r="F33" s="8">
        <f t="shared" si="4"/>
        <v>0.67184265085990624</v>
      </c>
      <c r="G33" s="20"/>
      <c r="H33" s="8">
        <f t="shared" si="2"/>
        <v>7.9128991379197017E-2</v>
      </c>
      <c r="I33" s="8">
        <f t="shared" si="3"/>
        <v>-2.5366759558191569</v>
      </c>
      <c r="J33" s="2"/>
    </row>
    <row r="34" spans="1:10" ht="15.5">
      <c r="A34" s="2">
        <v>112.5</v>
      </c>
      <c r="B34">
        <v>10</v>
      </c>
      <c r="C34" s="2">
        <v>6</v>
      </c>
      <c r="D34" s="2">
        <f t="shared" si="0"/>
        <v>16</v>
      </c>
      <c r="E34" s="8">
        <f t="shared" si="1"/>
        <v>0.625</v>
      </c>
      <c r="F34" s="8">
        <f t="shared" si="4"/>
        <v>0.75445008808011638</v>
      </c>
      <c r="G34" s="20"/>
      <c r="H34" s="8">
        <f t="shared" si="2"/>
        <v>0.10487401535687627</v>
      </c>
      <c r="I34" s="8">
        <f t="shared" si="3"/>
        <v>-2.2549955029694608</v>
      </c>
      <c r="J34" s="2"/>
    </row>
    <row r="35" spans="1:10" ht="15.5">
      <c r="A35" s="2">
        <v>117.5</v>
      </c>
      <c r="B35">
        <v>4</v>
      </c>
      <c r="C35" s="2">
        <v>3</v>
      </c>
      <c r="D35" s="2">
        <f t="shared" si="0"/>
        <v>7</v>
      </c>
      <c r="E35" s="8">
        <f t="shared" si="1"/>
        <v>0.5714285714285714</v>
      </c>
      <c r="F35" s="8">
        <f t="shared" si="4"/>
        <v>0.82125481196035932</v>
      </c>
      <c r="G35" s="20"/>
      <c r="H35" s="8">
        <f t="shared" si="2"/>
        <v>9.0924899669904205E-2</v>
      </c>
      <c r="I35" s="8">
        <f t="shared" si="3"/>
        <v>-2.3977213915476452</v>
      </c>
      <c r="J35" s="2"/>
    </row>
    <row r="36" spans="1:10" ht="15.5">
      <c r="A36" s="2">
        <v>122.5</v>
      </c>
      <c r="B36">
        <v>2</v>
      </c>
      <c r="C36" s="2">
        <v>3</v>
      </c>
      <c r="D36" s="2">
        <f t="shared" si="0"/>
        <v>5</v>
      </c>
      <c r="E36" s="8">
        <f t="shared" si="1"/>
        <v>0.4</v>
      </c>
      <c r="F36" s="8">
        <f t="shared" si="4"/>
        <v>0.87268201855758765</v>
      </c>
      <c r="G36" s="20"/>
      <c r="H36" s="8">
        <f t="shared" si="2"/>
        <v>1.5717421085604272E-2</v>
      </c>
      <c r="I36" s="8">
        <f t="shared" si="3"/>
        <v>-4.1529855585178632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0.91078950631576916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1</v>
      </c>
      <c r="C38" s="2">
        <v>0</v>
      </c>
      <c r="D38" s="2">
        <f t="shared" si="0"/>
        <v>1</v>
      </c>
      <c r="E38" s="8">
        <f t="shared" si="1"/>
        <v>1</v>
      </c>
      <c r="F38" s="8">
        <f t="shared" si="4"/>
        <v>0.93823621517627842</v>
      </c>
      <c r="G38" s="2"/>
      <c r="H38" s="8">
        <f t="shared" si="2"/>
        <v>0.93823621517627842</v>
      </c>
      <c r="I38" s="8">
        <f t="shared" si="3"/>
        <v>-6.375353313325921E-2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zoomScale="60" zoomScaleNormal="60" workbookViewId="0">
      <selection activeCell="T23" sqref="T23"/>
    </sheetView>
  </sheetViews>
  <sheetFormatPr defaultRowHeight="14.5"/>
  <cols>
    <col min="5" max="5" width="21.453125" bestFit="1" customWidth="1"/>
    <col min="6" max="6" width="16.7265625" bestFit="1" customWidth="1"/>
    <col min="8" max="8" width="23.7265625" bestFit="1" customWidth="1"/>
  </cols>
  <sheetData>
    <row r="1" spans="1:1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ht="20">
      <c r="B2" s="1" t="s">
        <v>1</v>
      </c>
      <c r="C2" s="2"/>
      <c r="D2" s="2"/>
      <c r="G2" s="2"/>
      <c r="H2" s="3"/>
      <c r="I2" s="2"/>
      <c r="J2" s="2"/>
    </row>
    <row r="3" spans="1:11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1" ht="16" thickTop="1">
      <c r="A4" s="4" t="s">
        <v>5</v>
      </c>
      <c r="B4" s="5"/>
      <c r="C4" s="5"/>
      <c r="D4" s="5"/>
      <c r="E4" s="6" t="s">
        <v>6</v>
      </c>
      <c r="F4" s="7">
        <v>-3.0729569318495829</v>
      </c>
      <c r="G4" s="2"/>
      <c r="H4" s="8">
        <f>-J4*H5</f>
        <v>-8.1297309361440124</v>
      </c>
      <c r="I4" s="6" t="s">
        <v>7</v>
      </c>
      <c r="J4" s="9">
        <v>92.5</v>
      </c>
    </row>
    <row r="5" spans="1:11" ht="16" thickBot="1">
      <c r="A5" s="5" t="s">
        <v>8</v>
      </c>
      <c r="B5" s="5"/>
      <c r="C5" s="5"/>
      <c r="D5" s="5"/>
      <c r="E5" s="6" t="s">
        <v>9</v>
      </c>
      <c r="F5" s="10">
        <v>3.6737686069043894E-2</v>
      </c>
      <c r="G5" s="2"/>
      <c r="H5" s="8">
        <f>2*LN(3)/J5</f>
        <v>8.788898309344878E-2</v>
      </c>
      <c r="I5" s="6" t="s">
        <v>10</v>
      </c>
      <c r="J5" s="9">
        <v>25</v>
      </c>
      <c r="K5">
        <f>107-82</f>
        <v>25</v>
      </c>
    </row>
    <row r="6" spans="1:11" ht="109" thickTop="1">
      <c r="A6" s="11" t="s">
        <v>11</v>
      </c>
      <c r="B6" s="12" t="s">
        <v>12</v>
      </c>
      <c r="C6" s="12"/>
      <c r="D6" s="12"/>
      <c r="E6" s="6"/>
      <c r="F6" s="2"/>
      <c r="G6" s="2"/>
      <c r="H6" s="9"/>
      <c r="I6" s="2"/>
      <c r="J6" s="2" t="s">
        <v>13</v>
      </c>
    </row>
    <row r="7" spans="1:11" ht="16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1" ht="16.5" thickTop="1" thickBot="1">
      <c r="A8" s="13"/>
      <c r="B8" s="13"/>
      <c r="C8" s="13"/>
      <c r="D8" s="13"/>
      <c r="E8" s="6" t="s">
        <v>7</v>
      </c>
      <c r="F8" s="2">
        <f>-F4/F5</f>
        <v>83.645903176219207</v>
      </c>
      <c r="G8" s="2"/>
      <c r="H8" s="14">
        <f>SUM(I14:I38)</f>
        <v>-64.965342390221451</v>
      </c>
      <c r="I8" s="2"/>
      <c r="J8" s="2">
        <f>-2*H8+2*2</f>
        <v>133.9306847804429</v>
      </c>
    </row>
    <row r="9" spans="1:11" ht="16" thickTop="1">
      <c r="A9" s="15"/>
      <c r="B9" s="15"/>
      <c r="C9" s="15"/>
      <c r="D9" s="15"/>
      <c r="E9" s="6" t="s">
        <v>16</v>
      </c>
      <c r="F9" s="16">
        <f>2*LN(3)/F5</f>
        <v>59.808464071656836</v>
      </c>
      <c r="G9" s="2"/>
      <c r="H9" s="17"/>
      <c r="I9" s="2"/>
      <c r="J9" s="2"/>
    </row>
    <row r="10" spans="1:11" ht="15.5">
      <c r="A10" s="18"/>
      <c r="B10" s="19"/>
      <c r="C10" s="19"/>
      <c r="D10" s="19"/>
      <c r="E10" s="19"/>
      <c r="F10" s="19"/>
      <c r="G10" s="2"/>
      <c r="H10" s="17"/>
      <c r="I10" s="2"/>
      <c r="J10" s="2"/>
    </row>
    <row r="11" spans="1:11" ht="15.5">
      <c r="A11" s="19"/>
      <c r="B11" s="19"/>
      <c r="C11" s="19"/>
      <c r="D11" s="19"/>
      <c r="E11" s="19"/>
      <c r="F11" s="19"/>
      <c r="G11" s="2"/>
      <c r="H11" s="17"/>
      <c r="I11" s="16"/>
      <c r="J11" s="2"/>
    </row>
    <row r="12" spans="1:11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1" ht="15.5">
      <c r="A13" s="2" t="s">
        <v>22</v>
      </c>
      <c r="B13" t="s">
        <v>43</v>
      </c>
      <c r="C13" t="s">
        <v>24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1" ht="15.5">
      <c r="A14">
        <v>12.5</v>
      </c>
      <c r="B14">
        <v>0</v>
      </c>
      <c r="C14">
        <v>0</v>
      </c>
      <c r="D14" s="2">
        <f>+C14+B14</f>
        <v>0</v>
      </c>
      <c r="E14" s="8" t="e">
        <f t="shared" ref="E14:E38" si="0">+B14/(C14+B14)</f>
        <v>#DIV/0!</v>
      </c>
      <c r="F14" s="8">
        <f>EXP($F$4+$F$5*A14)/(1+EXP($F$4+$F$5*A14))</f>
        <v>6.825961880103773E-2</v>
      </c>
      <c r="G14" s="8"/>
      <c r="H14" s="8">
        <f>COMBIN(D14,B14)*(F14^B14)*((1-F14)^C14)</f>
        <v>1</v>
      </c>
      <c r="I14" s="8">
        <f>LN(H14)</f>
        <v>0</v>
      </c>
      <c r="J14" s="2"/>
    </row>
    <row r="15" spans="1:11" ht="15.5">
      <c r="A15">
        <v>17.5</v>
      </c>
      <c r="B15">
        <v>0</v>
      </c>
      <c r="C15">
        <v>11</v>
      </c>
      <c r="D15" s="2">
        <f>+C15+B15</f>
        <v>11</v>
      </c>
      <c r="E15" s="8">
        <f t="shared" si="0"/>
        <v>0</v>
      </c>
      <c r="F15" s="8">
        <f t="shared" ref="F15:F38" si="1">EXP($F$4+$F$5*A15)/(1+EXP($F$4+$F$5*A15))</f>
        <v>8.0909940407649594E-2</v>
      </c>
      <c r="G15" s="8"/>
      <c r="H15" s="8">
        <f>COMBIN(D15,B15)*(F15^B15)*((1-F15)^C15)</f>
        <v>0.39531087254174657</v>
      </c>
      <c r="I15" s="8">
        <f>LN(H15)</f>
        <v>-0.92808280452511516</v>
      </c>
      <c r="J15" s="2"/>
    </row>
    <row r="16" spans="1:11" ht="15.5">
      <c r="A16">
        <v>22.5</v>
      </c>
      <c r="B16">
        <v>1</v>
      </c>
      <c r="C16">
        <v>43</v>
      </c>
      <c r="D16" s="2">
        <f>+C16+B16</f>
        <v>44</v>
      </c>
      <c r="E16" s="8">
        <f t="shared" si="0"/>
        <v>2.2727272727272728E-2</v>
      </c>
      <c r="F16" s="8">
        <f t="shared" si="1"/>
        <v>9.5663993538997752E-2</v>
      </c>
      <c r="G16" s="8"/>
      <c r="H16" s="8">
        <f>COMBIN(D16,B16)*(F16^B16)*((1-F16)^C16)</f>
        <v>5.5767806465119127E-2</v>
      </c>
      <c r="I16" s="8">
        <f>LN(H16)</f>
        <v>-2.886558521161271</v>
      </c>
      <c r="J16" s="2"/>
    </row>
    <row r="17" spans="1:10" ht="15.5">
      <c r="A17">
        <v>27.5</v>
      </c>
      <c r="B17">
        <v>5</v>
      </c>
      <c r="C17">
        <v>54</v>
      </c>
      <c r="D17" s="2">
        <f>+C17+B17</f>
        <v>59</v>
      </c>
      <c r="E17" s="8">
        <f t="shared" si="0"/>
        <v>8.4745762711864403E-2</v>
      </c>
      <c r="F17" s="8">
        <f t="shared" si="1"/>
        <v>0.11277833853160192</v>
      </c>
      <c r="G17" s="8"/>
      <c r="H17" s="8">
        <f>COMBIN(D17,B17)*(F17^B17)*((1-F17)^C17)</f>
        <v>0.14268823497937091</v>
      </c>
      <c r="I17" s="8">
        <f t="shared" ref="I17:I38" si="2">LN(H17)</f>
        <v>-1.9470932037330129</v>
      </c>
      <c r="J17" s="2"/>
    </row>
    <row r="18" spans="1:10" ht="15.5">
      <c r="A18">
        <v>32.5</v>
      </c>
      <c r="B18">
        <v>3</v>
      </c>
      <c r="C18">
        <v>26</v>
      </c>
      <c r="D18" s="2">
        <f t="shared" ref="D18:D38" si="3">+C18+B18</f>
        <v>29</v>
      </c>
      <c r="E18" s="8">
        <f t="shared" si="0"/>
        <v>0.10344827586206896</v>
      </c>
      <c r="F18" s="8">
        <f t="shared" si="1"/>
        <v>0.13250583141080036</v>
      </c>
      <c r="G18" s="8"/>
      <c r="H18" s="8">
        <f t="shared" ref="H18:H38" si="4">COMBIN(D18,B18)*(F18^B18)*((1-F18)^C18)</f>
        <v>0.21105914942958653</v>
      </c>
      <c r="I18" s="8">
        <f t="shared" si="2"/>
        <v>-1.5556168557407439</v>
      </c>
      <c r="J18" s="2"/>
    </row>
    <row r="19" spans="1:10" ht="15.5">
      <c r="A19">
        <v>37.5</v>
      </c>
      <c r="B19">
        <v>8</v>
      </c>
      <c r="C19">
        <v>29</v>
      </c>
      <c r="D19" s="2">
        <f t="shared" si="3"/>
        <v>37</v>
      </c>
      <c r="E19" s="8">
        <f t="shared" si="0"/>
        <v>0.21621621621621623</v>
      </c>
      <c r="F19" s="8">
        <f t="shared" si="1"/>
        <v>0.15508093441213655</v>
      </c>
      <c r="G19" s="8"/>
      <c r="H19" s="8">
        <f t="shared" si="4"/>
        <v>9.7450258272124154E-2</v>
      </c>
      <c r="I19" s="8">
        <f t="shared" si="2"/>
        <v>-2.3284132027280857</v>
      </c>
      <c r="J19" s="2"/>
    </row>
    <row r="20" spans="1:10" ht="15.5">
      <c r="A20">
        <v>42.5</v>
      </c>
      <c r="B20">
        <v>4</v>
      </c>
      <c r="C20">
        <v>46</v>
      </c>
      <c r="D20" s="2">
        <f t="shared" si="3"/>
        <v>50</v>
      </c>
      <c r="E20" s="8">
        <f t="shared" si="0"/>
        <v>0.08</v>
      </c>
      <c r="F20" s="8">
        <f t="shared" si="1"/>
        <v>0.18070101348133796</v>
      </c>
      <c r="G20" s="8"/>
      <c r="H20" s="8">
        <f t="shared" si="4"/>
        <v>2.5614595530573499E-2</v>
      </c>
      <c r="I20" s="8">
        <f>LN(H20)</f>
        <v>-3.6645929520504636</v>
      </c>
      <c r="J20" s="2"/>
    </row>
    <row r="21" spans="1:10" ht="15.5">
      <c r="A21">
        <v>47.5</v>
      </c>
      <c r="B21">
        <v>5</v>
      </c>
      <c r="C21">
        <v>27</v>
      </c>
      <c r="D21" s="2">
        <f t="shared" si="3"/>
        <v>32</v>
      </c>
      <c r="E21" s="8">
        <f t="shared" si="0"/>
        <v>0.15625</v>
      </c>
      <c r="F21" s="8">
        <f t="shared" si="1"/>
        <v>0.20950415248230578</v>
      </c>
      <c r="G21" s="8"/>
      <c r="H21" s="8">
        <f t="shared" si="4"/>
        <v>0.14231802085360215</v>
      </c>
      <c r="I21" s="8">
        <f t="shared" si="2"/>
        <v>-1.949691142033771</v>
      </c>
      <c r="J21" s="2"/>
    </row>
    <row r="22" spans="1:10" ht="15.5">
      <c r="A22">
        <v>52.5</v>
      </c>
      <c r="B22">
        <v>2</v>
      </c>
      <c r="C22">
        <v>11</v>
      </c>
      <c r="D22" s="2">
        <f t="shared" si="3"/>
        <v>13</v>
      </c>
      <c r="E22" s="8">
        <f t="shared" si="0"/>
        <v>0.15384615384615385</v>
      </c>
      <c r="F22" s="8">
        <f t="shared" si="1"/>
        <v>0.24154486535561367</v>
      </c>
      <c r="G22" s="8"/>
      <c r="H22" s="8">
        <f t="shared" si="4"/>
        <v>0.21742980495118649</v>
      </c>
      <c r="I22" s="8">
        <f t="shared" si="2"/>
        <v>-1.5258792164004367</v>
      </c>
      <c r="J22" s="2"/>
    </row>
    <row r="23" spans="1:10" ht="15.5">
      <c r="A23">
        <v>57.5</v>
      </c>
      <c r="B23">
        <v>10</v>
      </c>
      <c r="C23">
        <v>17</v>
      </c>
      <c r="D23" s="2">
        <f t="shared" si="3"/>
        <v>27</v>
      </c>
      <c r="E23" s="8">
        <f t="shared" si="0"/>
        <v>0.37037037037037035</v>
      </c>
      <c r="F23" s="8">
        <f t="shared" si="1"/>
        <v>0.27677009433375682</v>
      </c>
      <c r="G23" s="8"/>
      <c r="H23" s="8">
        <f t="shared" si="4"/>
        <v>9.0165677915795175E-2</v>
      </c>
      <c r="I23" s="8">
        <f t="shared" si="2"/>
        <v>-2.4061064352375672</v>
      </c>
      <c r="J23" s="2"/>
    </row>
    <row r="24" spans="1:10" ht="15.5">
      <c r="A24">
        <v>62.5</v>
      </c>
      <c r="B24">
        <v>9</v>
      </c>
      <c r="C24">
        <v>20</v>
      </c>
      <c r="D24" s="2">
        <f t="shared" si="3"/>
        <v>29</v>
      </c>
      <c r="E24" s="8">
        <f t="shared" si="0"/>
        <v>0.31034482758620691</v>
      </c>
      <c r="F24" s="8">
        <f t="shared" si="1"/>
        <v>0.31499884493647751</v>
      </c>
      <c r="G24" s="8"/>
      <c r="H24" s="8">
        <f t="shared" si="4"/>
        <v>0.15821873147523977</v>
      </c>
      <c r="I24" s="8">
        <f t="shared" si="2"/>
        <v>-1.8437768268951782</v>
      </c>
      <c r="J24" s="2"/>
    </row>
    <row r="25" spans="1:10" ht="15.5">
      <c r="A25">
        <v>67.5</v>
      </c>
      <c r="B25">
        <v>35</v>
      </c>
      <c r="C25">
        <v>38</v>
      </c>
      <c r="D25" s="2">
        <f t="shared" si="3"/>
        <v>73</v>
      </c>
      <c r="E25" s="8">
        <f t="shared" si="0"/>
        <v>0.47945205479452052</v>
      </c>
      <c r="F25" s="8">
        <f t="shared" si="1"/>
        <v>0.35590941677317045</v>
      </c>
      <c r="G25" s="8"/>
      <c r="H25" s="8">
        <f t="shared" si="4"/>
        <v>9.00391677125696E-3</v>
      </c>
      <c r="I25" s="8">
        <f t="shared" si="2"/>
        <v>-4.7100955995102529</v>
      </c>
      <c r="J25" s="2"/>
    </row>
    <row r="26" spans="1:10" ht="15.5">
      <c r="A26">
        <v>72.5</v>
      </c>
      <c r="B26">
        <v>50</v>
      </c>
      <c r="C26">
        <v>76</v>
      </c>
      <c r="D26" s="2">
        <f t="shared" si="3"/>
        <v>126</v>
      </c>
      <c r="E26" s="8">
        <f t="shared" si="0"/>
        <v>0.3968253968253968</v>
      </c>
      <c r="F26" s="8">
        <f t="shared" si="1"/>
        <v>0.39903808687924736</v>
      </c>
      <c r="G26" s="8"/>
      <c r="H26" s="8">
        <f t="shared" si="4"/>
        <v>7.2398872936336775E-2</v>
      </c>
      <c r="I26" s="8">
        <f t="shared" si="2"/>
        <v>-2.6255645468893052</v>
      </c>
      <c r="J26" s="2"/>
    </row>
    <row r="27" spans="1:10" ht="15.5">
      <c r="A27">
        <v>77.5</v>
      </c>
      <c r="B27">
        <v>62</v>
      </c>
      <c r="C27">
        <v>80</v>
      </c>
      <c r="D27" s="2">
        <f t="shared" si="3"/>
        <v>142</v>
      </c>
      <c r="E27" s="8">
        <f t="shared" si="0"/>
        <v>0.43661971830985913</v>
      </c>
      <c r="F27" s="8">
        <f t="shared" si="1"/>
        <v>0.44379201957816161</v>
      </c>
      <c r="G27" s="8"/>
      <c r="H27" s="8">
        <f t="shared" si="4"/>
        <v>6.6389422245167182E-2</v>
      </c>
      <c r="I27" s="8">
        <f t="shared" si="2"/>
        <v>-2.7122175387265437</v>
      </c>
      <c r="J27" s="2"/>
    </row>
    <row r="28" spans="1:10" ht="15.5">
      <c r="A28">
        <v>82.5</v>
      </c>
      <c r="B28">
        <v>89</v>
      </c>
      <c r="C28">
        <v>96</v>
      </c>
      <c r="D28" s="2">
        <f t="shared" si="3"/>
        <v>185</v>
      </c>
      <c r="E28" s="8">
        <f t="shared" si="0"/>
        <v>0.48108108108108111</v>
      </c>
      <c r="F28" s="8">
        <f t="shared" si="1"/>
        <v>0.48947709624725261</v>
      </c>
      <c r="G28" s="8"/>
      <c r="H28" s="8">
        <f t="shared" si="4"/>
        <v>5.7113874612798161E-2</v>
      </c>
      <c r="I28" s="8">
        <f t="shared" si="2"/>
        <v>-2.8627082038720251</v>
      </c>
      <c r="J28" s="2"/>
    </row>
    <row r="29" spans="1:10" ht="15.5">
      <c r="A29">
        <v>87.5</v>
      </c>
      <c r="B29">
        <v>145</v>
      </c>
      <c r="C29">
        <v>110</v>
      </c>
      <c r="D29" s="2">
        <f t="shared" si="3"/>
        <v>255</v>
      </c>
      <c r="E29" s="8">
        <f t="shared" si="0"/>
        <v>0.56862745098039214</v>
      </c>
      <c r="F29" s="8">
        <f t="shared" si="1"/>
        <v>0.53533863074384735</v>
      </c>
      <c r="G29" s="8"/>
      <c r="H29" s="8">
        <f t="shared" si="4"/>
        <v>2.8491844542741857E-2</v>
      </c>
      <c r="I29" s="8">
        <f t="shared" si="2"/>
        <v>-3.5581373890531083</v>
      </c>
      <c r="J29" s="2"/>
    </row>
    <row r="30" spans="1:10" ht="15.5">
      <c r="A30">
        <v>92.5</v>
      </c>
      <c r="B30">
        <v>192</v>
      </c>
      <c r="C30">
        <v>99</v>
      </c>
      <c r="D30" s="2">
        <f t="shared" si="3"/>
        <v>291</v>
      </c>
      <c r="E30" s="8">
        <f t="shared" si="0"/>
        <v>0.65979381443298968</v>
      </c>
      <c r="F30" s="8">
        <f t="shared" si="1"/>
        <v>0.58061025059532356</v>
      </c>
      <c r="G30" s="8"/>
      <c r="H30" s="8">
        <f t="shared" si="4"/>
        <v>1.0693596717352186E-3</v>
      </c>
      <c r="I30" s="8">
        <f t="shared" si="2"/>
        <v>-6.8406952472742288</v>
      </c>
      <c r="J30" s="2"/>
    </row>
    <row r="31" spans="1:10" ht="15.5">
      <c r="A31">
        <v>97.5</v>
      </c>
      <c r="B31">
        <v>176</v>
      </c>
      <c r="C31">
        <v>109</v>
      </c>
      <c r="D31" s="2">
        <f t="shared" si="3"/>
        <v>285</v>
      </c>
      <c r="E31" s="8">
        <f t="shared" si="0"/>
        <v>0.61754385964912284</v>
      </c>
      <c r="F31" s="8">
        <f t="shared" si="1"/>
        <v>0.62456439178614254</v>
      </c>
      <c r="G31" s="8"/>
      <c r="H31" s="8">
        <f t="shared" si="4"/>
        <v>4.7149330573017623E-2</v>
      </c>
      <c r="I31" s="8">
        <f t="shared" si="2"/>
        <v>-3.054435467818569</v>
      </c>
      <c r="J31" s="2"/>
    </row>
    <row r="32" spans="1:10" ht="15.5">
      <c r="A32">
        <v>102.5</v>
      </c>
      <c r="B32">
        <v>112</v>
      </c>
      <c r="C32">
        <v>77</v>
      </c>
      <c r="D32" s="2">
        <f t="shared" si="3"/>
        <v>189</v>
      </c>
      <c r="E32" s="8">
        <f t="shared" si="0"/>
        <v>0.59259259259259256</v>
      </c>
      <c r="F32" s="8">
        <f t="shared" si="1"/>
        <v>0.66655748209919152</v>
      </c>
      <c r="G32" s="2"/>
      <c r="H32" s="8">
        <f t="shared" si="4"/>
        <v>6.1971045283276578E-3</v>
      </c>
      <c r="I32" s="8">
        <f t="shared" si="2"/>
        <v>-5.0836731075750086</v>
      </c>
      <c r="J32" s="2"/>
    </row>
    <row r="33" spans="1:10" ht="15.5">
      <c r="A33">
        <v>107.5</v>
      </c>
      <c r="B33">
        <v>50</v>
      </c>
      <c r="C33">
        <v>31</v>
      </c>
      <c r="D33" s="2">
        <f t="shared" si="3"/>
        <v>81</v>
      </c>
      <c r="E33" s="8">
        <f t="shared" si="0"/>
        <v>0.61728395061728392</v>
      </c>
      <c r="F33" s="8">
        <f t="shared" si="1"/>
        <v>0.70606410214928483</v>
      </c>
      <c r="G33" s="20"/>
      <c r="H33" s="8">
        <f t="shared" si="4"/>
        <v>2.1045254134771985E-2</v>
      </c>
      <c r="I33" s="8">
        <f t="shared" si="2"/>
        <v>-3.8610802010533756</v>
      </c>
      <c r="J33" s="2"/>
    </row>
    <row r="34" spans="1:10" ht="15.5">
      <c r="A34">
        <v>112.5</v>
      </c>
      <c r="B34">
        <v>14</v>
      </c>
      <c r="C34">
        <v>6</v>
      </c>
      <c r="D34" s="2">
        <f t="shared" si="3"/>
        <v>20</v>
      </c>
      <c r="E34" s="8">
        <f t="shared" si="0"/>
        <v>0.7</v>
      </c>
      <c r="F34" s="8">
        <f t="shared" si="1"/>
        <v>0.74269680399589189</v>
      </c>
      <c r="G34" s="20"/>
      <c r="H34" s="8">
        <f t="shared" si="4"/>
        <v>0.17474977414843818</v>
      </c>
      <c r="I34" s="8">
        <f t="shared" si="2"/>
        <v>-1.7444001902957298</v>
      </c>
      <c r="J34" s="2"/>
    </row>
    <row r="35" spans="1:10" ht="15.5">
      <c r="A35">
        <v>117.5</v>
      </c>
      <c r="B35">
        <v>4</v>
      </c>
      <c r="C35">
        <v>3</v>
      </c>
      <c r="D35" s="2">
        <f t="shared" si="3"/>
        <v>7</v>
      </c>
      <c r="E35" s="8">
        <f t="shared" si="0"/>
        <v>0.5714285714285714</v>
      </c>
      <c r="F35" s="8">
        <f t="shared" si="1"/>
        <v>0.77621107546991674</v>
      </c>
      <c r="G35" s="20"/>
      <c r="H35" s="8">
        <f t="shared" si="4"/>
        <v>0.1423977584290757</v>
      </c>
      <c r="I35" s="8">
        <f t="shared" si="2"/>
        <v>-1.9491310214970088</v>
      </c>
      <c r="J35" s="2"/>
    </row>
    <row r="36" spans="1:10" ht="15.5">
      <c r="A36">
        <v>122.5</v>
      </c>
      <c r="B36">
        <v>0</v>
      </c>
      <c r="C36">
        <v>3</v>
      </c>
      <c r="D36" s="2">
        <f t="shared" si="3"/>
        <v>3</v>
      </c>
      <c r="E36" s="8">
        <f t="shared" si="0"/>
        <v>0</v>
      </c>
      <c r="F36" s="8">
        <f t="shared" si="1"/>
        <v>0.80649738235388102</v>
      </c>
      <c r="G36" s="20"/>
      <c r="H36" s="8">
        <f t="shared" si="4"/>
        <v>7.24536941065884E-3</v>
      </c>
      <c r="I36" s="8">
        <f t="shared" si="2"/>
        <v>-4.9273927161506457</v>
      </c>
      <c r="J36" s="2"/>
    </row>
    <row r="37" spans="1:10" ht="15.5">
      <c r="A37">
        <v>127.5</v>
      </c>
      <c r="B37">
        <v>0</v>
      </c>
      <c r="C37">
        <v>0</v>
      </c>
      <c r="D37" s="2">
        <f t="shared" si="3"/>
        <v>0</v>
      </c>
      <c r="E37" s="8" t="e">
        <f t="shared" si="0"/>
        <v>#DIV/0!</v>
      </c>
      <c r="F37" s="8">
        <f t="shared" si="1"/>
        <v>0.83356377930138525</v>
      </c>
      <c r="G37" s="2"/>
      <c r="H37" s="8">
        <f t="shared" si="4"/>
        <v>1</v>
      </c>
      <c r="I37" s="8">
        <f t="shared" si="2"/>
        <v>0</v>
      </c>
      <c r="J37" s="2"/>
    </row>
    <row r="38" spans="1:10" ht="15.5">
      <c r="A38">
        <v>132.5</v>
      </c>
      <c r="B38">
        <v>0</v>
      </c>
      <c r="C38">
        <v>0</v>
      </c>
      <c r="D38" s="2">
        <f t="shared" si="3"/>
        <v>0</v>
      </c>
      <c r="E38" s="8" t="e">
        <f t="shared" si="0"/>
        <v>#DIV/0!</v>
      </c>
      <c r="F38" s="8">
        <f t="shared" si="1"/>
        <v>0.85751311002715125</v>
      </c>
      <c r="G38" s="2"/>
      <c r="H38" s="8">
        <f t="shared" si="4"/>
        <v>1</v>
      </c>
      <c r="I38" s="8">
        <f t="shared" si="2"/>
        <v>0</v>
      </c>
      <c r="J38" s="2"/>
    </row>
    <row r="39" spans="1:10" ht="15.5">
      <c r="B39" s="21"/>
      <c r="C39" s="21"/>
      <c r="D39" s="2"/>
      <c r="E39" s="8"/>
      <c r="F39" s="8"/>
      <c r="G39" s="2"/>
      <c r="H39" s="8"/>
      <c r="I39" s="8"/>
      <c r="J39" s="2"/>
    </row>
    <row r="40" spans="1:10" ht="15.5">
      <c r="B40" s="21"/>
      <c r="C40" s="21"/>
      <c r="D40" s="2"/>
      <c r="E40" s="8"/>
      <c r="F40" s="8"/>
      <c r="G40" s="2"/>
      <c r="H40" s="8"/>
      <c r="I40" s="8"/>
      <c r="J40" s="2"/>
    </row>
    <row r="41" spans="1:10" ht="15.5">
      <c r="B41" s="21"/>
      <c r="C41" s="21"/>
      <c r="D41" s="2"/>
      <c r="E41" s="8"/>
      <c r="F41" s="8"/>
      <c r="G41" s="2"/>
      <c r="H41" s="8"/>
      <c r="I41" s="8"/>
      <c r="J41" s="2"/>
    </row>
    <row r="42" spans="1:10" ht="15.5">
      <c r="B42" s="21"/>
      <c r="C42" s="21"/>
      <c r="D42" s="2"/>
      <c r="E42" s="8"/>
      <c r="F42" s="8"/>
      <c r="G42" s="2"/>
      <c r="H42" s="8"/>
      <c r="I42" s="8"/>
      <c r="J42" s="2"/>
    </row>
    <row r="43" spans="1:10" ht="15.5">
      <c r="B43" s="21"/>
      <c r="C43" s="21"/>
      <c r="D43" s="2"/>
      <c r="E43" s="8"/>
      <c r="F43" s="8"/>
      <c r="G43" s="2"/>
      <c r="H43" s="8"/>
      <c r="I43" s="8"/>
      <c r="J43" s="2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6" zoomScale="70" zoomScaleNormal="70" workbookViewId="0">
      <selection activeCell="T23" sqref="T23"/>
    </sheetView>
  </sheetViews>
  <sheetFormatPr defaultRowHeight="14.5"/>
  <sheetData>
    <row r="1" spans="1:10" ht="20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0" ht="26.5">
      <c r="B2" s="1" t="s">
        <v>30</v>
      </c>
      <c r="C2" s="2"/>
      <c r="D2" s="2"/>
      <c r="G2" s="2"/>
      <c r="H2" s="3"/>
      <c r="I2" s="2"/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0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2.61542321058644E-2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23"/>
      <c r="C6" s="23"/>
      <c r="D6" s="23"/>
      <c r="E6" s="6" t="s">
        <v>31</v>
      </c>
      <c r="F6" s="24">
        <v>0.15814782312082845</v>
      </c>
      <c r="G6" s="2"/>
      <c r="H6" s="9"/>
      <c r="I6" s="2"/>
      <c r="J6" s="2" t="s">
        <v>13</v>
      </c>
    </row>
    <row r="7" spans="1:10" ht="16.5" thickTop="1" thickBot="1">
      <c r="A7" s="23"/>
      <c r="B7" s="23"/>
      <c r="C7" s="23"/>
      <c r="D7" s="2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23"/>
      <c r="B8" s="23"/>
      <c r="C8" s="23"/>
      <c r="D8" s="23"/>
      <c r="E8" s="6" t="s">
        <v>7</v>
      </c>
      <c r="F8" s="2">
        <f>(LN(0.5^$F6/(1-0.5^$F6))-$F4)/$F5</f>
        <v>82.412188984696868</v>
      </c>
      <c r="G8" s="2"/>
      <c r="H8" s="14">
        <f>SUM(I14:I38)</f>
        <v>-60.542719270694157</v>
      </c>
      <c r="I8" s="2"/>
      <c r="J8" s="2">
        <f>-2*H8+2*3</f>
        <v>127.08543854138831</v>
      </c>
    </row>
    <row r="9" spans="1:10" ht="16" thickTop="1">
      <c r="A9" s="23"/>
      <c r="B9" s="23"/>
      <c r="C9" s="23"/>
      <c r="D9" s="23"/>
      <c r="E9" s="6" t="s">
        <v>16</v>
      </c>
      <c r="F9" s="16">
        <f>(LN(0.75^$F6/(1-0.75^$F6))-LN(0.25^$F6/(1-0.25^$F6)))/$F5</f>
        <v>63.520154158450126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43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0</v>
      </c>
      <c r="C14" s="2">
        <v>0</v>
      </c>
      <c r="D14" s="2">
        <f t="shared" ref="D14:D38" si="0">+C14+B14</f>
        <v>0</v>
      </c>
      <c r="E14" s="8" t="e">
        <f t="shared" ref="E14:E38" si="1">+B14/(C14+B14)</f>
        <v>#DIV/0!</v>
      </c>
      <c r="F14" s="8">
        <f>(EXP($F$4+$F$5*A14)/(1+EXP($F$4+$F$5*A14)))^(1/$F$6)</f>
        <v>3.2277084096406582E-2</v>
      </c>
      <c r="G14" s="8"/>
      <c r="H14" s="8">
        <f t="shared" ref="H14:H38" si="2">COMBIN(D14,B14)*(F14^B14)*((1-F14)^C14)</f>
        <v>1</v>
      </c>
      <c r="I14" s="8">
        <f t="shared" ref="I14:I38" si="3">LN(H14)</f>
        <v>0</v>
      </c>
      <c r="J14" s="2"/>
    </row>
    <row r="15" spans="1:10" ht="15.5">
      <c r="A15" s="2">
        <v>17.5</v>
      </c>
      <c r="B15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(EXP($F$4+$F$5*A15)/(1+EXP($F$4+$F$5*A15)))^(1/$F$6)</f>
        <v>4.5049195462302967E-2</v>
      </c>
      <c r="G15" s="8"/>
      <c r="H15" s="8">
        <f t="shared" si="2"/>
        <v>0.60226966382693392</v>
      </c>
      <c r="I15" s="8">
        <f t="shared" si="3"/>
        <v>-0.50704998741505503</v>
      </c>
      <c r="J15" s="2"/>
    </row>
    <row r="16" spans="1:10" ht="15.5">
      <c r="A16" s="2">
        <v>22.5</v>
      </c>
      <c r="B16">
        <v>1</v>
      </c>
      <c r="C16" s="2">
        <v>43</v>
      </c>
      <c r="D16" s="2">
        <f t="shared" si="0"/>
        <v>44</v>
      </c>
      <c r="E16" s="8">
        <f t="shared" si="1"/>
        <v>2.2727272727272728E-2</v>
      </c>
      <c r="F16" s="8">
        <f t="shared" si="4"/>
        <v>6.1283009123212481E-2</v>
      </c>
      <c r="G16" s="8"/>
      <c r="H16" s="8">
        <f t="shared" si="2"/>
        <v>0.17773949547342727</v>
      </c>
      <c r="I16" s="8">
        <f t="shared" si="3"/>
        <v>-1.7274363092410034</v>
      </c>
      <c r="J16" s="2"/>
    </row>
    <row r="17" spans="1:10" ht="15.5">
      <c r="A17" s="2">
        <v>27.5</v>
      </c>
      <c r="B17">
        <v>5</v>
      </c>
      <c r="C17" s="2">
        <v>54</v>
      </c>
      <c r="D17" s="2">
        <f t="shared" si="0"/>
        <v>59</v>
      </c>
      <c r="E17" s="8">
        <f t="shared" si="1"/>
        <v>8.4745762711864403E-2</v>
      </c>
      <c r="F17" s="8">
        <f t="shared" si="4"/>
        <v>8.1324044563174089E-2</v>
      </c>
      <c r="G17" s="8"/>
      <c r="H17" s="8">
        <f t="shared" si="2"/>
        <v>0.18255177659843311</v>
      </c>
      <c r="I17" s="8">
        <f t="shared" si="3"/>
        <v>-1.7007214388082472</v>
      </c>
      <c r="J17" s="2"/>
    </row>
    <row r="18" spans="1:10" ht="15.5">
      <c r="A18" s="2">
        <v>32.5</v>
      </c>
      <c r="B18">
        <v>3</v>
      </c>
      <c r="C18" s="2">
        <v>26</v>
      </c>
      <c r="D18" s="2">
        <f t="shared" si="0"/>
        <v>29</v>
      </c>
      <c r="E18" s="8">
        <f t="shared" si="1"/>
        <v>0.10344827586206896</v>
      </c>
      <c r="F18" s="8">
        <f t="shared" si="4"/>
        <v>0.1053800918816168</v>
      </c>
      <c r="G18" s="8"/>
      <c r="H18" s="8">
        <f t="shared" si="2"/>
        <v>0.23639962282187579</v>
      </c>
      <c r="I18" s="8">
        <f t="shared" si="3"/>
        <v>-1.4422315889596065</v>
      </c>
      <c r="J18" s="2"/>
    </row>
    <row r="19" spans="1:10" ht="15.5">
      <c r="A19" s="2">
        <v>37.5</v>
      </c>
      <c r="B19">
        <v>8</v>
      </c>
      <c r="C19" s="2">
        <v>29</v>
      </c>
      <c r="D19" s="2">
        <f t="shared" si="0"/>
        <v>37</v>
      </c>
      <c r="E19" s="8">
        <f t="shared" si="1"/>
        <v>0.21621621621621623</v>
      </c>
      <c r="F19" s="8">
        <f t="shared" si="4"/>
        <v>0.13349055549425187</v>
      </c>
      <c r="G19" s="8"/>
      <c r="H19" s="8">
        <f t="shared" si="2"/>
        <v>6.1053079014810087E-2</v>
      </c>
      <c r="I19" s="8">
        <f t="shared" si="3"/>
        <v>-2.796011645384167</v>
      </c>
      <c r="J19" s="2"/>
    </row>
    <row r="20" spans="1:10" ht="15.5">
      <c r="A20" s="2">
        <v>42.5</v>
      </c>
      <c r="B20">
        <v>4</v>
      </c>
      <c r="C20" s="2">
        <v>46</v>
      </c>
      <c r="D20" s="2">
        <f t="shared" si="0"/>
        <v>50</v>
      </c>
      <c r="E20" s="8">
        <f t="shared" si="1"/>
        <v>0.08</v>
      </c>
      <c r="F20" s="8">
        <f t="shared" si="4"/>
        <v>0.16551223233729567</v>
      </c>
      <c r="G20" s="8"/>
      <c r="H20" s="8">
        <f t="shared" si="2"/>
        <v>4.1969439662936474E-2</v>
      </c>
      <c r="I20" s="8">
        <f t="shared" si="3"/>
        <v>-3.1708135526207704</v>
      </c>
      <c r="J20" s="2"/>
    </row>
    <row r="21" spans="1:10" ht="15.5">
      <c r="A21" s="2">
        <v>47.5</v>
      </c>
      <c r="B21">
        <v>5</v>
      </c>
      <c r="C21" s="2">
        <v>27</v>
      </c>
      <c r="D21" s="2">
        <f t="shared" si="0"/>
        <v>32</v>
      </c>
      <c r="E21" s="8">
        <f t="shared" si="1"/>
        <v>0.15625</v>
      </c>
      <c r="F21" s="8">
        <f t="shared" si="4"/>
        <v>0.20112351519756394</v>
      </c>
      <c r="G21" s="8"/>
      <c r="H21" s="8">
        <f t="shared" si="2"/>
        <v>0.15426669798804296</v>
      </c>
      <c r="I21" s="8">
        <f t="shared" si="3"/>
        <v>-1.8690723692967595</v>
      </c>
      <c r="J21" s="2"/>
    </row>
    <row r="22" spans="1:10" ht="15.5">
      <c r="A22" s="2">
        <v>52.5</v>
      </c>
      <c r="B22">
        <v>2</v>
      </c>
      <c r="C22" s="2">
        <v>11</v>
      </c>
      <c r="D22" s="2">
        <f t="shared" si="0"/>
        <v>13</v>
      </c>
      <c r="E22" s="8">
        <f t="shared" si="1"/>
        <v>0.15384615384615385</v>
      </c>
      <c r="F22" s="8">
        <f t="shared" si="4"/>
        <v>0.23984584727441638</v>
      </c>
      <c r="G22" s="8"/>
      <c r="H22" s="8">
        <f t="shared" si="2"/>
        <v>0.21972395412689183</v>
      </c>
      <c r="I22" s="8">
        <f t="shared" si="3"/>
        <v>-1.5153832744613283</v>
      </c>
      <c r="J22" s="2"/>
    </row>
    <row r="23" spans="1:10" ht="15.5">
      <c r="A23" s="2">
        <v>57.5</v>
      </c>
      <c r="B23">
        <v>10</v>
      </c>
      <c r="C23" s="2">
        <v>17</v>
      </c>
      <c r="D23" s="2">
        <f t="shared" si="0"/>
        <v>27</v>
      </c>
      <c r="E23" s="8">
        <f t="shared" si="1"/>
        <v>0.37037037037037035</v>
      </c>
      <c r="F23" s="8">
        <f t="shared" si="4"/>
        <v>0.28107860884132385</v>
      </c>
      <c r="G23" s="8"/>
      <c r="H23" s="8">
        <f t="shared" si="2"/>
        <v>9.5063346645644753E-2</v>
      </c>
      <c r="I23" s="8">
        <f t="shared" si="3"/>
        <v>-2.3532118028022091</v>
      </c>
      <c r="J23" s="2"/>
    </row>
    <row r="24" spans="1:10" ht="15.5">
      <c r="A24" s="2">
        <v>62.5</v>
      </c>
      <c r="B24">
        <v>9</v>
      </c>
      <c r="C24" s="2">
        <v>20</v>
      </c>
      <c r="D24" s="2">
        <f t="shared" si="0"/>
        <v>29</v>
      </c>
      <c r="E24" s="8">
        <f t="shared" si="1"/>
        <v>0.31034482758620691</v>
      </c>
      <c r="F24" s="8">
        <f t="shared" si="4"/>
        <v>0.32414202131586822</v>
      </c>
      <c r="G24" s="8"/>
      <c r="H24" s="8">
        <f t="shared" si="2"/>
        <v>0.15645091122420085</v>
      </c>
      <c r="I24" s="8">
        <f t="shared" si="3"/>
        <v>-1.855012984504528</v>
      </c>
      <c r="J24" s="2"/>
    </row>
    <row r="25" spans="1:10" ht="15.5">
      <c r="A25" s="2">
        <v>67.5</v>
      </c>
      <c r="B25">
        <v>35</v>
      </c>
      <c r="C25" s="2">
        <v>38</v>
      </c>
      <c r="D25" s="2">
        <f t="shared" si="0"/>
        <v>73</v>
      </c>
      <c r="E25" s="8">
        <f t="shared" si="1"/>
        <v>0.47945205479452052</v>
      </c>
      <c r="F25" s="8">
        <f t="shared" si="4"/>
        <v>0.36832227551645741</v>
      </c>
      <c r="G25" s="8"/>
      <c r="H25" s="8">
        <f t="shared" si="2"/>
        <v>1.4268438989701177E-2</v>
      </c>
      <c r="I25" s="8">
        <f t="shared" si="3"/>
        <v>-4.2497052445281032</v>
      </c>
      <c r="J25" s="2"/>
    </row>
    <row r="26" spans="1:10" ht="15.5">
      <c r="A26" s="2">
        <v>72.5</v>
      </c>
      <c r="B26">
        <v>50</v>
      </c>
      <c r="C26" s="2">
        <v>76</v>
      </c>
      <c r="D26" s="2">
        <f t="shared" si="0"/>
        <v>126</v>
      </c>
      <c r="E26" s="8">
        <f t="shared" si="1"/>
        <v>0.3968253968253968</v>
      </c>
      <c r="F26" s="8">
        <f t="shared" si="4"/>
        <v>0.41291376454187001</v>
      </c>
      <c r="G26" s="8"/>
      <c r="H26" s="8">
        <f t="shared" si="2"/>
        <v>6.7757675635070513E-2</v>
      </c>
      <c r="I26" s="8">
        <f t="shared" si="3"/>
        <v>-2.6918175321329754</v>
      </c>
      <c r="J26" s="2"/>
    </row>
    <row r="27" spans="1:10" ht="15.5">
      <c r="A27" s="2">
        <v>77.5</v>
      </c>
      <c r="B27">
        <v>62</v>
      </c>
      <c r="C27" s="2">
        <v>80</v>
      </c>
      <c r="D27" s="2">
        <f t="shared" si="0"/>
        <v>142</v>
      </c>
      <c r="E27" s="8">
        <f t="shared" si="1"/>
        <v>0.43661971830985913</v>
      </c>
      <c r="F27" s="8">
        <f t="shared" si="4"/>
        <v>0.45725465779214242</v>
      </c>
      <c r="G27" s="8"/>
      <c r="H27" s="8">
        <f t="shared" si="2"/>
        <v>5.963295295334621E-2</v>
      </c>
      <c r="I27" s="8">
        <f t="shared" si="3"/>
        <v>-2.81954695580299</v>
      </c>
      <c r="J27" s="2"/>
    </row>
    <row r="28" spans="1:10" ht="15.5">
      <c r="A28" s="2">
        <v>82.5</v>
      </c>
      <c r="B28">
        <v>89</v>
      </c>
      <c r="C28" s="2">
        <v>96</v>
      </c>
      <c r="D28" s="2">
        <f t="shared" si="0"/>
        <v>185</v>
      </c>
      <c r="E28" s="8">
        <f t="shared" si="1"/>
        <v>0.48108108108108111</v>
      </c>
      <c r="F28" s="8">
        <f t="shared" si="4"/>
        <v>0.50075366867256355</v>
      </c>
      <c r="G28" s="8"/>
      <c r="H28" s="8">
        <f t="shared" si="2"/>
        <v>5.0801346632814291E-2</v>
      </c>
      <c r="I28" s="8">
        <f t="shared" si="3"/>
        <v>-2.9798324162290792</v>
      </c>
      <c r="J28" s="2"/>
    </row>
    <row r="29" spans="1:10" ht="15.5">
      <c r="A29" s="2">
        <v>87.5</v>
      </c>
      <c r="B29">
        <v>145</v>
      </c>
      <c r="C29" s="2">
        <v>110</v>
      </c>
      <c r="D29" s="2">
        <f t="shared" si="0"/>
        <v>255</v>
      </c>
      <c r="E29" s="8">
        <f t="shared" si="1"/>
        <v>0.56862745098039214</v>
      </c>
      <c r="F29" s="8">
        <f t="shared" si="4"/>
        <v>0.54290738900929192</v>
      </c>
      <c r="G29" s="8"/>
      <c r="H29" s="8">
        <f t="shared" si="2"/>
        <v>3.5830235169522176E-2</v>
      </c>
      <c r="I29" s="8">
        <f t="shared" si="3"/>
        <v>-3.3289631842058713</v>
      </c>
      <c r="J29" s="2"/>
    </row>
    <row r="30" spans="1:10" ht="15.5">
      <c r="A30" s="2">
        <v>92.5</v>
      </c>
      <c r="B30">
        <v>192</v>
      </c>
      <c r="C30" s="2">
        <v>99</v>
      </c>
      <c r="D30" s="2">
        <f t="shared" si="0"/>
        <v>291</v>
      </c>
      <c r="E30" s="8">
        <f t="shared" si="1"/>
        <v>0.65979381443298968</v>
      </c>
      <c r="F30" s="8">
        <f t="shared" si="4"/>
        <v>0.5833087611372032</v>
      </c>
      <c r="G30" s="8"/>
      <c r="H30" s="8">
        <f t="shared" si="2"/>
        <v>1.3747784978196168E-3</v>
      </c>
      <c r="I30" s="8">
        <f t="shared" si="3"/>
        <v>-6.5894626533352163</v>
      </c>
      <c r="J30" s="2"/>
    </row>
    <row r="31" spans="1:10" ht="15.5">
      <c r="A31" s="2">
        <v>97.5</v>
      </c>
      <c r="B31">
        <v>176</v>
      </c>
      <c r="C31" s="2">
        <v>109</v>
      </c>
      <c r="D31" s="2">
        <f t="shared" si="0"/>
        <v>285</v>
      </c>
      <c r="E31" s="8">
        <f t="shared" si="1"/>
        <v>0.61754385964912284</v>
      </c>
      <c r="F31" s="8">
        <f t="shared" si="4"/>
        <v>0.62164804197324408</v>
      </c>
      <c r="G31" s="8"/>
      <c r="H31" s="8">
        <f t="shared" si="2"/>
        <v>4.8086849184801737E-2</v>
      </c>
      <c r="I31" s="8">
        <f t="shared" si="3"/>
        <v>-3.0347465449739572</v>
      </c>
      <c r="J31" s="2"/>
    </row>
    <row r="32" spans="1:10" ht="15.5">
      <c r="A32" s="2">
        <v>102.5</v>
      </c>
      <c r="B32">
        <v>112</v>
      </c>
      <c r="C32" s="2">
        <v>77</v>
      </c>
      <c r="D32" s="2">
        <f t="shared" si="0"/>
        <v>189</v>
      </c>
      <c r="E32" s="8">
        <f t="shared" si="1"/>
        <v>0.59259259259259256</v>
      </c>
      <c r="F32" s="8">
        <f t="shared" si="4"/>
        <v>0.65770799619287978</v>
      </c>
      <c r="G32" s="2"/>
      <c r="H32" s="8">
        <f t="shared" si="2"/>
        <v>1.0423684111529059E-2</v>
      </c>
      <c r="I32" s="8">
        <f t="shared" si="3"/>
        <v>-4.5636747435779901</v>
      </c>
      <c r="J32" s="2"/>
    </row>
    <row r="33" spans="1:10" ht="15.5">
      <c r="A33" s="2">
        <v>107.5</v>
      </c>
      <c r="B33">
        <v>50</v>
      </c>
      <c r="C33" s="2">
        <v>31</v>
      </c>
      <c r="D33" s="2">
        <f t="shared" si="0"/>
        <v>81</v>
      </c>
      <c r="E33" s="8">
        <f t="shared" si="1"/>
        <v>0.61728395061728392</v>
      </c>
      <c r="F33" s="8">
        <f t="shared" si="4"/>
        <v>0.69135511561854612</v>
      </c>
      <c r="G33" s="20"/>
      <c r="H33" s="8">
        <f t="shared" si="2"/>
        <v>3.3373881085025689E-2</v>
      </c>
      <c r="I33" s="8">
        <f t="shared" si="3"/>
        <v>-3.3999816883660183</v>
      </c>
      <c r="J33" s="2"/>
    </row>
    <row r="34" spans="1:10" ht="15.5">
      <c r="A34" s="2">
        <v>112.5</v>
      </c>
      <c r="B34">
        <v>14</v>
      </c>
      <c r="C34" s="2">
        <v>6</v>
      </c>
      <c r="D34" s="2">
        <f t="shared" si="0"/>
        <v>20</v>
      </c>
      <c r="E34" s="8">
        <f t="shared" si="1"/>
        <v>0.7</v>
      </c>
      <c r="F34" s="8">
        <f t="shared" si="4"/>
        <v>0.72252850115124967</v>
      </c>
      <c r="G34" s="20"/>
      <c r="H34" s="8">
        <f t="shared" si="2"/>
        <v>0.18692346071319091</v>
      </c>
      <c r="I34" s="8">
        <f t="shared" si="3"/>
        <v>-1.6770560469130469</v>
      </c>
      <c r="J34" s="2"/>
    </row>
    <row r="35" spans="1:10" ht="15.5">
      <c r="A35" s="2">
        <v>117.5</v>
      </c>
      <c r="B35">
        <v>4</v>
      </c>
      <c r="C35" s="2">
        <v>3</v>
      </c>
      <c r="D35" s="2">
        <f t="shared" si="0"/>
        <v>7</v>
      </c>
      <c r="E35" s="8">
        <f t="shared" si="1"/>
        <v>0.5714285714285714</v>
      </c>
      <c r="F35" s="8">
        <f t="shared" si="4"/>
        <v>0.75122776018680892</v>
      </c>
      <c r="G35" s="20"/>
      <c r="H35" s="8">
        <f t="shared" si="2"/>
        <v>0.17161699991347651</v>
      </c>
      <c r="I35" s="8">
        <f t="shared" si="3"/>
        <v>-1.7624900297402444</v>
      </c>
      <c r="J35" s="2"/>
    </row>
    <row r="36" spans="1:10" ht="15.5">
      <c r="A36" s="2">
        <v>122.5</v>
      </c>
      <c r="B36">
        <v>0</v>
      </c>
      <c r="C36" s="2">
        <v>3</v>
      </c>
      <c r="D36" s="2">
        <f t="shared" si="0"/>
        <v>3</v>
      </c>
      <c r="E36" s="8">
        <f t="shared" si="1"/>
        <v>0</v>
      </c>
      <c r="F36" s="8">
        <f t="shared" si="4"/>
        <v>0.77750094527199543</v>
      </c>
      <c r="G36" s="20"/>
      <c r="H36" s="8">
        <f t="shared" si="2"/>
        <v>1.1015000234981266E-2</v>
      </c>
      <c r="I36" s="8">
        <f t="shared" si="3"/>
        <v>-4.5084972773949881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0.80143324317413966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0.8231368491586798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50" zoomScaleNormal="50" workbookViewId="0">
      <selection activeCell="L22" sqref="L22"/>
    </sheetView>
  </sheetViews>
  <sheetFormatPr defaultRowHeight="14.5"/>
  <sheetData>
    <row r="1" spans="1:10" ht="20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ht="20">
      <c r="B2" s="1" t="s">
        <v>37</v>
      </c>
      <c r="C2" s="2"/>
      <c r="D2" s="2"/>
      <c r="G2" s="2"/>
      <c r="H2" s="3"/>
      <c r="I2" s="27" t="s">
        <v>38</v>
      </c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-9.5760978992530621</v>
      </c>
      <c r="G4" s="2"/>
      <c r="H4" s="8">
        <f>-J4*H5</f>
        <v>-8.1297309361440124</v>
      </c>
      <c r="I4" s="6" t="s">
        <v>7</v>
      </c>
      <c r="J4" s="9">
        <v>92.5</v>
      </c>
    </row>
    <row r="5" spans="1:10" ht="15.5">
      <c r="A5" s="2"/>
      <c r="B5" s="2"/>
      <c r="C5" s="2"/>
      <c r="D5" s="2"/>
      <c r="E5" s="6" t="s">
        <v>9</v>
      </c>
      <c r="F5" s="22">
        <v>7.1999999999999995E-2</v>
      </c>
      <c r="G5" s="2"/>
      <c r="H5" s="8">
        <f>2*LN(3)/J5</f>
        <v>8.788898309344878E-2</v>
      </c>
      <c r="I5" s="6" t="s">
        <v>10</v>
      </c>
      <c r="J5" s="9">
        <v>25</v>
      </c>
    </row>
    <row r="6" spans="1:10" ht="16" thickBot="1">
      <c r="B6" s="13"/>
      <c r="C6" s="13"/>
      <c r="D6" s="13"/>
      <c r="E6" s="6" t="s">
        <v>39</v>
      </c>
      <c r="F6" s="24">
        <v>1.0095410327630621</v>
      </c>
      <c r="G6" s="2"/>
      <c r="H6" s="9"/>
      <c r="I6" s="2"/>
      <c r="J6" s="2" t="s">
        <v>13</v>
      </c>
    </row>
    <row r="7" spans="1:10" ht="16.5" thickTop="1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13"/>
      <c r="B8" s="13"/>
      <c r="C8" s="13"/>
      <c r="D8" s="13"/>
      <c r="E8" s="6" t="s">
        <v>7</v>
      </c>
      <c r="F8" s="2">
        <f>-F4/F5</f>
        <v>133.0013597118481</v>
      </c>
      <c r="G8" s="2"/>
      <c r="H8" s="14" t="e">
        <f>SUM(I14:I38)</f>
        <v>#NUM!</v>
      </c>
      <c r="I8" s="2"/>
      <c r="J8" s="2" t="e">
        <f>-2*H8+2*3</f>
        <v>#NUM!</v>
      </c>
    </row>
    <row r="9" spans="1:10" ht="16" thickTop="1">
      <c r="A9" s="13"/>
      <c r="B9" s="13"/>
      <c r="C9" s="13"/>
      <c r="D9" s="13"/>
      <c r="E9" s="6" t="s">
        <v>16</v>
      </c>
      <c r="F9" s="16">
        <f>2*LN(3)/F5</f>
        <v>30.517008018558606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43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0</v>
      </c>
      <c r="C14" s="2">
        <v>0</v>
      </c>
      <c r="D14" s="2">
        <f t="shared" ref="D14:D38" si="0">+C14+B14</f>
        <v>0</v>
      </c>
      <c r="E14" s="8" t="e">
        <f t="shared" ref="E14:E38" si="1">+B14/(C14+B14)</f>
        <v>#DIV/0!</v>
      </c>
      <c r="F14" s="8">
        <f>$F$6*EXP($F$4+$F$5*A14)/(1+EXP($F$4+$F$5*A14))+1-$F$6</f>
        <v>-9.368818767746534E-3</v>
      </c>
      <c r="G14" s="8"/>
      <c r="H14" s="8">
        <f t="shared" ref="H14:H38" si="2">COMBIN(D14,B14)*(F14^B14)*((1-F14)^C14)</f>
        <v>1</v>
      </c>
      <c r="I14" s="8">
        <f t="shared" ref="I14:I38" si="3">LN(H14)</f>
        <v>0</v>
      </c>
      <c r="J14" s="2"/>
    </row>
    <row r="15" spans="1:10" ht="15.5">
      <c r="A15" s="2">
        <v>17.5</v>
      </c>
      <c r="B15">
        <v>0</v>
      </c>
      <c r="C15" s="2">
        <v>11</v>
      </c>
      <c r="D15" s="2">
        <f t="shared" si="0"/>
        <v>11</v>
      </c>
      <c r="E15" s="8">
        <f t="shared" si="1"/>
        <v>0</v>
      </c>
      <c r="F15" s="8">
        <f t="shared" ref="F15:F38" si="4">$F$6*EXP($F$4+$F$5*A15)/(1+EXP($F$4+$F$5*A15))+1-$F$6</f>
        <v>-9.294211623024573E-3</v>
      </c>
      <c r="G15" s="8"/>
      <c r="H15" s="8">
        <f t="shared" si="2"/>
        <v>1.107122324202684</v>
      </c>
      <c r="I15" s="8">
        <f t="shared" si="3"/>
        <v>0.1017641482565186</v>
      </c>
      <c r="J15" s="2"/>
    </row>
    <row r="16" spans="1:10" ht="15.5">
      <c r="A16" s="2">
        <v>22.5</v>
      </c>
      <c r="B16">
        <v>1</v>
      </c>
      <c r="C16" s="2">
        <v>43</v>
      </c>
      <c r="D16" s="2">
        <f t="shared" si="0"/>
        <v>44</v>
      </c>
      <c r="E16" s="8">
        <f t="shared" si="1"/>
        <v>2.2727272727272728E-2</v>
      </c>
      <c r="F16" s="8">
        <f t="shared" si="4"/>
        <v>-9.1872942394011226E-3</v>
      </c>
      <c r="G16" s="8"/>
      <c r="H16" s="8">
        <f t="shared" si="2"/>
        <v>-0.59899967569452028</v>
      </c>
      <c r="I16" s="8" t="e">
        <f t="shared" si="3"/>
        <v>#NUM!</v>
      </c>
      <c r="J16" s="2"/>
    </row>
    <row r="17" spans="1:10" ht="15.5">
      <c r="A17" s="2">
        <v>27.5</v>
      </c>
      <c r="B17">
        <v>5</v>
      </c>
      <c r="C17" s="2">
        <v>54</v>
      </c>
      <c r="D17" s="2">
        <f t="shared" si="0"/>
        <v>59</v>
      </c>
      <c r="E17" s="8">
        <f t="shared" si="1"/>
        <v>8.4745762711864403E-2</v>
      </c>
      <c r="F17" s="8">
        <f t="shared" si="4"/>
        <v>-9.0340859051376565E-3</v>
      </c>
      <c r="G17" s="8"/>
      <c r="H17" s="8">
        <f t="shared" si="2"/>
        <v>-4.8962166178385686E-4</v>
      </c>
      <c r="I17" s="8" t="e">
        <f t="shared" si="3"/>
        <v>#NUM!</v>
      </c>
      <c r="J17" s="2"/>
    </row>
    <row r="18" spans="1:10" ht="15.5">
      <c r="A18" s="2">
        <v>32.5</v>
      </c>
      <c r="B18">
        <v>3</v>
      </c>
      <c r="C18" s="2">
        <v>26</v>
      </c>
      <c r="D18" s="2">
        <f t="shared" si="0"/>
        <v>29</v>
      </c>
      <c r="E18" s="8">
        <f t="shared" si="1"/>
        <v>0.10344827586206896</v>
      </c>
      <c r="F18" s="8">
        <f t="shared" si="4"/>
        <v>-8.8145689976724118E-3</v>
      </c>
      <c r="G18" s="8"/>
      <c r="H18" s="8">
        <f t="shared" si="2"/>
        <v>-3.1438858751475737E-3</v>
      </c>
      <c r="I18" s="8" t="e">
        <f t="shared" si="3"/>
        <v>#NUM!</v>
      </c>
      <c r="J18" s="2"/>
    </row>
    <row r="19" spans="1:10" ht="15.5">
      <c r="A19" s="2">
        <v>37.5</v>
      </c>
      <c r="B19">
        <v>8</v>
      </c>
      <c r="C19" s="2">
        <v>29</v>
      </c>
      <c r="D19" s="2">
        <f t="shared" si="0"/>
        <v>37</v>
      </c>
      <c r="E19" s="8">
        <f t="shared" si="1"/>
        <v>0.21621621621621623</v>
      </c>
      <c r="F19" s="8">
        <f t="shared" si="4"/>
        <v>-8.50009546771191E-3</v>
      </c>
      <c r="G19" s="8"/>
      <c r="H19" s="8">
        <f t="shared" si="2"/>
        <v>1.3448390878010379E-9</v>
      </c>
      <c r="I19" s="8">
        <f t="shared" si="3"/>
        <v>-20.426991468372371</v>
      </c>
      <c r="J19" s="2"/>
    </row>
    <row r="20" spans="1:10" ht="15.5">
      <c r="A20" s="2">
        <v>42.5</v>
      </c>
      <c r="B20">
        <v>4</v>
      </c>
      <c r="C20" s="2">
        <v>46</v>
      </c>
      <c r="D20" s="2">
        <f t="shared" si="0"/>
        <v>50</v>
      </c>
      <c r="E20" s="8">
        <f t="shared" si="1"/>
        <v>0.08</v>
      </c>
      <c r="F20" s="8">
        <f t="shared" si="4"/>
        <v>-8.0496930580948867E-3</v>
      </c>
      <c r="G20" s="8"/>
      <c r="H20" s="8">
        <f t="shared" si="2"/>
        <v>1.3982361937030193E-3</v>
      </c>
      <c r="I20" s="8">
        <f t="shared" si="3"/>
        <v>-6.5725436982945045</v>
      </c>
      <c r="J20" s="2"/>
    </row>
    <row r="21" spans="1:10" ht="15.5">
      <c r="A21" s="2">
        <v>47.5</v>
      </c>
      <c r="B21">
        <v>5</v>
      </c>
      <c r="C21" s="2">
        <v>27</v>
      </c>
      <c r="D21" s="2">
        <f t="shared" si="0"/>
        <v>32</v>
      </c>
      <c r="E21" s="8">
        <f t="shared" si="1"/>
        <v>0.15625</v>
      </c>
      <c r="F21" s="8">
        <f t="shared" si="4"/>
        <v>-7.4048191594127122E-3</v>
      </c>
      <c r="G21" s="8"/>
      <c r="H21" s="8">
        <f t="shared" si="2"/>
        <v>-5.4712762510002431E-6</v>
      </c>
      <c r="I21" s="8" t="e">
        <f t="shared" si="3"/>
        <v>#NUM!</v>
      </c>
      <c r="J21" s="2"/>
    </row>
    <row r="22" spans="1:10" ht="15.5">
      <c r="A22" s="2">
        <v>52.5</v>
      </c>
      <c r="B22">
        <v>2</v>
      </c>
      <c r="C22" s="2">
        <v>11</v>
      </c>
      <c r="D22" s="2">
        <f t="shared" si="0"/>
        <v>13</v>
      </c>
      <c r="E22" s="8">
        <f t="shared" si="1"/>
        <v>0.15384615384615385</v>
      </c>
      <c r="F22" s="8">
        <f t="shared" si="4"/>
        <v>-6.4819399604971739E-3</v>
      </c>
      <c r="G22" s="8"/>
      <c r="H22" s="8">
        <f t="shared" si="2"/>
        <v>3.5186045624571059E-3</v>
      </c>
      <c r="I22" s="8">
        <f t="shared" si="3"/>
        <v>-5.6496907990918617</v>
      </c>
      <c r="J22" s="2"/>
    </row>
    <row r="23" spans="1:10" ht="15.5">
      <c r="A23" s="2">
        <v>57.5</v>
      </c>
      <c r="B23">
        <v>10</v>
      </c>
      <c r="C23" s="2">
        <v>17</v>
      </c>
      <c r="D23" s="2">
        <f t="shared" si="0"/>
        <v>27</v>
      </c>
      <c r="E23" s="8">
        <f t="shared" si="1"/>
        <v>0.37037037037037035</v>
      </c>
      <c r="F23" s="8">
        <f t="shared" si="4"/>
        <v>-5.1620949055422027E-3</v>
      </c>
      <c r="G23" s="8"/>
      <c r="H23" s="8">
        <f t="shared" si="2"/>
        <v>1.237157062479729E-16</v>
      </c>
      <c r="I23" s="8">
        <f t="shared" si="3"/>
        <v>-36.628545432077708</v>
      </c>
      <c r="J23" s="2"/>
    </row>
    <row r="24" spans="1:10" ht="15.5">
      <c r="A24" s="2">
        <v>62.5</v>
      </c>
      <c r="B24">
        <v>9</v>
      </c>
      <c r="C24" s="2">
        <v>20</v>
      </c>
      <c r="D24" s="2">
        <f t="shared" si="0"/>
        <v>29</v>
      </c>
      <c r="E24" s="8">
        <f t="shared" si="1"/>
        <v>0.31034482758620691</v>
      </c>
      <c r="F24" s="8">
        <f t="shared" si="4"/>
        <v>-3.2763473633341533E-3</v>
      </c>
      <c r="G24" s="8"/>
      <c r="H24" s="8">
        <f t="shared" si="2"/>
        <v>-4.6512759426913769E-16</v>
      </c>
      <c r="I24" s="8" t="e">
        <f t="shared" si="3"/>
        <v>#NUM!</v>
      </c>
      <c r="J24" s="2"/>
    </row>
    <row r="25" spans="1:10" ht="15.5">
      <c r="A25" s="2">
        <v>67.5</v>
      </c>
      <c r="B25">
        <v>35</v>
      </c>
      <c r="C25" s="2">
        <v>38</v>
      </c>
      <c r="D25" s="2">
        <f t="shared" si="0"/>
        <v>73</v>
      </c>
      <c r="E25" s="8">
        <f t="shared" si="1"/>
        <v>0.47945205479452052</v>
      </c>
      <c r="F25" s="8">
        <f t="shared" si="4"/>
        <v>-5.8575579386177523E-4</v>
      </c>
      <c r="G25" s="8"/>
      <c r="H25" s="8">
        <f t="shared" si="2"/>
        <v>-6.2706186148097514E-93</v>
      </c>
      <c r="I25" s="8" t="e">
        <f t="shared" si="3"/>
        <v>#NUM!</v>
      </c>
      <c r="J25" s="2"/>
    </row>
    <row r="26" spans="1:10" ht="15.5">
      <c r="A26" s="2">
        <v>72.5</v>
      </c>
      <c r="B26">
        <v>50</v>
      </c>
      <c r="C26" s="2">
        <v>76</v>
      </c>
      <c r="D26" s="2">
        <f t="shared" si="0"/>
        <v>126</v>
      </c>
      <c r="E26" s="8">
        <f t="shared" si="1"/>
        <v>0.3968253968253968</v>
      </c>
      <c r="F26" s="8">
        <f t="shared" si="4"/>
        <v>3.2456781657241862E-3</v>
      </c>
      <c r="G26" s="8"/>
      <c r="H26" s="8">
        <f t="shared" si="2"/>
        <v>1.1874534500437407E-89</v>
      </c>
      <c r="I26" s="8">
        <f t="shared" si="3"/>
        <v>-204.7582622202749</v>
      </c>
      <c r="J26" s="2"/>
    </row>
    <row r="27" spans="1:10" ht="15.5">
      <c r="A27" s="2">
        <v>77.5</v>
      </c>
      <c r="B27">
        <v>62</v>
      </c>
      <c r="C27" s="2">
        <v>80</v>
      </c>
      <c r="D27" s="2">
        <f t="shared" si="0"/>
        <v>142</v>
      </c>
      <c r="E27" s="8">
        <f t="shared" si="1"/>
        <v>0.43661971830985913</v>
      </c>
      <c r="F27" s="8">
        <f t="shared" si="4"/>
        <v>8.6864944877265149E-3</v>
      </c>
      <c r="G27" s="8"/>
      <c r="H27" s="8">
        <f t="shared" si="2"/>
        <v>9.6213760326183227E-88</v>
      </c>
      <c r="I27" s="8">
        <f t="shared" si="3"/>
        <v>-200.36350089029375</v>
      </c>
      <c r="J27" s="2"/>
    </row>
    <row r="28" spans="1:10" ht="15.5">
      <c r="A28" s="2">
        <v>82.5</v>
      </c>
      <c r="B28">
        <v>89</v>
      </c>
      <c r="C28" s="2">
        <v>96</v>
      </c>
      <c r="D28" s="2">
        <f t="shared" si="0"/>
        <v>185</v>
      </c>
      <c r="E28" s="8">
        <f t="shared" si="1"/>
        <v>0.48108108108108111</v>
      </c>
      <c r="F28" s="8">
        <f t="shared" si="4"/>
        <v>1.6382198060428621E-2</v>
      </c>
      <c r="G28" s="8"/>
      <c r="H28" s="8">
        <f t="shared" si="2"/>
        <v>6.1880515833776971E-106</v>
      </c>
      <c r="I28" s="8">
        <f t="shared" si="3"/>
        <v>-242.25139958865887</v>
      </c>
      <c r="J28" s="2"/>
    </row>
    <row r="29" spans="1:10" ht="15.5">
      <c r="A29" s="2">
        <v>87.5</v>
      </c>
      <c r="B29">
        <v>145</v>
      </c>
      <c r="C29" s="2">
        <v>110</v>
      </c>
      <c r="D29" s="2">
        <f t="shared" si="0"/>
        <v>255</v>
      </c>
      <c r="E29" s="8">
        <f t="shared" si="1"/>
        <v>0.56862745098039214</v>
      </c>
      <c r="F29" s="8">
        <f t="shared" si="4"/>
        <v>2.7206600652350588E-2</v>
      </c>
      <c r="G29" s="8"/>
      <c r="H29" s="8">
        <f t="shared" si="2"/>
        <v>1.344596574939199E-154</v>
      </c>
      <c r="I29" s="8">
        <f t="shared" si="3"/>
        <v>-354.30201029730466</v>
      </c>
      <c r="J29" s="2"/>
    </row>
    <row r="30" spans="1:10" ht="15.5">
      <c r="A30" s="2">
        <v>92.5</v>
      </c>
      <c r="B30">
        <v>192</v>
      </c>
      <c r="C30" s="2">
        <v>99</v>
      </c>
      <c r="D30" s="2">
        <f t="shared" si="0"/>
        <v>291</v>
      </c>
      <c r="E30" s="8">
        <f t="shared" si="1"/>
        <v>0.65979381443298968</v>
      </c>
      <c r="F30" s="8">
        <f t="shared" si="4"/>
        <v>4.2312527469678951E-2</v>
      </c>
      <c r="G30" s="8"/>
      <c r="H30" s="8">
        <f t="shared" si="2"/>
        <v>1.4037732604611718E-186</v>
      </c>
      <c r="I30" s="8">
        <f t="shared" si="3"/>
        <v>-427.94166349972869</v>
      </c>
      <c r="J30" s="2"/>
    </row>
    <row r="31" spans="1:10" ht="15.5">
      <c r="A31" s="2">
        <v>97.5</v>
      </c>
      <c r="B31">
        <v>176</v>
      </c>
      <c r="C31" s="2">
        <v>109</v>
      </c>
      <c r="D31" s="2">
        <f t="shared" si="0"/>
        <v>285</v>
      </c>
      <c r="E31" s="8">
        <f t="shared" si="1"/>
        <v>0.61754385964912284</v>
      </c>
      <c r="F31" s="8">
        <f t="shared" si="4"/>
        <v>6.3163981944634795E-2</v>
      </c>
      <c r="G31" s="8"/>
      <c r="H31" s="8">
        <f t="shared" si="2"/>
        <v>6.6295159831988964E-134</v>
      </c>
      <c r="I31" s="8">
        <f t="shared" si="3"/>
        <v>-306.65487066371168</v>
      </c>
      <c r="J31" s="2"/>
    </row>
    <row r="32" spans="1:10" ht="15.5">
      <c r="A32" s="2">
        <v>102.5</v>
      </c>
      <c r="B32">
        <v>112</v>
      </c>
      <c r="C32" s="2">
        <v>77</v>
      </c>
      <c r="D32" s="2">
        <f t="shared" si="0"/>
        <v>189</v>
      </c>
      <c r="E32" s="8">
        <f t="shared" si="1"/>
        <v>0.59259259259259256</v>
      </c>
      <c r="F32" s="8">
        <f t="shared" si="4"/>
        <v>9.151548515575314E-2</v>
      </c>
      <c r="G32" s="2"/>
      <c r="H32" s="8">
        <f t="shared" si="2"/>
        <v>5.340783409421918E-66</v>
      </c>
      <c r="I32" s="8">
        <f t="shared" si="3"/>
        <v>-150.29524378951092</v>
      </c>
      <c r="J32" s="2"/>
    </row>
    <row r="33" spans="1:10" ht="15.5">
      <c r="A33" s="2">
        <v>107.5</v>
      </c>
      <c r="B33">
        <v>50</v>
      </c>
      <c r="C33" s="2">
        <v>31</v>
      </c>
      <c r="D33" s="2">
        <f t="shared" si="0"/>
        <v>81</v>
      </c>
      <c r="E33" s="8">
        <f t="shared" si="1"/>
        <v>0.61728395061728392</v>
      </c>
      <c r="F33" s="8">
        <f t="shared" si="4"/>
        <v>0.12928442856747258</v>
      </c>
      <c r="G33" s="20"/>
      <c r="H33" s="8">
        <f t="shared" si="2"/>
        <v>1.1983750501165057E-24</v>
      </c>
      <c r="I33" s="8">
        <f t="shared" si="3"/>
        <v>-55.081075717621687</v>
      </c>
      <c r="J33" s="2"/>
    </row>
    <row r="34" spans="1:10" ht="15.5">
      <c r="A34" s="2">
        <v>112.5</v>
      </c>
      <c r="B34">
        <v>14</v>
      </c>
      <c r="C34" s="2">
        <v>6</v>
      </c>
      <c r="D34" s="2">
        <f t="shared" si="0"/>
        <v>20</v>
      </c>
      <c r="E34" s="8">
        <f t="shared" si="1"/>
        <v>0.7</v>
      </c>
      <c r="F34" s="8">
        <f t="shared" si="4"/>
        <v>0.17825129877213763</v>
      </c>
      <c r="G34" s="20"/>
      <c r="H34" s="8">
        <f t="shared" si="2"/>
        <v>3.9018966939821474E-7</v>
      </c>
      <c r="I34" s="8">
        <f t="shared" si="3"/>
        <v>-14.756632884253401</v>
      </c>
      <c r="J34" s="2"/>
    </row>
    <row r="35" spans="1:10" ht="15.5">
      <c r="A35" s="2">
        <v>117.5</v>
      </c>
      <c r="B35">
        <v>4</v>
      </c>
      <c r="C35" s="2">
        <v>3</v>
      </c>
      <c r="D35" s="2">
        <f t="shared" si="0"/>
        <v>7</v>
      </c>
      <c r="E35" s="8">
        <f t="shared" si="1"/>
        <v>0.5714285714285714</v>
      </c>
      <c r="F35" s="8">
        <f t="shared" si="4"/>
        <v>0.23954888190575474</v>
      </c>
      <c r="G35" s="20"/>
      <c r="H35" s="8">
        <f t="shared" si="2"/>
        <v>5.0682560234628159E-2</v>
      </c>
      <c r="I35" s="8">
        <f t="shared" si="3"/>
        <v>-2.9821734071526831</v>
      </c>
      <c r="J35" s="2"/>
    </row>
    <row r="36" spans="1:10" ht="15.5">
      <c r="A36" s="2">
        <v>122.5</v>
      </c>
      <c r="B36">
        <v>0</v>
      </c>
      <c r="C36" s="2">
        <v>3</v>
      </c>
      <c r="D36" s="2">
        <f t="shared" si="0"/>
        <v>3</v>
      </c>
      <c r="E36" s="8">
        <f t="shared" si="1"/>
        <v>0</v>
      </c>
      <c r="F36" s="8">
        <f t="shared" si="4"/>
        <v>0.31300132385421309</v>
      </c>
      <c r="G36" s="20"/>
      <c r="H36" s="8">
        <f t="shared" si="2"/>
        <v>0.32424082854916481</v>
      </c>
      <c r="I36" s="8">
        <f t="shared" si="3"/>
        <v>-1.1262687413076977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0.39654707128022104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0.486119895167618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opLeftCell="A7" zoomScale="60" zoomScaleNormal="60" workbookViewId="0">
      <selection activeCell="J4" sqref="J4:J5"/>
    </sheetView>
  </sheetViews>
  <sheetFormatPr defaultRowHeight="14.5"/>
  <cols>
    <col min="5" max="5" width="21.453125" bestFit="1" customWidth="1"/>
    <col min="6" max="6" width="16.7265625" bestFit="1" customWidth="1"/>
    <col min="8" max="8" width="23.7265625" bestFit="1" customWidth="1"/>
  </cols>
  <sheetData>
    <row r="1" spans="1:11" ht="20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1" ht="20">
      <c r="B2" s="1" t="s">
        <v>1</v>
      </c>
      <c r="C2" s="2"/>
      <c r="D2" s="2"/>
      <c r="G2" s="2"/>
      <c r="H2" s="3"/>
      <c r="I2" s="2"/>
      <c r="J2" s="2"/>
    </row>
    <row r="3" spans="1:11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1" ht="16" thickTop="1">
      <c r="A4" s="4" t="s">
        <v>5</v>
      </c>
      <c r="B4" s="5"/>
      <c r="C4" s="5"/>
      <c r="D4" s="5"/>
      <c r="E4" s="6" t="s">
        <v>6</v>
      </c>
      <c r="F4" s="7">
        <v>-4.5715240982887746</v>
      </c>
      <c r="G4" s="2"/>
      <c r="H4" s="8">
        <f>-J4*H5</f>
        <v>-3.8451430103383841</v>
      </c>
      <c r="I4" s="6" t="s">
        <v>7</v>
      </c>
      <c r="J4" s="9">
        <v>87.5</v>
      </c>
    </row>
    <row r="5" spans="1:11" ht="16" thickBot="1">
      <c r="A5" s="5" t="s">
        <v>8</v>
      </c>
      <c r="B5" s="5"/>
      <c r="C5" s="5"/>
      <c r="D5" s="5"/>
      <c r="E5" s="6" t="s">
        <v>9</v>
      </c>
      <c r="F5" s="10">
        <v>5.011766609299647E-2</v>
      </c>
      <c r="G5" s="2"/>
      <c r="H5" s="8">
        <f>2*LN(3)/J5</f>
        <v>4.394449154672439E-2</v>
      </c>
      <c r="I5" s="6" t="s">
        <v>10</v>
      </c>
      <c r="J5" s="9">
        <v>50</v>
      </c>
      <c r="K5">
        <f>132-67</f>
        <v>65</v>
      </c>
    </row>
    <row r="6" spans="1:11" ht="109" thickTop="1">
      <c r="A6" s="11" t="s">
        <v>11</v>
      </c>
      <c r="B6" s="12" t="s">
        <v>12</v>
      </c>
      <c r="C6" s="12"/>
      <c r="D6" s="12"/>
      <c r="E6" s="6"/>
      <c r="F6" s="2"/>
      <c r="G6" s="2"/>
      <c r="H6" s="9"/>
      <c r="I6" s="2"/>
      <c r="J6" s="2" t="s">
        <v>13</v>
      </c>
    </row>
    <row r="7" spans="1:11" ht="16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1" ht="16.5" thickTop="1" thickBot="1">
      <c r="A8" s="13"/>
      <c r="B8" s="13"/>
      <c r="C8" s="13"/>
      <c r="D8" s="13"/>
      <c r="E8" s="6" t="s">
        <v>7</v>
      </c>
      <c r="F8" s="2">
        <f>-F4/F5</f>
        <v>91.215821778412931</v>
      </c>
      <c r="G8" s="2"/>
      <c r="H8" s="14">
        <f>SUM(I14:I38)</f>
        <v>-71.362277776200187</v>
      </c>
      <c r="I8" s="2"/>
      <c r="J8" s="2">
        <f>-2*H8+2*2</f>
        <v>146.72455555240037</v>
      </c>
    </row>
    <row r="9" spans="1:11" ht="16" thickTop="1">
      <c r="A9" s="15"/>
      <c r="B9" s="15"/>
      <c r="C9" s="15"/>
      <c r="D9" s="15"/>
      <c r="E9" s="6" t="s">
        <v>16</v>
      </c>
      <c r="F9" s="16">
        <f>2*LN(3)/F5</f>
        <v>43.841318812794107</v>
      </c>
      <c r="G9" s="2"/>
      <c r="H9" s="17"/>
      <c r="I9" s="2"/>
      <c r="J9" s="2"/>
    </row>
    <row r="10" spans="1:11" ht="15.5">
      <c r="A10" s="18"/>
      <c r="B10" s="19"/>
      <c r="C10" s="19"/>
      <c r="D10" s="19"/>
      <c r="E10" s="19"/>
      <c r="F10" s="19"/>
      <c r="G10" s="2"/>
      <c r="H10" s="17"/>
      <c r="I10" s="2"/>
      <c r="J10" s="2"/>
    </row>
    <row r="11" spans="1:11" ht="15.5">
      <c r="A11" s="19"/>
      <c r="B11" s="19"/>
      <c r="C11" s="19"/>
      <c r="D11" s="19"/>
      <c r="E11" s="19"/>
      <c r="F11" s="19"/>
      <c r="G11" s="2"/>
      <c r="H11" s="17"/>
      <c r="I11" s="16"/>
      <c r="J11" s="2"/>
    </row>
    <row r="12" spans="1:11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1" ht="15.5">
      <c r="A13" s="2" t="s">
        <v>22</v>
      </c>
      <c r="B13" t="s">
        <v>44</v>
      </c>
      <c r="C13" t="s">
        <v>24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1" ht="15.5">
      <c r="A14">
        <v>12.5</v>
      </c>
      <c r="B14">
        <v>1</v>
      </c>
      <c r="C14">
        <v>0</v>
      </c>
      <c r="D14" s="2">
        <f>+C14+B14</f>
        <v>1</v>
      </c>
      <c r="E14" s="8">
        <f t="shared" ref="E14:E38" si="0">+B14/(C14+B14)</f>
        <v>1</v>
      </c>
      <c r="F14" s="8">
        <f>EXP($F$4+$F$5*A14)/(1+EXP($F$4+$F$5*A14))</f>
        <v>1.8982863584691E-2</v>
      </c>
      <c r="G14" s="8"/>
      <c r="H14" s="8">
        <f>COMBIN(D14,B14)*(F14^B14)*((1-F14)^C14)</f>
        <v>1.8982863584691E-2</v>
      </c>
      <c r="I14" s="8">
        <f>LN(H14)</f>
        <v>-3.9642186233824006</v>
      </c>
      <c r="J14" s="2"/>
    </row>
    <row r="15" spans="1:11" ht="15.5">
      <c r="A15">
        <v>17.5</v>
      </c>
      <c r="B15">
        <v>1</v>
      </c>
      <c r="C15">
        <v>11</v>
      </c>
      <c r="D15" s="2">
        <f>+C15+B15</f>
        <v>12</v>
      </c>
      <c r="E15" s="8">
        <f t="shared" si="0"/>
        <v>8.3333333333333329E-2</v>
      </c>
      <c r="F15" s="8">
        <f t="shared" ref="F15:F38" si="1">EXP($F$4+$F$5*A15)/(1+EXP($F$4+$F$5*A15))</f>
        <v>2.4257687697822283E-2</v>
      </c>
      <c r="G15" s="8"/>
      <c r="H15" s="8">
        <f>COMBIN(D15,B15)*(F15^B15)*((1-F15)^C15)</f>
        <v>0.22218624388640085</v>
      </c>
      <c r="I15" s="8">
        <f>LN(H15)</f>
        <v>-1.5042393123950966</v>
      </c>
      <c r="J15" s="2"/>
    </row>
    <row r="16" spans="1:11" ht="15.5">
      <c r="A16">
        <v>22.5</v>
      </c>
      <c r="B16">
        <v>0</v>
      </c>
      <c r="C16">
        <v>43</v>
      </c>
      <c r="D16" s="2">
        <f>+C16+B16</f>
        <v>43</v>
      </c>
      <c r="E16" s="8">
        <f t="shared" si="0"/>
        <v>0</v>
      </c>
      <c r="F16" s="8">
        <f t="shared" si="1"/>
        <v>3.0951997530688252E-2</v>
      </c>
      <c r="G16" s="8"/>
      <c r="H16" s="8">
        <f>COMBIN(D16,B16)*(F16^B16)*((1-F16)^C16)</f>
        <v>0.25873042300427784</v>
      </c>
      <c r="I16" s="8">
        <f>LN(H16)</f>
        <v>-1.3519685971517608</v>
      </c>
      <c r="J16" s="2"/>
    </row>
    <row r="17" spans="1:10" ht="15.5">
      <c r="A17">
        <v>27.5</v>
      </c>
      <c r="B17">
        <v>2</v>
      </c>
      <c r="C17">
        <v>54</v>
      </c>
      <c r="D17" s="2">
        <f>+C17+B17</f>
        <v>56</v>
      </c>
      <c r="E17" s="8">
        <f t="shared" si="0"/>
        <v>3.5714285714285712E-2</v>
      </c>
      <c r="F17" s="8">
        <f t="shared" si="1"/>
        <v>3.9419079343828968E-2</v>
      </c>
      <c r="G17" s="8"/>
      <c r="H17" s="8">
        <f>COMBIN(D17,B17)*(F17^B17)*((1-F17)^C17)</f>
        <v>0.27275160501082274</v>
      </c>
      <c r="I17" s="8">
        <f t="shared" ref="I17:I38" si="2">LN(H17)</f>
        <v>-1.2991937697369664</v>
      </c>
      <c r="J17" s="2"/>
    </row>
    <row r="18" spans="1:10" ht="15.5">
      <c r="A18">
        <v>32.5</v>
      </c>
      <c r="B18">
        <v>0</v>
      </c>
      <c r="C18">
        <v>26</v>
      </c>
      <c r="D18" s="2">
        <f t="shared" ref="D18:D38" si="3">+C18+B18</f>
        <v>26</v>
      </c>
      <c r="E18" s="8">
        <f t="shared" si="0"/>
        <v>0</v>
      </c>
      <c r="F18" s="8">
        <f t="shared" si="1"/>
        <v>5.008266854526363E-2</v>
      </c>
      <c r="G18" s="8"/>
      <c r="H18" s="8">
        <f t="shared" ref="H18:H38" si="4">COMBIN(D18,B18)*(F18^B18)*((1-F18)^C18)</f>
        <v>0.26292452634058505</v>
      </c>
      <c r="I18" s="8">
        <f t="shared" si="2"/>
        <v>-1.3358882600777719</v>
      </c>
      <c r="J18" s="2"/>
    </row>
    <row r="19" spans="1:10" ht="15.5">
      <c r="A19">
        <v>37.5</v>
      </c>
      <c r="B19">
        <v>1</v>
      </c>
      <c r="C19">
        <v>29</v>
      </c>
      <c r="D19" s="2">
        <f t="shared" si="3"/>
        <v>30</v>
      </c>
      <c r="E19" s="8">
        <f t="shared" si="0"/>
        <v>3.3333333333333333E-2</v>
      </c>
      <c r="F19" s="8">
        <f t="shared" si="1"/>
        <v>6.3440439142969665E-2</v>
      </c>
      <c r="G19" s="8"/>
      <c r="H19" s="8">
        <f t="shared" si="4"/>
        <v>0.2844553359457952</v>
      </c>
      <c r="I19" s="8">
        <f t="shared" si="2"/>
        <v>-1.257179029143372</v>
      </c>
      <c r="J19" s="2"/>
    </row>
    <row r="20" spans="1:10" ht="15.5">
      <c r="A20">
        <v>42.5</v>
      </c>
      <c r="B20">
        <v>1</v>
      </c>
      <c r="C20">
        <v>46</v>
      </c>
      <c r="D20" s="2">
        <f t="shared" si="3"/>
        <v>47</v>
      </c>
      <c r="E20" s="8">
        <f t="shared" si="0"/>
        <v>2.1276595744680851E-2</v>
      </c>
      <c r="F20" s="8">
        <f t="shared" si="1"/>
        <v>8.0060648687411695E-2</v>
      </c>
      <c r="G20" s="8"/>
      <c r="H20" s="8">
        <f t="shared" si="4"/>
        <v>8.0991605397454883E-2</v>
      </c>
      <c r="I20" s="8">
        <f>LN(H20)</f>
        <v>-2.5134097667488486</v>
      </c>
      <c r="J20" s="2"/>
    </row>
    <row r="21" spans="1:10" ht="15.5">
      <c r="A21">
        <v>47.5</v>
      </c>
      <c r="B21">
        <v>3</v>
      </c>
      <c r="C21">
        <v>27</v>
      </c>
      <c r="D21" s="2">
        <f t="shared" si="3"/>
        <v>30</v>
      </c>
      <c r="E21" s="8">
        <f t="shared" si="0"/>
        <v>0.1</v>
      </c>
      <c r="F21" s="8">
        <f t="shared" si="1"/>
        <v>0.10056749151307361</v>
      </c>
      <c r="G21" s="8"/>
      <c r="H21" s="8">
        <f t="shared" si="4"/>
        <v>0.23607530311486019</v>
      </c>
      <c r="I21" s="8">
        <f t="shared" si="2"/>
        <v>-1.4436044438568711</v>
      </c>
      <c r="J21" s="2"/>
    </row>
    <row r="22" spans="1:10" ht="15.5">
      <c r="A22">
        <v>52.5</v>
      </c>
      <c r="B22">
        <v>3</v>
      </c>
      <c r="C22">
        <v>11</v>
      </c>
      <c r="D22" s="2">
        <f t="shared" si="3"/>
        <v>14</v>
      </c>
      <c r="E22" s="8">
        <f t="shared" si="0"/>
        <v>0.21428571428571427</v>
      </c>
      <c r="F22" s="8">
        <f t="shared" si="1"/>
        <v>0.12560978069591258</v>
      </c>
      <c r="G22" s="8"/>
      <c r="H22" s="8">
        <f t="shared" si="4"/>
        <v>0.16478965992442607</v>
      </c>
      <c r="I22" s="8">
        <f t="shared" si="2"/>
        <v>-1.8030854066522275</v>
      </c>
      <c r="J22" s="2"/>
    </row>
    <row r="23" spans="1:10" ht="15.5">
      <c r="A23">
        <v>57.5</v>
      </c>
      <c r="B23">
        <v>6</v>
      </c>
      <c r="C23">
        <v>17</v>
      </c>
      <c r="D23" s="2">
        <f t="shared" si="3"/>
        <v>23</v>
      </c>
      <c r="E23" s="8">
        <f t="shared" si="0"/>
        <v>0.2608695652173913</v>
      </c>
      <c r="F23" s="8">
        <f t="shared" si="1"/>
        <v>0.15580762894032699</v>
      </c>
      <c r="G23" s="8"/>
      <c r="H23" s="8">
        <f t="shared" si="4"/>
        <v>8.1120369760637565E-2</v>
      </c>
      <c r="I23" s="8">
        <f t="shared" si="2"/>
        <v>-2.5118211809563888</v>
      </c>
      <c r="J23" s="2"/>
    </row>
    <row r="24" spans="1:10" ht="15.5">
      <c r="A24">
        <v>62.5</v>
      </c>
      <c r="B24">
        <v>3</v>
      </c>
      <c r="C24">
        <v>20</v>
      </c>
      <c r="D24" s="2">
        <f t="shared" si="3"/>
        <v>23</v>
      </c>
      <c r="E24" s="8">
        <f t="shared" si="0"/>
        <v>0.13043478260869565</v>
      </c>
      <c r="F24" s="8">
        <f t="shared" si="1"/>
        <v>0.1916739167617631</v>
      </c>
      <c r="G24" s="8"/>
      <c r="H24" s="8">
        <f t="shared" si="4"/>
        <v>0.17686401202403046</v>
      </c>
      <c r="I24" s="8">
        <f t="shared" si="2"/>
        <v>-1.7323741353466746</v>
      </c>
      <c r="J24" s="2"/>
    </row>
    <row r="25" spans="1:10" ht="15.5">
      <c r="A25">
        <v>67.5</v>
      </c>
      <c r="B25">
        <v>13</v>
      </c>
      <c r="C25">
        <v>38</v>
      </c>
      <c r="D25" s="2">
        <f t="shared" si="3"/>
        <v>51</v>
      </c>
      <c r="E25" s="8">
        <f t="shared" si="0"/>
        <v>0.25490196078431371</v>
      </c>
      <c r="F25" s="8">
        <f t="shared" si="1"/>
        <v>0.2335127048311986</v>
      </c>
      <c r="G25" s="8"/>
      <c r="H25" s="8">
        <f t="shared" si="4"/>
        <v>0.11941790672306789</v>
      </c>
      <c r="I25" s="8">
        <f t="shared" si="2"/>
        <v>-2.1251261167133872</v>
      </c>
      <c r="J25" s="2"/>
    </row>
    <row r="26" spans="1:10" ht="15.5">
      <c r="A26">
        <v>72.5</v>
      </c>
      <c r="B26">
        <v>21</v>
      </c>
      <c r="C26">
        <v>76</v>
      </c>
      <c r="D26" s="2">
        <f t="shared" si="3"/>
        <v>97</v>
      </c>
      <c r="E26" s="8">
        <f t="shared" si="0"/>
        <v>0.21649484536082475</v>
      </c>
      <c r="F26" s="8">
        <f t="shared" si="1"/>
        <v>0.28130586346786995</v>
      </c>
      <c r="G26" s="8"/>
      <c r="H26" s="8">
        <f t="shared" si="4"/>
        <v>3.3843818730897965E-2</v>
      </c>
      <c r="I26" s="8">
        <f t="shared" si="2"/>
        <v>-3.3859989039530785</v>
      </c>
      <c r="J26" s="2"/>
    </row>
    <row r="27" spans="1:10" ht="15.5">
      <c r="A27">
        <v>77.5</v>
      </c>
      <c r="B27">
        <v>27</v>
      </c>
      <c r="C27">
        <v>80</v>
      </c>
      <c r="D27" s="2">
        <f t="shared" si="3"/>
        <v>107</v>
      </c>
      <c r="E27" s="8">
        <f t="shared" si="0"/>
        <v>0.25233644859813081</v>
      </c>
      <c r="F27" s="8">
        <f t="shared" si="1"/>
        <v>0.33461059764886414</v>
      </c>
      <c r="G27" s="8"/>
      <c r="H27" s="8">
        <f t="shared" si="4"/>
        <v>1.6054849318932401E-2</v>
      </c>
      <c r="I27" s="8">
        <f t="shared" si="2"/>
        <v>-4.131744336789442</v>
      </c>
      <c r="J27" s="2"/>
    </row>
    <row r="28" spans="1:10" ht="15.5">
      <c r="A28">
        <v>82.5</v>
      </c>
      <c r="B28">
        <v>52</v>
      </c>
      <c r="C28">
        <v>96</v>
      </c>
      <c r="D28" s="2">
        <f t="shared" si="3"/>
        <v>148</v>
      </c>
      <c r="E28" s="8">
        <f t="shared" si="0"/>
        <v>0.35135135135135137</v>
      </c>
      <c r="F28" s="8">
        <f t="shared" si="1"/>
        <v>0.39249975973830326</v>
      </c>
      <c r="G28" s="8"/>
      <c r="H28" s="8">
        <f t="shared" si="4"/>
        <v>4.0244355832027262E-2</v>
      </c>
      <c r="I28" s="8">
        <f t="shared" si="2"/>
        <v>-3.2127855127261187</v>
      </c>
      <c r="J28" s="2"/>
    </row>
    <row r="29" spans="1:10" ht="15.5">
      <c r="A29">
        <v>87.5</v>
      </c>
      <c r="B29">
        <v>109</v>
      </c>
      <c r="C29">
        <v>110</v>
      </c>
      <c r="D29" s="2">
        <f t="shared" si="3"/>
        <v>219</v>
      </c>
      <c r="E29" s="8">
        <f t="shared" si="0"/>
        <v>0.49771689497716892</v>
      </c>
      <c r="F29" s="8">
        <f t="shared" si="1"/>
        <v>0.45357700997891076</v>
      </c>
      <c r="G29" s="8"/>
      <c r="H29" s="8">
        <f t="shared" si="4"/>
        <v>2.2853510168715545E-2</v>
      </c>
      <c r="I29" s="8">
        <f t="shared" si="2"/>
        <v>-3.7786505555530479</v>
      </c>
      <c r="J29" s="2"/>
    </row>
    <row r="30" spans="1:10" ht="15.5">
      <c r="A30">
        <v>92.5</v>
      </c>
      <c r="B30">
        <v>179</v>
      </c>
      <c r="C30">
        <v>99</v>
      </c>
      <c r="D30" s="2">
        <f t="shared" si="3"/>
        <v>278</v>
      </c>
      <c r="E30" s="8">
        <f t="shared" si="0"/>
        <v>0.64388489208633093</v>
      </c>
      <c r="F30" s="8">
        <f t="shared" si="1"/>
        <v>0.51608445211130727</v>
      </c>
      <c r="G30" s="8"/>
      <c r="H30" s="8">
        <f t="shared" si="4"/>
        <v>4.8231865286799117E-6</v>
      </c>
      <c r="I30" s="8">
        <f t="shared" si="2"/>
        <v>-12.242075742800511</v>
      </c>
      <c r="J30" s="2"/>
    </row>
    <row r="31" spans="1:10" ht="15.5">
      <c r="A31">
        <v>97.5</v>
      </c>
      <c r="B31">
        <v>161</v>
      </c>
      <c r="C31">
        <v>109</v>
      </c>
      <c r="D31" s="2">
        <f t="shared" si="3"/>
        <v>270</v>
      </c>
      <c r="E31" s="8">
        <f t="shared" si="0"/>
        <v>0.59629629629629632</v>
      </c>
      <c r="F31" s="8">
        <f t="shared" si="1"/>
        <v>0.57809263439090808</v>
      </c>
      <c r="G31" s="8"/>
      <c r="H31" s="8">
        <f t="shared" si="4"/>
        <v>4.1120357111454536E-2</v>
      </c>
      <c r="I31" s="8">
        <f t="shared" si="2"/>
        <v>-3.1912519732558535</v>
      </c>
      <c r="J31" s="2"/>
    </row>
    <row r="32" spans="1:10" ht="15.5">
      <c r="A32">
        <v>102.5</v>
      </c>
      <c r="B32">
        <v>102</v>
      </c>
      <c r="C32">
        <v>77</v>
      </c>
      <c r="D32" s="2">
        <f t="shared" si="3"/>
        <v>179</v>
      </c>
      <c r="E32" s="8">
        <f t="shared" si="0"/>
        <v>0.56983240223463683</v>
      </c>
      <c r="F32" s="8">
        <f t="shared" si="1"/>
        <v>0.63773264994526291</v>
      </c>
      <c r="G32" s="2"/>
      <c r="H32" s="8">
        <f t="shared" si="4"/>
        <v>1.050142298680176E-2</v>
      </c>
      <c r="I32" s="8">
        <f t="shared" si="2"/>
        <v>-4.5562445084484624</v>
      </c>
      <c r="J32" s="2"/>
    </row>
    <row r="33" spans="1:10" ht="15.5">
      <c r="A33">
        <v>107.5</v>
      </c>
      <c r="B33">
        <v>43</v>
      </c>
      <c r="C33">
        <v>31</v>
      </c>
      <c r="D33" s="2">
        <f t="shared" si="3"/>
        <v>74</v>
      </c>
      <c r="E33" s="8">
        <f t="shared" si="0"/>
        <v>0.58108108108108103</v>
      </c>
      <c r="F33" s="8">
        <f t="shared" si="1"/>
        <v>0.69341316804345354</v>
      </c>
      <c r="G33" s="20"/>
      <c r="H33" s="8">
        <f t="shared" si="4"/>
        <v>1.1727355636120334E-2</v>
      </c>
      <c r="I33" s="8">
        <f t="shared" si="2"/>
        <v>-4.4458310776971306</v>
      </c>
      <c r="J33" s="2"/>
    </row>
    <row r="34" spans="1:10" ht="15.5">
      <c r="A34">
        <v>112.5</v>
      </c>
      <c r="B34">
        <v>6</v>
      </c>
      <c r="C34">
        <v>6</v>
      </c>
      <c r="D34" s="2">
        <f t="shared" si="3"/>
        <v>12</v>
      </c>
      <c r="E34" s="8">
        <f t="shared" si="0"/>
        <v>0.5</v>
      </c>
      <c r="F34" s="8">
        <f t="shared" si="1"/>
        <v>0.74397138112912142</v>
      </c>
      <c r="G34" s="20"/>
      <c r="H34" s="8">
        <f t="shared" si="4"/>
        <v>4.4130660672709987E-2</v>
      </c>
      <c r="I34" s="8">
        <f t="shared" si="2"/>
        <v>-3.1206004847565492</v>
      </c>
      <c r="J34" s="2"/>
    </row>
    <row r="35" spans="1:10" ht="15.5">
      <c r="A35">
        <v>117.5</v>
      </c>
      <c r="B35">
        <v>3</v>
      </c>
      <c r="C35">
        <v>3</v>
      </c>
      <c r="D35" s="2">
        <f t="shared" si="3"/>
        <v>6</v>
      </c>
      <c r="E35" s="8">
        <f t="shared" si="0"/>
        <v>0.5</v>
      </c>
      <c r="F35" s="8">
        <f t="shared" si="1"/>
        <v>0.78873242402787225</v>
      </c>
      <c r="G35" s="20"/>
      <c r="H35" s="8">
        <f t="shared" si="4"/>
        <v>9.2537471281507577E-2</v>
      </c>
      <c r="I35" s="8">
        <f t="shared" si="2"/>
        <v>-2.3801416215573417</v>
      </c>
      <c r="J35" s="2"/>
    </row>
    <row r="36" spans="1:10" ht="15.5">
      <c r="A36">
        <v>122.5</v>
      </c>
      <c r="B36">
        <v>1</v>
      </c>
      <c r="C36">
        <v>3</v>
      </c>
      <c r="D36" s="2">
        <f t="shared" si="3"/>
        <v>4</v>
      </c>
      <c r="E36" s="8">
        <f t="shared" si="0"/>
        <v>0.25</v>
      </c>
      <c r="F36" s="8">
        <f t="shared" si="1"/>
        <v>0.82748260274277186</v>
      </c>
      <c r="G36" s="20"/>
      <c r="H36" s="8">
        <f t="shared" si="4"/>
        <v>1.6994858590855321E-2</v>
      </c>
      <c r="I36" s="8">
        <f t="shared" si="2"/>
        <v>-4.0748444165009001</v>
      </c>
      <c r="J36" s="2"/>
    </row>
    <row r="37" spans="1:10" ht="15.5">
      <c r="A37">
        <v>127.5</v>
      </c>
      <c r="B37">
        <v>0</v>
      </c>
      <c r="C37">
        <v>0</v>
      </c>
      <c r="D37" s="2">
        <f t="shared" si="3"/>
        <v>0</v>
      </c>
      <c r="E37" s="8" t="e">
        <f t="shared" si="0"/>
        <v>#DIV/0!</v>
      </c>
      <c r="F37" s="8">
        <f t="shared" si="1"/>
        <v>0.86038343833707942</v>
      </c>
      <c r="G37" s="2"/>
      <c r="H37" s="8">
        <f t="shared" si="4"/>
        <v>1</v>
      </c>
      <c r="I37" s="8">
        <f t="shared" si="2"/>
        <v>0</v>
      </c>
      <c r="J37" s="2"/>
    </row>
    <row r="38" spans="1:10" ht="15.5">
      <c r="A38">
        <v>132.5</v>
      </c>
      <c r="B38">
        <v>0</v>
      </c>
      <c r="C38">
        <v>0</v>
      </c>
      <c r="D38" s="2">
        <f t="shared" si="3"/>
        <v>0</v>
      </c>
      <c r="E38" s="8" t="e">
        <f t="shared" si="0"/>
        <v>#DIV/0!</v>
      </c>
      <c r="F38" s="8">
        <f t="shared" si="1"/>
        <v>0.88786006738766188</v>
      </c>
      <c r="G38" s="2"/>
      <c r="H38" s="8">
        <f t="shared" si="4"/>
        <v>1</v>
      </c>
      <c r="I38" s="8">
        <f t="shared" si="2"/>
        <v>0</v>
      </c>
      <c r="J38" s="2"/>
    </row>
    <row r="39" spans="1:10" ht="15.5">
      <c r="B39" s="21"/>
      <c r="C39" s="21"/>
      <c r="D39" s="2"/>
      <c r="E39" s="8"/>
      <c r="F39" s="8"/>
      <c r="G39" s="2"/>
      <c r="H39" s="8"/>
      <c r="I39" s="8"/>
      <c r="J39" s="2"/>
    </row>
    <row r="40" spans="1:10" ht="15.5">
      <c r="B40" s="21"/>
      <c r="C40" s="21"/>
      <c r="D40" s="2"/>
      <c r="E40" s="8"/>
      <c r="F40" s="8"/>
      <c r="G40" s="2"/>
      <c r="H40" s="8"/>
      <c r="I40" s="8"/>
      <c r="J40" s="2"/>
    </row>
    <row r="41" spans="1:10" ht="15.5">
      <c r="B41" s="21"/>
      <c r="C41" s="21"/>
      <c r="D41" s="2"/>
      <c r="E41" s="8"/>
      <c r="F41" s="8"/>
      <c r="G41" s="2"/>
      <c r="H41" s="8"/>
      <c r="I41" s="8"/>
      <c r="J41" s="2"/>
    </row>
    <row r="42" spans="1:10" ht="15.5">
      <c r="B42" s="21"/>
      <c r="C42" s="21"/>
      <c r="D42" s="2"/>
      <c r="E42" s="8"/>
      <c r="F42" s="8"/>
      <c r="G42" s="2"/>
      <c r="H42" s="8"/>
      <c r="I42" s="8"/>
      <c r="J42" s="2"/>
    </row>
    <row r="43" spans="1:10" ht="15.5">
      <c r="B43" s="21"/>
      <c r="C43" s="21"/>
      <c r="D43" s="2"/>
      <c r="E43" s="8"/>
      <c r="F43" s="8"/>
      <c r="G43" s="2"/>
      <c r="H43" s="8"/>
      <c r="I43" s="8"/>
      <c r="J43" s="2"/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opLeftCell="A3" zoomScale="70" zoomScaleNormal="70" workbookViewId="0">
      <selection activeCell="K22" sqref="K22"/>
    </sheetView>
  </sheetViews>
  <sheetFormatPr defaultRowHeight="14.5"/>
  <sheetData>
    <row r="1" spans="1:10" ht="20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0" ht="26.5">
      <c r="B2" s="1" t="s">
        <v>30</v>
      </c>
      <c r="C2" s="2"/>
      <c r="D2" s="2"/>
      <c r="G2" s="2"/>
      <c r="H2" s="3"/>
      <c r="I2" s="2"/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-2.2750454943685461</v>
      </c>
      <c r="G4" s="2"/>
      <c r="H4" s="8">
        <f>-J4*H5</f>
        <v>-3.8451430103383841</v>
      </c>
      <c r="I4" s="6" t="s">
        <v>7</v>
      </c>
      <c r="J4" s="9">
        <v>87.5</v>
      </c>
    </row>
    <row r="5" spans="1:10" ht="15.5">
      <c r="A5" s="2"/>
      <c r="B5" s="2"/>
      <c r="C5" s="2"/>
      <c r="D5" s="2"/>
      <c r="E5" s="6" t="s">
        <v>9</v>
      </c>
      <c r="F5" s="22">
        <v>3.7360026380094925E-2</v>
      </c>
      <c r="G5" s="2"/>
      <c r="H5" s="8">
        <f>2*LN(3)/J5</f>
        <v>4.394449154672439E-2</v>
      </c>
      <c r="I5" s="6" t="s">
        <v>10</v>
      </c>
      <c r="J5" s="9">
        <v>50</v>
      </c>
    </row>
    <row r="6" spans="1:10" ht="16" thickBot="1">
      <c r="B6" s="23"/>
      <c r="C6" s="23"/>
      <c r="D6" s="23"/>
      <c r="E6" s="6" t="s">
        <v>31</v>
      </c>
      <c r="F6" s="24">
        <v>0.40841254446130476</v>
      </c>
      <c r="G6" s="2"/>
      <c r="H6" s="9"/>
      <c r="I6" s="2"/>
      <c r="J6" s="2" t="s">
        <v>13</v>
      </c>
    </row>
    <row r="7" spans="1:10" ht="16.5" thickTop="1" thickBot="1">
      <c r="A7" s="23"/>
      <c r="B7" s="23"/>
      <c r="C7" s="23"/>
      <c r="D7" s="2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23"/>
      <c r="B8" s="23"/>
      <c r="C8" s="23"/>
      <c r="D8" s="23"/>
      <c r="E8" s="6" t="s">
        <v>7</v>
      </c>
      <c r="F8" s="2">
        <f>(LN(0.5^$F6/(1-0.5^$F6))-$F4)/$F5</f>
        <v>90.796347899177476</v>
      </c>
      <c r="G8" s="2"/>
      <c r="H8" s="14">
        <f>SUM(I14:I38)</f>
        <v>-69.628779656252533</v>
      </c>
      <c r="I8" s="2"/>
      <c r="J8" s="2">
        <f>-2*H8+2*3</f>
        <v>145.25755931250507</v>
      </c>
    </row>
    <row r="9" spans="1:10" ht="16" thickTop="1">
      <c r="A9" s="23"/>
      <c r="B9" s="23"/>
      <c r="C9" s="23"/>
      <c r="D9" s="23"/>
      <c r="E9" s="6" t="s">
        <v>16</v>
      </c>
      <c r="F9" s="16">
        <f>(LN(0.75^$F6/(1-0.75^$F6))-LN(0.25^$F6/(1-0.25^$F6)))/$F5</f>
        <v>48.437415935821413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44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1</v>
      </c>
      <c r="C14" s="2">
        <v>0</v>
      </c>
      <c r="D14" s="2">
        <f t="shared" ref="D14:D38" si="0">+C14+B14</f>
        <v>1</v>
      </c>
      <c r="E14" s="8">
        <f t="shared" ref="E14:E38" si="1">+B14/(C14+B14)</f>
        <v>1</v>
      </c>
      <c r="F14" s="8">
        <f>(EXP($F$4+$F$5*A14)/(1+EXP($F$4+$F$5*A14)))^(1/$F$6)</f>
        <v>8.2397220123928885E-3</v>
      </c>
      <c r="G14" s="8"/>
      <c r="H14" s="8">
        <f t="shared" ref="H14:H38" si="2">COMBIN(D14,B14)*(F14^B14)*((1-F14)^C14)</f>
        <v>8.2397220123928885E-3</v>
      </c>
      <c r="I14" s="8">
        <f t="shared" ref="I14:I38" si="3">LN(H14)</f>
        <v>-4.7987886719899269</v>
      </c>
      <c r="J14" s="2"/>
    </row>
    <row r="15" spans="1:10" ht="15.5">
      <c r="A15" s="2">
        <v>17.5</v>
      </c>
      <c r="B15">
        <v>1</v>
      </c>
      <c r="C15" s="2">
        <v>11</v>
      </c>
      <c r="D15" s="2">
        <f t="shared" si="0"/>
        <v>12</v>
      </c>
      <c r="E15" s="8">
        <f t="shared" si="1"/>
        <v>8.3333333333333329E-2</v>
      </c>
      <c r="F15" s="8">
        <f t="shared" ref="F15:F38" si="4">(EXP($F$4+$F$5*A15)/(1+EXP($F$4+$F$5*A15)))^(1/$F$6)</f>
        <v>1.2140036798459188E-2</v>
      </c>
      <c r="G15" s="8"/>
      <c r="H15" s="8">
        <f t="shared" si="2"/>
        <v>0.12736511058305439</v>
      </c>
      <c r="I15" s="8">
        <f t="shared" si="3"/>
        <v>-2.0606974306256935</v>
      </c>
      <c r="J15" s="2"/>
    </row>
    <row r="16" spans="1:10" ht="15.5">
      <c r="A16" s="2">
        <v>22.5</v>
      </c>
      <c r="B16">
        <v>0</v>
      </c>
      <c r="C16" s="2">
        <v>43</v>
      </c>
      <c r="D16" s="2">
        <f t="shared" si="0"/>
        <v>43</v>
      </c>
      <c r="E16" s="8">
        <f t="shared" si="1"/>
        <v>0</v>
      </c>
      <c r="F16" s="8">
        <f t="shared" si="4"/>
        <v>1.7677133177973554E-2</v>
      </c>
      <c r="G16" s="8"/>
      <c r="H16" s="8">
        <f t="shared" si="2"/>
        <v>0.46444352627496865</v>
      </c>
      <c r="I16" s="8">
        <f t="shared" si="3"/>
        <v>-0.76691530772143246</v>
      </c>
      <c r="J16" s="2"/>
    </row>
    <row r="17" spans="1:10" ht="15.5">
      <c r="A17" s="2">
        <v>27.5</v>
      </c>
      <c r="B17">
        <v>2</v>
      </c>
      <c r="C17" s="2">
        <v>54</v>
      </c>
      <c r="D17" s="2">
        <f t="shared" si="0"/>
        <v>56</v>
      </c>
      <c r="E17" s="8">
        <f t="shared" si="1"/>
        <v>3.5714285714285712E-2</v>
      </c>
      <c r="F17" s="8">
        <f t="shared" si="4"/>
        <v>2.540018211579434E-2</v>
      </c>
      <c r="G17" s="8"/>
      <c r="H17" s="8">
        <f t="shared" si="2"/>
        <v>0.24763725421188576</v>
      </c>
      <c r="I17" s="8">
        <f t="shared" si="3"/>
        <v>-1.3957902882140678</v>
      </c>
      <c r="J17" s="2"/>
    </row>
    <row r="18" spans="1:10" ht="15.5">
      <c r="A18" s="2">
        <v>32.5</v>
      </c>
      <c r="B18">
        <v>0</v>
      </c>
      <c r="C18" s="2">
        <v>26</v>
      </c>
      <c r="D18" s="2">
        <f t="shared" si="0"/>
        <v>26</v>
      </c>
      <c r="E18" s="8">
        <f t="shared" si="1"/>
        <v>0</v>
      </c>
      <c r="F18" s="8">
        <f t="shared" si="4"/>
        <v>3.5960940331532201E-2</v>
      </c>
      <c r="G18" s="8"/>
      <c r="H18" s="8">
        <f t="shared" si="2"/>
        <v>0.38588721610522692</v>
      </c>
      <c r="I18" s="8">
        <f t="shared" si="3"/>
        <v>-0.9522101384679158</v>
      </c>
      <c r="J18" s="2"/>
    </row>
    <row r="19" spans="1:10" ht="15.5">
      <c r="A19" s="2">
        <v>37.5</v>
      </c>
      <c r="B19">
        <v>1</v>
      </c>
      <c r="C19" s="2">
        <v>29</v>
      </c>
      <c r="D19" s="2">
        <f t="shared" si="0"/>
        <v>30</v>
      </c>
      <c r="E19" s="8">
        <f t="shared" si="1"/>
        <v>3.3333333333333333E-2</v>
      </c>
      <c r="F19" s="8">
        <f t="shared" si="4"/>
        <v>5.0088755996473666E-2</v>
      </c>
      <c r="G19" s="8"/>
      <c r="H19" s="8">
        <f t="shared" si="2"/>
        <v>0.33858625524139391</v>
      </c>
      <c r="I19" s="8">
        <f t="shared" si="3"/>
        <v>-1.0829764030148903</v>
      </c>
      <c r="J19" s="2"/>
    </row>
    <row r="20" spans="1:10" ht="15.5">
      <c r="A20" s="2">
        <v>42.5</v>
      </c>
      <c r="B20">
        <v>1</v>
      </c>
      <c r="C20" s="2">
        <v>46</v>
      </c>
      <c r="D20" s="2">
        <f t="shared" si="0"/>
        <v>47</v>
      </c>
      <c r="E20" s="8">
        <f t="shared" si="1"/>
        <v>2.1276595744680851E-2</v>
      </c>
      <c r="F20" s="8">
        <f t="shared" si="4"/>
        <v>6.8540437651593816E-2</v>
      </c>
      <c r="G20" s="8"/>
      <c r="H20" s="8">
        <f t="shared" si="2"/>
        <v>0.12291049994728785</v>
      </c>
      <c r="I20" s="8">
        <f t="shared" si="3"/>
        <v>-2.0962988311751398</v>
      </c>
      <c r="J20" s="2"/>
    </row>
    <row r="21" spans="1:10" ht="15.5">
      <c r="A21" s="2">
        <v>47.5</v>
      </c>
      <c r="B21">
        <v>3</v>
      </c>
      <c r="C21" s="2">
        <v>27</v>
      </c>
      <c r="D21" s="2">
        <f t="shared" si="0"/>
        <v>30</v>
      </c>
      <c r="E21" s="8">
        <f t="shared" si="1"/>
        <v>0.1</v>
      </c>
      <c r="F21" s="8">
        <f t="shared" si="4"/>
        <v>9.2023701158893079E-2</v>
      </c>
      <c r="G21" s="8"/>
      <c r="H21" s="8">
        <f t="shared" si="2"/>
        <v>0.23347315450401304</v>
      </c>
      <c r="I21" s="8">
        <f t="shared" si="3"/>
        <v>-1.4546881784869694</v>
      </c>
      <c r="J21" s="2"/>
    </row>
    <row r="22" spans="1:10" ht="15.5">
      <c r="A22" s="2">
        <v>52.5</v>
      </c>
      <c r="B22">
        <v>3</v>
      </c>
      <c r="C22" s="2">
        <v>11</v>
      </c>
      <c r="D22" s="2">
        <f t="shared" si="0"/>
        <v>14</v>
      </c>
      <c r="E22" s="8">
        <f t="shared" si="1"/>
        <v>0.21428571428571427</v>
      </c>
      <c r="F22" s="8">
        <f t="shared" si="4"/>
        <v>0.12109992857198217</v>
      </c>
      <c r="G22" s="8"/>
      <c r="H22" s="8">
        <f t="shared" si="2"/>
        <v>0.15626709619977427</v>
      </c>
      <c r="I22" s="8">
        <f t="shared" si="3"/>
        <v>-1.8561885806725296</v>
      </c>
      <c r="J22" s="2"/>
    </row>
    <row r="23" spans="1:10" ht="15.5">
      <c r="A23" s="2">
        <v>57.5</v>
      </c>
      <c r="B23">
        <v>6</v>
      </c>
      <c r="C23" s="2">
        <v>17</v>
      </c>
      <c r="D23" s="2">
        <f t="shared" si="0"/>
        <v>23</v>
      </c>
      <c r="E23" s="8">
        <f t="shared" si="1"/>
        <v>0.2608695652173913</v>
      </c>
      <c r="F23" s="8">
        <f t="shared" si="4"/>
        <v>0.15608037584195153</v>
      </c>
      <c r="G23" s="8"/>
      <c r="H23" s="8">
        <f t="shared" si="2"/>
        <v>8.1527042928936255E-2</v>
      </c>
      <c r="I23" s="8">
        <f t="shared" si="3"/>
        <v>-2.506820498694796</v>
      </c>
      <c r="J23" s="2"/>
    </row>
    <row r="24" spans="1:10" ht="15.5">
      <c r="A24" s="2">
        <v>62.5</v>
      </c>
      <c r="B24">
        <v>3</v>
      </c>
      <c r="C24" s="2">
        <v>20</v>
      </c>
      <c r="D24" s="2">
        <f t="shared" si="0"/>
        <v>23</v>
      </c>
      <c r="E24" s="8">
        <f t="shared" si="1"/>
        <v>0.13043478260869565</v>
      </c>
      <c r="F24" s="8">
        <f t="shared" si="4"/>
        <v>0.19693675098408439</v>
      </c>
      <c r="G24" s="8"/>
      <c r="H24" s="8">
        <f t="shared" si="2"/>
        <v>0.16834254865708054</v>
      </c>
      <c r="I24" s="8">
        <f t="shared" si="3"/>
        <v>-1.7817543953758042</v>
      </c>
      <c r="J24" s="2"/>
    </row>
    <row r="25" spans="1:10" ht="15.5">
      <c r="A25" s="2">
        <v>67.5</v>
      </c>
      <c r="B25">
        <v>13</v>
      </c>
      <c r="C25" s="2">
        <v>38</v>
      </c>
      <c r="D25" s="2">
        <f t="shared" si="0"/>
        <v>51</v>
      </c>
      <c r="E25" s="8">
        <f t="shared" si="1"/>
        <v>0.25490196078431371</v>
      </c>
      <c r="F25" s="8">
        <f t="shared" si="4"/>
        <v>0.24324872453693691</v>
      </c>
      <c r="G25" s="8"/>
      <c r="H25" s="8">
        <f t="shared" si="2"/>
        <v>0.12494585009028901</v>
      </c>
      <c r="I25" s="8">
        <f t="shared" si="3"/>
        <v>-2.0798748348154379</v>
      </c>
      <c r="J25" s="2"/>
    </row>
    <row r="26" spans="1:10" ht="15.5">
      <c r="A26" s="2">
        <v>72.5</v>
      </c>
      <c r="B26">
        <v>21</v>
      </c>
      <c r="C26" s="2">
        <v>76</v>
      </c>
      <c r="D26" s="2">
        <f t="shared" si="0"/>
        <v>97</v>
      </c>
      <c r="E26" s="8">
        <f t="shared" si="1"/>
        <v>0.21649484536082475</v>
      </c>
      <c r="F26" s="8">
        <f t="shared" si="4"/>
        <v>0.29420524714904839</v>
      </c>
      <c r="G26" s="8"/>
      <c r="H26" s="8">
        <f t="shared" si="2"/>
        <v>2.1907467556301997E-2</v>
      </c>
      <c r="I26" s="8">
        <f t="shared" si="3"/>
        <v>-3.820927715975591</v>
      </c>
      <c r="J26" s="2"/>
    </row>
    <row r="27" spans="1:10" ht="15.5">
      <c r="A27" s="2">
        <v>77.5</v>
      </c>
      <c r="B27">
        <v>27</v>
      </c>
      <c r="C27" s="2">
        <v>80</v>
      </c>
      <c r="D27" s="2">
        <f t="shared" si="0"/>
        <v>107</v>
      </c>
      <c r="E27" s="8">
        <f t="shared" si="1"/>
        <v>0.25233644859813081</v>
      </c>
      <c r="F27" s="8">
        <f t="shared" si="4"/>
        <v>0.34866436986317506</v>
      </c>
      <c r="G27" s="8"/>
      <c r="H27" s="8">
        <f t="shared" si="2"/>
        <v>8.8380294313087256E-3</v>
      </c>
      <c r="I27" s="8">
        <f t="shared" si="3"/>
        <v>-4.7286913421921541</v>
      </c>
      <c r="J27" s="2"/>
    </row>
    <row r="28" spans="1:10" ht="15.5">
      <c r="A28" s="2">
        <v>82.5</v>
      </c>
      <c r="B28">
        <v>52</v>
      </c>
      <c r="C28" s="2">
        <v>96</v>
      </c>
      <c r="D28" s="2">
        <f t="shared" si="0"/>
        <v>148</v>
      </c>
      <c r="E28" s="8">
        <f t="shared" si="1"/>
        <v>0.35135135135135137</v>
      </c>
      <c r="F28" s="8">
        <f t="shared" si="4"/>
        <v>0.40526161213424211</v>
      </c>
      <c r="G28" s="8"/>
      <c r="H28" s="8">
        <f t="shared" si="2"/>
        <v>2.7677980978697333E-2</v>
      </c>
      <c r="I28" s="8">
        <f t="shared" si="3"/>
        <v>-3.5871180924140806</v>
      </c>
      <c r="J28" s="2"/>
    </row>
    <row r="29" spans="1:10" ht="15.5">
      <c r="A29" s="2">
        <v>87.5</v>
      </c>
      <c r="B29">
        <v>109</v>
      </c>
      <c r="C29" s="2">
        <v>110</v>
      </c>
      <c r="D29" s="2">
        <f t="shared" si="0"/>
        <v>219</v>
      </c>
      <c r="E29" s="8">
        <f t="shared" si="1"/>
        <v>0.49771689497716892</v>
      </c>
      <c r="F29" s="8">
        <f t="shared" si="4"/>
        <v>0.46254522158536832</v>
      </c>
      <c r="G29" s="8"/>
      <c r="H29" s="8">
        <f t="shared" si="2"/>
        <v>3.1276925284814239E-2</v>
      </c>
      <c r="I29" s="8">
        <f t="shared" si="3"/>
        <v>-3.4648746646577302</v>
      </c>
      <c r="J29" s="2"/>
    </row>
    <row r="30" spans="1:10" ht="15.5">
      <c r="A30" s="2">
        <v>92.5</v>
      </c>
      <c r="B30">
        <v>179</v>
      </c>
      <c r="C30" s="2">
        <v>99</v>
      </c>
      <c r="D30" s="2">
        <f t="shared" si="0"/>
        <v>278</v>
      </c>
      <c r="E30" s="8">
        <f t="shared" si="1"/>
        <v>0.64388489208633093</v>
      </c>
      <c r="F30" s="8">
        <f t="shared" si="4"/>
        <v>0.51911200508644761</v>
      </c>
      <c r="G30" s="8"/>
      <c r="H30" s="8">
        <f t="shared" si="2"/>
        <v>7.3825912530732664E-6</v>
      </c>
      <c r="I30" s="8">
        <f t="shared" si="3"/>
        <v>-11.816385862676889</v>
      </c>
      <c r="J30" s="2"/>
    </row>
    <row r="31" spans="1:10" ht="15.5">
      <c r="A31" s="2">
        <v>97.5</v>
      </c>
      <c r="B31">
        <v>161</v>
      </c>
      <c r="C31" s="2">
        <v>109</v>
      </c>
      <c r="D31" s="2">
        <f t="shared" si="0"/>
        <v>270</v>
      </c>
      <c r="E31" s="8">
        <f t="shared" si="1"/>
        <v>0.59629629629629632</v>
      </c>
      <c r="F31" s="8">
        <f t="shared" si="4"/>
        <v>0.57372062978716221</v>
      </c>
      <c r="G31" s="8"/>
      <c r="H31" s="8">
        <f t="shared" si="2"/>
        <v>3.7261512581264117E-2</v>
      </c>
      <c r="I31" s="8">
        <f t="shared" si="3"/>
        <v>-3.2897943193222994</v>
      </c>
      <c r="J31" s="2"/>
    </row>
    <row r="32" spans="1:10" ht="15.5">
      <c r="A32" s="2">
        <v>102.5</v>
      </c>
      <c r="B32">
        <v>102</v>
      </c>
      <c r="C32" s="2">
        <v>77</v>
      </c>
      <c r="D32" s="2">
        <f t="shared" si="0"/>
        <v>179</v>
      </c>
      <c r="E32" s="8">
        <f t="shared" si="1"/>
        <v>0.56983240223463683</v>
      </c>
      <c r="F32" s="8">
        <f t="shared" si="4"/>
        <v>0.6253680426136744</v>
      </c>
      <c r="G32" s="2"/>
      <c r="H32" s="8">
        <f t="shared" si="2"/>
        <v>1.8891599224174029E-2</v>
      </c>
      <c r="I32" s="8">
        <f t="shared" si="3"/>
        <v>-3.9690379412229366</v>
      </c>
      <c r="J32" s="2"/>
    </row>
    <row r="33" spans="1:10" ht="15.5">
      <c r="A33" s="2">
        <v>107.5</v>
      </c>
      <c r="B33">
        <v>43</v>
      </c>
      <c r="C33" s="2">
        <v>31</v>
      </c>
      <c r="D33" s="2">
        <f t="shared" si="0"/>
        <v>74</v>
      </c>
      <c r="E33" s="8">
        <f t="shared" si="1"/>
        <v>0.58108108108108103</v>
      </c>
      <c r="F33" s="8">
        <f t="shared" si="4"/>
        <v>0.67332504700880613</v>
      </c>
      <c r="G33" s="20"/>
      <c r="H33" s="8">
        <f t="shared" si="2"/>
        <v>2.3693983965095117E-2</v>
      </c>
      <c r="I33" s="8">
        <f t="shared" si="3"/>
        <v>-3.7425341041993927</v>
      </c>
      <c r="J33" s="2"/>
    </row>
    <row r="34" spans="1:10" ht="15.5">
      <c r="A34" s="2">
        <v>112.5</v>
      </c>
      <c r="B34">
        <v>6</v>
      </c>
      <c r="C34" s="2">
        <v>6</v>
      </c>
      <c r="D34" s="2">
        <f t="shared" si="0"/>
        <v>12</v>
      </c>
      <c r="E34" s="8">
        <f t="shared" si="1"/>
        <v>0.5</v>
      </c>
      <c r="F34" s="8">
        <f t="shared" si="4"/>
        <v>0.71713567311759485</v>
      </c>
      <c r="G34" s="20"/>
      <c r="H34" s="8">
        <f t="shared" si="2"/>
        <v>6.4379709475456223E-2</v>
      </c>
      <c r="I34" s="8">
        <f t="shared" si="3"/>
        <v>-2.7429567657737817</v>
      </c>
      <c r="J34" s="2"/>
    </row>
    <row r="35" spans="1:10" ht="15.5">
      <c r="A35" s="2">
        <v>117.5</v>
      </c>
      <c r="B35">
        <v>3</v>
      </c>
      <c r="C35" s="2">
        <v>3</v>
      </c>
      <c r="D35" s="2">
        <f t="shared" si="0"/>
        <v>6</v>
      </c>
      <c r="E35" s="8">
        <f t="shared" si="1"/>
        <v>0.5</v>
      </c>
      <c r="F35" s="8">
        <f t="shared" si="4"/>
        <v>0.75658999595983123</v>
      </c>
      <c r="G35" s="20"/>
      <c r="H35" s="8">
        <f t="shared" si="2"/>
        <v>0.12491858320271625</v>
      </c>
      <c r="I35" s="8">
        <f t="shared" si="3"/>
        <v>-2.0800930882684936</v>
      </c>
      <c r="J35" s="2"/>
    </row>
    <row r="36" spans="1:10" ht="15.5">
      <c r="A36" s="2">
        <v>122.5</v>
      </c>
      <c r="B36">
        <v>1</v>
      </c>
      <c r="C36" s="2">
        <v>3</v>
      </c>
      <c r="D36" s="2">
        <f t="shared" si="0"/>
        <v>4</v>
      </c>
      <c r="E36" s="8">
        <f t="shared" si="1"/>
        <v>0.25</v>
      </c>
      <c r="F36" s="8">
        <f t="shared" si="4"/>
        <v>0.79168143039623573</v>
      </c>
      <c r="G36" s="20"/>
      <c r="H36" s="8">
        <f t="shared" si="2"/>
        <v>2.8628223837801909E-2</v>
      </c>
      <c r="I36" s="8">
        <f t="shared" si="3"/>
        <v>-3.5533622002945928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0.82255827446500418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0.84947669823988359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  <row r="56" spans="1:10" ht="15.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.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.5">
      <c r="A58" s="2"/>
      <c r="B58" s="2"/>
      <c r="C58" s="2"/>
      <c r="D58" s="2"/>
      <c r="E58" s="2"/>
      <c r="F58" s="2"/>
      <c r="G58" s="2"/>
      <c r="H58" s="2"/>
      <c r="I58" s="2"/>
      <c r="J58" s="2"/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zoomScale="50" zoomScaleNormal="50" workbookViewId="0">
      <selection activeCell="Y28" sqref="Y28"/>
    </sheetView>
  </sheetViews>
  <sheetFormatPr defaultRowHeight="14.5"/>
  <sheetData>
    <row r="1" spans="1:10" ht="20">
      <c r="A1" s="1" t="s">
        <v>36</v>
      </c>
      <c r="B1" s="2"/>
      <c r="C1" s="2"/>
      <c r="D1" s="2"/>
      <c r="E1" s="2"/>
      <c r="F1" s="2"/>
      <c r="G1" s="2"/>
      <c r="H1" s="2"/>
      <c r="I1" s="2"/>
      <c r="J1" s="2"/>
    </row>
    <row r="2" spans="1:10" ht="20">
      <c r="B2" s="1" t="s">
        <v>37</v>
      </c>
      <c r="C2" s="2"/>
      <c r="D2" s="2"/>
      <c r="G2" s="2"/>
      <c r="H2" s="3"/>
      <c r="I2" s="27" t="s">
        <v>38</v>
      </c>
      <c r="J2" s="2"/>
    </row>
    <row r="3" spans="1:10" ht="16" thickBot="1">
      <c r="A3" s="2"/>
      <c r="B3" s="2"/>
      <c r="C3" s="2"/>
      <c r="D3" s="2"/>
      <c r="E3" s="2" t="s">
        <v>2</v>
      </c>
      <c r="F3" s="2"/>
      <c r="G3" s="2"/>
      <c r="H3" s="2" t="s">
        <v>3</v>
      </c>
      <c r="I3" s="3" t="s">
        <v>4</v>
      </c>
      <c r="J3" s="2"/>
    </row>
    <row r="4" spans="1:10" ht="16" thickTop="1">
      <c r="A4" s="2"/>
      <c r="B4" s="2"/>
      <c r="C4" s="2"/>
      <c r="D4" s="2"/>
      <c r="E4" s="6" t="s">
        <v>6</v>
      </c>
      <c r="F4" s="7">
        <v>-7.99</v>
      </c>
      <c r="G4" s="2"/>
      <c r="H4" s="8">
        <f>-J4*H5</f>
        <v>-3.8451430103383841</v>
      </c>
      <c r="I4" s="6" t="s">
        <v>7</v>
      </c>
      <c r="J4" s="9">
        <v>87.5</v>
      </c>
    </row>
    <row r="5" spans="1:10" ht="15.5">
      <c r="A5" s="2"/>
      <c r="B5" s="2"/>
      <c r="C5" s="2"/>
      <c r="D5" s="2"/>
      <c r="E5" s="6" t="s">
        <v>9</v>
      </c>
      <c r="F5" s="22">
        <v>8.8999999999999996E-2</v>
      </c>
      <c r="G5" s="2"/>
      <c r="H5" s="8">
        <f>2*LN(3)/J5</f>
        <v>4.394449154672439E-2</v>
      </c>
      <c r="I5" s="6" t="s">
        <v>10</v>
      </c>
      <c r="J5" s="9">
        <v>50</v>
      </c>
    </row>
    <row r="6" spans="1:10" ht="16" thickBot="1">
      <c r="B6" s="13"/>
      <c r="C6" s="13"/>
      <c r="D6" s="13"/>
      <c r="E6" s="6" t="s">
        <v>39</v>
      </c>
      <c r="F6" s="24">
        <v>1.1000000000000001</v>
      </c>
      <c r="G6" s="2"/>
      <c r="H6" s="9"/>
      <c r="I6" s="2"/>
      <c r="J6" s="2" t="s">
        <v>13</v>
      </c>
    </row>
    <row r="7" spans="1:10" ht="16.5" thickTop="1" thickBot="1">
      <c r="A7" s="13"/>
      <c r="B7" s="13"/>
      <c r="C7" s="13"/>
      <c r="D7" s="13"/>
      <c r="E7" s="2"/>
      <c r="F7" s="2"/>
      <c r="G7" s="2"/>
      <c r="H7" s="2" t="s">
        <v>14</v>
      </c>
      <c r="I7" s="2"/>
      <c r="J7" s="2" t="s">
        <v>15</v>
      </c>
    </row>
    <row r="8" spans="1:10" ht="16.5" thickTop="1" thickBot="1">
      <c r="A8" s="13"/>
      <c r="B8" s="13"/>
      <c r="C8" s="13"/>
      <c r="D8" s="13"/>
      <c r="E8" s="6" t="s">
        <v>7</v>
      </c>
      <c r="F8" s="2">
        <f>-F4/F5</f>
        <v>89.775280898876417</v>
      </c>
      <c r="G8" s="2"/>
      <c r="H8" s="14" t="e">
        <f>SUM(I14:I38)</f>
        <v>#NUM!</v>
      </c>
      <c r="I8" s="2"/>
      <c r="J8" s="2" t="e">
        <f>-2*H8+2*3</f>
        <v>#NUM!</v>
      </c>
    </row>
    <row r="9" spans="1:10" ht="16" thickTop="1">
      <c r="A9" s="13"/>
      <c r="B9" s="13"/>
      <c r="C9" s="13"/>
      <c r="D9" s="13"/>
      <c r="E9" s="6" t="s">
        <v>16</v>
      </c>
      <c r="F9" s="16">
        <f>2*LN(3)/F5</f>
        <v>24.687916599283366</v>
      </c>
      <c r="G9" s="2"/>
      <c r="H9" s="17"/>
      <c r="I9" s="2"/>
      <c r="J9" s="2"/>
    </row>
    <row r="10" spans="1:10" ht="15.5">
      <c r="G10" s="2"/>
      <c r="H10" s="17"/>
      <c r="I10" s="2"/>
      <c r="J10" s="2"/>
    </row>
    <row r="11" spans="1:10" ht="15.5">
      <c r="G11" s="2"/>
      <c r="H11" s="17"/>
      <c r="I11" s="16"/>
      <c r="J11" s="2"/>
    </row>
    <row r="12" spans="1:10" ht="15.5">
      <c r="A12" s="2"/>
      <c r="B12" s="2" t="s">
        <v>17</v>
      </c>
      <c r="C12" s="2"/>
      <c r="D12" s="2"/>
      <c r="E12" s="2" t="s">
        <v>18</v>
      </c>
      <c r="F12" s="9" t="s">
        <v>19</v>
      </c>
      <c r="G12" s="2"/>
      <c r="H12" s="2" t="s">
        <v>20</v>
      </c>
      <c r="I12" s="2" t="s">
        <v>21</v>
      </c>
      <c r="J12" s="2"/>
    </row>
    <row r="13" spans="1:10" ht="15.5">
      <c r="A13" s="2" t="s">
        <v>32</v>
      </c>
      <c r="B13" t="s">
        <v>44</v>
      </c>
      <c r="C13" s="2" t="s">
        <v>33</v>
      </c>
      <c r="D13" s="2" t="s">
        <v>25</v>
      </c>
      <c r="E13" s="2" t="s">
        <v>26</v>
      </c>
      <c r="F13" s="2" t="s">
        <v>27</v>
      </c>
      <c r="G13" s="2"/>
      <c r="H13" s="2" t="s">
        <v>28</v>
      </c>
      <c r="J13" s="2"/>
    </row>
    <row r="14" spans="1:10" ht="15.5">
      <c r="A14" s="2">
        <v>12.5</v>
      </c>
      <c r="B14">
        <v>1</v>
      </c>
      <c r="C14" s="2">
        <v>0</v>
      </c>
      <c r="D14" s="2">
        <f t="shared" ref="D14:D38" si="0">+C14+B14</f>
        <v>1</v>
      </c>
      <c r="E14" s="8">
        <f t="shared" ref="E14:E38" si="1">+B14/(C14+B14)</f>
        <v>1</v>
      </c>
      <c r="F14" s="8">
        <f>$F$6*EXP($F$4+$F$5*A14)/(1+EXP($F$4+$F$5*A14))+1-$F$6</f>
        <v>-9.8867378030413455E-2</v>
      </c>
      <c r="G14" s="8"/>
      <c r="H14" s="8">
        <f t="shared" ref="H14:H38" si="2">COMBIN(D14,B14)*(F14^B14)*((1-F14)^C14)</f>
        <v>-9.8867378030413455E-2</v>
      </c>
      <c r="I14" s="8" t="e">
        <f t="shared" ref="I14:I38" si="3">LN(H14)</f>
        <v>#NUM!</v>
      </c>
      <c r="J14" s="2"/>
    </row>
    <row r="15" spans="1:10" ht="15.5">
      <c r="A15" s="2">
        <v>17.5</v>
      </c>
      <c r="B15">
        <v>1</v>
      </c>
      <c r="C15" s="2">
        <v>11</v>
      </c>
      <c r="D15" s="2">
        <f t="shared" si="0"/>
        <v>12</v>
      </c>
      <c r="E15" s="8">
        <f t="shared" si="1"/>
        <v>8.3333333333333329E-2</v>
      </c>
      <c r="F15" s="8">
        <f t="shared" ref="F15:F38" si="4">$F$6*EXP($F$4+$F$5*A15)/(1+EXP($F$4+$F$5*A15))+1-$F$6</f>
        <v>-9.8233573947044572E-2</v>
      </c>
      <c r="G15" s="8"/>
      <c r="H15" s="8">
        <f t="shared" si="2"/>
        <v>-3.3043273922040446</v>
      </c>
      <c r="I15" s="8" t="e">
        <f t="shared" si="3"/>
        <v>#NUM!</v>
      </c>
      <c r="J15" s="2"/>
    </row>
    <row r="16" spans="1:10" ht="15.5">
      <c r="A16" s="2">
        <v>22.5</v>
      </c>
      <c r="B16">
        <v>0</v>
      </c>
      <c r="C16" s="2">
        <v>43</v>
      </c>
      <c r="D16" s="2">
        <f t="shared" si="0"/>
        <v>43</v>
      </c>
      <c r="E16" s="8">
        <f t="shared" si="1"/>
        <v>0</v>
      </c>
      <c r="F16" s="8">
        <f t="shared" si="4"/>
        <v>-9.7245988234734515E-2</v>
      </c>
      <c r="G16" s="8"/>
      <c r="H16" s="8">
        <f t="shared" si="2"/>
        <v>54.084406812193542</v>
      </c>
      <c r="I16" s="8">
        <f t="shared" si="3"/>
        <v>3.9905459153266936</v>
      </c>
      <c r="J16" s="2"/>
    </row>
    <row r="17" spans="1:10" ht="15.5">
      <c r="A17" s="2">
        <v>27.5</v>
      </c>
      <c r="B17">
        <v>2</v>
      </c>
      <c r="C17" s="2">
        <v>54</v>
      </c>
      <c r="D17" s="2">
        <f t="shared" si="0"/>
        <v>56</v>
      </c>
      <c r="E17" s="8">
        <f t="shared" si="1"/>
        <v>3.5714285714285712E-2</v>
      </c>
      <c r="F17" s="8">
        <f t="shared" si="4"/>
        <v>-9.5708413893545563E-2</v>
      </c>
      <c r="G17" s="8"/>
      <c r="H17" s="8">
        <f t="shared" si="2"/>
        <v>1963.1377515641113</v>
      </c>
      <c r="I17" s="8">
        <f t="shared" si="3"/>
        <v>7.5822993658154569</v>
      </c>
      <c r="J17" s="2"/>
    </row>
    <row r="18" spans="1:10" ht="15.5">
      <c r="A18" s="2">
        <v>32.5</v>
      </c>
      <c r="B18">
        <v>0</v>
      </c>
      <c r="C18" s="2">
        <v>26</v>
      </c>
      <c r="D18" s="2">
        <f t="shared" si="0"/>
        <v>26</v>
      </c>
      <c r="E18" s="8">
        <f t="shared" si="1"/>
        <v>0</v>
      </c>
      <c r="F18" s="8">
        <f t="shared" si="4"/>
        <v>-9.3317634418389472E-2</v>
      </c>
      <c r="G18" s="8"/>
      <c r="H18" s="8">
        <f t="shared" si="2"/>
        <v>10.171972523745787</v>
      </c>
      <c r="I18" s="8">
        <f t="shared" si="3"/>
        <v>2.3196361463908484</v>
      </c>
      <c r="J18" s="2"/>
    </row>
    <row r="19" spans="1:10" ht="15.5">
      <c r="A19" s="2">
        <v>37.5</v>
      </c>
      <c r="B19">
        <v>1</v>
      </c>
      <c r="C19" s="2">
        <v>29</v>
      </c>
      <c r="D19" s="2">
        <f t="shared" si="0"/>
        <v>30</v>
      </c>
      <c r="E19" s="8">
        <f t="shared" si="1"/>
        <v>3.3333333333333333E-2</v>
      </c>
      <c r="F19" s="8">
        <f t="shared" si="4"/>
        <v>-8.960761914070825E-2</v>
      </c>
      <c r="G19" s="8"/>
      <c r="H19" s="8">
        <f t="shared" si="2"/>
        <v>-32.381726761985568</v>
      </c>
      <c r="I19" s="8" t="e">
        <f t="shared" si="3"/>
        <v>#NUM!</v>
      </c>
      <c r="J19" s="2"/>
    </row>
    <row r="20" spans="1:10" ht="15.5">
      <c r="A20" s="2">
        <v>42.5</v>
      </c>
      <c r="B20">
        <v>1</v>
      </c>
      <c r="C20" s="2">
        <v>46</v>
      </c>
      <c r="D20" s="2">
        <f t="shared" si="0"/>
        <v>47</v>
      </c>
      <c r="E20" s="8">
        <f t="shared" si="1"/>
        <v>2.1276595744680851E-2</v>
      </c>
      <c r="F20" s="8">
        <f t="shared" si="4"/>
        <v>-8.3868214167787336E-2</v>
      </c>
      <c r="G20" s="8"/>
      <c r="H20" s="8">
        <f t="shared" si="2"/>
        <v>-160.18186432336847</v>
      </c>
      <c r="I20" s="8" t="e">
        <f t="shared" si="3"/>
        <v>#NUM!</v>
      </c>
      <c r="J20" s="2"/>
    </row>
    <row r="21" spans="1:10" ht="15.5">
      <c r="A21" s="2">
        <v>47.5</v>
      </c>
      <c r="B21">
        <v>3</v>
      </c>
      <c r="C21" s="2">
        <v>27</v>
      </c>
      <c r="D21" s="2">
        <f t="shared" si="0"/>
        <v>30</v>
      </c>
      <c r="E21" s="8">
        <f t="shared" si="1"/>
        <v>0.1</v>
      </c>
      <c r="F21" s="8">
        <f t="shared" si="4"/>
        <v>-7.5031738841807138E-2</v>
      </c>
      <c r="G21" s="8"/>
      <c r="H21" s="8">
        <f t="shared" si="2"/>
        <v>-12.095833492833464</v>
      </c>
      <c r="I21" s="8" t="e">
        <f t="shared" si="3"/>
        <v>#NUM!</v>
      </c>
      <c r="J21" s="2"/>
    </row>
    <row r="22" spans="1:10" ht="15.5">
      <c r="A22" s="2">
        <v>52.5</v>
      </c>
      <c r="B22">
        <v>3</v>
      </c>
      <c r="C22" s="2">
        <v>11</v>
      </c>
      <c r="D22" s="2">
        <f t="shared" si="0"/>
        <v>14</v>
      </c>
      <c r="E22" s="8">
        <f t="shared" si="1"/>
        <v>0.21428571428571427</v>
      </c>
      <c r="F22" s="8">
        <f t="shared" si="4"/>
        <v>-6.1526739366489558E-2</v>
      </c>
      <c r="G22" s="8"/>
      <c r="H22" s="8">
        <f t="shared" si="2"/>
        <v>-0.16350589130551932</v>
      </c>
      <c r="I22" s="8" t="e">
        <f t="shared" si="3"/>
        <v>#NUM!</v>
      </c>
      <c r="J22" s="2"/>
    </row>
    <row r="23" spans="1:10" ht="15.5">
      <c r="A23" s="2">
        <v>57.5</v>
      </c>
      <c r="B23">
        <v>6</v>
      </c>
      <c r="C23" s="2">
        <v>17</v>
      </c>
      <c r="D23" s="2">
        <f t="shared" si="0"/>
        <v>23</v>
      </c>
      <c r="E23" s="8">
        <f t="shared" si="1"/>
        <v>0.2608695652173913</v>
      </c>
      <c r="F23" s="8">
        <f t="shared" si="4"/>
        <v>-4.1117165519676702E-2</v>
      </c>
      <c r="G23" s="8"/>
      <c r="H23" s="8">
        <f t="shared" si="2"/>
        <v>9.6766658673484252E-4</v>
      </c>
      <c r="I23" s="8">
        <f t="shared" si="3"/>
        <v>-6.9406229652103999</v>
      </c>
      <c r="J23" s="2"/>
    </row>
    <row r="24" spans="1:10" ht="15.5">
      <c r="A24" s="2">
        <v>62.5</v>
      </c>
      <c r="B24">
        <v>3</v>
      </c>
      <c r="C24" s="2">
        <v>20</v>
      </c>
      <c r="D24" s="2">
        <f t="shared" si="0"/>
        <v>23</v>
      </c>
      <c r="E24" s="8">
        <f t="shared" si="1"/>
        <v>0.13043478260869565</v>
      </c>
      <c r="F24" s="8">
        <f t="shared" si="4"/>
        <v>-1.0790463864216893E-2</v>
      </c>
      <c r="G24" s="8"/>
      <c r="H24" s="8">
        <f t="shared" si="2"/>
        <v>-2.7577927465792357E-3</v>
      </c>
      <c r="I24" s="8" t="e">
        <f t="shared" si="3"/>
        <v>#NUM!</v>
      </c>
      <c r="J24" s="2"/>
    </row>
    <row r="25" spans="1:10" ht="15.5">
      <c r="A25" s="2">
        <v>67.5</v>
      </c>
      <c r="B25">
        <v>13</v>
      </c>
      <c r="C25" s="2">
        <v>38</v>
      </c>
      <c r="D25" s="2">
        <f t="shared" si="0"/>
        <v>51</v>
      </c>
      <c r="E25" s="8">
        <f t="shared" si="1"/>
        <v>0.25490196078431371</v>
      </c>
      <c r="F25" s="8">
        <f t="shared" si="4"/>
        <v>3.3157847510250305E-2</v>
      </c>
      <c r="G25" s="8"/>
      <c r="H25" s="8">
        <f t="shared" si="2"/>
        <v>7.7442338919773471E-9</v>
      </c>
      <c r="I25" s="8">
        <f t="shared" si="3"/>
        <v>-18.676317284435292</v>
      </c>
      <c r="J25" s="2"/>
    </row>
    <row r="26" spans="1:10" ht="15.5">
      <c r="A26" s="2">
        <v>72.5</v>
      </c>
      <c r="B26">
        <v>21</v>
      </c>
      <c r="C26" s="2">
        <v>76</v>
      </c>
      <c r="D26" s="2">
        <f t="shared" si="0"/>
        <v>97</v>
      </c>
      <c r="E26" s="8">
        <f t="shared" si="1"/>
        <v>0.21649484536082475</v>
      </c>
      <c r="F26" s="8">
        <f t="shared" si="4"/>
        <v>9.4588894659823453E-2</v>
      </c>
      <c r="G26" s="8"/>
      <c r="H26" s="8">
        <f t="shared" si="2"/>
        <v>1.6304159338462686E-4</v>
      </c>
      <c r="I26" s="8">
        <f t="shared" si="3"/>
        <v>-8.7215052155700796</v>
      </c>
      <c r="J26" s="2"/>
    </row>
    <row r="27" spans="1:10" ht="15.5">
      <c r="A27" s="2">
        <v>77.5</v>
      </c>
      <c r="B27">
        <v>27</v>
      </c>
      <c r="C27" s="2">
        <v>80</v>
      </c>
      <c r="D27" s="2">
        <f t="shared" si="0"/>
        <v>107</v>
      </c>
      <c r="E27" s="8">
        <f t="shared" si="1"/>
        <v>0.25233644859813081</v>
      </c>
      <c r="F27" s="8">
        <f t="shared" si="4"/>
        <v>0.17626258492783142</v>
      </c>
      <c r="G27" s="8"/>
      <c r="H27" s="8">
        <f t="shared" si="2"/>
        <v>1.2775892226075345E-2</v>
      </c>
      <c r="I27" s="8">
        <f t="shared" si="3"/>
        <v>-4.3601953037597223</v>
      </c>
      <c r="J27" s="2"/>
    </row>
    <row r="28" spans="1:10" ht="15.5">
      <c r="A28" s="2">
        <v>82.5</v>
      </c>
      <c r="B28">
        <v>52</v>
      </c>
      <c r="C28" s="2">
        <v>96</v>
      </c>
      <c r="D28" s="2">
        <f t="shared" si="0"/>
        <v>148</v>
      </c>
      <c r="E28" s="8">
        <f t="shared" si="1"/>
        <v>0.35135135135135137</v>
      </c>
      <c r="F28" s="8">
        <f t="shared" si="4"/>
        <v>0.27790844029773321</v>
      </c>
      <c r="G28" s="8"/>
      <c r="H28" s="8">
        <f t="shared" si="2"/>
        <v>1.0288331556956671E-2</v>
      </c>
      <c r="I28" s="8">
        <f t="shared" si="3"/>
        <v>-4.5767448844637251</v>
      </c>
      <c r="J28" s="2"/>
    </row>
    <row r="29" spans="1:10" ht="15.5">
      <c r="A29" s="2">
        <v>87.5</v>
      </c>
      <c r="B29">
        <v>109</v>
      </c>
      <c r="C29" s="2">
        <v>110</v>
      </c>
      <c r="D29" s="2">
        <f t="shared" si="0"/>
        <v>219</v>
      </c>
      <c r="E29" s="8">
        <f t="shared" si="1"/>
        <v>0.49771689497716892</v>
      </c>
      <c r="F29" s="8">
        <f t="shared" si="4"/>
        <v>0.39450201752651926</v>
      </c>
      <c r="G29" s="8"/>
      <c r="H29" s="8">
        <f t="shared" si="2"/>
        <v>4.545348812191244E-4</v>
      </c>
      <c r="I29" s="8">
        <f t="shared" si="3"/>
        <v>-7.696235900934882</v>
      </c>
      <c r="J29" s="2"/>
    </row>
    <row r="30" spans="1:10" ht="15.5">
      <c r="A30" s="2">
        <v>92.5</v>
      </c>
      <c r="B30">
        <v>179</v>
      </c>
      <c r="C30" s="2">
        <v>99</v>
      </c>
      <c r="D30" s="2">
        <f t="shared" si="0"/>
        <v>278</v>
      </c>
      <c r="E30" s="8">
        <f t="shared" si="1"/>
        <v>0.64388489208633093</v>
      </c>
      <c r="F30" s="8">
        <f t="shared" si="4"/>
        <v>0.51636260695740854</v>
      </c>
      <c r="G30" s="8"/>
      <c r="H30" s="8">
        <f t="shared" si="2"/>
        <v>5.0176572256051174E-6</v>
      </c>
      <c r="I30" s="8">
        <f t="shared" si="3"/>
        <v>-12.202547421319904</v>
      </c>
      <c r="J30" s="2"/>
    </row>
    <row r="31" spans="1:10" ht="15.5">
      <c r="A31" s="2">
        <v>97.5</v>
      </c>
      <c r="B31">
        <v>161</v>
      </c>
      <c r="C31" s="2">
        <v>109</v>
      </c>
      <c r="D31" s="2">
        <f t="shared" si="0"/>
        <v>270</v>
      </c>
      <c r="E31" s="8">
        <f t="shared" si="1"/>
        <v>0.59629629629629632</v>
      </c>
      <c r="F31" s="8">
        <f t="shared" si="4"/>
        <v>0.63195161462149541</v>
      </c>
      <c r="G31" s="8"/>
      <c r="H31" s="8">
        <f t="shared" si="2"/>
        <v>2.3852680994401049E-2</v>
      </c>
      <c r="I31" s="8">
        <f t="shared" si="3"/>
        <v>-3.7358586572986816</v>
      </c>
      <c r="J31" s="2"/>
    </row>
    <row r="32" spans="1:10" ht="15.5">
      <c r="A32" s="2">
        <v>102.5</v>
      </c>
      <c r="B32">
        <v>102</v>
      </c>
      <c r="C32" s="2">
        <v>77</v>
      </c>
      <c r="D32" s="2">
        <f t="shared" si="0"/>
        <v>179</v>
      </c>
      <c r="E32" s="8">
        <f t="shared" si="1"/>
        <v>0.56983240223463683</v>
      </c>
      <c r="F32" s="8">
        <f t="shared" si="4"/>
        <v>0.73192996710910352</v>
      </c>
      <c r="G32" s="2"/>
      <c r="H32" s="8">
        <f t="shared" si="2"/>
        <v>1.1320515638376786E-6</v>
      </c>
      <c r="I32" s="8">
        <f t="shared" si="3"/>
        <v>-13.691479028127347</v>
      </c>
      <c r="J32" s="2"/>
    </row>
    <row r="33" spans="1:10" ht="15.5">
      <c r="A33" s="2">
        <v>107.5</v>
      </c>
      <c r="B33">
        <v>43</v>
      </c>
      <c r="C33" s="2">
        <v>31</v>
      </c>
      <c r="D33" s="2">
        <f t="shared" si="0"/>
        <v>74</v>
      </c>
      <c r="E33" s="8">
        <f t="shared" si="1"/>
        <v>0.58108108108108103</v>
      </c>
      <c r="F33" s="8">
        <f t="shared" si="4"/>
        <v>0.81173518211906481</v>
      </c>
      <c r="G33" s="20"/>
      <c r="H33" s="8">
        <f t="shared" si="2"/>
        <v>2.7928276398869402E-6</v>
      </c>
      <c r="I33" s="8">
        <f t="shared" si="3"/>
        <v>-12.788455984367355</v>
      </c>
      <c r="J33" s="2"/>
    </row>
    <row r="34" spans="1:10" ht="15.5">
      <c r="A34" s="2">
        <v>112.5</v>
      </c>
      <c r="B34">
        <v>6</v>
      </c>
      <c r="C34" s="2">
        <v>6</v>
      </c>
      <c r="D34" s="2">
        <f t="shared" si="0"/>
        <v>12</v>
      </c>
      <c r="E34" s="8">
        <f t="shared" si="1"/>
        <v>0.5</v>
      </c>
      <c r="F34" s="8">
        <f t="shared" si="4"/>
        <v>0.87145319382830211</v>
      </c>
      <c r="G34" s="20"/>
      <c r="H34" s="8">
        <f t="shared" si="2"/>
        <v>1.8260140354887894E-3</v>
      </c>
      <c r="I34" s="8">
        <f t="shared" si="3"/>
        <v>-6.3056198103718755</v>
      </c>
      <c r="J34" s="2"/>
    </row>
    <row r="35" spans="1:10" ht="15.5">
      <c r="A35" s="2">
        <v>117.5</v>
      </c>
      <c r="B35">
        <v>3</v>
      </c>
      <c r="C35" s="2">
        <v>3</v>
      </c>
      <c r="D35" s="2">
        <f t="shared" si="0"/>
        <v>6</v>
      </c>
      <c r="E35" s="8">
        <f t="shared" si="1"/>
        <v>0.5</v>
      </c>
      <c r="F35" s="8">
        <f t="shared" si="4"/>
        <v>0.9140149909239117</v>
      </c>
      <c r="G35" s="20"/>
      <c r="H35" s="8">
        <f t="shared" si="2"/>
        <v>9.7086350507058078E-3</v>
      </c>
      <c r="I35" s="8">
        <f t="shared" si="3"/>
        <v>-4.6347395780630096</v>
      </c>
      <c r="J35" s="2"/>
    </row>
    <row r="36" spans="1:10" ht="15.5">
      <c r="A36" s="2">
        <v>122.5</v>
      </c>
      <c r="B36">
        <v>1</v>
      </c>
      <c r="C36" s="2">
        <v>3</v>
      </c>
      <c r="D36" s="2">
        <f t="shared" si="0"/>
        <v>4</v>
      </c>
      <c r="E36" s="8">
        <f t="shared" si="1"/>
        <v>0.25</v>
      </c>
      <c r="F36" s="8">
        <f t="shared" si="4"/>
        <v>0.94330699953709596</v>
      </c>
      <c r="G36" s="20"/>
      <c r="H36" s="8">
        <f t="shared" si="2"/>
        <v>6.8754539229112029E-4</v>
      </c>
      <c r="I36" s="8">
        <f t="shared" si="3"/>
        <v>-7.2823827054523917</v>
      </c>
      <c r="J36" s="2"/>
    </row>
    <row r="37" spans="1:10" ht="15.5">
      <c r="A37" s="2">
        <v>127.5</v>
      </c>
      <c r="B37">
        <v>0</v>
      </c>
      <c r="C37" s="2">
        <v>0</v>
      </c>
      <c r="D37" s="2">
        <f t="shared" si="0"/>
        <v>0</v>
      </c>
      <c r="E37" s="8" t="e">
        <f t="shared" si="1"/>
        <v>#DIV/0!</v>
      </c>
      <c r="F37" s="8">
        <f t="shared" si="4"/>
        <v>0.96298453387333804</v>
      </c>
      <c r="G37" s="2"/>
      <c r="H37" s="8">
        <f t="shared" si="2"/>
        <v>1</v>
      </c>
      <c r="I37" s="8">
        <f t="shared" si="3"/>
        <v>0</v>
      </c>
      <c r="J37" s="2"/>
    </row>
    <row r="38" spans="1:10" ht="15.5">
      <c r="A38" s="2">
        <v>132.5</v>
      </c>
      <c r="B38">
        <v>0</v>
      </c>
      <c r="C38" s="2">
        <v>0</v>
      </c>
      <c r="D38" s="2">
        <f t="shared" si="0"/>
        <v>0</v>
      </c>
      <c r="E38" s="8" t="e">
        <f t="shared" si="1"/>
        <v>#DIV/0!</v>
      </c>
      <c r="F38" s="8">
        <f t="shared" si="4"/>
        <v>0.97598938849481787</v>
      </c>
      <c r="G38" s="2"/>
      <c r="H38" s="8">
        <f t="shared" si="2"/>
        <v>1</v>
      </c>
      <c r="I38" s="8">
        <f t="shared" si="3"/>
        <v>0</v>
      </c>
      <c r="J38" s="2"/>
    </row>
    <row r="39" spans="1:10" ht="15.5">
      <c r="A39" s="2"/>
      <c r="B39" s="2"/>
      <c r="C39" s="2"/>
      <c r="D39" s="2"/>
      <c r="E39" s="8"/>
      <c r="F39" s="8"/>
      <c r="G39" s="2"/>
      <c r="H39" s="8"/>
      <c r="I39" s="8"/>
      <c r="J39" s="2"/>
    </row>
    <row r="40" spans="1:10" ht="15.5">
      <c r="A40" s="2"/>
      <c r="B40" s="2"/>
      <c r="C40" s="2"/>
      <c r="D40" s="2"/>
      <c r="E40" s="8"/>
      <c r="F40" s="8"/>
      <c r="G40" s="2"/>
      <c r="H40" s="8"/>
      <c r="I40" s="8"/>
      <c r="J40" s="2"/>
    </row>
    <row r="41" spans="1:10" ht="15.5">
      <c r="A41" s="2"/>
      <c r="B41" s="2"/>
      <c r="C41" s="2"/>
      <c r="D41" s="2"/>
      <c r="E41" s="8"/>
      <c r="F41" s="8"/>
      <c r="G41" s="2"/>
      <c r="H41" s="8"/>
      <c r="I41" s="8"/>
      <c r="J41" s="2"/>
    </row>
    <row r="42" spans="1:10" ht="15.5">
      <c r="A42" s="2"/>
      <c r="B42" s="2"/>
      <c r="C42" s="2"/>
      <c r="D42" s="2"/>
      <c r="E42" s="8"/>
      <c r="F42" s="8"/>
      <c r="G42" s="2"/>
      <c r="H42" s="8"/>
      <c r="I42" s="8"/>
      <c r="J42" s="2"/>
    </row>
    <row r="43" spans="1:10" ht="15.5">
      <c r="A43" s="2"/>
      <c r="B43" s="2"/>
      <c r="C43" s="2"/>
      <c r="D43" s="2"/>
      <c r="E43" s="8"/>
      <c r="F43" s="8"/>
      <c r="G43" s="2"/>
      <c r="H43" s="8"/>
      <c r="I43" s="8"/>
      <c r="J43" s="2"/>
    </row>
    <row r="44" spans="1:10" ht="15.5">
      <c r="A44" s="2"/>
      <c r="B44" s="2"/>
      <c r="C44" s="2"/>
      <c r="D44" s="2"/>
      <c r="E44" s="8"/>
      <c r="F44" s="8"/>
      <c r="G44" s="2"/>
      <c r="H44" s="8"/>
      <c r="I44" s="8"/>
      <c r="J44" s="2"/>
    </row>
    <row r="45" spans="1:10" ht="15.5">
      <c r="A45" s="2"/>
      <c r="B45" s="2"/>
      <c r="C45" s="2"/>
      <c r="D45" s="2"/>
      <c r="E45" s="8"/>
      <c r="F45" s="8"/>
      <c r="G45" s="2"/>
      <c r="H45" s="8"/>
      <c r="I45" s="8"/>
      <c r="J45" s="2"/>
    </row>
    <row r="46" spans="1:10" ht="15.5">
      <c r="A46" s="2"/>
      <c r="B46" s="2"/>
      <c r="C46" s="2"/>
      <c r="D46" s="2"/>
      <c r="E46" s="8"/>
      <c r="F46" s="8"/>
      <c r="G46" s="2"/>
      <c r="H46" s="8"/>
      <c r="I46" s="8"/>
      <c r="J46" s="2"/>
    </row>
    <row r="47" spans="1:10" ht="15.5">
      <c r="A47" s="2"/>
      <c r="B47" s="2"/>
      <c r="C47" s="2"/>
      <c r="D47" s="2"/>
      <c r="E47" s="8"/>
      <c r="F47" s="8"/>
      <c r="G47" s="2"/>
      <c r="H47" s="8"/>
      <c r="I47" s="8"/>
      <c r="J47" s="2"/>
    </row>
    <row r="48" spans="1:10" ht="15.5">
      <c r="A48" s="2"/>
      <c r="B48" s="2"/>
      <c r="C48" s="2"/>
      <c r="D48" s="2"/>
      <c r="E48" s="8"/>
      <c r="F48" s="8"/>
      <c r="G48" s="2"/>
      <c r="H48" s="8"/>
      <c r="I48" s="8"/>
      <c r="J48" s="2"/>
    </row>
    <row r="49" spans="1:10" ht="15.5">
      <c r="A49" s="2"/>
      <c r="B49" s="2"/>
      <c r="C49" s="2"/>
      <c r="D49" s="2"/>
      <c r="E49" s="8"/>
      <c r="F49" s="8"/>
      <c r="G49" s="2"/>
      <c r="H49" s="8"/>
      <c r="I49" s="8"/>
      <c r="J49" s="2"/>
    </row>
    <row r="50" spans="1:10" ht="15.5">
      <c r="A50" s="2"/>
      <c r="B50" s="2"/>
      <c r="C50" s="2"/>
      <c r="D50" s="2"/>
      <c r="E50" s="8"/>
      <c r="F50" s="8"/>
      <c r="G50" s="2"/>
      <c r="H50" s="8"/>
      <c r="I50" s="8"/>
      <c r="J50" s="2"/>
    </row>
    <row r="51" spans="1:10" ht="15.5">
      <c r="A51" s="2"/>
      <c r="B51" s="2"/>
      <c r="C51" s="2"/>
      <c r="D51" s="2"/>
      <c r="E51" s="8"/>
      <c r="F51" s="8"/>
      <c r="G51" s="2"/>
      <c r="H51" s="8"/>
      <c r="I51" s="8"/>
      <c r="J51" s="2"/>
    </row>
    <row r="52" spans="1:10" ht="15.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.5">
      <c r="B53" s="19"/>
      <c r="C53" s="19"/>
      <c r="D53" s="19"/>
      <c r="E53" s="19"/>
      <c r="F53" s="19"/>
      <c r="G53" s="2"/>
      <c r="H53" s="2"/>
      <c r="I53" s="2"/>
      <c r="J53" s="2"/>
    </row>
    <row r="54" spans="1:10" ht="15.5">
      <c r="A54" s="25" t="s">
        <v>34</v>
      </c>
      <c r="B54" s="19"/>
      <c r="C54" s="19"/>
      <c r="D54" s="19"/>
      <c r="E54" s="19"/>
      <c r="F54" s="19"/>
      <c r="G54" s="2"/>
      <c r="H54" s="2"/>
      <c r="I54" s="2"/>
      <c r="J54" s="2"/>
    </row>
    <row r="55" spans="1:10" ht="15.5">
      <c r="A55" s="26" t="s">
        <v>35</v>
      </c>
      <c r="B55" s="2"/>
      <c r="C55" s="2"/>
      <c r="D55" s="2"/>
      <c r="E55" s="2"/>
      <c r="F55" s="2"/>
      <c r="G55" s="2"/>
      <c r="H55" s="2"/>
      <c r="I55" s="2"/>
      <c r="J55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sizefreqcat</vt:lpstr>
      <vt:lpstr>Logistic curve</vt:lpstr>
      <vt:lpstr>Richard curve</vt:lpstr>
      <vt:lpstr>Encounter probability model</vt:lpstr>
      <vt:lpstr>Logistic curve (88.9S)</vt:lpstr>
      <vt:lpstr>Richard curve (88.9S)</vt:lpstr>
      <vt:lpstr>Encounter probability (88.9S)</vt:lpstr>
      <vt:lpstr>Logistic curve (82.6R) </vt:lpstr>
      <vt:lpstr>Richard curve (82.6R) </vt:lpstr>
      <vt:lpstr>Encounter probability (82.6R)</vt:lpstr>
      <vt:lpstr>Logistic curve (82.6S) </vt:lpstr>
      <vt:lpstr>Richard curve (82.6S)</vt:lpstr>
      <vt:lpstr>Encounter probability (82.6S)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DFO-MPO</cp:lastModifiedBy>
  <cp:lastPrinted>2019-04-09T19:48:18Z</cp:lastPrinted>
  <dcterms:created xsi:type="dcterms:W3CDTF">2019-03-27T18:11:42Z</dcterms:created>
  <dcterms:modified xsi:type="dcterms:W3CDTF">2019-04-09T20:03:02Z</dcterms:modified>
</cp:coreProperties>
</file>