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codeName="ThisWorkbook" defaultThemeVersion="124226"/>
  <xr:revisionPtr revIDLastSave="0" documentId="13_ncr:1_{42AFE13B-9049-4785-B7C9-1F9A33F7651F}" xr6:coauthVersionLast="47" xr6:coauthVersionMax="47" xr10:uidLastSave="{00000000-0000-0000-0000-000000000000}"/>
  <workbookProtection workbookAlgorithmName="SHA-512" workbookHashValue="BFRNpClPIQzQJNnBba+Ef14YqNyu8En4UC9vbb3JnbXIhvdzOoqkjqOrK/P90Sewj8ma8sS0cx5VXViw+XiVJA==" workbookSaltValue="mH2s6+nA4kieIQbwbiI0MA==" workbookSpinCount="100000" lockStructure="1"/>
  <bookViews>
    <workbookView xWindow="-108" yWindow="-108" windowWidth="23256" windowHeight="12456" xr2:uid="{00000000-000D-0000-FFFF-FFFF00000000}"/>
  </bookViews>
  <sheets>
    <sheet name="Cover" sheetId="7" r:id="rId1"/>
    <sheet name="Historical" sheetId="1" r:id="rId2"/>
    <sheet name="Summary" sheetId="8" r:id="rId3"/>
    <sheet name="Assumptions" sheetId="9" r:id="rId4"/>
    <sheet name="Scenarios" sheetId="10" r:id="rId5"/>
    <sheet name="Model" sheetId="11" r:id="rId6"/>
  </sheets>
  <definedNames>
    <definedName name="Currency">Assumptions!$E$14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L_Scenarios">Scenarios!$D$11:$D$13</definedName>
    <definedName name="Million">Assumptions!$E$13</definedName>
    <definedName name="_xlnm.Print_Titles" localSheetId="3">Assumptions!$1:$7</definedName>
    <definedName name="_xlnm.Print_Titles" localSheetId="0">Cover!$1:$9</definedName>
    <definedName name="_xlnm.Print_Titles" localSheetId="1">Historical!$1:$7</definedName>
    <definedName name="_xlnm.Print_Titles" localSheetId="5">Model!$1:$7</definedName>
    <definedName name="_xlnm.Print_Titles" localSheetId="4">Scenarios!$1:$7</definedName>
    <definedName name="_xlnm.Print_Titles" localSheetId="2">Summary!$1:$7</definedName>
    <definedName name="S_Scenarios">Scenarios!$E$11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11" l="1"/>
  <c r="L70" i="11"/>
  <c r="M70" i="11"/>
  <c r="N70" i="11"/>
  <c r="J70" i="11"/>
  <c r="I353" i="11" l="1"/>
  <c r="J351" i="11" s="1"/>
  <c r="J121" i="11"/>
  <c r="K121" i="11" s="1"/>
  <c r="L121" i="11" s="1"/>
  <c r="M121" i="11" s="1"/>
  <c r="N121" i="11" s="1"/>
  <c r="J113" i="11"/>
  <c r="J294" i="11"/>
  <c r="E10" i="8"/>
  <c r="H10" i="8"/>
  <c r="I10" i="8"/>
  <c r="G10" i="8"/>
  <c r="E121" i="11"/>
  <c r="E120" i="11"/>
  <c r="E119" i="11"/>
  <c r="E118" i="11"/>
  <c r="E114" i="11"/>
  <c r="E113" i="11"/>
  <c r="E112" i="11"/>
  <c r="E111" i="11"/>
  <c r="E110" i="11"/>
  <c r="E108" i="11"/>
  <c r="E107" i="11"/>
  <c r="E106" i="11"/>
  <c r="E105" i="11"/>
  <c r="E104" i="11"/>
  <c r="E103" i="11"/>
  <c r="E99" i="11"/>
  <c r="E97" i="11"/>
  <c r="E96" i="11"/>
  <c r="E95" i="11"/>
  <c r="E94" i="11"/>
  <c r="E93" i="11"/>
  <c r="E91" i="11"/>
  <c r="E90" i="11"/>
  <c r="E89" i="11"/>
  <c r="E88" i="11"/>
  <c r="E87" i="11"/>
  <c r="E77" i="11"/>
  <c r="E76" i="11"/>
  <c r="E75" i="11"/>
  <c r="E73" i="11"/>
  <c r="E72" i="11"/>
  <c r="E69" i="11"/>
  <c r="E68" i="11"/>
  <c r="E67" i="11"/>
  <c r="E66" i="11"/>
  <c r="E65" i="11"/>
  <c r="E61" i="11"/>
  <c r="E60" i="11"/>
  <c r="E59" i="11"/>
  <c r="E58" i="11"/>
  <c r="E57" i="11"/>
  <c r="E54" i="11"/>
  <c r="E53" i="11"/>
  <c r="E52" i="11"/>
  <c r="E51" i="11"/>
  <c r="E50" i="11"/>
  <c r="E49" i="11"/>
  <c r="E16" i="11"/>
  <c r="E15" i="11"/>
  <c r="B12" i="8"/>
  <c r="B13" i="8"/>
  <c r="B11" i="8"/>
  <c r="B10" i="8"/>
  <c r="I108" i="11"/>
  <c r="K72" i="11"/>
  <c r="K347" i="11" s="1"/>
  <c r="L72" i="11"/>
  <c r="L347" i="11" s="1"/>
  <c r="M72" i="11"/>
  <c r="M347" i="11" s="1"/>
  <c r="N72" i="11"/>
  <c r="N347" i="11" s="1"/>
  <c r="J72" i="11"/>
  <c r="J347" i="11" s="1"/>
  <c r="J69" i="11"/>
  <c r="J346" i="11" s="1"/>
  <c r="D361" i="11"/>
  <c r="D360" i="11"/>
  <c r="D359" i="11"/>
  <c r="D358" i="11"/>
  <c r="C344" i="11"/>
  <c r="C345" i="11"/>
  <c r="C346" i="11"/>
  <c r="C347" i="11"/>
  <c r="C343" i="11"/>
  <c r="C342" i="11"/>
  <c r="C341" i="11"/>
  <c r="E326" i="11"/>
  <c r="E327" i="11"/>
  <c r="E328" i="11"/>
  <c r="E333" i="11"/>
  <c r="E334" i="11"/>
  <c r="E335" i="11"/>
  <c r="E337" i="11"/>
  <c r="I328" i="11"/>
  <c r="J327" i="11" s="1"/>
  <c r="J66" i="11" s="1"/>
  <c r="J343" i="11" s="1"/>
  <c r="D327" i="11"/>
  <c r="D328" i="11"/>
  <c r="D326" i="11"/>
  <c r="D333" i="11" s="1"/>
  <c r="E323" i="11"/>
  <c r="I321" i="11"/>
  <c r="J319" i="11" s="1"/>
  <c r="E321" i="11"/>
  <c r="E320" i="11"/>
  <c r="E319" i="11"/>
  <c r="N316" i="11"/>
  <c r="M316" i="11"/>
  <c r="L316" i="11"/>
  <c r="K316" i="11"/>
  <c r="J316" i="11"/>
  <c r="N315" i="11"/>
  <c r="M315" i="11"/>
  <c r="L315" i="11"/>
  <c r="K315" i="11"/>
  <c r="J315" i="11"/>
  <c r="E316" i="11"/>
  <c r="E315" i="11"/>
  <c r="N312" i="11"/>
  <c r="M312" i="11"/>
  <c r="L312" i="11"/>
  <c r="K312" i="11"/>
  <c r="J312" i="11"/>
  <c r="N311" i="11"/>
  <c r="M311" i="11"/>
  <c r="L311" i="11"/>
  <c r="K311" i="11"/>
  <c r="J311" i="11"/>
  <c r="N310" i="11"/>
  <c r="M310" i="11"/>
  <c r="L310" i="11"/>
  <c r="K310" i="11"/>
  <c r="J310" i="11"/>
  <c r="N309" i="11"/>
  <c r="M309" i="11"/>
  <c r="L309" i="11"/>
  <c r="K309" i="11"/>
  <c r="J309" i="11"/>
  <c r="N308" i="11"/>
  <c r="M308" i="11"/>
  <c r="L308" i="11"/>
  <c r="K308" i="11"/>
  <c r="J308" i="11"/>
  <c r="N307" i="11"/>
  <c r="M307" i="11"/>
  <c r="L307" i="11"/>
  <c r="K307" i="11"/>
  <c r="J307" i="11"/>
  <c r="F312" i="11"/>
  <c r="F311" i="11"/>
  <c r="F310" i="11"/>
  <c r="F309" i="11"/>
  <c r="F308" i="11"/>
  <c r="F307" i="11"/>
  <c r="E312" i="11"/>
  <c r="E311" i="11"/>
  <c r="E310" i="11"/>
  <c r="E309" i="11"/>
  <c r="E308" i="11"/>
  <c r="E307" i="11"/>
  <c r="D307" i="11"/>
  <c r="D318" i="11" s="1"/>
  <c r="D308" i="11"/>
  <c r="D309" i="11"/>
  <c r="D310" i="11"/>
  <c r="D311" i="11"/>
  <c r="D325" i="11" s="1"/>
  <c r="D312" i="11"/>
  <c r="D313" i="11"/>
  <c r="D314" i="11"/>
  <c r="D315" i="11"/>
  <c r="D316" i="11"/>
  <c r="D317" i="11"/>
  <c r="D306" i="11"/>
  <c r="J298" i="11"/>
  <c r="I301" i="11"/>
  <c r="K294" i="11"/>
  <c r="K69" i="11" s="1"/>
  <c r="K346" i="11" s="1"/>
  <c r="L294" i="11"/>
  <c r="L69" i="11" s="1"/>
  <c r="L346" i="11" s="1"/>
  <c r="M294" i="11"/>
  <c r="M69" i="11" s="1"/>
  <c r="M346" i="11" s="1"/>
  <c r="N294" i="11"/>
  <c r="N69" i="11" s="1"/>
  <c r="N346" i="11" s="1"/>
  <c r="I295" i="11"/>
  <c r="J293" i="11" s="1"/>
  <c r="J295" i="11" s="1"/>
  <c r="K293" i="11" s="1"/>
  <c r="K295" i="11" s="1"/>
  <c r="D294" i="11"/>
  <c r="D295" i="11"/>
  <c r="D293" i="11"/>
  <c r="K287" i="11"/>
  <c r="K68" i="11" s="1"/>
  <c r="K345" i="11" s="1"/>
  <c r="I288" i="11"/>
  <c r="J286" i="11" s="1"/>
  <c r="G73" i="11"/>
  <c r="H122" i="11"/>
  <c r="I122" i="11"/>
  <c r="G122" i="11"/>
  <c r="N283" i="11"/>
  <c r="M283" i="11"/>
  <c r="L283" i="11"/>
  <c r="K283" i="11"/>
  <c r="J283" i="11"/>
  <c r="N280" i="11"/>
  <c r="M280" i="11"/>
  <c r="L280" i="11"/>
  <c r="K280" i="11"/>
  <c r="J280" i="11"/>
  <c r="N279" i="11"/>
  <c r="N287" i="11" s="1"/>
  <c r="N68" i="11" s="1"/>
  <c r="N345" i="11" s="1"/>
  <c r="M279" i="11"/>
  <c r="M287" i="11" s="1"/>
  <c r="M68" i="11" s="1"/>
  <c r="M345" i="11" s="1"/>
  <c r="L279" i="11"/>
  <c r="L287" i="11" s="1"/>
  <c r="L68" i="11" s="1"/>
  <c r="L345" i="11" s="1"/>
  <c r="K279" i="11"/>
  <c r="J279" i="11"/>
  <c r="J287" i="11" s="1"/>
  <c r="J68" i="11" s="1"/>
  <c r="J345" i="11" s="1"/>
  <c r="F280" i="11"/>
  <c r="F279" i="11"/>
  <c r="E280" i="11"/>
  <c r="E279" i="11"/>
  <c r="D279" i="11"/>
  <c r="D280" i="11"/>
  <c r="D290" i="11" s="1"/>
  <c r="D283" i="11"/>
  <c r="D278" i="11"/>
  <c r="I97" i="11"/>
  <c r="J96" i="11"/>
  <c r="K96" i="11" s="1"/>
  <c r="L96" i="11" s="1"/>
  <c r="M96" i="11" s="1"/>
  <c r="N96" i="11" s="1"/>
  <c r="J95" i="11"/>
  <c r="K95" i="11" s="1"/>
  <c r="L95" i="11" s="1"/>
  <c r="M95" i="11" s="1"/>
  <c r="N95" i="11" s="1"/>
  <c r="J94" i="11"/>
  <c r="K94" i="11" s="1"/>
  <c r="L94" i="11" s="1"/>
  <c r="M94" i="11" s="1"/>
  <c r="N94" i="11" s="1"/>
  <c r="I73" i="11"/>
  <c r="K59" i="11"/>
  <c r="L59" i="11"/>
  <c r="M59" i="11"/>
  <c r="N59" i="11"/>
  <c r="K60" i="11"/>
  <c r="L60" i="11"/>
  <c r="M60" i="11"/>
  <c r="N60" i="11"/>
  <c r="J60" i="11"/>
  <c r="J59" i="11"/>
  <c r="I54" i="11"/>
  <c r="K53" i="11"/>
  <c r="L53" i="11"/>
  <c r="M53" i="11"/>
  <c r="N53" i="11"/>
  <c r="J53" i="11"/>
  <c r="K254" i="11"/>
  <c r="L254" i="11"/>
  <c r="M254" i="11"/>
  <c r="N254" i="11"/>
  <c r="K256" i="11"/>
  <c r="L256" i="11"/>
  <c r="M256" i="11"/>
  <c r="N256" i="11"/>
  <c r="K257" i="11"/>
  <c r="L257" i="11"/>
  <c r="M257" i="11"/>
  <c r="N257" i="11"/>
  <c r="K258" i="11"/>
  <c r="L258" i="11"/>
  <c r="M258" i="11"/>
  <c r="N258" i="11"/>
  <c r="K259" i="11"/>
  <c r="L259" i="11"/>
  <c r="M259" i="11"/>
  <c r="N259" i="11"/>
  <c r="K260" i="11"/>
  <c r="L260" i="11"/>
  <c r="M260" i="11"/>
  <c r="N260" i="11"/>
  <c r="J255" i="11"/>
  <c r="J256" i="11"/>
  <c r="J257" i="11"/>
  <c r="J258" i="11"/>
  <c r="J259" i="11"/>
  <c r="J260" i="11"/>
  <c r="J254" i="11"/>
  <c r="D248" i="11"/>
  <c r="D249" i="11"/>
  <c r="D252" i="11"/>
  <c r="D253" i="11"/>
  <c r="D254" i="11"/>
  <c r="D255" i="11"/>
  <c r="D256" i="11"/>
  <c r="D257" i="11"/>
  <c r="D258" i="11"/>
  <c r="D259" i="11"/>
  <c r="D260" i="11"/>
  <c r="D261" i="11"/>
  <c r="I31" i="11"/>
  <c r="K25" i="11"/>
  <c r="L25" i="11"/>
  <c r="M25" i="11"/>
  <c r="N25" i="11"/>
  <c r="J25" i="11"/>
  <c r="E242" i="11"/>
  <c r="E241" i="11"/>
  <c r="E240" i="11"/>
  <c r="E239" i="11"/>
  <c r="E238" i="11"/>
  <c r="N236" i="11"/>
  <c r="N239" i="11" s="1"/>
  <c r="M236" i="11"/>
  <c r="M239" i="11" s="1"/>
  <c r="L236" i="11"/>
  <c r="L239" i="11" s="1"/>
  <c r="K236" i="11"/>
  <c r="K239" i="11" s="1"/>
  <c r="J236" i="11"/>
  <c r="J239" i="11" s="1"/>
  <c r="F235" i="11"/>
  <c r="K235" i="11" s="1"/>
  <c r="E235" i="11"/>
  <c r="D236" i="11"/>
  <c r="D239" i="11" s="1"/>
  <c r="D235" i="11"/>
  <c r="E215" i="11"/>
  <c r="E214" i="11"/>
  <c r="E213" i="11"/>
  <c r="E212" i="11"/>
  <c r="E230" i="11"/>
  <c r="D219" i="11"/>
  <c r="D228" i="11"/>
  <c r="I215" i="11"/>
  <c r="N203" i="11"/>
  <c r="N213" i="11" s="1"/>
  <c r="N58" i="11" s="1"/>
  <c r="M203" i="11"/>
  <c r="M213" i="11" s="1"/>
  <c r="M58" i="11" s="1"/>
  <c r="L203" i="11"/>
  <c r="L213" i="11" s="1"/>
  <c r="L58" i="11" s="1"/>
  <c r="K203" i="11"/>
  <c r="J203" i="11"/>
  <c r="J213" i="11" s="1"/>
  <c r="J58" i="11" s="1"/>
  <c r="F210" i="11"/>
  <c r="F209" i="11"/>
  <c r="F208" i="11"/>
  <c r="F207" i="11"/>
  <c r="F206" i="11"/>
  <c r="F205" i="11"/>
  <c r="F204" i="11"/>
  <c r="F203" i="11"/>
  <c r="E210" i="11"/>
  <c r="E209" i="11"/>
  <c r="E208" i="11"/>
  <c r="E207" i="11"/>
  <c r="E206" i="11"/>
  <c r="E205" i="11"/>
  <c r="E204" i="11"/>
  <c r="D204" i="11"/>
  <c r="D205" i="11"/>
  <c r="D206" i="11"/>
  <c r="D207" i="11"/>
  <c r="D208" i="11"/>
  <c r="D209" i="11"/>
  <c r="D210" i="11"/>
  <c r="D203" i="11"/>
  <c r="K19" i="11"/>
  <c r="L19" i="11"/>
  <c r="M19" i="11"/>
  <c r="N19" i="11"/>
  <c r="J19" i="11"/>
  <c r="I17" i="11"/>
  <c r="E167" i="11"/>
  <c r="D167" i="11"/>
  <c r="J198" i="11"/>
  <c r="J197" i="11"/>
  <c r="I198" i="11"/>
  <c r="I197" i="11"/>
  <c r="I182" i="11"/>
  <c r="I181" i="11"/>
  <c r="I179" i="11"/>
  <c r="I177" i="11"/>
  <c r="I176" i="11"/>
  <c r="I175" i="11"/>
  <c r="I174" i="11"/>
  <c r="I173" i="11"/>
  <c r="I171" i="11"/>
  <c r="I170" i="11"/>
  <c r="E198" i="11"/>
  <c r="E182" i="11"/>
  <c r="E172" i="11"/>
  <c r="E171" i="11"/>
  <c r="E170" i="11"/>
  <c r="D170" i="11"/>
  <c r="D185" i="11" s="1"/>
  <c r="D171" i="11"/>
  <c r="D186" i="11" s="1"/>
  <c r="D172" i="11"/>
  <c r="D174" i="11"/>
  <c r="D175" i="11"/>
  <c r="D190" i="11" s="1"/>
  <c r="D176" i="11"/>
  <c r="D191" i="11" s="1"/>
  <c r="D177" i="11"/>
  <c r="D192" i="11" s="1"/>
  <c r="D178" i="11"/>
  <c r="D180" i="11"/>
  <c r="D182" i="11"/>
  <c r="D197" i="11"/>
  <c r="D198" i="11"/>
  <c r="D169" i="11"/>
  <c r="E162" i="11"/>
  <c r="D159" i="11"/>
  <c r="E158" i="11"/>
  <c r="I158" i="11"/>
  <c r="I143" i="11"/>
  <c r="K151" i="11" s="1"/>
  <c r="I142" i="11"/>
  <c r="I141" i="11"/>
  <c r="I150" i="11" s="1"/>
  <c r="E143" i="11"/>
  <c r="E142" i="11"/>
  <c r="E153" i="11" s="1"/>
  <c r="E141" i="11"/>
  <c r="D142" i="11"/>
  <c r="D143" i="11"/>
  <c r="D151" i="11" s="1"/>
  <c r="D145" i="11"/>
  <c r="D161" i="11" s="1"/>
  <c r="D147" i="11"/>
  <c r="D141" i="11"/>
  <c r="H137" i="11"/>
  <c r="I137" i="11" s="1"/>
  <c r="J137" i="11" s="1"/>
  <c r="K137" i="11" s="1"/>
  <c r="L137" i="11" s="1"/>
  <c r="M137" i="11" s="1"/>
  <c r="N137" i="11" s="1"/>
  <c r="E112" i="9"/>
  <c r="E106" i="9"/>
  <c r="E105" i="9"/>
  <c r="D106" i="9"/>
  <c r="K101" i="9"/>
  <c r="L101" i="9"/>
  <c r="M101" i="9"/>
  <c r="N101" i="9"/>
  <c r="J101" i="9"/>
  <c r="D105" i="9"/>
  <c r="I89" i="9"/>
  <c r="I88" i="9"/>
  <c r="I87" i="9"/>
  <c r="I86" i="9"/>
  <c r="I84" i="9"/>
  <c r="I83" i="9"/>
  <c r="I82" i="9"/>
  <c r="H89" i="9"/>
  <c r="G89" i="9"/>
  <c r="H88" i="9"/>
  <c r="G88" i="9"/>
  <c r="H87" i="9"/>
  <c r="G87" i="9"/>
  <c r="H86" i="9"/>
  <c r="G86" i="9"/>
  <c r="H84" i="9"/>
  <c r="G84" i="9"/>
  <c r="H83" i="9"/>
  <c r="G83" i="9"/>
  <c r="H82" i="9"/>
  <c r="G82" i="9"/>
  <c r="K74" i="9"/>
  <c r="K255" i="11" s="1"/>
  <c r="D87" i="9"/>
  <c r="D268" i="11" s="1"/>
  <c r="D88" i="9"/>
  <c r="D269" i="11" s="1"/>
  <c r="D89" i="9"/>
  <c r="D270" i="11" s="1"/>
  <c r="D86" i="9"/>
  <c r="D267" i="11" s="1"/>
  <c r="D83" i="9"/>
  <c r="D264" i="11" s="1"/>
  <c r="D84" i="9"/>
  <c r="D265" i="11" s="1"/>
  <c r="D82" i="9"/>
  <c r="D263" i="11" s="1"/>
  <c r="H69" i="9"/>
  <c r="I69" i="9"/>
  <c r="H70" i="9"/>
  <c r="I70" i="9"/>
  <c r="G70" i="9"/>
  <c r="G69" i="9"/>
  <c r="D70" i="9"/>
  <c r="D251" i="11" s="1"/>
  <c r="D69" i="9"/>
  <c r="D250" i="11" s="1"/>
  <c r="D66" i="9"/>
  <c r="D247" i="11" s="1"/>
  <c r="E61" i="9"/>
  <c r="E236" i="11" s="1"/>
  <c r="E50" i="9"/>
  <c r="E203" i="11" s="1"/>
  <c r="E44" i="9"/>
  <c r="E197" i="11" s="1"/>
  <c r="D37" i="10"/>
  <c r="D36" i="10"/>
  <c r="D35" i="10"/>
  <c r="N34" i="10"/>
  <c r="N45" i="9" s="1"/>
  <c r="N198" i="11" s="1"/>
  <c r="M34" i="10"/>
  <c r="M45" i="9" s="1"/>
  <c r="M198" i="11" s="1"/>
  <c r="L34" i="10"/>
  <c r="L45" i="9" s="1"/>
  <c r="L198" i="11" s="1"/>
  <c r="K34" i="10"/>
  <c r="K45" i="9" s="1"/>
  <c r="K198" i="11" s="1"/>
  <c r="J34" i="10"/>
  <c r="J42" i="9" s="1"/>
  <c r="J182" i="11" s="1"/>
  <c r="D34" i="10"/>
  <c r="E40" i="9"/>
  <c r="E180" i="11" s="1"/>
  <c r="I38" i="9"/>
  <c r="I178" i="11" s="1"/>
  <c r="E35" i="9"/>
  <c r="E175" i="11" s="1"/>
  <c r="E36" i="9"/>
  <c r="E176" i="11" s="1"/>
  <c r="E37" i="9"/>
  <c r="E177" i="11" s="1"/>
  <c r="E38" i="9"/>
  <c r="E178" i="11" s="1"/>
  <c r="I32" i="9"/>
  <c r="E31" i="9"/>
  <c r="E32" i="9"/>
  <c r="E30" i="9"/>
  <c r="D29" i="10"/>
  <c r="D28" i="10"/>
  <c r="D27" i="10"/>
  <c r="N26" i="10"/>
  <c r="N25" i="9" s="1"/>
  <c r="N147" i="11" s="1"/>
  <c r="M26" i="10"/>
  <c r="M25" i="9" s="1"/>
  <c r="M147" i="11" s="1"/>
  <c r="L26" i="10"/>
  <c r="L25" i="9" s="1"/>
  <c r="L147" i="11" s="1"/>
  <c r="K26" i="10"/>
  <c r="K25" i="9" s="1"/>
  <c r="K147" i="11" s="1"/>
  <c r="J26" i="10"/>
  <c r="J25" i="9" s="1"/>
  <c r="J147" i="11" s="1"/>
  <c r="D26" i="10"/>
  <c r="K20" i="10"/>
  <c r="L20" i="10"/>
  <c r="M20" i="10"/>
  <c r="N20" i="10"/>
  <c r="J20" i="10"/>
  <c r="K19" i="10"/>
  <c r="L19" i="10"/>
  <c r="M19" i="10"/>
  <c r="N19" i="10"/>
  <c r="J19" i="10"/>
  <c r="K17" i="10"/>
  <c r="K23" i="9" s="1"/>
  <c r="K145" i="11" s="1"/>
  <c r="K161" i="11" s="1"/>
  <c r="L17" i="10"/>
  <c r="L23" i="9" s="1"/>
  <c r="L145" i="11" s="1"/>
  <c r="L161" i="11" s="1"/>
  <c r="M17" i="10"/>
  <c r="M23" i="9" s="1"/>
  <c r="M145" i="11" s="1"/>
  <c r="M161" i="11" s="1"/>
  <c r="N17" i="10"/>
  <c r="N23" i="9" s="1"/>
  <c r="N145" i="11" s="1"/>
  <c r="N161" i="11" s="1"/>
  <c r="J17" i="10"/>
  <c r="J23" i="9" s="1"/>
  <c r="J145" i="11" s="1"/>
  <c r="J161" i="11" s="1"/>
  <c r="D20" i="10"/>
  <c r="D19" i="10"/>
  <c r="D18" i="10"/>
  <c r="D17" i="10"/>
  <c r="G11" i="9"/>
  <c r="G66" i="9" s="1"/>
  <c r="G247" i="11" s="1"/>
  <c r="I114" i="11"/>
  <c r="H114" i="11"/>
  <c r="G114" i="11"/>
  <c r="H108" i="11"/>
  <c r="G108" i="11"/>
  <c r="H97" i="11"/>
  <c r="G97" i="11"/>
  <c r="I91" i="11"/>
  <c r="H91" i="11"/>
  <c r="G91" i="11"/>
  <c r="G85" i="11"/>
  <c r="B84" i="11"/>
  <c r="B81" i="11"/>
  <c r="H73" i="11"/>
  <c r="I61" i="11"/>
  <c r="H61" i="11"/>
  <c r="G61" i="11"/>
  <c r="H54" i="11"/>
  <c r="G54" i="11"/>
  <c r="G46" i="11"/>
  <c r="B44" i="11"/>
  <c r="B41" i="11"/>
  <c r="H31" i="11"/>
  <c r="G31" i="11"/>
  <c r="H17" i="11"/>
  <c r="H20" i="11" s="1"/>
  <c r="H23" i="11" s="1"/>
  <c r="H27" i="11" s="1"/>
  <c r="G17" i="11"/>
  <c r="G20" i="11" s="1"/>
  <c r="G23" i="11" s="1"/>
  <c r="G27" i="11" s="1"/>
  <c r="I11" i="11"/>
  <c r="I13" i="8" s="1"/>
  <c r="H11" i="11"/>
  <c r="H13" i="8" s="1"/>
  <c r="G11" i="11"/>
  <c r="G13" i="8" s="1"/>
  <c r="I10" i="11"/>
  <c r="I12" i="8" s="1"/>
  <c r="H10" i="11"/>
  <c r="H12" i="8" s="1"/>
  <c r="G10" i="11"/>
  <c r="G12" i="8" s="1"/>
  <c r="I9" i="11"/>
  <c r="I11" i="8" s="1"/>
  <c r="H9" i="11"/>
  <c r="H11" i="8" s="1"/>
  <c r="H7" i="11"/>
  <c r="H46" i="11" s="1"/>
  <c r="H7" i="10"/>
  <c r="H7" i="9"/>
  <c r="I7" i="9" s="1"/>
  <c r="I11" i="9" s="1"/>
  <c r="I66" i="9" s="1"/>
  <c r="I247" i="11" s="1"/>
  <c r="H7" i="8"/>
  <c r="H88" i="1"/>
  <c r="I88" i="1"/>
  <c r="G88" i="1"/>
  <c r="H118" i="1"/>
  <c r="I118" i="1"/>
  <c r="G118" i="1"/>
  <c r="H111" i="1"/>
  <c r="I111" i="1"/>
  <c r="G111" i="1"/>
  <c r="H105" i="1"/>
  <c r="I105" i="1"/>
  <c r="G105" i="1"/>
  <c r="H94" i="1"/>
  <c r="I94" i="1"/>
  <c r="G94" i="1"/>
  <c r="I85" i="9" l="1"/>
  <c r="J119" i="11"/>
  <c r="J326" i="11"/>
  <c r="J328" i="11" s="1"/>
  <c r="J330" i="11" s="1"/>
  <c r="J359" i="11" s="1"/>
  <c r="J320" i="11"/>
  <c r="J67" i="11" s="1"/>
  <c r="J344" i="11" s="1"/>
  <c r="K113" i="11"/>
  <c r="L113" i="11" s="1"/>
  <c r="M113" i="11"/>
  <c r="L293" i="11"/>
  <c r="L295" i="11" s="1"/>
  <c r="K119" i="11"/>
  <c r="J288" i="11"/>
  <c r="J118" i="11" s="1"/>
  <c r="N61" i="11"/>
  <c r="N342" i="11" s="1"/>
  <c r="M61" i="11"/>
  <c r="M342" i="11" s="1"/>
  <c r="L61" i="11"/>
  <c r="L342" i="11" s="1"/>
  <c r="J61" i="11"/>
  <c r="J342" i="11" s="1"/>
  <c r="J175" i="11"/>
  <c r="H85" i="9"/>
  <c r="G90" i="9"/>
  <c r="H90" i="9"/>
  <c r="G85" i="9"/>
  <c r="I90" i="9"/>
  <c r="M235" i="11"/>
  <c r="M242" i="11" s="1"/>
  <c r="M30" i="11" s="1"/>
  <c r="M51" i="11" s="1"/>
  <c r="L74" i="9"/>
  <c r="J150" i="11"/>
  <c r="K150" i="11" s="1"/>
  <c r="K152" i="11" s="1"/>
  <c r="K197" i="11"/>
  <c r="L197" i="11" s="1"/>
  <c r="I20" i="11"/>
  <c r="I23" i="11" s="1"/>
  <c r="I27" i="11" s="1"/>
  <c r="I33" i="11" s="1"/>
  <c r="I36" i="11" s="1"/>
  <c r="K213" i="11"/>
  <c r="K58" i="11" s="1"/>
  <c r="K61" i="11" s="1"/>
  <c r="K342" i="11" s="1"/>
  <c r="H223" i="11" a="1"/>
  <c r="H223" i="11" s="1"/>
  <c r="I218" i="11"/>
  <c r="J219" i="11" s="1"/>
  <c r="J212" i="11"/>
  <c r="K242" i="11"/>
  <c r="K30" i="11" s="1"/>
  <c r="K51" i="11" s="1"/>
  <c r="J235" i="11"/>
  <c r="J242" i="11" s="1"/>
  <c r="N235" i="11"/>
  <c r="N242" i="11" s="1"/>
  <c r="N30" i="11" s="1"/>
  <c r="N51" i="11" s="1"/>
  <c r="J177" i="11"/>
  <c r="L235" i="11"/>
  <c r="L242" i="11" s="1"/>
  <c r="L30" i="11" s="1"/>
  <c r="L51" i="11" s="1"/>
  <c r="J16" i="11"/>
  <c r="J176" i="11"/>
  <c r="I172" i="11"/>
  <c r="I180" i="11" s="1"/>
  <c r="I151" i="11"/>
  <c r="I153" i="11"/>
  <c r="I154" i="11" s="1"/>
  <c r="G99" i="11"/>
  <c r="G73" i="9"/>
  <c r="G75" i="9"/>
  <c r="N151" i="11"/>
  <c r="G33" i="11"/>
  <c r="G36" i="11" s="1"/>
  <c r="J151" i="11"/>
  <c r="G77" i="9"/>
  <c r="I75" i="9"/>
  <c r="M151" i="11"/>
  <c r="H33" i="11"/>
  <c r="H36" i="11" s="1"/>
  <c r="L151" i="11"/>
  <c r="H99" i="11"/>
  <c r="G75" i="11"/>
  <c r="G77" i="11" s="1"/>
  <c r="H76" i="11" s="1"/>
  <c r="I99" i="11"/>
  <c r="I78" i="9"/>
  <c r="G79" i="9"/>
  <c r="I77" i="9"/>
  <c r="I76" i="9"/>
  <c r="G78" i="9"/>
  <c r="G76" i="9"/>
  <c r="I73" i="9"/>
  <c r="I40" i="9"/>
  <c r="J7" i="9"/>
  <c r="K7" i="9" s="1"/>
  <c r="L7" i="9" s="1"/>
  <c r="M7" i="9" s="1"/>
  <c r="N7" i="9" s="1"/>
  <c r="N11" i="9" s="1"/>
  <c r="N66" i="9" s="1"/>
  <c r="N247" i="11" s="1"/>
  <c r="H11" i="9"/>
  <c r="H66" i="9" s="1"/>
  <c r="H247" i="11" s="1"/>
  <c r="I79" i="9"/>
  <c r="N42" i="9"/>
  <c r="N182" i="11" s="1"/>
  <c r="H75" i="11"/>
  <c r="M42" i="9"/>
  <c r="M182" i="11" s="1"/>
  <c r="I75" i="11"/>
  <c r="L42" i="9"/>
  <c r="L182" i="11" s="1"/>
  <c r="K42" i="9"/>
  <c r="K182" i="11" s="1"/>
  <c r="G116" i="11"/>
  <c r="G124" i="11" s="1"/>
  <c r="H116" i="11"/>
  <c r="H124" i="11" s="1"/>
  <c r="I116" i="11"/>
  <c r="I124" i="11" s="1"/>
  <c r="H85" i="11"/>
  <c r="I7" i="11"/>
  <c r="J7" i="11" s="1"/>
  <c r="J222" i="11" s="1"/>
  <c r="I7" i="10"/>
  <c r="J7" i="10" s="1"/>
  <c r="K7" i="10" s="1"/>
  <c r="L7" i="10" s="1"/>
  <c r="M7" i="10" s="1"/>
  <c r="N7" i="10" s="1"/>
  <c r="I7" i="8"/>
  <c r="J7" i="8" s="1"/>
  <c r="K7" i="8" s="1"/>
  <c r="L7" i="8" s="1"/>
  <c r="M7" i="8" s="1"/>
  <c r="N7" i="8" s="1"/>
  <c r="G96" i="1"/>
  <c r="H113" i="1"/>
  <c r="H120" i="1" s="1"/>
  <c r="G113" i="1"/>
  <c r="G120" i="1" s="1"/>
  <c r="I113" i="1"/>
  <c r="I96" i="1"/>
  <c r="H96" i="1"/>
  <c r="I61" i="1"/>
  <c r="H61" i="1"/>
  <c r="G61" i="1"/>
  <c r="I54" i="1"/>
  <c r="H54" i="1"/>
  <c r="G54" i="1"/>
  <c r="I31" i="1"/>
  <c r="H31" i="1"/>
  <c r="G31" i="1"/>
  <c r="I17" i="1"/>
  <c r="H17" i="1"/>
  <c r="G17" i="1"/>
  <c r="I91" i="9" l="1"/>
  <c r="I272" i="11" s="1"/>
  <c r="J30" i="11"/>
  <c r="J51" i="11" s="1"/>
  <c r="J112" i="11"/>
  <c r="K112" i="11" s="1"/>
  <c r="L112" i="11" s="1"/>
  <c r="M112" i="11" s="1"/>
  <c r="N112" i="11" s="1"/>
  <c r="J321" i="11"/>
  <c r="K326" i="11"/>
  <c r="J110" i="11"/>
  <c r="K327" i="11"/>
  <c r="N113" i="11"/>
  <c r="M293" i="11"/>
  <c r="M295" i="11" s="1"/>
  <c r="L119" i="11"/>
  <c r="G91" i="9"/>
  <c r="K175" i="11"/>
  <c r="L175" i="11" s="1"/>
  <c r="J290" i="11"/>
  <c r="J35" i="11" s="1"/>
  <c r="K286" i="11"/>
  <c r="K288" i="11" s="1"/>
  <c r="K118" i="11" s="1"/>
  <c r="H128" i="11"/>
  <c r="H91" i="9"/>
  <c r="K16" i="11"/>
  <c r="L150" i="11"/>
  <c r="M150" i="11" s="1"/>
  <c r="N150" i="11" s="1"/>
  <c r="N152" i="11" s="1"/>
  <c r="K177" i="11"/>
  <c r="K11" i="9"/>
  <c r="K66" i="9" s="1"/>
  <c r="K247" i="11" s="1"/>
  <c r="L11" i="9"/>
  <c r="L66" i="9" s="1"/>
  <c r="L247" i="11" s="1"/>
  <c r="H76" i="9"/>
  <c r="M74" i="9"/>
  <c r="L255" i="11"/>
  <c r="H227" i="11"/>
  <c r="M219" i="11"/>
  <c r="N219" i="11"/>
  <c r="K219" i="11"/>
  <c r="L219" i="11"/>
  <c r="H224" i="11"/>
  <c r="H225" i="11"/>
  <c r="H226" i="11"/>
  <c r="M197" i="11"/>
  <c r="L16" i="11"/>
  <c r="K176" i="11"/>
  <c r="L177" i="11"/>
  <c r="J178" i="11"/>
  <c r="G128" i="11"/>
  <c r="J153" i="11"/>
  <c r="J154" i="11" s="1"/>
  <c r="J155" i="11" s="1"/>
  <c r="J167" i="11" s="1"/>
  <c r="I155" i="11"/>
  <c r="I152" i="11"/>
  <c r="J152" i="11"/>
  <c r="I128" i="11"/>
  <c r="K7" i="11"/>
  <c r="K222" i="11" s="1"/>
  <c r="J46" i="11"/>
  <c r="J85" i="11" s="1"/>
  <c r="H77" i="11"/>
  <c r="H73" i="9"/>
  <c r="H75" i="9"/>
  <c r="H77" i="9"/>
  <c r="J11" i="9"/>
  <c r="J66" i="9" s="1"/>
  <c r="J247" i="11" s="1"/>
  <c r="H79" i="9"/>
  <c r="M11" i="9"/>
  <c r="M66" i="9" s="1"/>
  <c r="M247" i="11" s="1"/>
  <c r="H78" i="9"/>
  <c r="I46" i="11"/>
  <c r="I85" i="11"/>
  <c r="G124" i="1"/>
  <c r="H124" i="1"/>
  <c r="H20" i="1"/>
  <c r="H23" i="1" s="1"/>
  <c r="H27" i="1" s="1"/>
  <c r="H33" i="1" s="1"/>
  <c r="H36" i="1" s="1"/>
  <c r="I20" i="1"/>
  <c r="I23" i="1" s="1"/>
  <c r="I27" i="1" s="1"/>
  <c r="I33" i="1" s="1"/>
  <c r="I36" i="1" s="1"/>
  <c r="G20" i="1"/>
  <c r="G23" i="1" s="1"/>
  <c r="G27" i="1" s="1"/>
  <c r="G33" i="1" s="1"/>
  <c r="G36" i="1" s="1"/>
  <c r="I70" i="1"/>
  <c r="H70" i="1"/>
  <c r="G70" i="1"/>
  <c r="H9" i="1"/>
  <c r="I9" i="1"/>
  <c r="H10" i="1"/>
  <c r="I10" i="1"/>
  <c r="H11" i="1"/>
  <c r="I11" i="1"/>
  <c r="K178" i="11" l="1"/>
  <c r="K328" i="11"/>
  <c r="K66" i="11"/>
  <c r="K343" i="11" s="1"/>
  <c r="K319" i="11"/>
  <c r="K320" i="11"/>
  <c r="J323" i="11"/>
  <c r="J358" i="11" s="1"/>
  <c r="J111" i="11"/>
  <c r="J114" i="11" s="1"/>
  <c r="I76" i="11"/>
  <c r="I77" i="11" s="1"/>
  <c r="N293" i="11"/>
  <c r="N295" i="11" s="1"/>
  <c r="N119" i="11" s="1"/>
  <c r="M119" i="11"/>
  <c r="L286" i="11"/>
  <c r="L288" i="11" s="1"/>
  <c r="L118" i="11" s="1"/>
  <c r="K290" i="11"/>
  <c r="K35" i="11" s="1"/>
  <c r="L152" i="11"/>
  <c r="M152" i="11"/>
  <c r="N74" i="9"/>
  <c r="N255" i="11" s="1"/>
  <c r="M255" i="11"/>
  <c r="N197" i="11"/>
  <c r="N16" i="11" s="1"/>
  <c r="M16" i="11"/>
  <c r="J192" i="11"/>
  <c r="J190" i="11"/>
  <c r="M177" i="11"/>
  <c r="J191" i="11"/>
  <c r="M175" i="11"/>
  <c r="L176" i="11"/>
  <c r="L178" i="11" s="1"/>
  <c r="I159" i="11"/>
  <c r="I160" i="11" s="1"/>
  <c r="J160" i="11" s="1"/>
  <c r="K160" i="11" s="1"/>
  <c r="I167" i="11"/>
  <c r="K153" i="11"/>
  <c r="L153" i="11" s="1"/>
  <c r="L154" i="11" s="1"/>
  <c r="L155" i="11" s="1"/>
  <c r="L167" i="11" s="1"/>
  <c r="L190" i="11" s="1"/>
  <c r="L7" i="11"/>
  <c r="L222" i="11" s="1"/>
  <c r="K46" i="11"/>
  <c r="K85" i="11" s="1"/>
  <c r="G10" i="1"/>
  <c r="G11" i="1"/>
  <c r="G82" i="1"/>
  <c r="B78" i="1"/>
  <c r="B81" i="1"/>
  <c r="B44" i="1"/>
  <c r="I335" i="11" l="1"/>
  <c r="J333" i="11" s="1"/>
  <c r="J76" i="11"/>
  <c r="K321" i="11"/>
  <c r="K67" i="11"/>
  <c r="K344" i="11" s="1"/>
  <c r="K110" i="11"/>
  <c r="L326" i="11"/>
  <c r="L327" i="11"/>
  <c r="L66" i="11" s="1"/>
  <c r="L343" i="11" s="1"/>
  <c r="K330" i="11"/>
  <c r="K359" i="11" s="1"/>
  <c r="M286" i="11"/>
  <c r="M288" i="11" s="1"/>
  <c r="M118" i="11" s="1"/>
  <c r="L290" i="11"/>
  <c r="L35" i="11" s="1"/>
  <c r="M153" i="11"/>
  <c r="N153" i="11" s="1"/>
  <c r="N154" i="11" s="1"/>
  <c r="N155" i="11" s="1"/>
  <c r="N167" i="11" s="1"/>
  <c r="L191" i="11"/>
  <c r="M176" i="11"/>
  <c r="M178" i="11" s="1"/>
  <c r="J193" i="11"/>
  <c r="L192" i="11"/>
  <c r="I192" i="11"/>
  <c r="I190" i="11"/>
  <c r="I191" i="11"/>
  <c r="N177" i="11"/>
  <c r="N175" i="11"/>
  <c r="J162" i="11"/>
  <c r="J13" i="11" s="1"/>
  <c r="I186" i="11"/>
  <c r="J186" i="11" s="1"/>
  <c r="I185" i="11"/>
  <c r="J185" i="11" s="1"/>
  <c r="J170" i="11" s="1"/>
  <c r="K154" i="11"/>
  <c r="K155" i="11" s="1"/>
  <c r="L160" i="11"/>
  <c r="M7" i="11"/>
  <c r="M222" i="11" s="1"/>
  <c r="L46" i="11"/>
  <c r="L85" i="11" s="1"/>
  <c r="G72" i="1"/>
  <c r="G74" i="1" s="1"/>
  <c r="H73" i="1" s="1"/>
  <c r="G46" i="1"/>
  <c r="B41" i="1"/>
  <c r="H7" i="1"/>
  <c r="M154" i="11" l="1"/>
  <c r="M155" i="11" s="1"/>
  <c r="M167" i="11" s="1"/>
  <c r="M192" i="11" s="1"/>
  <c r="L328" i="11"/>
  <c r="K111" i="11"/>
  <c r="K114" i="11" s="1"/>
  <c r="L320" i="11"/>
  <c r="L67" i="11" s="1"/>
  <c r="L344" i="11" s="1"/>
  <c r="L319" i="11"/>
  <c r="L321" i="11" s="1"/>
  <c r="L323" i="11"/>
  <c r="L358" i="11" s="1"/>
  <c r="K323" i="11"/>
  <c r="K358" i="11" s="1"/>
  <c r="J10" i="8"/>
  <c r="J11" i="11"/>
  <c r="J13" i="8" s="1"/>
  <c r="J9" i="11"/>
  <c r="J11" i="8" s="1"/>
  <c r="N286" i="11"/>
  <c r="N288" i="11" s="1"/>
  <c r="M290" i="11"/>
  <c r="M35" i="11" s="1"/>
  <c r="L193" i="11"/>
  <c r="J250" i="11"/>
  <c r="J263" i="11" s="1"/>
  <c r="J88" i="11" s="1"/>
  <c r="K186" i="11"/>
  <c r="J171" i="11"/>
  <c r="N190" i="11"/>
  <c r="I193" i="11"/>
  <c r="N176" i="11"/>
  <c r="N191" i="11" s="1"/>
  <c r="N192" i="11"/>
  <c r="K162" i="11"/>
  <c r="K13" i="11" s="1"/>
  <c r="K167" i="11"/>
  <c r="K185" i="11"/>
  <c r="J187" i="11"/>
  <c r="J172" i="11" s="1"/>
  <c r="M160" i="11"/>
  <c r="L162" i="11"/>
  <c r="L13" i="11" s="1"/>
  <c r="N7" i="11"/>
  <c r="M46" i="11"/>
  <c r="M85" i="11" s="1"/>
  <c r="H82" i="1"/>
  <c r="I7" i="1"/>
  <c r="H46" i="1"/>
  <c r="L111" i="11" l="1"/>
  <c r="M319" i="11"/>
  <c r="M320" i="11"/>
  <c r="M67" i="11" s="1"/>
  <c r="M344" i="11" s="1"/>
  <c r="M191" i="11"/>
  <c r="M190" i="11"/>
  <c r="M193" i="11" s="1"/>
  <c r="N290" i="11"/>
  <c r="N35" i="11" s="1"/>
  <c r="N118" i="11"/>
  <c r="L110" i="11"/>
  <c r="M327" i="11"/>
  <c r="M66" i="11" s="1"/>
  <c r="M343" i="11" s="1"/>
  <c r="M326" i="11"/>
  <c r="M328" i="11" s="1"/>
  <c r="M330" i="11" s="1"/>
  <c r="M359" i="11" s="1"/>
  <c r="L330" i="11"/>
  <c r="L359" i="11" s="1"/>
  <c r="K9" i="11"/>
  <c r="K11" i="8" s="1"/>
  <c r="K10" i="8"/>
  <c r="K11" i="11"/>
  <c r="K13" i="8" s="1"/>
  <c r="L9" i="11"/>
  <c r="L11" i="8" s="1"/>
  <c r="L10" i="8"/>
  <c r="L11" i="11"/>
  <c r="L13" i="8" s="1"/>
  <c r="N193" i="11"/>
  <c r="J195" i="11"/>
  <c r="K250" i="11"/>
  <c r="K263" i="11" s="1"/>
  <c r="K88" i="11" s="1"/>
  <c r="N46" i="11"/>
  <c r="N85" i="11" s="1"/>
  <c r="N222" i="11"/>
  <c r="L250" i="11"/>
  <c r="L263" i="11" s="1"/>
  <c r="L88" i="11" s="1"/>
  <c r="K170" i="11"/>
  <c r="N178" i="11"/>
  <c r="J180" i="11"/>
  <c r="J15" i="11" s="1"/>
  <c r="J10" i="11" s="1"/>
  <c r="J12" i="8" s="1"/>
  <c r="K192" i="11"/>
  <c r="K190" i="11"/>
  <c r="K191" i="11"/>
  <c r="L186" i="11"/>
  <c r="K171" i="11"/>
  <c r="L185" i="11"/>
  <c r="L170" i="11" s="1"/>
  <c r="K187" i="11"/>
  <c r="K172" i="11" s="1"/>
  <c r="K180" i="11" s="1"/>
  <c r="K15" i="11" s="1"/>
  <c r="K10" i="11" s="1"/>
  <c r="K12" i="8" s="1"/>
  <c r="N160" i="11"/>
  <c r="N162" i="11" s="1"/>
  <c r="N13" i="11" s="1"/>
  <c r="M162" i="11"/>
  <c r="M13" i="11" s="1"/>
  <c r="I82" i="1"/>
  <c r="I46" i="1"/>
  <c r="M110" i="11" l="1"/>
  <c r="N327" i="11"/>
  <c r="N66" i="11" s="1"/>
  <c r="N343" i="11" s="1"/>
  <c r="N326" i="11"/>
  <c r="M321" i="11"/>
  <c r="L114" i="11"/>
  <c r="M10" i="8"/>
  <c r="M9" i="11"/>
  <c r="M11" i="8" s="1"/>
  <c r="M11" i="11"/>
  <c r="M13" i="8" s="1"/>
  <c r="N10" i="8"/>
  <c r="N9" i="11"/>
  <c r="N11" i="8" s="1"/>
  <c r="N11" i="11"/>
  <c r="N13" i="8" s="1"/>
  <c r="M250" i="11"/>
  <c r="M263" i="11" s="1"/>
  <c r="M88" i="11" s="1"/>
  <c r="N250" i="11"/>
  <c r="N263" i="11" s="1"/>
  <c r="N88" i="11" s="1"/>
  <c r="K251" i="11"/>
  <c r="K17" i="11"/>
  <c r="K20" i="11" s="1"/>
  <c r="G223" i="11" a="1"/>
  <c r="J17" i="11"/>
  <c r="J20" i="11" s="1"/>
  <c r="J251" i="11"/>
  <c r="M186" i="11"/>
  <c r="L171" i="11"/>
  <c r="K193" i="11"/>
  <c r="K195" i="11" s="1"/>
  <c r="M185" i="11"/>
  <c r="M170" i="11" s="1"/>
  <c r="L187" i="11"/>
  <c r="I120" i="1"/>
  <c r="I124" i="1" s="1"/>
  <c r="N328" i="11" l="1"/>
  <c r="M111" i="11"/>
  <c r="M114" i="11" s="1"/>
  <c r="N320" i="11"/>
  <c r="N67" i="11" s="1"/>
  <c r="N344" i="11" s="1"/>
  <c r="N319" i="11"/>
  <c r="N321" i="11" s="1"/>
  <c r="N111" i="11" s="1"/>
  <c r="M323" i="11"/>
  <c r="M358" i="11" s="1"/>
  <c r="K270" i="11"/>
  <c r="K107" i="11" s="1"/>
  <c r="K268" i="11"/>
  <c r="K105" i="11" s="1"/>
  <c r="K265" i="11"/>
  <c r="K90" i="11" s="1"/>
  <c r="K267" i="11"/>
  <c r="K104" i="11" s="1"/>
  <c r="K264" i="11"/>
  <c r="K269" i="11"/>
  <c r="K106" i="11" s="1"/>
  <c r="G226" i="11"/>
  <c r="G225" i="11"/>
  <c r="G224" i="11"/>
  <c r="G223" i="11"/>
  <c r="G227" i="11"/>
  <c r="L172" i="11"/>
  <c r="L180" i="11" s="1"/>
  <c r="L15" i="11" s="1"/>
  <c r="L10" i="11" s="1"/>
  <c r="L12" i="8" s="1"/>
  <c r="L195" i="11"/>
  <c r="J267" i="11"/>
  <c r="J104" i="11" s="1"/>
  <c r="J268" i="11"/>
  <c r="J105" i="11" s="1"/>
  <c r="J269" i="11"/>
  <c r="J106" i="11" s="1"/>
  <c r="J265" i="11"/>
  <c r="J90" i="11" s="1"/>
  <c r="J270" i="11"/>
  <c r="J107" i="11" s="1"/>
  <c r="J264" i="11"/>
  <c r="N186" i="11"/>
  <c r="N171" i="11" s="1"/>
  <c r="M171" i="11"/>
  <c r="N185" i="11"/>
  <c r="M187" i="11"/>
  <c r="I72" i="1"/>
  <c r="H72" i="1"/>
  <c r="H74" i="1" s="1"/>
  <c r="N110" i="11" l="1"/>
  <c r="N114" i="11" s="1"/>
  <c r="N330" i="11"/>
  <c r="N359" i="11" s="1"/>
  <c r="N323" i="11"/>
  <c r="N358" i="11" s="1"/>
  <c r="K266" i="11"/>
  <c r="K89" i="11"/>
  <c r="J266" i="11"/>
  <c r="J89" i="11"/>
  <c r="J271" i="11"/>
  <c r="K271" i="11"/>
  <c r="J225" i="11"/>
  <c r="K225" i="11"/>
  <c r="L225" i="11"/>
  <c r="M225" i="11"/>
  <c r="N225" i="11"/>
  <c r="L251" i="11"/>
  <c r="L17" i="11"/>
  <c r="L20" i="11" s="1"/>
  <c r="J227" i="11"/>
  <c r="K227" i="11"/>
  <c r="L227" i="11"/>
  <c r="M227" i="11"/>
  <c r="N227" i="11"/>
  <c r="J223" i="11"/>
  <c r="K223" i="11"/>
  <c r="L223" i="11"/>
  <c r="M223" i="11"/>
  <c r="N223" i="11"/>
  <c r="J224" i="11"/>
  <c r="K224" i="11"/>
  <c r="L224" i="11"/>
  <c r="M224" i="11"/>
  <c r="N224" i="11"/>
  <c r="M172" i="11"/>
  <c r="M180" i="11" s="1"/>
  <c r="M15" i="11" s="1"/>
  <c r="M10" i="11" s="1"/>
  <c r="M12" i="8" s="1"/>
  <c r="M195" i="11"/>
  <c r="J226" i="11"/>
  <c r="K226" i="11"/>
  <c r="L226" i="11"/>
  <c r="M226" i="11"/>
  <c r="N226" i="11"/>
  <c r="N187" i="11"/>
  <c r="N170" i="11"/>
  <c r="I73" i="1"/>
  <c r="I74" i="1" s="1"/>
  <c r="K272" i="11" l="1"/>
  <c r="J272" i="11"/>
  <c r="J228" i="11"/>
  <c r="J230" i="11" s="1"/>
  <c r="J22" i="11" s="1"/>
  <c r="M228" i="11"/>
  <c r="M230" i="11" s="1"/>
  <c r="M251" i="11"/>
  <c r="M17" i="11"/>
  <c r="M20" i="11" s="1"/>
  <c r="L228" i="11"/>
  <c r="L230" i="11" s="1"/>
  <c r="N172" i="11"/>
  <c r="N195" i="11"/>
  <c r="K228" i="11"/>
  <c r="K230" i="11" s="1"/>
  <c r="L265" i="11"/>
  <c r="L90" i="11" s="1"/>
  <c r="L268" i="11"/>
  <c r="L105" i="11" s="1"/>
  <c r="L270" i="11"/>
  <c r="L107" i="11" s="1"/>
  <c r="L264" i="11"/>
  <c r="L267" i="11"/>
  <c r="L104" i="11" s="1"/>
  <c r="L269" i="11"/>
  <c r="L106" i="11" s="1"/>
  <c r="N228" i="11"/>
  <c r="N230" i="11" s="1"/>
  <c r="J214" i="11" l="1"/>
  <c r="J215" i="11" s="1"/>
  <c r="K212" i="11" s="1"/>
  <c r="K273" i="11"/>
  <c r="K52" i="11" s="1"/>
  <c r="J273" i="11"/>
  <c r="J52" i="11" s="1"/>
  <c r="L266" i="11"/>
  <c r="L89" i="11"/>
  <c r="L271" i="11"/>
  <c r="L272" i="11" s="1"/>
  <c r="L214" i="11"/>
  <c r="L22" i="11"/>
  <c r="M264" i="11"/>
  <c r="M89" i="11" s="1"/>
  <c r="M267" i="11"/>
  <c r="M104" i="11" s="1"/>
  <c r="M269" i="11"/>
  <c r="M106" i="11" s="1"/>
  <c r="M265" i="11"/>
  <c r="M90" i="11" s="1"/>
  <c r="M268" i="11"/>
  <c r="M105" i="11" s="1"/>
  <c r="M270" i="11"/>
  <c r="M107" i="11" s="1"/>
  <c r="M22" i="11"/>
  <c r="M50" i="11" s="1"/>
  <c r="M214" i="11"/>
  <c r="K214" i="11"/>
  <c r="K22" i="11"/>
  <c r="J50" i="11"/>
  <c r="J23" i="11"/>
  <c r="N180" i="11"/>
  <c r="N15" i="11" s="1"/>
  <c r="N10" i="11" s="1"/>
  <c r="N12" i="8" s="1"/>
  <c r="O172" i="11"/>
  <c r="N22" i="11"/>
  <c r="N50" i="11" s="1"/>
  <c r="N214" i="11"/>
  <c r="J93" i="11" l="1"/>
  <c r="J97" i="11" s="1"/>
  <c r="M23" i="11"/>
  <c r="K215" i="11"/>
  <c r="L212" i="11" s="1"/>
  <c r="L215" i="11" s="1"/>
  <c r="L273" i="11"/>
  <c r="L52" i="11" s="1"/>
  <c r="L23" i="11"/>
  <c r="L50" i="11"/>
  <c r="K23" i="11"/>
  <c r="K50" i="11"/>
  <c r="M266" i="11"/>
  <c r="M271" i="11"/>
  <c r="N251" i="11"/>
  <c r="N17" i="11"/>
  <c r="N20" i="11" s="1"/>
  <c r="N23" i="11" s="1"/>
  <c r="K93" i="11" l="1"/>
  <c r="K97" i="11" s="1"/>
  <c r="M272" i="11"/>
  <c r="M273" i="11" s="1"/>
  <c r="M52" i="11" s="1"/>
  <c r="M212" i="11"/>
  <c r="M215" i="11" s="1"/>
  <c r="L93" i="11"/>
  <c r="L97" i="11" s="1"/>
  <c r="N270" i="11"/>
  <c r="N107" i="11" s="1"/>
  <c r="N269" i="11"/>
  <c r="N106" i="11" s="1"/>
  <c r="N267" i="11"/>
  <c r="N104" i="11" s="1"/>
  <c r="N264" i="11"/>
  <c r="N89" i="11" s="1"/>
  <c r="N268" i="11"/>
  <c r="N105" i="11" s="1"/>
  <c r="N265" i="11"/>
  <c r="N90" i="11" s="1"/>
  <c r="N212" i="11" l="1"/>
  <c r="N215" i="11" s="1"/>
  <c r="N93" i="11" s="1"/>
  <c r="N97" i="11" s="1"/>
  <c r="M93" i="11"/>
  <c r="M97" i="11" s="1"/>
  <c r="N266" i="11"/>
  <c r="N271" i="11"/>
  <c r="N272" i="11" l="1"/>
  <c r="N273" i="11" s="1"/>
  <c r="N52" i="11" s="1"/>
  <c r="J26" i="11" l="1"/>
  <c r="K26" i="11"/>
  <c r="L26" i="11"/>
  <c r="M26" i="11"/>
  <c r="N26" i="11"/>
  <c r="J27" i="11"/>
  <c r="K27" i="11"/>
  <c r="L27" i="11"/>
  <c r="M27" i="11"/>
  <c r="N27" i="11"/>
  <c r="J29" i="11"/>
  <c r="K29" i="11"/>
  <c r="L29" i="11"/>
  <c r="M29" i="11"/>
  <c r="N29" i="11"/>
  <c r="J31" i="11"/>
  <c r="K31" i="11"/>
  <c r="L31" i="11"/>
  <c r="M31" i="11"/>
  <c r="N31" i="11"/>
  <c r="J33" i="11"/>
  <c r="K33" i="11"/>
  <c r="L33" i="11"/>
  <c r="M33" i="11"/>
  <c r="N33" i="11"/>
  <c r="J36" i="11"/>
  <c r="K36" i="11"/>
  <c r="L36" i="11"/>
  <c r="M36" i="11"/>
  <c r="N36" i="11"/>
  <c r="J49" i="11"/>
  <c r="K49" i="11"/>
  <c r="L49" i="11"/>
  <c r="M49" i="11"/>
  <c r="N49" i="11"/>
  <c r="J54" i="11"/>
  <c r="K54" i="11"/>
  <c r="L54" i="11"/>
  <c r="M54" i="11"/>
  <c r="N54" i="11"/>
  <c r="J65" i="11"/>
  <c r="K65" i="11"/>
  <c r="L65" i="11"/>
  <c r="M65" i="11"/>
  <c r="N65" i="11"/>
  <c r="J71" i="11"/>
  <c r="K71" i="11"/>
  <c r="L71" i="11"/>
  <c r="M71" i="11"/>
  <c r="N71" i="11"/>
  <c r="J73" i="11"/>
  <c r="K73" i="11"/>
  <c r="L73" i="11"/>
  <c r="M73" i="11"/>
  <c r="N73" i="11"/>
  <c r="J75" i="11"/>
  <c r="K75" i="11"/>
  <c r="L75" i="11"/>
  <c r="M75" i="11"/>
  <c r="N75" i="11"/>
  <c r="K76" i="11"/>
  <c r="L76" i="11"/>
  <c r="M76" i="11"/>
  <c r="N76" i="11"/>
  <c r="J77" i="11"/>
  <c r="K77" i="11"/>
  <c r="L77" i="11"/>
  <c r="M77" i="11"/>
  <c r="N77" i="11"/>
  <c r="J87" i="11"/>
  <c r="K87" i="11"/>
  <c r="L87" i="11"/>
  <c r="M87" i="11"/>
  <c r="N87" i="11"/>
  <c r="J91" i="11"/>
  <c r="K91" i="11"/>
  <c r="L91" i="11"/>
  <c r="M91" i="11"/>
  <c r="N91" i="11"/>
  <c r="J99" i="11"/>
  <c r="K99" i="11"/>
  <c r="L99" i="11"/>
  <c r="M99" i="11"/>
  <c r="N99" i="11"/>
  <c r="J103" i="11"/>
  <c r="K103" i="11"/>
  <c r="L103" i="11"/>
  <c r="M103" i="11"/>
  <c r="N103" i="11"/>
  <c r="J108" i="11"/>
  <c r="K108" i="11"/>
  <c r="L108" i="11"/>
  <c r="M108" i="11"/>
  <c r="N108" i="11"/>
  <c r="J116" i="11"/>
  <c r="K116" i="11"/>
  <c r="L116" i="11"/>
  <c r="M116" i="11"/>
  <c r="N116" i="11"/>
  <c r="J120" i="11"/>
  <c r="K120" i="11"/>
  <c r="L120" i="11"/>
  <c r="M120" i="11"/>
  <c r="N120" i="11"/>
  <c r="J122" i="11"/>
  <c r="K122" i="11"/>
  <c r="L122" i="11"/>
  <c r="M122" i="11"/>
  <c r="N122" i="11"/>
  <c r="J124" i="11"/>
  <c r="K124" i="11"/>
  <c r="L124" i="11"/>
  <c r="M124" i="11"/>
  <c r="N124" i="11"/>
  <c r="J128" i="11"/>
  <c r="K128" i="11"/>
  <c r="L128" i="11"/>
  <c r="M128" i="11"/>
  <c r="N128" i="11"/>
  <c r="J238" i="11"/>
  <c r="K238" i="11"/>
  <c r="L238" i="11"/>
  <c r="M238" i="11"/>
  <c r="N238" i="11"/>
  <c r="J240" i="11"/>
  <c r="K240" i="11"/>
  <c r="L240" i="11"/>
  <c r="M240" i="11"/>
  <c r="N240" i="11"/>
  <c r="J241" i="11"/>
  <c r="K241" i="11"/>
  <c r="L241" i="11"/>
  <c r="M241" i="11"/>
  <c r="N241" i="11"/>
  <c r="K298" i="11"/>
  <c r="L298" i="11"/>
  <c r="M298" i="11"/>
  <c r="N298" i="11"/>
  <c r="J299" i="11"/>
  <c r="K299" i="11"/>
  <c r="L299" i="11"/>
  <c r="M299" i="11"/>
  <c r="N299" i="11"/>
  <c r="J300" i="11"/>
  <c r="K300" i="11"/>
  <c r="L300" i="11"/>
  <c r="M300" i="11"/>
  <c r="N300" i="11"/>
  <c r="J301" i="11"/>
  <c r="K301" i="11"/>
  <c r="L301" i="11"/>
  <c r="M301" i="11"/>
  <c r="N301" i="11"/>
  <c r="K333" i="11"/>
  <c r="L333" i="11"/>
  <c r="M333" i="11"/>
  <c r="N333" i="11"/>
  <c r="J334" i="11"/>
  <c r="K334" i="11"/>
  <c r="L334" i="11"/>
  <c r="M334" i="11"/>
  <c r="N334" i="11"/>
  <c r="J335" i="11"/>
  <c r="K335" i="11"/>
  <c r="L335" i="11"/>
  <c r="M335" i="11"/>
  <c r="N335" i="11"/>
  <c r="J337" i="11"/>
  <c r="K337" i="11"/>
  <c r="L337" i="11"/>
  <c r="M337" i="11"/>
  <c r="N337" i="11"/>
  <c r="J341" i="11"/>
  <c r="K341" i="11"/>
  <c r="L341" i="11"/>
  <c r="M341" i="11"/>
  <c r="N341" i="11"/>
  <c r="J348" i="11"/>
  <c r="K348" i="11"/>
  <c r="L348" i="11"/>
  <c r="M348" i="11"/>
  <c r="N348" i="11"/>
  <c r="K351" i="11"/>
  <c r="L351" i="11"/>
  <c r="M351" i="11"/>
  <c r="N351" i="11"/>
  <c r="J352" i="11"/>
  <c r="K352" i="11"/>
  <c r="L352" i="11"/>
  <c r="M352" i="11"/>
  <c r="N352" i="11"/>
  <c r="J353" i="11"/>
  <c r="K353" i="11"/>
  <c r="L353" i="11"/>
  <c r="M353" i="11"/>
  <c r="N353" i="11"/>
  <c r="J355" i="11"/>
  <c r="K355" i="11"/>
  <c r="L355" i="11"/>
  <c r="M355" i="11"/>
  <c r="N355" i="11"/>
  <c r="J360" i="11"/>
  <c r="K360" i="11"/>
  <c r="L360" i="11"/>
  <c r="M360" i="11"/>
  <c r="N360" i="11"/>
  <c r="J361" i="11"/>
  <c r="K361" i="11"/>
  <c r="L361" i="11"/>
  <c r="M361" i="11"/>
  <c r="N361" i="11"/>
  <c r="J362" i="11"/>
  <c r="K362" i="11"/>
  <c r="L362" i="11"/>
  <c r="M362" i="11"/>
  <c r="N362" i="11"/>
</calcChain>
</file>

<file path=xl/sharedStrings.xml><?xml version="1.0" encoding="utf-8"?>
<sst xmlns="http://schemas.openxmlformats.org/spreadsheetml/2006/main" count="412" uniqueCount="216">
  <si>
    <t>Income Statement</t>
  </si>
  <si>
    <t>Revenue Growth</t>
  </si>
  <si>
    <t>COGS (% of revenue)</t>
  </si>
  <si>
    <t>SG&amp;A (% of revenue)</t>
  </si>
  <si>
    <t>SG&amp;A</t>
  </si>
  <si>
    <t>Total Costs</t>
  </si>
  <si>
    <t>Cost Adjustments - Gain / (Loss)</t>
  </si>
  <si>
    <t>EBITDA</t>
  </si>
  <si>
    <t>Depreciation</t>
  </si>
  <si>
    <t>EBIT</t>
  </si>
  <si>
    <t>EBT</t>
  </si>
  <si>
    <t>Current Taxes</t>
  </si>
  <si>
    <t>Deferred Income Taxes</t>
  </si>
  <si>
    <t>Total Income Taxes</t>
  </si>
  <si>
    <t>Net Income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</si>
  <si>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</si>
  <si>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</si>
  <si>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</si>
  <si>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</si>
  <si>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</si>
  <si>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</si>
  <si>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Asset Dispositions</t>
  </si>
  <si>
    <t>Investing Cash Flow</t>
  </si>
  <si>
    <t>Financing Activities</t>
  </si>
  <si>
    <t>Revolver Issuance / (Repayment)</t>
  </si>
  <si>
    <t>Financing Cash Flow</t>
  </si>
  <si>
    <t>Balance Sheet</t>
  </si>
  <si>
    <t>ASSETS</t>
  </si>
  <si>
    <t>Accounts Receivable</t>
  </si>
  <si>
    <t>Other</t>
  </si>
  <si>
    <t>Total Current Assets</t>
  </si>
  <si>
    <t>Net PP&amp;E</t>
  </si>
  <si>
    <t>Goodwill</t>
  </si>
  <si>
    <t>Intangibles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</si>
  <si>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</si>
  <si>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</si>
  <si>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</si>
  <si>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</si>
  <si>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</si>
  <si>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</si>
  <si>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Total Long Term Liabilities</t>
  </si>
  <si>
    <t>Total Liabilities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</si>
  <si>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</si>
  <si>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</si>
  <si>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</si>
  <si>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</si>
  <si>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</si>
  <si>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</si>
  <si>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Variable Rate Long Term Debt</t>
  </si>
  <si>
    <t>Fixed Rate Long Term Debt</t>
  </si>
  <si>
    <t>Variable Rate Long Term Debt Issuance / (Repayment)</t>
  </si>
  <si>
    <t>Fixed Rate Long Term Debt Issuance / (Repayment)</t>
  </si>
  <si>
    <t>Preferred Dividend</t>
  </si>
  <si>
    <t>Net Income to Common</t>
  </si>
  <si>
    <t>Common Shares</t>
  </si>
  <si>
    <t>Net Interest Expense</t>
  </si>
  <si>
    <t>Millions for the Year Ended December 31</t>
  </si>
  <si>
    <t>Common Share Issuance / (Buy-Back)</t>
  </si>
  <si>
    <t>Revenue</t>
  </si>
  <si>
    <t>Operating Costs</t>
  </si>
  <si>
    <t>Cash and Equivalents</t>
  </si>
  <si>
    <t>Prepaid Expenses</t>
  </si>
  <si>
    <t>Accrued Expenses</t>
  </si>
  <si>
    <t>Deferred Revenue</t>
  </si>
  <si>
    <t>SecureIT Data Centres LLC</t>
  </si>
  <si>
    <t>Financial Model for 2025 - 2029</t>
  </si>
  <si>
    <t>Modeler: Tochukwu Collins</t>
  </si>
  <si>
    <t>Version: Ver1.01</t>
  </si>
  <si>
    <t>Circularity: Interest Expense on the Income Statement</t>
  </si>
  <si>
    <t>Projected</t>
  </si>
  <si>
    <t>Inputs &amp; Assumptions</t>
  </si>
  <si>
    <t>General Assumptions</t>
  </si>
  <si>
    <t>Days in the year</t>
  </si>
  <si>
    <t>Millions</t>
  </si>
  <si>
    <t>Currency</t>
  </si>
  <si>
    <t>Revenue Assumptions</t>
  </si>
  <si>
    <t>$'m</t>
  </si>
  <si>
    <t>Number of Leasable Properties</t>
  </si>
  <si>
    <t>units</t>
  </si>
  <si>
    <t>Leasable Area</t>
  </si>
  <si>
    <t>Sqr ft</t>
  </si>
  <si>
    <t>Occupancy Rate</t>
  </si>
  <si>
    <t>%</t>
  </si>
  <si>
    <t>Scenario List</t>
  </si>
  <si>
    <t>Base Case</t>
  </si>
  <si>
    <t>Best Case</t>
  </si>
  <si>
    <t>Worst Case</t>
  </si>
  <si>
    <t>Price Increase Scenarios</t>
  </si>
  <si>
    <t>Volume Increase Scenarios</t>
  </si>
  <si>
    <t>Increase in Rent</t>
  </si>
  <si>
    <t>Property Additions</t>
  </si>
  <si>
    <t>Operating Costs Assumptions</t>
  </si>
  <si>
    <t>Variable Costs</t>
  </si>
  <si>
    <t>Utilities</t>
  </si>
  <si>
    <t>Maintenance &amp; Repairs</t>
  </si>
  <si>
    <t>Total Variable Costs</t>
  </si>
  <si>
    <t>Fixed Cost</t>
  </si>
  <si>
    <t>Rent</t>
  </si>
  <si>
    <t>Salaries &amp; Benefits</t>
  </si>
  <si>
    <t>Security</t>
  </si>
  <si>
    <t>Total Fixed Costs</t>
  </si>
  <si>
    <t>Total Cost</t>
  </si>
  <si>
    <t>Cost Inflation</t>
  </si>
  <si>
    <t>Cost Inflation Scenarios</t>
  </si>
  <si>
    <t>SG&amp;A Growth- inflation</t>
  </si>
  <si>
    <t>Capex &amp; Depreciation Assumptions</t>
  </si>
  <si>
    <t>Capex Additions</t>
  </si>
  <si>
    <t>Depreciation Method:</t>
  </si>
  <si>
    <t>Straight Line</t>
  </si>
  <si>
    <t>Useful Life</t>
  </si>
  <si>
    <t>Existing Assets</t>
  </si>
  <si>
    <t>New Assets</t>
  </si>
  <si>
    <t>year</t>
  </si>
  <si>
    <t>Income Taxes Assumptions</t>
  </si>
  <si>
    <t>Tax Rate</t>
  </si>
  <si>
    <t>Reduction in Company's EBT-Timing Difference</t>
  </si>
  <si>
    <t>Working Capital Assumptions</t>
  </si>
  <si>
    <t>Extracts from Financial</t>
  </si>
  <si>
    <t>Other current assets</t>
  </si>
  <si>
    <t>Other Long term assets</t>
  </si>
  <si>
    <t>Other current liabilites</t>
  </si>
  <si>
    <t>Other long term liabilities</t>
  </si>
  <si>
    <t>Days</t>
  </si>
  <si>
    <t>Debt &amp; Interest Assumptions</t>
  </si>
  <si>
    <t>Interest Rates</t>
  </si>
  <si>
    <t>Fixed rate term debt</t>
  </si>
  <si>
    <t>Revolver</t>
  </si>
  <si>
    <t>Spread</t>
  </si>
  <si>
    <t>SOFR</t>
  </si>
  <si>
    <t>Excess Cash</t>
  </si>
  <si>
    <t>Amortization</t>
  </si>
  <si>
    <t>Variable rate term debt</t>
  </si>
  <si>
    <t>Equity Assumptions</t>
  </si>
  <si>
    <t>Preferred shares Issuance</t>
  </si>
  <si>
    <t>Preferred shares</t>
  </si>
  <si>
    <t>Dividend yield</t>
  </si>
  <si>
    <t>Common Share dividend</t>
  </si>
  <si>
    <t>Other Assumptions</t>
  </si>
  <si>
    <t>Shecdules &amp; Calculations</t>
  </si>
  <si>
    <t>Revenue Calculation</t>
  </si>
  <si>
    <t>Price</t>
  </si>
  <si>
    <t>Volume</t>
  </si>
  <si>
    <t>Leasable area per property</t>
  </si>
  <si>
    <t>Total Number of Properties</t>
  </si>
  <si>
    <t>Leaseable area</t>
  </si>
  <si>
    <t>Occupied Leasable area</t>
  </si>
  <si>
    <t>Number of properties Occupied</t>
  </si>
  <si>
    <t>sqr ft</t>
  </si>
  <si>
    <t>Price per Sqr feet</t>
  </si>
  <si>
    <t>Operating Costs Calculation</t>
  </si>
  <si>
    <t>Variable Cost Per Unit</t>
  </si>
  <si>
    <t>$</t>
  </si>
  <si>
    <t>Fixed Cost Per Unit</t>
  </si>
  <si>
    <t>Total Variable cost per unit</t>
  </si>
  <si>
    <t>Total Fixed cost per unit</t>
  </si>
  <si>
    <t>Total Cost per unit</t>
  </si>
  <si>
    <t xml:space="preserve">Cost Adjustments - Gain / (Loss) </t>
  </si>
  <si>
    <t>Capex &amp; Depreciation Calculations</t>
  </si>
  <si>
    <t>PP&amp;E Schedule</t>
  </si>
  <si>
    <t>Add: Capex Additions</t>
  </si>
  <si>
    <t>Beginning Balance</t>
  </si>
  <si>
    <t>Less: Depreciation</t>
  </si>
  <si>
    <t>Ending Balance</t>
  </si>
  <si>
    <t>Depreciation of Existing Assets</t>
  </si>
  <si>
    <t>Depreciation of New Assets</t>
  </si>
  <si>
    <t>Year</t>
  </si>
  <si>
    <t>Additions</t>
  </si>
  <si>
    <t>Total Depreciation</t>
  </si>
  <si>
    <t>Income Taxes Calculations</t>
  </si>
  <si>
    <t>EBT Per Accounting</t>
  </si>
  <si>
    <t>EBT per Government</t>
  </si>
  <si>
    <t>Current Tax</t>
  </si>
  <si>
    <t>Deferred Tax</t>
  </si>
  <si>
    <t>Working Capital Calculations</t>
  </si>
  <si>
    <t>Operating Working Capital [$'m]</t>
  </si>
  <si>
    <t>Current Assets</t>
  </si>
  <si>
    <t>Current Liabilities</t>
  </si>
  <si>
    <t>Operariing Working Capital</t>
  </si>
  <si>
    <t>Assets</t>
  </si>
  <si>
    <t>Liabilities</t>
  </si>
  <si>
    <t>OWC</t>
  </si>
  <si>
    <t>Change in OWC</t>
  </si>
  <si>
    <t>Other Current Assets Changes</t>
  </si>
  <si>
    <t>Changes in Other Investing Activities</t>
  </si>
  <si>
    <t>Changes in Goodwill</t>
  </si>
  <si>
    <t>Equity Schedule</t>
  </si>
  <si>
    <t>Issuance/Repayment</t>
  </si>
  <si>
    <t>Preferred Shares</t>
  </si>
  <si>
    <t>Preferred Shares Issuance/(Buy-Back)</t>
  </si>
  <si>
    <t>Common Shares Schedule</t>
  </si>
  <si>
    <t>Preferred shares Schedule</t>
  </si>
  <si>
    <t>Common Shares Issuance/Repayment</t>
  </si>
  <si>
    <t>Retained Earnings Schedule</t>
  </si>
  <si>
    <t>Less: Common Shares Dividend</t>
  </si>
  <si>
    <t>Debt &amp; Interest Schedule</t>
  </si>
  <si>
    <t>Repayment</t>
  </si>
  <si>
    <t>Interest expense on fixed rate term debt</t>
  </si>
  <si>
    <t>interest expense on Variable rate term debt</t>
  </si>
  <si>
    <t>Excess Cash Schedule</t>
  </si>
  <si>
    <t>Changes during the year</t>
  </si>
  <si>
    <t>Interest Income on Excess cash</t>
  </si>
  <si>
    <t>Free Cash Flow:</t>
  </si>
  <si>
    <t>Free Cash Flow after dividend and debt</t>
  </si>
  <si>
    <t>Revolver Schedule</t>
  </si>
  <si>
    <t>Drawdown/repayment</t>
  </si>
  <si>
    <t>Ending balance</t>
  </si>
  <si>
    <t>Interest Expense on Revolver</t>
  </si>
  <si>
    <t>Summary of Interest Expense</t>
  </si>
  <si>
    <t>Other Financing Activities Changes</t>
  </si>
  <si>
    <t>Other Long term Liabilities</t>
  </si>
  <si>
    <t>Other Equity</t>
  </si>
  <si>
    <t>Summary</t>
  </si>
  <si>
    <t>Scenarios</t>
  </si>
  <si>
    <t>Preferred Shares Dividends</t>
  </si>
  <si>
    <t>Common Share Dividends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</si>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</sst>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  <numFmt numFmtId="167" formatCode="0\A"/>
    <numFmt numFmtId="168" formatCode="0.0%;\(0.0%\)"/>
    <numFmt numFmtId="169" formatCode="#,##0.0_);\(#,##0.0\)"/>
    <numFmt numFmtId="170" formatCode="0%;\(0%\)"/>
    <numFmt numFmtId="171" formatCode="#,##0.000_);\(#,##0.000\)"/>
    <numFmt numFmtId="172" formatCode="_(* #,##0.0_);_(* \(#,##0.0\);_(* &quot;-&quot;??_);_(@_)"/>
    <numFmt numFmtId="173" formatCode="_-* #,##0_-;\-* #,##0_-;_-* &quot;-&quot;??_-;_-@_-"/>
    <numFmt numFmtId="174" formatCode="#,##0.00000_);\(#,##0.00000\)"/>
    <numFmt numFmtId="175" formatCode="#,##0.0000_);\(#,##0.0000\)"/>
    <numFmt numFmtId="176" formatCode="#,##0.0_);[Red]\(#,##0.0\);\-"/>
    <numFmt numFmtId="177" formatCode="0.0%"/>
  </numFmts>
  <fonts count="23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vertAlign val="superscript"/>
      <sz val="7"/>
      <name val="Calibri"/>
      <family val="2"/>
      <scheme val="minor"/>
    </font>
    <font>
      <sz val="10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26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176" fontId="0" fillId="0" borderId="0"/>
    <xf numFmtId="43" fontId="3" fillId="0" borderId="0" applyFont="0" applyFill="0" applyBorder="0" applyAlignment="0" applyProtection="0"/>
    <xf numFmtId="0" fontId="2" fillId="0" borderId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165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73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0" fillId="2" borderId="17" applyNumberFormat="0" applyAlignment="0" applyProtection="0"/>
    <xf numFmtId="176" fontId="8" fillId="0" borderId="21" applyFont="0" applyFill="0" applyAlignment="0" applyProtection="0"/>
  </cellStyleXfs>
  <cellXfs count="124">
    <xf numFmtId="176" fontId="0" fillId="0" borderId="0" xfId="0"/>
    <xf numFmtId="176" fontId="7" fillId="0" borderId="0" xfId="0" applyFont="1" applyAlignment="1">
      <alignment horizontal="centerContinuous"/>
    </xf>
    <xf numFmtId="176" fontId="8" fillId="0" borderId="0" xfId="0" applyFont="1"/>
    <xf numFmtId="176" fontId="9" fillId="0" borderId="0" xfId="0" applyFont="1" applyAlignment="1">
      <alignment horizontal="centerContinuous"/>
    </xf>
    <xf numFmtId="176" fontId="9" fillId="0" borderId="1" xfId="0" applyFont="1" applyBorder="1" applyAlignment="1">
      <alignment horizontal="centerContinuous"/>
    </xf>
    <xf numFmtId="176" fontId="10" fillId="0" borderId="0" xfId="0" quotePrefix="1" applyFont="1"/>
    <xf numFmtId="176" fontId="11" fillId="0" borderId="0" xfId="0" applyFont="1" applyAlignment="1">
      <alignment horizontal="centerContinuous"/>
    </xf>
    <xf numFmtId="176" fontId="12" fillId="0" borderId="0" xfId="0" applyFont="1"/>
    <xf numFmtId="1" fontId="12" fillId="0" borderId="0" xfId="0" quotePrefix="1" applyNumberFormat="1" applyFont="1" applyAlignment="1">
      <alignment horizontal="right"/>
    </xf>
    <xf numFmtId="176" fontId="11" fillId="0" borderId="0" xfId="0" applyFont="1"/>
    <xf numFmtId="169" fontId="13" fillId="0" borderId="0" xfId="1" applyNumberFormat="1" applyFont="1" applyAlignment="1" applyProtection="1">
      <alignment horizontal="right"/>
      <protection locked="0"/>
    </xf>
    <xf numFmtId="176" fontId="8" fillId="0" borderId="0" xfId="0" quotePrefix="1" applyFont="1" applyAlignment="1">
      <alignment horizontal="left"/>
    </xf>
    <xf numFmtId="169" fontId="13" fillId="0" borderId="2" xfId="1" applyNumberFormat="1" applyFont="1" applyBorder="1" applyAlignment="1" applyProtection="1">
      <alignment horizontal="right"/>
      <protection locked="0"/>
    </xf>
    <xf numFmtId="176" fontId="11" fillId="0" borderId="0" xfId="0" quotePrefix="1" applyFont="1" applyAlignment="1">
      <alignment horizontal="left"/>
    </xf>
    <xf numFmtId="169" fontId="11" fillId="0" borderId="0" xfId="1" applyNumberFormat="1" applyFont="1" applyAlignment="1">
      <alignment horizontal="right"/>
    </xf>
    <xf numFmtId="169" fontId="11" fillId="0" borderId="0" xfId="1" applyNumberFormat="1" applyFont="1"/>
    <xf numFmtId="169" fontId="13" fillId="0" borderId="2" xfId="1" applyNumberFormat="1" applyFont="1" applyBorder="1" applyProtection="1">
      <protection locked="0"/>
    </xf>
    <xf numFmtId="169" fontId="13" fillId="0" borderId="0" xfId="1" applyNumberFormat="1" applyFont="1" applyProtection="1">
      <protection locked="0"/>
    </xf>
    <xf numFmtId="176" fontId="8" fillId="0" borderId="0" xfId="0" applyFont="1" applyAlignment="1">
      <alignment horizontal="left"/>
    </xf>
    <xf numFmtId="176" fontId="11" fillId="0" borderId="0" xfId="0" applyFont="1" applyAlignment="1">
      <alignment horizontal="left"/>
    </xf>
    <xf numFmtId="169" fontId="8" fillId="0" borderId="0" xfId="0" applyNumberFormat="1" applyFont="1"/>
    <xf numFmtId="164" fontId="11" fillId="0" borderId="0" xfId="0" quotePrefix="1" applyNumberFormat="1" applyFont="1" applyAlignment="1">
      <alignment horizontal="left"/>
    </xf>
    <xf numFmtId="169" fontId="11" fillId="0" borderId="16" xfId="1" applyNumberFormat="1" applyFont="1" applyBorder="1" applyAlignment="1">
      <alignment horizontal="right"/>
    </xf>
    <xf numFmtId="164" fontId="8" fillId="0" borderId="0" xfId="0" quotePrefix="1" applyNumberFormat="1" applyFont="1" applyAlignment="1">
      <alignment horizontal="left"/>
    </xf>
    <xf numFmtId="169" fontId="11" fillId="0" borderId="7" xfId="1" applyNumberFormat="1" applyFont="1" applyBorder="1" applyAlignment="1">
      <alignment horizontal="right"/>
    </xf>
    <xf numFmtId="176" fontId="8" fillId="0" borderId="2" xfId="0" applyFont="1" applyBorder="1"/>
    <xf numFmtId="166" fontId="8" fillId="0" borderId="2" xfId="1" applyNumberFormat="1" applyFont="1" applyBorder="1"/>
    <xf numFmtId="176" fontId="14" fillId="0" borderId="0" xfId="0" quotePrefix="1" applyFont="1"/>
    <xf numFmtId="170" fontId="10" fillId="0" borderId="0" xfId="0" applyNumberFormat="1" applyFont="1"/>
    <xf numFmtId="166" fontId="8" fillId="0" borderId="0" xfId="1" applyNumberFormat="1" applyFont="1"/>
    <xf numFmtId="176" fontId="8" fillId="0" borderId="0" xfId="0" applyFont="1" applyAlignment="1">
      <alignment horizontal="centerContinuous"/>
    </xf>
    <xf numFmtId="176" fontId="8" fillId="0" borderId="1" xfId="0" applyFont="1" applyBorder="1" applyAlignment="1">
      <alignment horizontal="centerContinuous"/>
    </xf>
    <xf numFmtId="176" fontId="10" fillId="0" borderId="0" xfId="0" quotePrefix="1" applyFont="1" applyAlignment="1">
      <alignment horizontal="left"/>
    </xf>
    <xf numFmtId="167" fontId="12" fillId="0" borderId="0" xfId="0" applyNumberFormat="1" applyFont="1" applyAlignment="1">
      <alignment horizontal="right"/>
    </xf>
    <xf numFmtId="37" fontId="8" fillId="0" borderId="0" xfId="1" applyNumberFormat="1" applyFont="1"/>
    <xf numFmtId="169" fontId="15" fillId="0" borderId="0" xfId="1" applyNumberFormat="1" applyFont="1" applyProtection="1">
      <protection locked="0"/>
    </xf>
    <xf numFmtId="37" fontId="13" fillId="0" borderId="0" xfId="1" applyNumberFormat="1" applyFont="1"/>
    <xf numFmtId="169" fontId="15" fillId="0" borderId="2" xfId="1" applyNumberFormat="1" applyFont="1" applyBorder="1" applyAlignment="1" applyProtection="1">
      <alignment horizontal="right"/>
      <protection locked="0"/>
    </xf>
    <xf numFmtId="37" fontId="11" fillId="0" borderId="0" xfId="1" applyNumberFormat="1" applyFont="1"/>
    <xf numFmtId="169" fontId="11" fillId="0" borderId="0" xfId="1" applyNumberFormat="1" applyFont="1" applyProtection="1">
      <protection locked="0"/>
    </xf>
    <xf numFmtId="177" fontId="8" fillId="0" borderId="0" xfId="12" applyFont="1"/>
    <xf numFmtId="169" fontId="8" fillId="0" borderId="0" xfId="1" applyNumberFormat="1" applyFont="1"/>
    <xf numFmtId="169" fontId="8" fillId="0" borderId="2" xfId="1" applyNumberFormat="1" applyFont="1" applyBorder="1"/>
    <xf numFmtId="176" fontId="16" fillId="0" borderId="0" xfId="0" applyFont="1" applyAlignment="1">
      <alignment horizontal="centerContinuous"/>
    </xf>
    <xf numFmtId="176" fontId="10" fillId="0" borderId="0" xfId="0" applyFont="1" applyAlignment="1">
      <alignment horizontal="left"/>
    </xf>
    <xf numFmtId="169" fontId="8" fillId="0" borderId="4" xfId="1" applyNumberFormat="1" applyFont="1" applyBorder="1"/>
    <xf numFmtId="175" fontId="8" fillId="0" borderId="0" xfId="1" applyNumberFormat="1" applyFont="1"/>
    <xf numFmtId="169" fontId="11" fillId="0" borderId="3" xfId="1" applyNumberFormat="1" applyFont="1" applyBorder="1"/>
    <xf numFmtId="171" fontId="13" fillId="0" borderId="0" xfId="1" applyNumberFormat="1" applyFont="1"/>
    <xf numFmtId="172" fontId="8" fillId="0" borderId="0" xfId="1" applyNumberFormat="1" applyFont="1"/>
    <xf numFmtId="176" fontId="10" fillId="0" borderId="2" xfId="0" quotePrefix="1" applyFont="1" applyBorder="1" applyAlignment="1">
      <alignment horizontal="left"/>
    </xf>
    <xf numFmtId="174" fontId="10" fillId="0" borderId="0" xfId="1" applyNumberFormat="1" applyFont="1"/>
    <xf numFmtId="0" fontId="17" fillId="0" borderId="8" xfId="2" applyFont="1" applyBorder="1" applyAlignment="1">
      <alignment horizontal="left" vertical="center"/>
    </xf>
    <xf numFmtId="176" fontId="17" fillId="0" borderId="9" xfId="0" applyFont="1" applyBorder="1"/>
    <xf numFmtId="176" fontId="18" fillId="0" borderId="9" xfId="0" applyFont="1" applyBorder="1"/>
    <xf numFmtId="168" fontId="17" fillId="0" borderId="9" xfId="0" applyNumberFormat="1" applyFont="1" applyBorder="1"/>
    <xf numFmtId="168" fontId="17" fillId="0" borderId="10" xfId="0" applyNumberFormat="1" applyFont="1" applyBorder="1"/>
    <xf numFmtId="0" fontId="17" fillId="0" borderId="11" xfId="2" applyFont="1" applyBorder="1" applyAlignment="1">
      <alignment horizontal="left" vertical="center"/>
    </xf>
    <xf numFmtId="176" fontId="17" fillId="0" borderId="0" xfId="0" applyFont="1"/>
    <xf numFmtId="176" fontId="18" fillId="0" borderId="0" xfId="0" applyFont="1"/>
    <xf numFmtId="168" fontId="17" fillId="0" borderId="0" xfId="0" applyNumberFormat="1" applyFont="1"/>
    <xf numFmtId="168" fontId="17" fillId="0" borderId="12" xfId="0" applyNumberFormat="1" applyFont="1" applyBorder="1"/>
    <xf numFmtId="0" fontId="17" fillId="0" borderId="13" xfId="2" applyFont="1" applyBorder="1" applyAlignment="1">
      <alignment horizontal="left" vertical="center"/>
    </xf>
    <xf numFmtId="176" fontId="17" fillId="0" borderId="14" xfId="0" applyFont="1" applyBorder="1"/>
    <xf numFmtId="176" fontId="18" fillId="0" borderId="14" xfId="0" applyFont="1" applyBorder="1"/>
    <xf numFmtId="168" fontId="17" fillId="0" borderId="14" xfId="0" applyNumberFormat="1" applyFont="1" applyBorder="1"/>
    <xf numFmtId="168" fontId="17" fillId="0" borderId="15" xfId="0" applyNumberFormat="1" applyFont="1" applyBorder="1"/>
    <xf numFmtId="169" fontId="19" fillId="0" borderId="0" xfId="1" applyNumberFormat="1" applyFont="1" applyAlignment="1" applyProtection="1">
      <alignment horizontal="right"/>
      <protection locked="0"/>
    </xf>
    <xf numFmtId="1" fontId="8" fillId="0" borderId="0" xfId="0" applyNumberFormat="1" applyFont="1"/>
    <xf numFmtId="1" fontId="11" fillId="0" borderId="4" xfId="0" applyNumberFormat="1" applyFont="1" applyBorder="1"/>
    <xf numFmtId="176" fontId="10" fillId="0" borderId="0" xfId="0" applyFont="1" applyAlignment="1">
      <alignment horizontal="centerContinuous"/>
    </xf>
    <xf numFmtId="176" fontId="8" fillId="0" borderId="19" xfId="0" applyFont="1" applyBorder="1"/>
    <xf numFmtId="176" fontId="8" fillId="0" borderId="20" xfId="0" applyFont="1" applyBorder="1"/>
    <xf numFmtId="176" fontId="11" fillId="0" borderId="18" xfId="0" applyFont="1" applyBorder="1"/>
    <xf numFmtId="176" fontId="20" fillId="2" borderId="17" xfId="13" applyNumberFormat="1"/>
    <xf numFmtId="176" fontId="11" fillId="0" borderId="19" xfId="0" applyFont="1" applyBorder="1"/>
    <xf numFmtId="176" fontId="11" fillId="0" borderId="20" xfId="0" applyFont="1" applyBorder="1"/>
    <xf numFmtId="177" fontId="20" fillId="2" borderId="17" xfId="12" applyFont="1" applyFill="1" applyBorder="1"/>
    <xf numFmtId="177" fontId="11" fillId="0" borderId="0" xfId="12" applyFont="1"/>
    <xf numFmtId="176" fontId="8" fillId="0" borderId="21" xfId="14" applyFont="1"/>
    <xf numFmtId="177" fontId="8" fillId="0" borderId="21" xfId="12" applyFont="1" applyBorder="1"/>
    <xf numFmtId="176" fontId="8" fillId="0" borderId="4" xfId="0" applyFont="1" applyBorder="1"/>
    <xf numFmtId="176" fontId="21" fillId="0" borderId="0" xfId="0" applyFont="1"/>
    <xf numFmtId="177" fontId="20" fillId="2" borderId="23" xfId="12" applyFont="1" applyFill="1" applyBorder="1"/>
    <xf numFmtId="177" fontId="0" fillId="0" borderId="22" xfId="12" applyFont="1" applyBorder="1"/>
    <xf numFmtId="0" fontId="12" fillId="0" borderId="0" xfId="0" applyNumberFormat="1" applyFont="1"/>
    <xf numFmtId="176" fontId="10" fillId="0" borderId="2" xfId="0" applyFont="1" applyBorder="1" applyAlignment="1">
      <alignment horizontal="centerContinuous"/>
    </xf>
    <xf numFmtId="176" fontId="16" fillId="0" borderId="24" xfId="0" applyFont="1" applyBorder="1" applyAlignment="1">
      <alignment horizontal="centerContinuous"/>
    </xf>
    <xf numFmtId="0" fontId="8" fillId="0" borderId="0" xfId="12" applyNumberFormat="1" applyFont="1"/>
    <xf numFmtId="176" fontId="8" fillId="0" borderId="25" xfId="0" applyFont="1" applyBorder="1"/>
    <xf numFmtId="176" fontId="8" fillId="0" borderId="16" xfId="0" applyFont="1" applyBorder="1"/>
    <xf numFmtId="176" fontId="8" fillId="0" borderId="26" xfId="0" applyFont="1" applyBorder="1"/>
    <xf numFmtId="176" fontId="11" fillId="0" borderId="25" xfId="0" applyFont="1" applyBorder="1"/>
    <xf numFmtId="176" fontId="11" fillId="0" borderId="16" xfId="0" applyFont="1" applyBorder="1"/>
    <xf numFmtId="176" fontId="11" fillId="0" borderId="26" xfId="0" applyFont="1" applyBorder="1"/>
    <xf numFmtId="176" fontId="11" fillId="0" borderId="21" xfId="14" applyFont="1"/>
    <xf numFmtId="176" fontId="11" fillId="0" borderId="27" xfId="14" applyFont="1" applyBorder="1"/>
    <xf numFmtId="176" fontId="11" fillId="0" borderId="28" xfId="0" applyFont="1" applyBorder="1"/>
    <xf numFmtId="176" fontId="11" fillId="0" borderId="3" xfId="0" applyFont="1" applyBorder="1"/>
    <xf numFmtId="176" fontId="11" fillId="0" borderId="29" xfId="0" applyFont="1" applyBorder="1"/>
    <xf numFmtId="176" fontId="8" fillId="0" borderId="30" xfId="0" applyFont="1" applyBorder="1"/>
    <xf numFmtId="169" fontId="11" fillId="0" borderId="4" xfId="1" applyNumberFormat="1" applyFont="1" applyBorder="1" applyAlignment="1">
      <alignment horizontal="right"/>
    </xf>
    <xf numFmtId="169" fontId="11" fillId="0" borderId="4" xfId="1" applyNumberFormat="1" applyFont="1" applyBorder="1"/>
    <xf numFmtId="176" fontId="8" fillId="0" borderId="28" xfId="0" applyFont="1" applyBorder="1"/>
    <xf numFmtId="176" fontId="8" fillId="0" borderId="3" xfId="0" applyFont="1" applyBorder="1"/>
    <xf numFmtId="0" fontId="8" fillId="0" borderId="21" xfId="14" applyNumberFormat="1" applyFont="1"/>
    <xf numFmtId="176" fontId="8" fillId="0" borderId="26" xfId="0" applyFont="1" applyBorder="1" applyAlignment="1">
      <alignment horizontal="left"/>
    </xf>
    <xf numFmtId="176" fontId="8" fillId="0" borderId="5" xfId="0" applyFont="1" applyBorder="1" applyAlignment="1">
      <alignment horizontal="left"/>
    </xf>
    <xf numFmtId="176" fontId="8" fillId="0" borderId="31" xfId="0" applyFont="1" applyBorder="1"/>
    <xf numFmtId="176" fontId="8" fillId="0" borderId="32" xfId="0" applyFont="1" applyBorder="1"/>
    <xf numFmtId="176" fontId="8" fillId="0" borderId="33" xfId="0" applyFont="1" applyBorder="1"/>
    <xf numFmtId="169" fontId="13" fillId="0" borderId="0" xfId="1" applyNumberFormat="1" applyFont="1" applyBorder="1" applyProtection="1">
      <protection locked="0"/>
    </xf>
    <xf numFmtId="169" fontId="11" fillId="0" borderId="4" xfId="1" applyNumberFormat="1" applyFont="1" applyBorder="1" applyProtection="1">
      <protection locked="0"/>
    </xf>
    <xf numFmtId="169" fontId="11" fillId="0" borderId="3" xfId="1" applyNumberFormat="1" applyFont="1" applyBorder="1" applyAlignment="1">
      <alignment horizontal="right"/>
    </xf>
    <xf numFmtId="177" fontId="17" fillId="0" borderId="8" xfId="12" applyFont="1" applyBorder="1" applyAlignment="1">
      <alignment horizontal="left" vertical="center"/>
    </xf>
    <xf numFmtId="176" fontId="9" fillId="0" borderId="0" xfId="0" applyFont="1" applyFill="1" applyAlignment="1">
      <alignment horizontal="centerContinuous"/>
    </xf>
    <xf numFmtId="176" fontId="8" fillId="0" borderId="0" xfId="0" applyFont="1" applyAlignment="1">
      <alignment horizontal="right"/>
    </xf>
    <xf numFmtId="176" fontId="22" fillId="0" borderId="0" xfId="0" applyFont="1" applyAlignment="1">
      <alignment horizontal="left"/>
    </xf>
    <xf numFmtId="176" fontId="11" fillId="0" borderId="0" xfId="0" applyFont="1" applyFill="1" applyAlignment="1">
      <alignment horizontal="left"/>
    </xf>
    <xf numFmtId="176" fontId="8" fillId="0" borderId="0" xfId="0" applyFont="1" applyFill="1" applyAlignment="1">
      <alignment horizontal="left"/>
    </xf>
    <xf numFmtId="176" fontId="8" fillId="0" borderId="0" xfId="0" applyFont="1" applyFill="1"/>
    <xf numFmtId="37" fontId="11" fillId="0" borderId="0" xfId="1" applyNumberFormat="1" applyFont="1" applyFill="1"/>
    <xf numFmtId="169" fontId="13" fillId="0" borderId="0" xfId="1" applyNumberFormat="1" applyFont="1" applyFill="1" applyProtection="1">
      <protection locked="0"/>
    </xf>
    <xf numFmtId="176" fontId="8" fillId="0" borderId="21" xfId="14" applyFont="1" applyFill="1"/>
  </cellXfs>
  <cellStyles count="15">
    <cellStyle name="Across" xfId="3" xr:uid="{00000000-0005-0000-0000-000000000000}"/>
    <cellStyle name="Bottom" xfId="4" xr:uid="{00000000-0005-0000-0000-000001000000}"/>
    <cellStyle name="Center" xfId="5" xr:uid="{00000000-0005-0000-0000-000002000000}"/>
    <cellStyle name="Comma" xfId="1" builtinId="3"/>
    <cellStyle name="Currency [2]" xfId="6" xr:uid="{00000000-0005-0000-0000-000004000000}"/>
    <cellStyle name="Double" xfId="7" xr:uid="{00000000-0005-0000-0000-000005000000}"/>
    <cellStyle name="Input" xfId="13" builtinId="20" customBuiltin="1"/>
    <cellStyle name="Links" xfId="14" xr:uid="{3328FEC5-6201-4A1D-A2C6-76628C3D7931}"/>
    <cellStyle name="Normal" xfId="0" builtinId="0" customBuiltin="1"/>
    <cellStyle name="Normal_TrainingDCF1" xfId="2" xr:uid="{00000000-0005-0000-0000-000007000000}"/>
    <cellStyle name="Numbers" xfId="8" xr:uid="{00000000-0005-0000-0000-000008000000}"/>
    <cellStyle name="Numbers - Bold - Italic" xfId="9" xr:uid="{00000000-0005-0000-0000-000009000000}"/>
    <cellStyle name="Outline" xfId="10" xr:uid="{00000000-0005-0000-0000-00000A000000}"/>
    <cellStyle name="Percent" xfId="12" builtinId="5" customBuiltin="1"/>
    <cellStyle name="Percent 2" xfId="11" xr:uid="{00000000-0005-0000-0000-00000C000000}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6" fmlaLink="S_Scenarios" fmlaRange="L_Scenarios" noThreeD="1" sel="1" val="0"/>
</file>

<file path=xl/ctrlProps/ctrlProp2.xml><?xml version="1.0" encoding="utf-8"?>
<formControlPr xmlns="http://schemas.microsoft.com/office/spreadsheetml/2009/9/main" objectType="Drop" dropStyle="combo" dx="26" fmlaLink="S_Scenarios" fmlaRange="L_Scenarios" noThreeD="1" sel="1" val="0"/>
</file>

<file path=xl/ctrlProps/ctrlProp3.xml><?xml version="1.0" encoding="utf-8"?>
<formControlPr xmlns="http://schemas.microsoft.com/office/spreadsheetml/2009/9/main" objectType="Drop" dropStyle="combo" dx="26" fmlaLink="S_Scenarios" fmlaRange="L_Scenarios" noThreeD="1" sel="1" val="0"/>
</file>

<file path=xl/ctrlProps/ctrlProp4.xml><?xml version="1.0" encoding="utf-8"?>
<formControlPr xmlns="http://schemas.microsoft.com/office/spreadsheetml/2009/9/main" objectType="Drop" dropStyle="combo" dx="26" fmlaLink="S_Scenarios" fmlaRange="L_Scenarios" noThreeD="1" sel="1" val="0"/>
</file>

<file path=xl/ctrlProps/ctrlProp5.xml><?xml version="1.0" encoding="utf-8"?>
<formControlPr xmlns="http://schemas.microsoft.com/office/spreadsheetml/2009/9/main" objectType="Drop" dropStyle="combo" dx="26" fmlaLink="S_Scenarios" fmlaRange="L_Scenarios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358140</xdr:colOff>
          <xdr:row>1</xdr:row>
          <xdr:rowOff>15240</xdr:rowOff>
        </xdr:from>
        <xdr:to>
          <xdr:col>14</xdr:col>
          <xdr:colOff>0</xdr:colOff>
          <xdr:row>1</xdr:row>
          <xdr:rowOff>220980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358140</xdr:colOff>
          <xdr:row>0</xdr:row>
          <xdr:rowOff>152400</xdr:rowOff>
        </xdr:from>
        <xdr:to>
          <xdr:col>16383</xdr:col>
          <xdr:colOff>358140</xdr:colOff>
          <xdr:row>1</xdr:row>
          <xdr:rowOff>182880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2209800</xdr:colOff>
          <xdr:row>9</xdr:row>
          <xdr:rowOff>152400</xdr:rowOff>
        </xdr:from>
        <xdr:to>
          <xdr:col>4</xdr:col>
          <xdr:colOff>868680</xdr:colOff>
          <xdr:row>11</xdr:row>
          <xdr:rowOff>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0</xdr:row>
          <xdr:rowOff>91440</xdr:rowOff>
        </xdr:from>
        <xdr:to>
          <xdr:col>13</xdr:col>
          <xdr:colOff>502920</xdr:colOff>
          <xdr:row>1</xdr:row>
          <xdr:rowOff>121920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130</xdr:row>
          <xdr:rowOff>91440</xdr:rowOff>
        </xdr:from>
        <xdr:to>
          <xdr:col>13</xdr:col>
          <xdr:colOff>502920</xdr:colOff>
          <xdr:row>131</xdr:row>
          <xdr:rowOff>121920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0424-E2F2-445B-8238-D112EB9103C7}">
  <sheetPr>
    <pageSetUpPr fitToPage="1"/>
  </sheetPr>
  <dimension ref="D9:E14"/>
  <sheetViews>
    <sheetView showGridLines="0" tabSelected="1" zoomScaleNormal="100" zoomScaleSheetLayoutView="90" workbookViewId="0">
      <selection activeCell="D13" sqref="D13"/>
    </sheetView>
  </sheetViews>
  <sheetFormatPr defaultColWidth="9.21875" defaultRowHeight="13.8"/>
  <cols>
    <col min="1" max="1" width="2.5546875" style="2" customWidth="1"/>
    <col min="2" max="2" width="1.77734375" style="2" customWidth="1"/>
    <col min="3" max="3" width="2.21875" style="2" customWidth="1"/>
    <col min="4" max="4" width="32.77734375" style="2" customWidth="1"/>
    <col min="5" max="5" width="12.77734375" style="2" customWidth="1"/>
    <col min="6" max="6" width="1.77734375" style="2" customWidth="1"/>
    <col min="7" max="9" width="12.77734375" style="2" customWidth="1"/>
    <col min="10" max="16384" width="9.21875" style="2"/>
  </cols>
  <sheetData>
    <row r="9" spans="4:5" ht="33.6">
      <c r="D9" s="116"/>
      <c r="E9" s="117" t="s">
        <v>64</v>
      </c>
    </row>
    <row r="10" spans="4:5">
      <c r="D10" s="116"/>
      <c r="E10" s="19" t="s">
        <v>65</v>
      </c>
    </row>
    <row r="11" spans="4:5">
      <c r="E11" s="18"/>
    </row>
    <row r="12" spans="4:5">
      <c r="E12" s="18" t="s">
        <v>66</v>
      </c>
    </row>
    <row r="13" spans="4:5">
      <c r="E13" s="18" t="s">
        <v>67</v>
      </c>
    </row>
    <row r="14" spans="4:5">
      <c r="E14" s="18" t="s">
        <v>68</v>
      </c>
    </row>
  </sheetData>
  <sheetProtection formatCells="0"/>
  <printOptions horizontalCentered="1"/>
  <pageMargins left="0.25" right="0.25" top="0.25" bottom="0.5" header="0.25" footer="0.25"/>
  <pageSetup fitToHeight="0" orientation="portrait" r:id="rId1"/>
  <headerFooter alignWithMargins="0">
    <oddFooter>&amp;LSecureIT Data Centres LLC
Financial Model for 2025 - 2029&amp;CPage &amp;P of &amp;N&amp;R&amp;D &amp;T
Sheet Name: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B2:I124"/>
  <sheetViews>
    <sheetView showGridLines="0" zoomScaleNormal="100" zoomScaleSheetLayoutView="90" workbookViewId="0"/>
  </sheetViews>
  <sheetFormatPr defaultColWidth="9.21875" defaultRowHeight="13.8"/>
  <cols>
    <col min="1" max="1" width="2.5546875" style="2" customWidth="1"/>
    <col min="2" max="2" width="1.77734375" style="2" customWidth="1"/>
    <col min="3" max="3" width="2.21875" style="2" customWidth="1"/>
    <col min="4" max="4" width="32.77734375" style="2" customWidth="1"/>
    <col min="5" max="5" width="12.77734375" style="2" customWidth="1"/>
    <col min="6" max="6" width="1.77734375" style="2" customWidth="1"/>
    <col min="7" max="9" width="12.77734375" style="2" customWidth="1"/>
    <col min="10" max="16384" width="9.21875" style="2"/>
  </cols>
  <sheetData>
    <row r="2" spans="2:9" ht="23.4">
      <c r="B2" s="1" t="s">
        <v>64</v>
      </c>
      <c r="C2" s="1"/>
      <c r="D2" s="1"/>
      <c r="E2" s="1"/>
      <c r="F2" s="1"/>
      <c r="G2" s="1"/>
      <c r="H2" s="1"/>
      <c r="I2" s="1"/>
    </row>
    <row r="3" spans="2:9" ht="19.5" customHeight="1">
      <c r="B3" s="3" t="s">
        <v>0</v>
      </c>
      <c r="C3" s="3"/>
      <c r="D3" s="3"/>
      <c r="E3" s="3"/>
      <c r="F3" s="3"/>
      <c r="G3" s="3"/>
      <c r="H3" s="3"/>
      <c r="I3" s="3"/>
    </row>
    <row r="4" spans="2:9" ht="6" customHeight="1" thickBot="1">
      <c r="B4" s="4"/>
      <c r="C4" s="4"/>
      <c r="D4" s="4"/>
      <c r="E4" s="4"/>
      <c r="F4" s="4"/>
      <c r="G4" s="4"/>
      <c r="H4" s="4"/>
      <c r="I4" s="4"/>
    </row>
    <row r="5" spans="2:9">
      <c r="B5" s="5" t="s">
        <v>56</v>
      </c>
    </row>
    <row r="6" spans="2:9">
      <c r="F6" s="6"/>
    </row>
    <row r="7" spans="2:9">
      <c r="F7" s="7"/>
      <c r="G7" s="8">
        <v>2022</v>
      </c>
      <c r="H7" s="8">
        <f>G7+1</f>
        <v>2023</v>
      </c>
      <c r="I7" s="8">
        <f>H7+1</f>
        <v>2024</v>
      </c>
    </row>
    <row r="8" spans="2:9" ht="13.2" customHeight="1">
      <c r="F8" s="7"/>
      <c r="G8" s="7"/>
      <c r="H8" s="7"/>
      <c r="I8" s="7"/>
    </row>
    <row r="9" spans="2:9">
      <c r="B9" s="52" t="s">
        <v>1</v>
      </c>
      <c r="C9" s="53"/>
      <c r="D9" s="53"/>
      <c r="E9" s="53"/>
      <c r="F9" s="54"/>
      <c r="G9" s="54"/>
      <c r="H9" s="55">
        <f>H13/G13-1</f>
        <v>1.9116582186821107E-2</v>
      </c>
      <c r="I9" s="56">
        <f>I13/H13-1</f>
        <v>6.0110842688645638E-2</v>
      </c>
    </row>
    <row r="10" spans="2:9">
      <c r="B10" s="57" t="s">
        <v>2</v>
      </c>
      <c r="C10" s="58"/>
      <c r="D10" s="58"/>
      <c r="E10" s="58"/>
      <c r="F10" s="59"/>
      <c r="G10" s="60">
        <f>G15/G$13</f>
        <v>0.56553222302679218</v>
      </c>
      <c r="H10" s="60">
        <f>H15/H$13</f>
        <v>0.55492397328406984</v>
      </c>
      <c r="I10" s="61">
        <f>I15/I$13</f>
        <v>0.53887399463806973</v>
      </c>
    </row>
    <row r="11" spans="2:9">
      <c r="B11" s="62" t="s">
        <v>3</v>
      </c>
      <c r="C11" s="63"/>
      <c r="D11" s="63"/>
      <c r="E11" s="63"/>
      <c r="F11" s="64"/>
      <c r="G11" s="65">
        <f>G16/G$13</f>
        <v>0.16727009413468502</v>
      </c>
      <c r="H11" s="65">
        <f t="shared" ref="H11:I11" si="0">H16/H$13</f>
        <v>0.16029558050305526</v>
      </c>
      <c r="I11" s="66">
        <f t="shared" si="0"/>
        <v>0.19343163538873998</v>
      </c>
    </row>
    <row r="12" spans="2:9" ht="13.2" customHeight="1">
      <c r="B12" s="9"/>
      <c r="F12" s="7"/>
      <c r="G12" s="7"/>
      <c r="H12" s="7"/>
      <c r="I12" s="7"/>
    </row>
    <row r="13" spans="2:9">
      <c r="C13" s="9" t="s">
        <v>58</v>
      </c>
      <c r="D13" s="9"/>
      <c r="E13" s="9"/>
      <c r="F13" s="7"/>
      <c r="G13" s="67">
        <v>690.5</v>
      </c>
      <c r="H13" s="67">
        <v>703.7</v>
      </c>
      <c r="I13" s="67">
        <v>746</v>
      </c>
    </row>
    <row r="14" spans="2:9" ht="13.2" customHeight="1">
      <c r="F14" s="7"/>
      <c r="G14" s="7"/>
      <c r="H14" s="7"/>
      <c r="I14" s="7"/>
    </row>
    <row r="15" spans="2:9">
      <c r="C15" s="2" t="s">
        <v>59</v>
      </c>
      <c r="F15" s="7"/>
      <c r="G15" s="10">
        <v>390.5</v>
      </c>
      <c r="H15" s="10">
        <v>390.5</v>
      </c>
      <c r="I15" s="10">
        <v>402</v>
      </c>
    </row>
    <row r="16" spans="2:9">
      <c r="C16" s="11" t="s">
        <v>4</v>
      </c>
      <c r="F16" s="7"/>
      <c r="G16" s="12">
        <v>115.5</v>
      </c>
      <c r="H16" s="12">
        <v>112.8</v>
      </c>
      <c r="I16" s="12">
        <v>144.30000000000001</v>
      </c>
    </row>
    <row r="17" spans="2:9">
      <c r="C17" s="13" t="s">
        <v>5</v>
      </c>
      <c r="F17" s="7"/>
      <c r="G17" s="14">
        <f t="shared" ref="G17:I17" si="1">SUM(G15:G16)</f>
        <v>506</v>
      </c>
      <c r="H17" s="14">
        <f t="shared" si="1"/>
        <v>503.3</v>
      </c>
      <c r="I17" s="14">
        <f t="shared" si="1"/>
        <v>546.29999999999995</v>
      </c>
    </row>
    <row r="18" spans="2:9">
      <c r="C18" s="13"/>
      <c r="F18" s="7"/>
      <c r="G18" s="7"/>
      <c r="H18" s="7"/>
      <c r="I18" s="7"/>
    </row>
    <row r="19" spans="2:9">
      <c r="C19" s="2" t="s">
        <v>6</v>
      </c>
      <c r="F19" s="7"/>
      <c r="G19" s="12">
        <v>9.6999999999999993</v>
      </c>
      <c r="H19" s="12">
        <v>-7.5</v>
      </c>
      <c r="I19" s="12">
        <v>-5.2</v>
      </c>
    </row>
    <row r="20" spans="2:9">
      <c r="B20" s="9"/>
      <c r="C20" s="9" t="s">
        <v>7</v>
      </c>
      <c r="G20" s="15">
        <f t="shared" ref="G20:I20" si="2">G13-G17+G19</f>
        <v>194.2</v>
      </c>
      <c r="H20" s="15">
        <f t="shared" si="2"/>
        <v>192.90000000000003</v>
      </c>
      <c r="I20" s="15">
        <f t="shared" si="2"/>
        <v>194.50000000000006</v>
      </c>
    </row>
    <row r="22" spans="2:9">
      <c r="C22" s="2" t="s">
        <v>8</v>
      </c>
      <c r="G22" s="16">
        <v>131.80000000000001</v>
      </c>
      <c r="H22" s="16">
        <v>140.6</v>
      </c>
      <c r="I22" s="16">
        <v>144</v>
      </c>
    </row>
    <row r="23" spans="2:9">
      <c r="C23" s="13" t="s">
        <v>9</v>
      </c>
      <c r="G23" s="15">
        <f t="shared" ref="G23:I23" si="3">G20-G22</f>
        <v>62.399999999999977</v>
      </c>
      <c r="H23" s="15">
        <f t="shared" si="3"/>
        <v>52.30000000000004</v>
      </c>
      <c r="I23" s="15">
        <f t="shared" si="3"/>
        <v>50.500000000000057</v>
      </c>
    </row>
    <row r="24" spans="2:9" ht="6" customHeight="1">
      <c r="C24" s="13"/>
    </row>
    <row r="25" spans="2:9" ht="12.75" customHeight="1">
      <c r="C25" s="2" t="s">
        <v>6</v>
      </c>
      <c r="G25" s="17">
        <v>-0.3</v>
      </c>
      <c r="H25" s="17">
        <v>-2.5</v>
      </c>
      <c r="I25" s="17">
        <v>9.6</v>
      </c>
    </row>
    <row r="26" spans="2:9">
      <c r="C26" s="18" t="s">
        <v>55</v>
      </c>
      <c r="G26" s="16">
        <v>84.8</v>
      </c>
      <c r="H26" s="16">
        <v>98.5</v>
      </c>
      <c r="I26" s="16">
        <v>96.9</v>
      </c>
    </row>
    <row r="27" spans="2:9">
      <c r="C27" s="19" t="s">
        <v>10</v>
      </c>
      <c r="G27" s="15">
        <f t="shared" ref="G27:I27" si="4">G23+G25-G26</f>
        <v>-22.700000000000017</v>
      </c>
      <c r="H27" s="15">
        <f t="shared" si="4"/>
        <v>-48.69999999999996</v>
      </c>
      <c r="I27" s="15">
        <f t="shared" si="4"/>
        <v>-36.799999999999947</v>
      </c>
    </row>
    <row r="28" spans="2:9" ht="6" customHeight="1">
      <c r="C28" s="13"/>
    </row>
    <row r="29" spans="2:9">
      <c r="C29" s="2" t="s">
        <v>11</v>
      </c>
      <c r="G29" s="17">
        <v>2</v>
      </c>
      <c r="H29" s="17">
        <v>7</v>
      </c>
      <c r="I29" s="17">
        <v>6</v>
      </c>
    </row>
    <row r="30" spans="2:9">
      <c r="C30" s="2" t="s">
        <v>12</v>
      </c>
      <c r="G30" s="16">
        <v>1.5</v>
      </c>
      <c r="H30" s="16">
        <v>-17.8</v>
      </c>
      <c r="I30" s="16">
        <v>-6.7</v>
      </c>
    </row>
    <row r="31" spans="2:9">
      <c r="C31" s="9" t="s">
        <v>13</v>
      </c>
      <c r="G31" s="15">
        <f t="shared" ref="G31:I31" si="5">SUM(G29:G30)</f>
        <v>3.5</v>
      </c>
      <c r="H31" s="15">
        <f t="shared" si="5"/>
        <v>-10.8</v>
      </c>
      <c r="I31" s="15">
        <f t="shared" si="5"/>
        <v>-0.70000000000000018</v>
      </c>
    </row>
    <row r="32" spans="2:9" ht="9" customHeight="1">
      <c r="G32" s="20"/>
      <c r="H32" s="20"/>
      <c r="I32" s="20"/>
    </row>
    <row r="33" spans="2:9">
      <c r="C33" s="21" t="s">
        <v>14</v>
      </c>
      <c r="D33" s="9"/>
      <c r="E33" s="9"/>
      <c r="G33" s="22">
        <f t="shared" ref="G33:I33" si="6">G27-G31</f>
        <v>-26.200000000000017</v>
      </c>
      <c r="H33" s="22">
        <f t="shared" si="6"/>
        <v>-37.899999999999963</v>
      </c>
      <c r="I33" s="22">
        <f t="shared" si="6"/>
        <v>-36.099999999999945</v>
      </c>
    </row>
    <row r="34" spans="2:9">
      <c r="C34" s="21"/>
      <c r="D34" s="9"/>
      <c r="E34" s="9"/>
      <c r="G34" s="14"/>
      <c r="H34" s="14"/>
      <c r="I34" s="14"/>
    </row>
    <row r="35" spans="2:9">
      <c r="C35" s="23" t="s">
        <v>52</v>
      </c>
      <c r="D35" s="9"/>
      <c r="E35" s="9"/>
      <c r="G35" s="16">
        <v>0</v>
      </c>
      <c r="H35" s="16">
        <v>0</v>
      </c>
      <c r="I35" s="16">
        <v>0</v>
      </c>
    </row>
    <row r="36" spans="2:9" ht="13.5" customHeight="1" thickBot="1">
      <c r="C36" s="21" t="s">
        <v>53</v>
      </c>
      <c r="D36" s="9"/>
      <c r="E36" s="9"/>
      <c r="G36" s="24">
        <f t="shared" ref="G36:I36" si="7">G33-G35</f>
        <v>-26.200000000000017</v>
      </c>
      <c r="H36" s="24">
        <f t="shared" si="7"/>
        <v>-37.899999999999963</v>
      </c>
      <c r="I36" s="24">
        <f t="shared" si="7"/>
        <v>-36.099999999999945</v>
      </c>
    </row>
    <row r="37" spans="2:9" ht="13.5" customHeight="1" thickTop="1">
      <c r="B37" s="25"/>
      <c r="C37" s="25"/>
      <c r="D37" s="25"/>
      <c r="E37" s="25"/>
      <c r="F37" s="25"/>
      <c r="G37" s="26"/>
      <c r="H37" s="26"/>
      <c r="I37" s="26"/>
    </row>
    <row r="38" spans="2:9">
      <c r="C38" s="27"/>
      <c r="G38" s="28"/>
      <c r="H38" s="28"/>
      <c r="I38" s="28"/>
    </row>
    <row r="39" spans="2:9">
      <c r="B39" s="9"/>
      <c r="C39" s="9"/>
      <c r="D39" s="9"/>
      <c r="E39" s="9"/>
      <c r="F39" s="9"/>
      <c r="G39" s="9"/>
      <c r="H39" s="9"/>
      <c r="I39" s="9"/>
    </row>
    <row r="40" spans="2:9">
      <c r="B40" s="9"/>
      <c r="G40" s="29"/>
      <c r="H40" s="29"/>
      <c r="I40" s="29"/>
    </row>
    <row r="41" spans="2:9" ht="23.4">
      <c r="B41" s="1" t="str">
        <f>$B$2</f>
        <v>SecureIT Data Centres LLC</v>
      </c>
      <c r="C41" s="30"/>
      <c r="D41" s="30"/>
      <c r="E41" s="30"/>
      <c r="F41" s="30"/>
      <c r="G41" s="30"/>
      <c r="H41" s="30"/>
      <c r="I41" s="30"/>
    </row>
    <row r="42" spans="2:9" ht="18">
      <c r="B42" s="3" t="s">
        <v>15</v>
      </c>
      <c r="C42" s="30"/>
      <c r="D42" s="30"/>
      <c r="E42" s="30"/>
      <c r="F42" s="30"/>
      <c r="G42" s="30"/>
      <c r="H42" s="30"/>
      <c r="I42" s="30"/>
    </row>
    <row r="43" spans="2:9" ht="6" customHeight="1" thickBot="1">
      <c r="B43" s="4"/>
      <c r="C43" s="31"/>
      <c r="D43" s="31"/>
      <c r="E43" s="31"/>
      <c r="F43" s="31"/>
      <c r="G43" s="31"/>
      <c r="H43" s="31"/>
      <c r="I43" s="31"/>
    </row>
    <row r="44" spans="2:9">
      <c r="B44" s="5" t="str">
        <f>$B$5</f>
        <v>Millions for the Year Ended December 31</v>
      </c>
    </row>
    <row r="46" spans="2:9">
      <c r="B46" s="32"/>
      <c r="F46" s="33"/>
      <c r="G46" s="8">
        <f>G$7</f>
        <v>2022</v>
      </c>
      <c r="H46" s="8">
        <f t="shared" ref="H46:I46" si="8">H$7</f>
        <v>2023</v>
      </c>
      <c r="I46" s="8">
        <f t="shared" si="8"/>
        <v>2024</v>
      </c>
    </row>
    <row r="47" spans="2:9">
      <c r="B47" s="32"/>
      <c r="F47" s="33"/>
      <c r="G47" s="33"/>
      <c r="H47" s="33"/>
      <c r="I47" s="33"/>
    </row>
    <row r="48" spans="2:9">
      <c r="B48" s="9" t="s">
        <v>16</v>
      </c>
    </row>
    <row r="49" spans="2:9">
      <c r="C49" s="2" t="s">
        <v>14</v>
      </c>
      <c r="F49" s="34"/>
      <c r="G49" s="35">
        <v>-26.200000000000017</v>
      </c>
      <c r="H49" s="35">
        <v>-37.899999999999963</v>
      </c>
      <c r="I49" s="35">
        <v>-36.1</v>
      </c>
    </row>
    <row r="50" spans="2:9">
      <c r="C50" s="2" t="s">
        <v>8</v>
      </c>
      <c r="F50" s="34"/>
      <c r="G50" s="35">
        <v>131.80000000000001</v>
      </c>
      <c r="H50" s="35">
        <v>140.6</v>
      </c>
      <c r="I50" s="35">
        <v>144</v>
      </c>
    </row>
    <row r="51" spans="2:9">
      <c r="C51" s="2" t="s">
        <v>12</v>
      </c>
      <c r="F51" s="34"/>
      <c r="G51" s="35">
        <v>1.5</v>
      </c>
      <c r="H51" s="35">
        <v>-17.8</v>
      </c>
      <c r="I51" s="35">
        <v>-6.7</v>
      </c>
    </row>
    <row r="52" spans="2:9">
      <c r="C52" s="2" t="s">
        <v>17</v>
      </c>
      <c r="F52" s="36"/>
      <c r="G52" s="35">
        <v>3.6</v>
      </c>
      <c r="H52" s="35">
        <v>6</v>
      </c>
      <c r="I52" s="35">
        <v>21.899999999999977</v>
      </c>
    </row>
    <row r="53" spans="2:9">
      <c r="C53" s="2" t="s">
        <v>29</v>
      </c>
      <c r="F53" s="36"/>
      <c r="G53" s="37">
        <v>-0.7</v>
      </c>
      <c r="H53" s="37">
        <v>-0.3</v>
      </c>
      <c r="I53" s="12">
        <v>0.1</v>
      </c>
    </row>
    <row r="54" spans="2:9">
      <c r="C54" s="13" t="s">
        <v>18</v>
      </c>
      <c r="F54" s="38"/>
      <c r="G54" s="39">
        <f t="shared" ref="G54:I54" si="9">SUM(G49:G53)</f>
        <v>109.99999999999999</v>
      </c>
      <c r="H54" s="39">
        <f t="shared" si="9"/>
        <v>90.600000000000037</v>
      </c>
      <c r="I54" s="39">
        <f t="shared" si="9"/>
        <v>123.19999999999997</v>
      </c>
    </row>
    <row r="55" spans="2:9">
      <c r="B55" s="11"/>
    </row>
    <row r="56" spans="2:9">
      <c r="B56" s="11"/>
    </row>
    <row r="57" spans="2:9">
      <c r="B57" s="9" t="s">
        <v>19</v>
      </c>
    </row>
    <row r="58" spans="2:9">
      <c r="C58" s="2" t="s">
        <v>20</v>
      </c>
      <c r="G58" s="17">
        <v>-83.2</v>
      </c>
      <c r="H58" s="17">
        <v>-77.5</v>
      </c>
      <c r="I58" s="17">
        <v>-131.80000000000001</v>
      </c>
    </row>
    <row r="59" spans="2:9">
      <c r="C59" s="2" t="s">
        <v>21</v>
      </c>
      <c r="G59" s="17">
        <v>17.5</v>
      </c>
      <c r="H59" s="17">
        <v>0</v>
      </c>
      <c r="I59" s="17">
        <v>5.8</v>
      </c>
    </row>
    <row r="60" spans="2:9">
      <c r="C60" s="2" t="s">
        <v>29</v>
      </c>
      <c r="G60" s="16">
        <v>0.2</v>
      </c>
      <c r="H60" s="16">
        <v>-0.2</v>
      </c>
      <c r="I60" s="16">
        <v>0.1</v>
      </c>
    </row>
    <row r="61" spans="2:9">
      <c r="C61" s="9" t="s">
        <v>22</v>
      </c>
      <c r="F61" s="38"/>
      <c r="G61" s="39">
        <f t="shared" ref="G61:I61" si="10">SUM(G58:G60)</f>
        <v>-65.5</v>
      </c>
      <c r="H61" s="39">
        <f t="shared" si="10"/>
        <v>-77.7</v>
      </c>
      <c r="I61" s="39">
        <f t="shared" si="10"/>
        <v>-125.90000000000002</v>
      </c>
    </row>
    <row r="62" spans="2:9">
      <c r="B62" s="19"/>
      <c r="F62" s="34"/>
      <c r="G62" s="34"/>
      <c r="H62" s="34"/>
      <c r="I62" s="34"/>
    </row>
    <row r="63" spans="2:9">
      <c r="B63" s="19"/>
      <c r="F63" s="34"/>
      <c r="G63" s="40"/>
      <c r="H63" s="40"/>
      <c r="I63" s="40"/>
    </row>
    <row r="64" spans="2:9">
      <c r="B64" s="19" t="s">
        <v>23</v>
      </c>
      <c r="F64" s="34"/>
      <c r="G64" s="34"/>
      <c r="H64" s="34"/>
      <c r="I64" s="34"/>
    </row>
    <row r="65" spans="2:9">
      <c r="B65" s="19"/>
      <c r="C65" s="2" t="s">
        <v>24</v>
      </c>
      <c r="F65" s="38"/>
      <c r="G65" s="17">
        <v>0</v>
      </c>
      <c r="H65" s="17">
        <v>-64.900000000000034</v>
      </c>
      <c r="I65" s="17">
        <v>-0.1</v>
      </c>
    </row>
    <row r="66" spans="2:9">
      <c r="B66" s="19"/>
      <c r="C66" s="18" t="s">
        <v>50</v>
      </c>
      <c r="F66" s="38"/>
      <c r="G66" s="17">
        <v>81.400000000000006</v>
      </c>
      <c r="H66" s="17">
        <v>13.199999999999989</v>
      </c>
      <c r="I66" s="17">
        <v>-4.8999999999999986</v>
      </c>
    </row>
    <row r="67" spans="2:9">
      <c r="B67" s="19"/>
      <c r="C67" s="18" t="s">
        <v>51</v>
      </c>
      <c r="F67" s="38"/>
      <c r="G67" s="17">
        <v>-36.4</v>
      </c>
      <c r="H67" s="17">
        <v>-62.1</v>
      </c>
      <c r="I67" s="17">
        <v>-49.2</v>
      </c>
    </row>
    <row r="68" spans="2:9">
      <c r="B68" s="19"/>
      <c r="C68" s="18" t="s">
        <v>57</v>
      </c>
      <c r="F68" s="38"/>
      <c r="G68" s="17">
        <v>0</v>
      </c>
      <c r="H68" s="17">
        <v>0</v>
      </c>
      <c r="I68" s="17">
        <v>75</v>
      </c>
    </row>
    <row r="69" spans="2:9">
      <c r="B69" s="19"/>
      <c r="C69" s="2" t="s">
        <v>29</v>
      </c>
      <c r="F69" s="38"/>
      <c r="G69" s="16">
        <v>0.8</v>
      </c>
      <c r="H69" s="16">
        <v>0</v>
      </c>
      <c r="I69" s="16">
        <v>0.4</v>
      </c>
    </row>
    <row r="70" spans="2:9">
      <c r="B70" s="19"/>
      <c r="C70" s="9" t="s">
        <v>25</v>
      </c>
      <c r="F70" s="38"/>
      <c r="G70" s="39">
        <f>SUM(G65:G69)</f>
        <v>45.800000000000004</v>
      </c>
      <c r="H70" s="39">
        <f>SUM(H65:H69)</f>
        <v>-113.80000000000004</v>
      </c>
      <c r="I70" s="39">
        <f>SUM(I65:I69)</f>
        <v>21.199999999999996</v>
      </c>
    </row>
    <row r="71" spans="2:9">
      <c r="B71" s="19"/>
      <c r="C71" s="9"/>
      <c r="F71" s="38"/>
    </row>
    <row r="72" spans="2:9">
      <c r="C72" s="11" t="s">
        <v>45</v>
      </c>
      <c r="F72" s="38"/>
      <c r="G72" s="41">
        <f>G70+G61+G54</f>
        <v>90.299999999999983</v>
      </c>
      <c r="H72" s="41">
        <f>H70+H61+H54</f>
        <v>-100.90000000000002</v>
      </c>
      <c r="I72" s="41">
        <f>I70+I61+I54</f>
        <v>18.499999999999957</v>
      </c>
    </row>
    <row r="73" spans="2:9">
      <c r="C73" s="11" t="s">
        <v>46</v>
      </c>
      <c r="F73" s="38"/>
      <c r="G73" s="16">
        <v>10.6</v>
      </c>
      <c r="H73" s="42">
        <f>G74</f>
        <v>100.89999999999998</v>
      </c>
      <c r="I73" s="42">
        <f>H74</f>
        <v>0</v>
      </c>
    </row>
    <row r="74" spans="2:9">
      <c r="C74" s="13" t="s">
        <v>47</v>
      </c>
      <c r="F74" s="38"/>
      <c r="G74" s="15">
        <f>G73+G72</f>
        <v>100.89999999999998</v>
      </c>
      <c r="H74" s="15">
        <f>H73+H72</f>
        <v>0</v>
      </c>
      <c r="I74" s="15">
        <f>I73+I72</f>
        <v>18.499999999999957</v>
      </c>
    </row>
    <row r="75" spans="2:9">
      <c r="B75" s="25"/>
      <c r="C75" s="25"/>
      <c r="D75" s="25"/>
      <c r="E75" s="25"/>
      <c r="F75" s="25"/>
      <c r="G75" s="25"/>
      <c r="H75" s="25"/>
      <c r="I75" s="25"/>
    </row>
    <row r="78" spans="2:9" ht="23.4">
      <c r="B78" s="1" t="str">
        <f>$B$2</f>
        <v>SecureIT Data Centres LLC</v>
      </c>
      <c r="C78" s="30"/>
      <c r="D78" s="30"/>
      <c r="E78" s="30"/>
      <c r="F78" s="30"/>
      <c r="G78" s="30"/>
      <c r="H78" s="30"/>
      <c r="I78" s="30"/>
    </row>
    <row r="79" spans="2:9" ht="18">
      <c r="B79" s="3" t="s">
        <v>26</v>
      </c>
      <c r="C79" s="30"/>
      <c r="D79" s="30"/>
      <c r="E79" s="30"/>
      <c r="F79" s="30"/>
      <c r="G79" s="30"/>
      <c r="H79" s="30"/>
      <c r="I79" s="30"/>
    </row>
    <row r="80" spans="2:9" ht="6" customHeight="1" thickBot="1">
      <c r="B80" s="4"/>
      <c r="C80" s="31"/>
      <c r="D80" s="31"/>
      <c r="E80" s="31"/>
      <c r="F80" s="31"/>
      <c r="G80" s="31"/>
      <c r="H80" s="31"/>
      <c r="I80" s="31"/>
    </row>
    <row r="81" spans="2:9">
      <c r="B81" s="5" t="str">
        <f>$B$5</f>
        <v>Millions for the Year Ended December 31</v>
      </c>
      <c r="D81" s="9"/>
      <c r="E81" s="9"/>
      <c r="G81" s="43"/>
      <c r="H81" s="43"/>
      <c r="I81" s="43"/>
    </row>
    <row r="82" spans="2:9">
      <c r="B82" s="44"/>
      <c r="F82" s="33"/>
      <c r="G82" s="8">
        <f>G$7</f>
        <v>2022</v>
      </c>
      <c r="H82" s="8">
        <f t="shared" ref="H82:I82" si="11">H$7</f>
        <v>2023</v>
      </c>
      <c r="I82" s="8">
        <f t="shared" si="11"/>
        <v>2024</v>
      </c>
    </row>
    <row r="83" spans="2:9">
      <c r="B83" s="9" t="s">
        <v>27</v>
      </c>
    </row>
    <row r="84" spans="2:9">
      <c r="B84" s="9"/>
      <c r="C84" s="2" t="s">
        <v>60</v>
      </c>
      <c r="G84" s="17">
        <v>100.89999999999998</v>
      </c>
      <c r="H84" s="17">
        <v>0</v>
      </c>
      <c r="I84" s="17">
        <v>18.500000000000043</v>
      </c>
    </row>
    <row r="85" spans="2:9">
      <c r="C85" s="2" t="s">
        <v>28</v>
      </c>
      <c r="F85" s="36"/>
      <c r="G85" s="17">
        <v>33.5</v>
      </c>
      <c r="H85" s="17">
        <v>18.3</v>
      </c>
      <c r="I85" s="17">
        <v>28.3</v>
      </c>
    </row>
    <row r="86" spans="2:9">
      <c r="C86" s="2" t="s">
        <v>61</v>
      </c>
      <c r="F86" s="36"/>
      <c r="G86" s="17">
        <v>41.9</v>
      </c>
      <c r="H86" s="17">
        <v>37.5</v>
      </c>
      <c r="I86" s="17">
        <v>38.1</v>
      </c>
    </row>
    <row r="87" spans="2:9">
      <c r="C87" s="18" t="s">
        <v>29</v>
      </c>
      <c r="F87" s="36"/>
      <c r="G87" s="16">
        <v>0.3</v>
      </c>
      <c r="H87" s="16">
        <v>0.2</v>
      </c>
      <c r="I87" s="16">
        <v>0.4</v>
      </c>
    </row>
    <row r="88" spans="2:9">
      <c r="C88" s="13" t="s">
        <v>30</v>
      </c>
      <c r="F88" s="34"/>
      <c r="G88" s="41">
        <f>SUM(G84:G87)</f>
        <v>176.6</v>
      </c>
      <c r="H88" s="41">
        <f t="shared" ref="H88:I88" si="12">SUM(H84:H87)</f>
        <v>56</v>
      </c>
      <c r="I88" s="41">
        <f t="shared" si="12"/>
        <v>85.30000000000004</v>
      </c>
    </row>
    <row r="89" spans="2:9" ht="10.95" customHeight="1">
      <c r="F89" s="34"/>
      <c r="G89" s="17"/>
      <c r="H89" s="17"/>
      <c r="I89" s="17"/>
    </row>
    <row r="90" spans="2:9">
      <c r="C90" s="2" t="s">
        <v>31</v>
      </c>
      <c r="F90" s="36"/>
      <c r="G90" s="17">
        <v>1580.7</v>
      </c>
      <c r="H90" s="17">
        <v>1517.6000000000001</v>
      </c>
      <c r="I90" s="17">
        <v>1505.4</v>
      </c>
    </row>
    <row r="91" spans="2:9">
      <c r="C91" s="2" t="s">
        <v>32</v>
      </c>
      <c r="F91" s="36"/>
      <c r="G91" s="17">
        <v>706.2</v>
      </c>
      <c r="H91" s="17">
        <v>704.1</v>
      </c>
      <c r="I91" s="17">
        <v>702.6</v>
      </c>
    </row>
    <row r="92" spans="2:9">
      <c r="C92" s="2" t="s">
        <v>33</v>
      </c>
      <c r="F92" s="36"/>
      <c r="G92" s="17">
        <v>234.9</v>
      </c>
      <c r="H92" s="17">
        <v>232.7</v>
      </c>
      <c r="I92" s="17">
        <v>230.2</v>
      </c>
    </row>
    <row r="93" spans="2:9">
      <c r="C93" s="18" t="s">
        <v>29</v>
      </c>
      <c r="F93" s="36"/>
      <c r="G93" s="17">
        <v>23.7</v>
      </c>
      <c r="H93" s="17">
        <v>25.6</v>
      </c>
      <c r="I93" s="17">
        <v>24.7</v>
      </c>
    </row>
    <row r="94" spans="2:9">
      <c r="C94" s="19" t="s">
        <v>34</v>
      </c>
      <c r="F94" s="36"/>
      <c r="G94" s="45">
        <f>SUM(G90:G93)</f>
        <v>2545.5</v>
      </c>
      <c r="H94" s="45">
        <f t="shared" ref="H94:I94" si="13">SUM(H90:H93)</f>
        <v>2480</v>
      </c>
      <c r="I94" s="45">
        <f t="shared" si="13"/>
        <v>2462.8999999999996</v>
      </c>
    </row>
    <row r="95" spans="2:9" ht="10.95" customHeight="1">
      <c r="C95" s="18"/>
      <c r="F95" s="34"/>
      <c r="G95" s="46"/>
      <c r="H95" s="46"/>
      <c r="I95" s="46"/>
    </row>
    <row r="96" spans="2:9" ht="14.4" thickBot="1">
      <c r="C96" s="9" t="s">
        <v>35</v>
      </c>
      <c r="F96" s="38"/>
      <c r="G96" s="47">
        <f>G88+G94</f>
        <v>2722.1</v>
      </c>
      <c r="H96" s="47">
        <f t="shared" ref="H96:I96" si="14">H88+H94</f>
        <v>2536</v>
      </c>
      <c r="I96" s="47">
        <f t="shared" si="14"/>
        <v>2548.1999999999998</v>
      </c>
    </row>
    <row r="97" spans="2:9" ht="14.4" thickTop="1">
      <c r="F97" s="34"/>
      <c r="G97" s="34"/>
      <c r="H97" s="34"/>
      <c r="I97" s="34"/>
    </row>
    <row r="98" spans="2:9">
      <c r="F98" s="34"/>
      <c r="G98" s="34"/>
      <c r="H98" s="34"/>
      <c r="I98" s="34"/>
    </row>
    <row r="99" spans="2:9">
      <c r="B99" s="13" t="s">
        <v>36</v>
      </c>
      <c r="F99" s="34"/>
      <c r="G99" s="34"/>
      <c r="H99" s="34"/>
      <c r="I99" s="34"/>
    </row>
    <row r="100" spans="2:9">
      <c r="C100" s="18" t="s">
        <v>37</v>
      </c>
      <c r="F100" s="36"/>
      <c r="G100" s="17">
        <v>65</v>
      </c>
      <c r="H100" s="17">
        <v>0.1</v>
      </c>
      <c r="I100" s="17">
        <v>0</v>
      </c>
    </row>
    <row r="101" spans="2:9">
      <c r="C101" s="18" t="s">
        <v>38</v>
      </c>
      <c r="F101" s="36"/>
      <c r="G101" s="17">
        <v>48.9</v>
      </c>
      <c r="H101" s="17">
        <v>57.9</v>
      </c>
      <c r="I101" s="17">
        <v>61.9</v>
      </c>
    </row>
    <row r="102" spans="2:9">
      <c r="C102" s="18" t="s">
        <v>62</v>
      </c>
      <c r="F102" s="36"/>
      <c r="G102" s="17">
        <v>88.4</v>
      </c>
      <c r="H102" s="17">
        <v>65.3</v>
      </c>
      <c r="I102" s="17">
        <v>81.400000000000006</v>
      </c>
    </row>
    <row r="103" spans="2:9">
      <c r="C103" s="18" t="s">
        <v>63</v>
      </c>
      <c r="F103" s="36"/>
      <c r="G103" s="35">
        <v>60.2</v>
      </c>
      <c r="H103" s="35">
        <v>60.7</v>
      </c>
      <c r="I103" s="35">
        <v>73.099999999999994</v>
      </c>
    </row>
    <row r="104" spans="2:9">
      <c r="C104" s="18" t="s">
        <v>29</v>
      </c>
      <c r="F104" s="36"/>
      <c r="G104" s="16">
        <v>6.8</v>
      </c>
      <c r="H104" s="16">
        <v>7.1</v>
      </c>
      <c r="I104" s="16">
        <v>6.9</v>
      </c>
    </row>
    <row r="105" spans="2:9">
      <c r="C105" s="13" t="s">
        <v>39</v>
      </c>
      <c r="F105" s="34"/>
      <c r="G105" s="41">
        <f>SUM(G100:G104)</f>
        <v>269.3</v>
      </c>
      <c r="H105" s="41">
        <f t="shared" ref="H105:I105" si="15">SUM(H100:H104)</f>
        <v>191.1</v>
      </c>
      <c r="I105" s="41">
        <f t="shared" si="15"/>
        <v>223.3</v>
      </c>
    </row>
    <row r="106" spans="2:9" ht="10.95" customHeight="1">
      <c r="F106" s="34"/>
      <c r="G106" s="34"/>
      <c r="H106" s="34"/>
      <c r="I106" s="34"/>
    </row>
    <row r="107" spans="2:9">
      <c r="C107" s="18" t="s">
        <v>48</v>
      </c>
      <c r="F107" s="48"/>
      <c r="G107" s="17">
        <v>1000.2</v>
      </c>
      <c r="H107" s="17">
        <v>1013.4000000000001</v>
      </c>
      <c r="I107" s="17">
        <v>1008.5000000000001</v>
      </c>
    </row>
    <row r="108" spans="2:9">
      <c r="C108" s="18" t="s">
        <v>49</v>
      </c>
      <c r="F108" s="48"/>
      <c r="G108" s="17">
        <v>723.1</v>
      </c>
      <c r="H108" s="17">
        <v>661</v>
      </c>
      <c r="I108" s="17">
        <v>611.79999999999995</v>
      </c>
    </row>
    <row r="109" spans="2:9">
      <c r="C109" s="2" t="s">
        <v>12</v>
      </c>
      <c r="F109" s="48"/>
      <c r="G109" s="17">
        <v>77.8</v>
      </c>
      <c r="H109" s="17">
        <v>60</v>
      </c>
      <c r="I109" s="17">
        <v>53.3</v>
      </c>
    </row>
    <row r="110" spans="2:9">
      <c r="C110" s="18" t="s">
        <v>29</v>
      </c>
      <c r="F110" s="48"/>
      <c r="G110" s="16">
        <v>93.9</v>
      </c>
      <c r="H110" s="16">
        <v>91.5</v>
      </c>
      <c r="I110" s="16">
        <v>92.9</v>
      </c>
    </row>
    <row r="111" spans="2:9">
      <c r="C111" s="19" t="s">
        <v>40</v>
      </c>
      <c r="F111" s="36"/>
      <c r="G111" s="41">
        <f>SUM(G107:G110)</f>
        <v>1895.0000000000002</v>
      </c>
      <c r="H111" s="41">
        <f t="shared" ref="H111:I111" si="16">SUM(H107:H110)</f>
        <v>1825.9</v>
      </c>
      <c r="I111" s="41">
        <f t="shared" si="16"/>
        <v>1766.5000000000002</v>
      </c>
    </row>
    <row r="112" spans="2:9" ht="10.95" customHeight="1">
      <c r="C112" s="13"/>
      <c r="F112" s="34"/>
      <c r="G112" s="46"/>
      <c r="H112" s="46"/>
      <c r="I112" s="46"/>
    </row>
    <row r="113" spans="2:9">
      <c r="C113" s="19" t="s">
        <v>41</v>
      </c>
      <c r="F113" s="38"/>
      <c r="G113" s="15">
        <f>G105+G111</f>
        <v>2164.3000000000002</v>
      </c>
      <c r="H113" s="15">
        <f t="shared" ref="H113:I113" si="17">H105+H111</f>
        <v>2017</v>
      </c>
      <c r="I113" s="15">
        <f t="shared" si="17"/>
        <v>1989.8000000000002</v>
      </c>
    </row>
    <row r="114" spans="2:9" ht="10.95" customHeight="1">
      <c r="F114" s="34"/>
      <c r="G114" s="34"/>
      <c r="H114" s="34"/>
      <c r="I114" s="34"/>
    </row>
    <row r="115" spans="2:9">
      <c r="C115" s="2" t="s">
        <v>54</v>
      </c>
      <c r="F115" s="34"/>
      <c r="G115" s="17">
        <v>1504.6</v>
      </c>
      <c r="H115" s="17">
        <v>1504.6</v>
      </c>
      <c r="I115" s="17">
        <v>1579.6</v>
      </c>
    </row>
    <row r="116" spans="2:9">
      <c r="C116" s="2" t="s">
        <v>42</v>
      </c>
      <c r="F116" s="34"/>
      <c r="G116" s="17">
        <v>-963.5</v>
      </c>
      <c r="H116" s="17">
        <v>-1001.4</v>
      </c>
      <c r="I116" s="17">
        <v>-1037.5</v>
      </c>
    </row>
    <row r="117" spans="2:9">
      <c r="C117" s="2" t="s">
        <v>29</v>
      </c>
      <c r="F117" s="34"/>
      <c r="G117" s="16">
        <v>16.7</v>
      </c>
      <c r="H117" s="16">
        <v>15.8</v>
      </c>
      <c r="I117" s="16">
        <v>16.3</v>
      </c>
    </row>
    <row r="118" spans="2:9">
      <c r="C118" s="13" t="s">
        <v>43</v>
      </c>
      <c r="F118" s="36"/>
      <c r="G118" s="15">
        <f>SUM(G115:G117)</f>
        <v>557.79999999999995</v>
      </c>
      <c r="H118" s="15">
        <f>SUM(H115:H117)</f>
        <v>518.99999999999989</v>
      </c>
      <c r="I118" s="15">
        <f>SUM(I115:I117)</f>
        <v>558.39999999999986</v>
      </c>
    </row>
    <row r="119" spans="2:9">
      <c r="F119" s="34"/>
      <c r="G119" s="34"/>
      <c r="H119" s="34"/>
      <c r="I119" s="34"/>
    </row>
    <row r="120" spans="2:9" ht="14.4" thickBot="1">
      <c r="B120" s="13" t="s">
        <v>44</v>
      </c>
      <c r="F120" s="38"/>
      <c r="G120" s="47">
        <f>G118+G113</f>
        <v>2722.1000000000004</v>
      </c>
      <c r="H120" s="47">
        <f>H118+H113</f>
        <v>2536</v>
      </c>
      <c r="I120" s="47">
        <f>I118+I113</f>
        <v>2548.1999999999998</v>
      </c>
    </row>
    <row r="121" spans="2:9" ht="6" customHeight="1" thickTop="1">
      <c r="F121" s="49"/>
      <c r="G121" s="49"/>
      <c r="H121" s="49"/>
      <c r="I121" s="49"/>
    </row>
    <row r="122" spans="2:9" ht="6" customHeight="1">
      <c r="B122" s="50"/>
      <c r="C122" s="25"/>
      <c r="D122" s="25"/>
      <c r="E122" s="25"/>
      <c r="F122" s="25"/>
      <c r="G122" s="25"/>
      <c r="H122" s="25"/>
      <c r="I122" s="25"/>
    </row>
    <row r="123" spans="2:9">
      <c r="B123" s="32"/>
    </row>
    <row r="124" spans="2:9">
      <c r="G124" s="51">
        <f>G120-G96</f>
        <v>0</v>
      </c>
      <c r="H124" s="51">
        <f>H120-H96</f>
        <v>0</v>
      </c>
      <c r="I124" s="51">
        <f>I120-I96</f>
        <v>0</v>
      </c>
    </row>
  </sheetData>
  <sheetProtection formatCells="0"/>
  <printOptions horizontalCentered="1"/>
  <pageMargins left="0.25" right="0.25" top="0.25" bottom="0.5" header="0.25" footer="0.25"/>
  <pageSetup fitToHeight="0" orientation="portrait" r:id="rId1"/>
  <headerFooter alignWithMargins="0">
    <oddFooter>&amp;LSecureIT Data Centres LLC
Financial Model for 2025 - 2029&amp;CPage &amp;P of &amp;N&amp;R&amp;D &amp;T
Sheet Name: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3526-8D79-4207-BE05-1F9274F0F49D}">
  <sheetPr>
    <pageSetUpPr fitToPage="1"/>
  </sheetPr>
  <dimension ref="A2:N33"/>
  <sheetViews>
    <sheetView showGridLines="0" zoomScaleNormal="100" zoomScaleSheetLayoutView="90" workbookViewId="0"/>
  </sheetViews>
  <sheetFormatPr defaultColWidth="0" defaultRowHeight="13.8"/>
  <cols>
    <col min="1" max="1" width="2.5546875" style="2" customWidth="1"/>
    <col min="2" max="2" width="1.77734375" style="2" customWidth="1"/>
    <col min="3" max="3" width="2.21875" style="2" customWidth="1"/>
    <col min="4" max="4" width="32.77734375" style="2" customWidth="1"/>
    <col min="5" max="5" width="12.77734375" style="2" customWidth="1"/>
    <col min="6" max="6" width="1.77734375" style="2" customWidth="1"/>
    <col min="7" max="9" width="12.77734375" style="2" customWidth="1"/>
    <col min="10" max="14" width="9.21875" style="2" customWidth="1"/>
    <col min="15" max="16384" width="9.21875" style="2" hidden="1"/>
  </cols>
  <sheetData>
    <row r="2" spans="2:14" ht="23.4">
      <c r="B2" s="1" t="s">
        <v>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9.5" customHeight="1">
      <c r="B3" s="115" t="s">
        <v>211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6" customHeight="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>
      <c r="B5" s="5" t="s">
        <v>56</v>
      </c>
    </row>
    <row r="6" spans="2:14">
      <c r="F6" s="6"/>
      <c r="J6" s="70" t="s">
        <v>69</v>
      </c>
      <c r="K6" s="70"/>
      <c r="L6" s="70"/>
      <c r="M6" s="70"/>
      <c r="N6" s="70"/>
    </row>
    <row r="7" spans="2:14">
      <c r="F7" s="7"/>
      <c r="G7" s="8">
        <v>2022</v>
      </c>
      <c r="H7" s="8">
        <f>G7+1</f>
        <v>2023</v>
      </c>
      <c r="I7" s="8">
        <f>H7+1</f>
        <v>2024</v>
      </c>
      <c r="J7" s="69">
        <f>I7+1</f>
        <v>2025</v>
      </c>
      <c r="K7" s="69">
        <f t="shared" ref="K7:N7" si="0">J7+1</f>
        <v>2026</v>
      </c>
      <c r="L7" s="69">
        <f t="shared" si="0"/>
        <v>2027</v>
      </c>
      <c r="M7" s="69">
        <f t="shared" si="0"/>
        <v>2028</v>
      </c>
      <c r="N7" s="69">
        <f t="shared" si="0"/>
        <v>2029</v>
      </c>
    </row>
    <row r="8" spans="2:14" ht="13.2" customHeight="1">
      <c r="F8" s="7"/>
      <c r="G8" s="7"/>
      <c r="H8" s="7"/>
      <c r="I8" s="7"/>
    </row>
    <row r="9" spans="2:14" ht="13.2" customHeight="1">
      <c r="B9" s="2" t="s">
        <v>84</v>
      </c>
      <c r="F9" s="7"/>
      <c r="G9" s="7"/>
      <c r="H9" s="7"/>
      <c r="I9" s="7"/>
    </row>
    <row r="10" spans="2:14" ht="13.2" customHeight="1">
      <c r="B10" s="2" t="str">
        <f>Model!C13</f>
        <v>Revenue</v>
      </c>
      <c r="E10" s="2" t="str">
        <f>Currency</f>
        <v>$'m</v>
      </c>
      <c r="F10" s="7"/>
      <c r="G10" s="2">
        <f>Model!G13</f>
        <v>690.5</v>
      </c>
      <c r="H10" s="2">
        <f>Model!H13</f>
        <v>703.7</v>
      </c>
      <c r="I10" s="2">
        <f>Model!I13</f>
        <v>746</v>
      </c>
      <c r="J10" s="2">
        <f>Model!J13</f>
        <v>788.17769230769238</v>
      </c>
      <c r="K10" s="2">
        <f>Model!K13</f>
        <v>831.99801923076927</v>
      </c>
      <c r="L10" s="2">
        <f>Model!L13</f>
        <v>877.51675144230762</v>
      </c>
      <c r="M10" s="2">
        <f>Model!M13</f>
        <v>924.79142150240364</v>
      </c>
      <c r="N10" s="2">
        <f>Model!N13</f>
        <v>973.88137709585305</v>
      </c>
    </row>
    <row r="11" spans="2:14">
      <c r="B11" s="52" t="str">
        <f>Model!B9</f>
        <v>Revenue Growth</v>
      </c>
      <c r="C11" s="53"/>
      <c r="D11" s="53"/>
      <c r="E11" s="53" t="s">
        <v>82</v>
      </c>
      <c r="F11" s="54"/>
      <c r="G11" s="114"/>
      <c r="H11" s="114">
        <f>Model!H9</f>
        <v>1.9116582186821107E-2</v>
      </c>
      <c r="I11" s="114">
        <f>Model!I9</f>
        <v>6.0110842688645638E-2</v>
      </c>
      <c r="J11" s="114">
        <f>Model!J9</f>
        <v>5.6538461538461648E-2</v>
      </c>
      <c r="K11" s="114">
        <f>Model!K9</f>
        <v>5.5597014925373056E-2</v>
      </c>
      <c r="L11" s="114">
        <f>Model!L9</f>
        <v>5.4710144927536009E-2</v>
      </c>
      <c r="M11" s="114">
        <f>Model!M9</f>
        <v>5.387323943661948E-2</v>
      </c>
      <c r="N11" s="114">
        <f>Model!N9</f>
        <v>5.3082191780821741E-2</v>
      </c>
    </row>
    <row r="12" spans="2:14">
      <c r="B12" s="52" t="str">
        <f>Model!B10</f>
        <v>COGS (% of revenue)</v>
      </c>
      <c r="C12" s="58"/>
      <c r="D12" s="58"/>
      <c r="E12" s="53" t="s">
        <v>82</v>
      </c>
      <c r="F12" s="59"/>
      <c r="G12" s="114">
        <f>Model!G10</f>
        <v>0.56553222302679218</v>
      </c>
      <c r="H12" s="114">
        <f>Model!H10</f>
        <v>0.55492397328406984</v>
      </c>
      <c r="I12" s="114">
        <f>Model!I10</f>
        <v>0.53887399463806973</v>
      </c>
      <c r="J12" s="114">
        <f>Model!J10</f>
        <v>0.52378192734750362</v>
      </c>
      <c r="K12" s="114">
        <f>Model!K10</f>
        <v>0.50954326929911098</v>
      </c>
      <c r="L12" s="114">
        <f>Model!L10</f>
        <v>0.496086082871255</v>
      </c>
      <c r="M12" s="114">
        <f>Model!M10</f>
        <v>0.48334631277876056</v>
      </c>
      <c r="N12" s="114">
        <f>Model!N10</f>
        <v>0.47126673510239259</v>
      </c>
    </row>
    <row r="13" spans="2:14">
      <c r="B13" s="52" t="str">
        <f>Model!B11</f>
        <v>SG&amp;A (% of revenue)</v>
      </c>
      <c r="C13" s="63"/>
      <c r="D13" s="63"/>
      <c r="E13" s="53" t="s">
        <v>82</v>
      </c>
      <c r="F13" s="64"/>
      <c r="G13" s="114">
        <f>Model!G11</f>
        <v>0.16727009413468502</v>
      </c>
      <c r="H13" s="114">
        <f>Model!H11</f>
        <v>0.16029558050305526</v>
      </c>
      <c r="I13" s="114">
        <f>Model!I11</f>
        <v>0.19343163538873998</v>
      </c>
      <c r="J13" s="114">
        <f>Model!J11</f>
        <v>0.1903124149083914</v>
      </c>
      <c r="K13" s="114">
        <f>Model!K11</f>
        <v>0.18389466857319856</v>
      </c>
      <c r="L13" s="114">
        <f>Model!L11</f>
        <v>0.17784275883451345</v>
      </c>
      <c r="M13" s="114">
        <f>Model!M11</f>
        <v>0.17212659665613722</v>
      </c>
      <c r="N13" s="114">
        <f>Model!N11</f>
        <v>0.16671930259532983</v>
      </c>
    </row>
    <row r="16" spans="2:14">
      <c r="B16" s="2" t="s">
        <v>84</v>
      </c>
    </row>
    <row r="17" spans="2:14">
      <c r="B17" s="2" t="s">
        <v>58</v>
      </c>
      <c r="E17" s="2" t="s">
        <v>76</v>
      </c>
      <c r="G17" s="2">
        <v>690.5</v>
      </c>
      <c r="H17" s="2">
        <v>703.7</v>
      </c>
      <c r="I17" s="2">
        <v>746</v>
      </c>
      <c r="J17" s="2">
        <v>788.17769230769238</v>
      </c>
      <c r="K17" s="2">
        <v>831.99801923076927</v>
      </c>
      <c r="L17" s="2">
        <v>877.51675144230762</v>
      </c>
      <c r="M17" s="2">
        <v>924.79142150240364</v>
      </c>
      <c r="N17" s="2">
        <v>973.88137709585305</v>
      </c>
    </row>
    <row r="18" spans="2:14">
      <c r="B18" s="2" t="s">
        <v>1</v>
      </c>
      <c r="E18" s="2" t="s">
        <v>82</v>
      </c>
      <c r="H18" s="2">
        <v>1.9116582186821107E-2</v>
      </c>
      <c r="I18" s="2">
        <v>6.0110842688645638E-2</v>
      </c>
      <c r="J18" s="2">
        <v>5.6538461538461648E-2</v>
      </c>
      <c r="K18" s="2">
        <v>5.5597014925373056E-2</v>
      </c>
      <c r="L18" s="2">
        <v>5.4710144927536009E-2</v>
      </c>
      <c r="M18" s="2">
        <v>5.387323943661948E-2</v>
      </c>
      <c r="N18" s="2">
        <v>5.3082191780821741E-2</v>
      </c>
    </row>
    <row r="19" spans="2:14">
      <c r="B19" s="2" t="s">
        <v>2</v>
      </c>
      <c r="E19" s="2" t="s">
        <v>82</v>
      </c>
      <c r="G19" s="2">
        <v>0.56553222302679218</v>
      </c>
      <c r="H19" s="2">
        <v>0.55492397328406984</v>
      </c>
      <c r="I19" s="2">
        <v>0.53887399463806973</v>
      </c>
      <c r="J19" s="2">
        <v>0.52378192734750362</v>
      </c>
      <c r="K19" s="2">
        <v>0.50954326929911098</v>
      </c>
      <c r="L19" s="2">
        <v>0.496086082871255</v>
      </c>
      <c r="M19" s="2">
        <v>0.48334631277876056</v>
      </c>
      <c r="N19" s="2">
        <v>0.47126673510239259</v>
      </c>
    </row>
    <row r="20" spans="2:14">
      <c r="B20" s="2" t="s">
        <v>3</v>
      </c>
      <c r="E20" s="2" t="s">
        <v>82</v>
      </c>
      <c r="G20" s="2">
        <v>0.16727009413468502</v>
      </c>
      <c r="H20" s="2">
        <v>0.16029558050305526</v>
      </c>
      <c r="I20" s="2">
        <v>0.19343163538873998</v>
      </c>
      <c r="J20" s="2">
        <v>0.1903124149083914</v>
      </c>
      <c r="K20" s="2">
        <v>0.18389466857319856</v>
      </c>
      <c r="L20" s="2">
        <v>0.17784275883451345</v>
      </c>
      <c r="M20" s="2">
        <v>0.17212659665613722</v>
      </c>
      <c r="N20" s="2">
        <v>0.16671930259532983</v>
      </c>
    </row>
    <row r="22" spans="2:14" ht="13.2" customHeight="1">
      <c r="B22" s="2" t="s">
        <v>85</v>
      </c>
      <c r="F22" s="7"/>
      <c r="G22" s="7"/>
      <c r="H22" s="7"/>
      <c r="I22" s="7"/>
    </row>
    <row r="23" spans="2:14" ht="13.2" customHeight="1">
      <c r="B23" s="2" t="s">
        <v>58</v>
      </c>
      <c r="E23" s="2" t="s">
        <v>76</v>
      </c>
      <c r="F23" s="7"/>
      <c r="G23" s="2">
        <v>690.5</v>
      </c>
      <c r="H23" s="2">
        <v>703.7</v>
      </c>
      <c r="I23" s="2">
        <v>746</v>
      </c>
      <c r="J23" s="2">
        <v>807.74584615384617</v>
      </c>
      <c r="K23" s="2">
        <v>872.90005153846153</v>
      </c>
      <c r="L23" s="2">
        <v>941.62556263846147</v>
      </c>
      <c r="M23" s="2">
        <v>1014.0925569523266</v>
      </c>
      <c r="N23" s="2">
        <v>1090.4787495539306</v>
      </c>
    </row>
    <row r="24" spans="2:14">
      <c r="B24" s="52" t="s">
        <v>1</v>
      </c>
      <c r="C24" s="53"/>
      <c r="D24" s="53"/>
      <c r="E24" s="53" t="s">
        <v>82</v>
      </c>
      <c r="F24" s="54"/>
      <c r="G24" s="114"/>
      <c r="H24" s="114">
        <v>1.9116582186821107E-2</v>
      </c>
      <c r="I24" s="114">
        <v>6.0110842688645638E-2</v>
      </c>
      <c r="J24" s="114">
        <v>8.2769230769230706E-2</v>
      </c>
      <c r="K24" s="114">
        <v>8.0661764705882266E-2</v>
      </c>
      <c r="L24" s="114">
        <v>7.8732394366197056E-2</v>
      </c>
      <c r="M24" s="114">
        <v>7.6959459459459145E-2</v>
      </c>
      <c r="N24" s="114">
        <v>7.5324675324675461E-2</v>
      </c>
    </row>
    <row r="25" spans="2:14">
      <c r="B25" s="52" t="s">
        <v>2</v>
      </c>
      <c r="C25" s="58"/>
      <c r="D25" s="58"/>
      <c r="E25" s="53" t="s">
        <v>82</v>
      </c>
      <c r="F25" s="59"/>
      <c r="G25" s="114">
        <v>0.56553222302679218</v>
      </c>
      <c r="H25" s="114">
        <v>0.55492397328406984</v>
      </c>
      <c r="I25" s="114">
        <v>0.53887399463806973</v>
      </c>
      <c r="J25" s="114">
        <v>0.5077943404894304</v>
      </c>
      <c r="K25" s="114">
        <v>0.47939132677175211</v>
      </c>
      <c r="L25" s="114">
        <v>0.45334100667445809</v>
      </c>
      <c r="M25" s="114">
        <v>0.4293698177585506</v>
      </c>
      <c r="N25" s="114">
        <v>0.40724513871762752</v>
      </c>
    </row>
    <row r="26" spans="2:14">
      <c r="B26" s="52" t="s">
        <v>3</v>
      </c>
      <c r="C26" s="63"/>
      <c r="D26" s="63"/>
      <c r="E26" s="53" t="s">
        <v>82</v>
      </c>
      <c r="F26" s="64"/>
      <c r="G26" s="114">
        <v>0.16727009413468502</v>
      </c>
      <c r="H26" s="114">
        <v>0.16029558050305526</v>
      </c>
      <c r="I26" s="114">
        <v>0.19343163538873998</v>
      </c>
      <c r="J26" s="114">
        <v>0.18570197632614066</v>
      </c>
      <c r="K26" s="114">
        <v>0.17355938945470969</v>
      </c>
      <c r="L26" s="114">
        <v>0.16250089852196414</v>
      </c>
      <c r="M26" s="114">
        <v>0.15239747983601984</v>
      </c>
      <c r="N26" s="114">
        <v>0.14313951699090899</v>
      </c>
    </row>
    <row r="29" spans="2:14">
      <c r="B29" s="2" t="s">
        <v>86</v>
      </c>
    </row>
    <row r="30" spans="2:14">
      <c r="B30" s="2" t="s">
        <v>58</v>
      </c>
      <c r="E30" s="2" t="s">
        <v>76</v>
      </c>
      <c r="G30" s="2">
        <v>690.5</v>
      </c>
      <c r="H30" s="2">
        <v>703.7</v>
      </c>
      <c r="I30" s="2">
        <v>746</v>
      </c>
      <c r="J30" s="2">
        <v>768.83907692307707</v>
      </c>
      <c r="K30" s="2">
        <v>792.19547615384613</v>
      </c>
      <c r="L30" s="2">
        <v>816.07957856923042</v>
      </c>
      <c r="M30" s="2">
        <v>840.50196007494208</v>
      </c>
      <c r="N30" s="2">
        <v>865.47339512064684</v>
      </c>
    </row>
    <row r="31" spans="2:14">
      <c r="B31" s="2" t="s">
        <v>1</v>
      </c>
      <c r="E31" s="2" t="s">
        <v>82</v>
      </c>
      <c r="H31" s="2">
        <v>1.9116582186821107E-2</v>
      </c>
      <c r="I31" s="2">
        <v>6.0110842688645638E-2</v>
      </c>
      <c r="J31" s="2">
        <v>3.0615384615384711E-2</v>
      </c>
      <c r="K31" s="2">
        <v>3.0378787878787561E-2</v>
      </c>
      <c r="L31" s="2">
        <v>3.0149253731342807E-2</v>
      </c>
      <c r="M31" s="2">
        <v>2.9926470588235388E-2</v>
      </c>
      <c r="N31" s="2">
        <v>2.9710144927536097E-2</v>
      </c>
    </row>
    <row r="32" spans="2:14">
      <c r="B32" s="2" t="s">
        <v>2</v>
      </c>
      <c r="E32" s="2" t="s">
        <v>82</v>
      </c>
      <c r="G32" s="2">
        <v>0.56553222302679218</v>
      </c>
      <c r="H32" s="2">
        <v>0.55492397328406984</v>
      </c>
      <c r="I32" s="2">
        <v>0.53887399463806973</v>
      </c>
      <c r="J32" s="2">
        <v>0.54038656483881586</v>
      </c>
      <c r="K32" s="2">
        <v>0.54202156761971454</v>
      </c>
      <c r="L32" s="2">
        <v>0.54377643056615443</v>
      </c>
      <c r="M32" s="2">
        <v>0.54564877725434124</v>
      </c>
      <c r="N32" s="2">
        <v>0.54763641401714591</v>
      </c>
    </row>
    <row r="33" spans="2:14">
      <c r="B33" s="2" t="s">
        <v>3</v>
      </c>
      <c r="E33" s="2" t="s">
        <v>82</v>
      </c>
      <c r="G33" s="2">
        <v>0.16727009413468502</v>
      </c>
      <c r="H33" s="2">
        <v>0.16029558050305526</v>
      </c>
      <c r="I33" s="2">
        <v>0.19343163538873998</v>
      </c>
      <c r="J33" s="2">
        <v>0.1950993445862633</v>
      </c>
      <c r="K33" s="2">
        <v>0.19502762215975564</v>
      </c>
      <c r="L33" s="2">
        <v>0.19499936547732166</v>
      </c>
      <c r="M33" s="2">
        <v>0.19501328704264451</v>
      </c>
      <c r="N33" s="2">
        <v>0.19506818170472548</v>
      </c>
    </row>
  </sheetData>
  <sheetProtection formatCells="0"/>
  <printOptions horizontalCentered="1"/>
  <pageMargins left="0.25" right="0.25" top="0.25" bottom="0.5" header="0.25" footer="0.25"/>
  <pageSetup scale="75" fitToHeight="0" orientation="portrait" r:id="rId1"/>
  <headerFooter alignWithMargins="0">
    <oddFooter>&amp;LSecureIT Data Centres LLC
Financial Model for 2025 - 2029&amp;CPage &amp;P of &amp;N&amp;R&amp;D &amp;T
Sheet Name: 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12</xdr:col>
                    <xdr:colOff>358140</xdr:colOff>
                    <xdr:row>1</xdr:row>
                    <xdr:rowOff>15240</xdr:rowOff>
                  </from>
                  <to>
                    <xdr:col>16383</xdr:col>
                    <xdr:colOff>358140</xdr:colOff>
                    <xdr:row>1</xdr:row>
                    <xdr:rowOff>220980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994E-5AB5-4BCB-AEE9-A07EC06EA5E7}">
  <sheetPr>
    <pageSetUpPr fitToPage="1"/>
  </sheetPr>
  <dimension ref="A2:N130"/>
  <sheetViews>
    <sheetView showGridLines="0" zoomScaleNormal="100" zoomScaleSheetLayoutView="90" workbookViewId="0">
      <pane ySplit="7" topLeftCell="A8" activePane="bottomLeft" state="frozen"/>
      <selection pane="bottomLeft"/>
    </sheetView>
  </sheetViews>
  <sheetFormatPr defaultColWidth="0" defaultRowHeight="13.8"/>
  <cols>
    <col min="1" max="1" width="2.5546875" style="2" customWidth="1"/>
    <col min="2" max="2" width="1.77734375" style="2" customWidth="1"/>
    <col min="3" max="3" width="2.21875" style="2" customWidth="1"/>
    <col min="4" max="4" width="32.77734375" style="2" customWidth="1"/>
    <col min="5" max="5" width="12.77734375" style="2" customWidth="1"/>
    <col min="6" max="6" width="10.88671875" style="2" bestFit="1" customWidth="1"/>
    <col min="7" max="9" width="12.77734375" style="2" customWidth="1"/>
    <col min="10" max="14" width="9.21875" style="2" customWidth="1"/>
    <col min="15" max="16384" width="9.21875" style="2" hidden="1"/>
  </cols>
  <sheetData>
    <row r="2" spans="2:14" ht="23.4">
      <c r="B2" s="1" t="s">
        <v>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9.5" customHeight="1">
      <c r="B3" s="3" t="s">
        <v>70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6" customHeight="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>
      <c r="B5" s="5" t="s">
        <v>56</v>
      </c>
    </row>
    <row r="6" spans="2:14">
      <c r="F6" s="6"/>
      <c r="J6" s="70" t="s">
        <v>69</v>
      </c>
      <c r="K6" s="70"/>
      <c r="L6" s="70"/>
      <c r="M6" s="70"/>
      <c r="N6" s="70"/>
    </row>
    <row r="7" spans="2:14">
      <c r="F7" s="7"/>
      <c r="G7" s="8">
        <v>2022</v>
      </c>
      <c r="H7" s="8">
        <f>G7+1</f>
        <v>2023</v>
      </c>
      <c r="I7" s="8">
        <f>H7+1</f>
        <v>2024</v>
      </c>
      <c r="J7" s="69">
        <f>I7+1</f>
        <v>2025</v>
      </c>
      <c r="K7" s="69">
        <f t="shared" ref="K7:N7" si="0">J7+1</f>
        <v>2026</v>
      </c>
      <c r="L7" s="69">
        <f t="shared" si="0"/>
        <v>2027</v>
      </c>
      <c r="M7" s="69">
        <f t="shared" si="0"/>
        <v>2028</v>
      </c>
      <c r="N7" s="69">
        <f t="shared" si="0"/>
        <v>2029</v>
      </c>
    </row>
    <row r="8" spans="2:14" ht="14.4" thickBot="1"/>
    <row r="9" spans="2:14" ht="14.4" thickBot="1">
      <c r="B9" s="73" t="s">
        <v>71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</row>
    <row r="11" spans="2:14">
      <c r="D11" s="2" t="s">
        <v>72</v>
      </c>
      <c r="G11" s="68">
        <f>DATE(G7,12,31)-DATE(G7,1,1)+1</f>
        <v>365</v>
      </c>
      <c r="H11" s="68">
        <f t="shared" ref="H11:N11" si="1">DATE(H7,12,31)-DATE(H7,1,1)+1</f>
        <v>365</v>
      </c>
      <c r="I11" s="68">
        <f t="shared" si="1"/>
        <v>366</v>
      </c>
      <c r="J11" s="68">
        <f t="shared" si="1"/>
        <v>365</v>
      </c>
      <c r="K11" s="68">
        <f t="shared" si="1"/>
        <v>365</v>
      </c>
      <c r="L11" s="68">
        <f t="shared" si="1"/>
        <v>365</v>
      </c>
      <c r="M11" s="68">
        <f t="shared" si="1"/>
        <v>366</v>
      </c>
      <c r="N11" s="68">
        <f t="shared" si="1"/>
        <v>365</v>
      </c>
    </row>
    <row r="13" spans="2:14">
      <c r="D13" s="2" t="s">
        <v>73</v>
      </c>
      <c r="E13" s="2">
        <v>1000000</v>
      </c>
    </row>
    <row r="14" spans="2:14">
      <c r="D14" s="2" t="s">
        <v>74</v>
      </c>
      <c r="E14" s="2" t="s">
        <v>76</v>
      </c>
    </row>
    <row r="16" spans="2:14" ht="14.4" thickBot="1"/>
    <row r="17" spans="2:14" ht="14.4" thickBot="1">
      <c r="B17" s="73" t="s">
        <v>75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2"/>
    </row>
    <row r="19" spans="2:14" ht="14.4">
      <c r="D19" s="2" t="s">
        <v>77</v>
      </c>
      <c r="E19" s="2" t="s">
        <v>78</v>
      </c>
      <c r="I19" s="74">
        <v>65</v>
      </c>
    </row>
    <row r="20" spans="2:14" ht="14.4">
      <c r="D20" s="2" t="s">
        <v>79</v>
      </c>
      <c r="E20" s="2" t="s">
        <v>80</v>
      </c>
      <c r="I20" s="74">
        <v>5350000</v>
      </c>
    </row>
    <row r="21" spans="2:14" ht="14.4">
      <c r="D21" s="2" t="s">
        <v>81</v>
      </c>
      <c r="E21" s="2" t="s">
        <v>82</v>
      </c>
      <c r="I21" s="77">
        <v>0.9</v>
      </c>
    </row>
    <row r="23" spans="2:14">
      <c r="D23" s="2" t="s">
        <v>89</v>
      </c>
      <c r="E23" s="2" t="s">
        <v>82</v>
      </c>
      <c r="J23" s="80">
        <f>Scenarios!J17</f>
        <v>2.5000000000000001E-2</v>
      </c>
      <c r="K23" s="80">
        <f>Scenarios!K17</f>
        <v>2.5000000000000001E-2</v>
      </c>
      <c r="L23" s="80">
        <f>Scenarios!L17</f>
        <v>2.5000000000000001E-2</v>
      </c>
      <c r="M23" s="80">
        <f>Scenarios!M17</f>
        <v>2.5000000000000001E-2</v>
      </c>
      <c r="N23" s="80">
        <f>Scenarios!N17</f>
        <v>2.5000000000000001E-2</v>
      </c>
    </row>
    <row r="25" spans="2:14">
      <c r="D25" s="2" t="s">
        <v>90</v>
      </c>
      <c r="E25" s="2" t="s">
        <v>78</v>
      </c>
      <c r="J25" s="79">
        <f>Scenarios!J26</f>
        <v>2</v>
      </c>
      <c r="K25" s="79">
        <f>Scenarios!K26</f>
        <v>2</v>
      </c>
      <c r="L25" s="79">
        <f>Scenarios!L26</f>
        <v>2</v>
      </c>
      <c r="M25" s="79">
        <f>Scenarios!M26</f>
        <v>2</v>
      </c>
      <c r="N25" s="79">
        <f>Scenarios!N26</f>
        <v>2</v>
      </c>
    </row>
    <row r="26" spans="2:14" ht="14.4" thickBot="1"/>
    <row r="27" spans="2:14" ht="14.4" thickBot="1">
      <c r="B27" s="73" t="s">
        <v>91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9" spans="2:14">
      <c r="D29" s="7" t="s">
        <v>92</v>
      </c>
    </row>
    <row r="30" spans="2:14">
      <c r="D30" s="2" t="s">
        <v>93</v>
      </c>
      <c r="E30" s="2" t="str">
        <f>Currency</f>
        <v>$'m</v>
      </c>
      <c r="I30" s="2">
        <v>64.7</v>
      </c>
    </row>
    <row r="31" spans="2:14">
      <c r="D31" s="2" t="s">
        <v>94</v>
      </c>
      <c r="E31" s="2" t="str">
        <f>Currency</f>
        <v>$'m</v>
      </c>
      <c r="I31" s="2">
        <v>24.3</v>
      </c>
    </row>
    <row r="32" spans="2:14">
      <c r="D32" s="2" t="s">
        <v>95</v>
      </c>
      <c r="E32" s="2" t="str">
        <f>Currency</f>
        <v>$'m</v>
      </c>
      <c r="I32" s="81">
        <f>SUM(I30:I31)</f>
        <v>89</v>
      </c>
    </row>
    <row r="34" spans="2:14">
      <c r="D34" s="7" t="s">
        <v>96</v>
      </c>
    </row>
    <row r="35" spans="2:14">
      <c r="D35" s="2" t="s">
        <v>97</v>
      </c>
      <c r="E35" s="2" t="str">
        <f>Currency</f>
        <v>$'m</v>
      </c>
      <c r="I35" s="2">
        <v>125.6</v>
      </c>
    </row>
    <row r="36" spans="2:14">
      <c r="D36" s="2" t="s">
        <v>98</v>
      </c>
      <c r="E36" s="2" t="str">
        <f>Currency</f>
        <v>$'m</v>
      </c>
      <c r="I36" s="2">
        <v>87.6</v>
      </c>
    </row>
    <row r="37" spans="2:14">
      <c r="D37" s="2" t="s">
        <v>99</v>
      </c>
      <c r="E37" s="2" t="str">
        <f>Currency</f>
        <v>$'m</v>
      </c>
      <c r="I37" s="2">
        <v>99.8</v>
      </c>
    </row>
    <row r="38" spans="2:14">
      <c r="D38" s="2" t="s">
        <v>100</v>
      </c>
      <c r="E38" s="2" t="str">
        <f>Currency</f>
        <v>$'m</v>
      </c>
      <c r="I38" s="81">
        <f>SUM(I35:I37)</f>
        <v>313</v>
      </c>
    </row>
    <row r="40" spans="2:14" s="9" customFormat="1">
      <c r="D40" s="9" t="s">
        <v>101</v>
      </c>
      <c r="E40" s="9" t="str">
        <f>Currency</f>
        <v>$'m</v>
      </c>
      <c r="I40" s="9">
        <f>I38+I32</f>
        <v>402</v>
      </c>
    </row>
    <row r="42" spans="2:14">
      <c r="D42" s="2" t="s">
        <v>102</v>
      </c>
      <c r="E42" s="2" t="s">
        <v>82</v>
      </c>
      <c r="J42" s="80">
        <f>Scenarios!J34</f>
        <v>0.02</v>
      </c>
      <c r="K42" s="80">
        <f>Scenarios!K34</f>
        <v>0.02</v>
      </c>
      <c r="L42" s="80">
        <f>Scenarios!L34</f>
        <v>0.02</v>
      </c>
      <c r="M42" s="80">
        <f>Scenarios!M34</f>
        <v>0.02</v>
      </c>
      <c r="N42" s="80">
        <f>Scenarios!N34</f>
        <v>0.02</v>
      </c>
    </row>
    <row r="44" spans="2:14" ht="14.4">
      <c r="D44" s="2" t="s">
        <v>4</v>
      </c>
      <c r="E44" s="2" t="str">
        <f>Currency</f>
        <v>$'m</v>
      </c>
      <c r="J44" s="74">
        <v>150</v>
      </c>
    </row>
    <row r="45" spans="2:14">
      <c r="D45" s="2" t="s">
        <v>104</v>
      </c>
      <c r="E45" s="2" t="s">
        <v>82</v>
      </c>
      <c r="K45" s="80">
        <f>Scenarios!K34</f>
        <v>0.02</v>
      </c>
      <c r="L45" s="80">
        <f>Scenarios!L34</f>
        <v>0.02</v>
      </c>
      <c r="M45" s="80">
        <f>Scenarios!M34</f>
        <v>0.02</v>
      </c>
      <c r="N45" s="80">
        <f>Scenarios!N34</f>
        <v>0.02</v>
      </c>
    </row>
    <row r="47" spans="2:14" ht="14.4" thickBot="1"/>
    <row r="48" spans="2:14" ht="14.4" thickBot="1">
      <c r="B48" s="73" t="s">
        <v>105</v>
      </c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</row>
    <row r="50" spans="2:14" ht="14.4">
      <c r="D50" s="2" t="s">
        <v>106</v>
      </c>
      <c r="E50" s="2" t="str">
        <f>Currency</f>
        <v>$'m</v>
      </c>
      <c r="J50" s="74">
        <v>125</v>
      </c>
      <c r="K50" s="74">
        <v>150</v>
      </c>
      <c r="L50" s="74">
        <v>150</v>
      </c>
      <c r="M50" s="74">
        <v>150</v>
      </c>
      <c r="N50" s="74">
        <v>150</v>
      </c>
    </row>
    <row r="51" spans="2:14">
      <c r="D51" s="7" t="s">
        <v>107</v>
      </c>
    </row>
    <row r="52" spans="2:14">
      <c r="D52" s="2" t="s">
        <v>108</v>
      </c>
    </row>
    <row r="54" spans="2:14">
      <c r="D54" s="7" t="s">
        <v>109</v>
      </c>
    </row>
    <row r="55" spans="2:14" ht="14.4">
      <c r="D55" s="2" t="s">
        <v>110</v>
      </c>
      <c r="E55" s="2" t="s">
        <v>112</v>
      </c>
      <c r="F55" s="74">
        <v>10</v>
      </c>
    </row>
    <row r="56" spans="2:14" ht="14.4">
      <c r="D56" s="2" t="s">
        <v>111</v>
      </c>
      <c r="E56" s="2" t="s">
        <v>112</v>
      </c>
      <c r="F56" s="74">
        <v>14</v>
      </c>
    </row>
    <row r="57" spans="2:14" ht="14.4" thickBot="1"/>
    <row r="58" spans="2:14" ht="14.4" thickBot="1">
      <c r="B58" s="73" t="s">
        <v>113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2"/>
    </row>
    <row r="60" spans="2:14" ht="14.4">
      <c r="D60" s="2" t="s">
        <v>114</v>
      </c>
      <c r="E60" s="2" t="s">
        <v>82</v>
      </c>
      <c r="F60" s="77">
        <v>0.35</v>
      </c>
    </row>
    <row r="61" spans="2:14" ht="14.4">
      <c r="D61" s="2" t="s">
        <v>115</v>
      </c>
      <c r="E61" s="2" t="str">
        <f>Currency</f>
        <v>$'m</v>
      </c>
      <c r="J61" s="74">
        <v>40</v>
      </c>
      <c r="K61" s="74">
        <v>40</v>
      </c>
      <c r="L61" s="74">
        <v>40</v>
      </c>
      <c r="M61" s="74">
        <v>40</v>
      </c>
      <c r="N61" s="74">
        <v>40</v>
      </c>
    </row>
    <row r="63" spans="2:14" ht="14.4" thickBot="1"/>
    <row r="64" spans="2:14" ht="14.4" thickBot="1">
      <c r="B64" s="73" t="s">
        <v>116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2"/>
    </row>
    <row r="66" spans="4:14">
      <c r="D66" s="2" t="str">
        <f>D11</f>
        <v>Days in the year</v>
      </c>
      <c r="G66" s="2">
        <f>G11</f>
        <v>365</v>
      </c>
      <c r="H66" s="2">
        <f t="shared" ref="H66:N66" si="2">H11</f>
        <v>365</v>
      </c>
      <c r="I66" s="2">
        <f t="shared" si="2"/>
        <v>366</v>
      </c>
      <c r="J66" s="2">
        <f t="shared" si="2"/>
        <v>365</v>
      </c>
      <c r="K66" s="2">
        <f t="shared" si="2"/>
        <v>365</v>
      </c>
      <c r="L66" s="2">
        <f t="shared" si="2"/>
        <v>365</v>
      </c>
      <c r="M66" s="2">
        <f t="shared" si="2"/>
        <v>366</v>
      </c>
      <c r="N66" s="2">
        <f t="shared" si="2"/>
        <v>365</v>
      </c>
    </row>
    <row r="68" spans="4:14">
      <c r="D68" s="7" t="s">
        <v>117</v>
      </c>
    </row>
    <row r="69" spans="4:14">
      <c r="D69" s="2" t="str">
        <f>Model!$C$13</f>
        <v>Revenue</v>
      </c>
      <c r="G69" s="2">
        <f>Model!G13</f>
        <v>690.5</v>
      </c>
      <c r="H69" s="2">
        <f>Model!H13</f>
        <v>703.7</v>
      </c>
      <c r="I69" s="2">
        <f>Model!I13</f>
        <v>746</v>
      </c>
    </row>
    <row r="70" spans="4:14">
      <c r="D70" s="2" t="str">
        <f>Model!$C$15</f>
        <v>Operating Costs</v>
      </c>
      <c r="G70" s="2">
        <f>Model!G15</f>
        <v>390.5</v>
      </c>
      <c r="H70" s="2">
        <f>Model!H15</f>
        <v>390.5</v>
      </c>
      <c r="I70" s="2">
        <f>Model!I15</f>
        <v>402</v>
      </c>
    </row>
    <row r="72" spans="4:14">
      <c r="D72" s="7" t="s">
        <v>122</v>
      </c>
    </row>
    <row r="73" spans="4:14" ht="14.4">
      <c r="D73" s="2" t="s">
        <v>28</v>
      </c>
      <c r="G73" s="2">
        <f>G82/G69*G66</f>
        <v>17.70818247646633</v>
      </c>
      <c r="H73" s="2">
        <f t="shared" ref="H73:I73" si="3">H82/H69*H66</f>
        <v>9.4919710103737387</v>
      </c>
      <c r="I73" s="2">
        <f t="shared" si="3"/>
        <v>13.884450402144772</v>
      </c>
      <c r="J73" s="74">
        <v>13.7</v>
      </c>
      <c r="K73" s="74">
        <v>13.7</v>
      </c>
      <c r="L73" s="74">
        <v>13.7</v>
      </c>
      <c r="M73" s="74">
        <v>13.7</v>
      </c>
      <c r="N73" s="74">
        <v>13.7</v>
      </c>
    </row>
    <row r="74" spans="4:14" ht="14.4">
      <c r="D74" s="2" t="s">
        <v>61</v>
      </c>
      <c r="J74" s="74">
        <v>35</v>
      </c>
      <c r="K74" s="74">
        <f>J74-2</f>
        <v>33</v>
      </c>
      <c r="L74" s="74">
        <f t="shared" ref="L74:N74" si="4">K74-2</f>
        <v>31</v>
      </c>
      <c r="M74" s="74">
        <f t="shared" si="4"/>
        <v>29</v>
      </c>
      <c r="N74" s="74">
        <f t="shared" si="4"/>
        <v>27</v>
      </c>
    </row>
    <row r="75" spans="4:14" ht="14.4">
      <c r="D75" s="2" t="s">
        <v>118</v>
      </c>
      <c r="G75" s="2">
        <f>G84/G$70*G$66</f>
        <v>0.28040973111395645</v>
      </c>
      <c r="H75" s="2">
        <f t="shared" ref="H75:I75" si="5">H84/H$70*H$66</f>
        <v>0.18693982074263768</v>
      </c>
      <c r="I75" s="2">
        <f t="shared" si="5"/>
        <v>0.36417910447761198</v>
      </c>
      <c r="J75" s="74">
        <v>0.3</v>
      </c>
      <c r="K75" s="74">
        <v>0.3</v>
      </c>
      <c r="L75" s="74">
        <v>0.3</v>
      </c>
      <c r="M75" s="74">
        <v>0.3</v>
      </c>
      <c r="N75" s="74">
        <v>0.3</v>
      </c>
    </row>
    <row r="76" spans="4:14" ht="14.4">
      <c r="D76" s="2" t="s">
        <v>38</v>
      </c>
      <c r="G76" s="2">
        <f t="shared" ref="G76:I76" si="6">G86/G$70*G$66</f>
        <v>45.706786171574905</v>
      </c>
      <c r="H76" s="2">
        <f t="shared" si="6"/>
        <v>54.119078104993591</v>
      </c>
      <c r="I76" s="2">
        <f t="shared" si="6"/>
        <v>56.356716417910448</v>
      </c>
      <c r="J76" s="74">
        <v>52.1</v>
      </c>
      <c r="K76" s="74">
        <v>52.1</v>
      </c>
      <c r="L76" s="74">
        <v>52.1</v>
      </c>
      <c r="M76" s="74">
        <v>52.1</v>
      </c>
      <c r="N76" s="74">
        <v>52.1</v>
      </c>
    </row>
    <row r="77" spans="4:14" ht="14.4">
      <c r="D77" s="2" t="s">
        <v>62</v>
      </c>
      <c r="G77" s="2">
        <f t="shared" ref="G77:I77" si="7">G87/G$70*G$66</f>
        <v>82.627400768245849</v>
      </c>
      <c r="H77" s="2">
        <f t="shared" si="7"/>
        <v>61.03585147247118</v>
      </c>
      <c r="I77" s="2">
        <f t="shared" si="7"/>
        <v>74.110447761194038</v>
      </c>
      <c r="J77" s="74">
        <v>72.599999999999994</v>
      </c>
      <c r="K77" s="74">
        <v>72.599999999999994</v>
      </c>
      <c r="L77" s="74">
        <v>72.599999999999994</v>
      </c>
      <c r="M77" s="74">
        <v>72.599999999999994</v>
      </c>
      <c r="N77" s="74">
        <v>72.599999999999994</v>
      </c>
    </row>
    <row r="78" spans="4:14" ht="14.4">
      <c r="D78" s="2" t="s">
        <v>63</v>
      </c>
      <c r="G78" s="2">
        <f t="shared" ref="G78:I78" si="8">G88/G$70*G$66</f>
        <v>56.268886043533932</v>
      </c>
      <c r="H78" s="2">
        <f t="shared" si="8"/>
        <v>56.736235595390525</v>
      </c>
      <c r="I78" s="2">
        <f t="shared" si="8"/>
        <v>66.553731343283587</v>
      </c>
      <c r="J78" s="74">
        <v>59.9</v>
      </c>
      <c r="K78" s="74">
        <v>59.9</v>
      </c>
      <c r="L78" s="74">
        <v>59.9</v>
      </c>
      <c r="M78" s="74">
        <v>59.9</v>
      </c>
      <c r="N78" s="74">
        <v>59.9</v>
      </c>
    </row>
    <row r="79" spans="4:14" ht="14.4">
      <c r="D79" s="2" t="s">
        <v>120</v>
      </c>
      <c r="G79" s="2">
        <f t="shared" ref="G79:I79" si="9">G89/G$70*G$66</f>
        <v>6.3559539052496792</v>
      </c>
      <c r="H79" s="2">
        <f t="shared" si="9"/>
        <v>6.6363636363636358</v>
      </c>
      <c r="I79" s="2">
        <f t="shared" si="9"/>
        <v>6.2820895522388058</v>
      </c>
      <c r="J79" s="74">
        <v>6.4</v>
      </c>
      <c r="K79" s="74">
        <v>6.4</v>
      </c>
      <c r="L79" s="74">
        <v>6.4</v>
      </c>
      <c r="M79" s="74">
        <v>6.4</v>
      </c>
      <c r="N79" s="74">
        <v>6.4</v>
      </c>
    </row>
    <row r="81" spans="2:14">
      <c r="D81" s="7" t="s">
        <v>174</v>
      </c>
    </row>
    <row r="82" spans="2:14">
      <c r="D82" s="2" t="str">
        <f>Model!C88</f>
        <v>Accounts Receivable</v>
      </c>
      <c r="G82" s="79">
        <f>Model!G88</f>
        <v>33.5</v>
      </c>
      <c r="H82" s="79">
        <f>Model!H88</f>
        <v>18.3</v>
      </c>
      <c r="I82" s="79">
        <f>Model!I88</f>
        <v>28.3</v>
      </c>
    </row>
    <row r="83" spans="2:14">
      <c r="D83" s="2" t="str">
        <f>Model!C89</f>
        <v>Prepaid Expenses</v>
      </c>
      <c r="G83" s="79">
        <f>Model!G89</f>
        <v>41.9</v>
      </c>
      <c r="H83" s="79">
        <f>Model!H89</f>
        <v>37.5</v>
      </c>
      <c r="I83" s="79">
        <f>Model!I89</f>
        <v>38.1</v>
      </c>
    </row>
    <row r="84" spans="2:14">
      <c r="D84" s="2" t="str">
        <f>Model!C90</f>
        <v>Other current assets</v>
      </c>
      <c r="G84" s="79">
        <f>Model!G90</f>
        <v>0.3</v>
      </c>
      <c r="H84" s="79">
        <f>Model!H90</f>
        <v>0.2</v>
      </c>
      <c r="I84" s="79">
        <f>Model!I90</f>
        <v>0.4</v>
      </c>
    </row>
    <row r="85" spans="2:14" s="9" customFormat="1">
      <c r="D85" s="9" t="s">
        <v>178</v>
      </c>
      <c r="G85" s="95">
        <f t="shared" ref="G85:I85" si="10">SUM(G82:G84)</f>
        <v>75.7</v>
      </c>
      <c r="H85" s="95">
        <f t="shared" si="10"/>
        <v>56</v>
      </c>
      <c r="I85" s="95">
        <f t="shared" si="10"/>
        <v>66.800000000000011</v>
      </c>
    </row>
    <row r="86" spans="2:14">
      <c r="D86" s="2" t="str">
        <f>Model!C104</f>
        <v>Accounts Payable</v>
      </c>
      <c r="G86" s="79">
        <f>Model!G104</f>
        <v>48.9</v>
      </c>
      <c r="H86" s="79">
        <f>Model!H104</f>
        <v>57.9</v>
      </c>
      <c r="I86" s="79">
        <f>Model!I104</f>
        <v>61.9</v>
      </c>
    </row>
    <row r="87" spans="2:14">
      <c r="D87" s="2" t="str">
        <f>Model!C105</f>
        <v>Accrued Expenses</v>
      </c>
      <c r="G87" s="79">
        <f>Model!G105</f>
        <v>88.4</v>
      </c>
      <c r="H87" s="79">
        <f>Model!H105</f>
        <v>65.3</v>
      </c>
      <c r="I87" s="79">
        <f>Model!I105</f>
        <v>81.400000000000006</v>
      </c>
    </row>
    <row r="88" spans="2:14">
      <c r="D88" s="2" t="str">
        <f>Model!C106</f>
        <v>Deferred Revenue</v>
      </c>
      <c r="G88" s="79">
        <f>Model!G106</f>
        <v>60.2</v>
      </c>
      <c r="H88" s="79">
        <f>Model!H106</f>
        <v>60.7</v>
      </c>
      <c r="I88" s="79">
        <f>Model!I106</f>
        <v>73.099999999999994</v>
      </c>
    </row>
    <row r="89" spans="2:14">
      <c r="D89" s="2" t="str">
        <f>Model!C107</f>
        <v>Other current liabilites</v>
      </c>
      <c r="G89" s="79">
        <f>Model!G107</f>
        <v>6.8</v>
      </c>
      <c r="H89" s="79">
        <f>Model!H107</f>
        <v>7.1</v>
      </c>
      <c r="I89" s="79">
        <f>Model!I107</f>
        <v>6.9</v>
      </c>
    </row>
    <row r="90" spans="2:14" s="9" customFormat="1">
      <c r="D90" s="9" t="s">
        <v>179</v>
      </c>
      <c r="G90" s="9">
        <f t="shared" ref="G90:I90" si="11">SUM(G86:G89)</f>
        <v>204.3</v>
      </c>
      <c r="H90" s="9">
        <f t="shared" si="11"/>
        <v>190.99999999999997</v>
      </c>
      <c r="I90" s="9">
        <f t="shared" si="11"/>
        <v>223.3</v>
      </c>
    </row>
    <row r="91" spans="2:14" s="9" customFormat="1">
      <c r="D91" s="9" t="s">
        <v>180</v>
      </c>
      <c r="G91" s="9">
        <f>G85-G90</f>
        <v>-128.60000000000002</v>
      </c>
      <c r="H91" s="9">
        <f t="shared" ref="H91:I91" si="12">H85-H90</f>
        <v>-134.99999999999997</v>
      </c>
      <c r="I91" s="9">
        <f t="shared" si="12"/>
        <v>-156.5</v>
      </c>
    </row>
    <row r="92" spans="2:14" s="9" customFormat="1"/>
    <row r="93" spans="2:14" ht="14.4" thickBot="1"/>
    <row r="94" spans="2:14" ht="14.4" thickBot="1">
      <c r="B94" s="73" t="s">
        <v>123</v>
      </c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2"/>
    </row>
    <row r="96" spans="2:14">
      <c r="D96" s="7" t="s">
        <v>124</v>
      </c>
    </row>
    <row r="97" spans="2:14" ht="14.4">
      <c r="D97" s="2" t="s">
        <v>125</v>
      </c>
      <c r="E97" s="2" t="s">
        <v>82</v>
      </c>
      <c r="J97" s="77">
        <v>6.5000000000000002E-2</v>
      </c>
      <c r="K97" s="77">
        <v>6.5000000000000002E-2</v>
      </c>
      <c r="L97" s="77">
        <v>6.5000000000000002E-2</v>
      </c>
      <c r="M97" s="77">
        <v>6.5000000000000002E-2</v>
      </c>
      <c r="N97" s="77">
        <v>6.5000000000000002E-2</v>
      </c>
    </row>
    <row r="98" spans="2:14" ht="14.4">
      <c r="D98" s="2" t="s">
        <v>126</v>
      </c>
      <c r="E98" s="2" t="s">
        <v>82</v>
      </c>
      <c r="J98" s="77">
        <v>5.5E-2</v>
      </c>
      <c r="K98" s="77">
        <v>5.5E-2</v>
      </c>
      <c r="L98" s="77">
        <v>5.5E-2</v>
      </c>
      <c r="M98" s="77">
        <v>5.5E-2</v>
      </c>
      <c r="N98" s="77">
        <v>5.5E-2</v>
      </c>
    </row>
    <row r="99" spans="2:14" ht="14.4">
      <c r="D99" s="2" t="s">
        <v>127</v>
      </c>
      <c r="E99" s="2" t="s">
        <v>82</v>
      </c>
      <c r="J99" s="77">
        <v>2.2499999999999999E-2</v>
      </c>
      <c r="K99" s="77">
        <v>2.2499999999999999E-2</v>
      </c>
      <c r="L99" s="77">
        <v>2.2499999999999999E-2</v>
      </c>
      <c r="M99" s="77">
        <v>2.2499999999999999E-2</v>
      </c>
      <c r="N99" s="77">
        <v>2.2499999999999999E-2</v>
      </c>
    </row>
    <row r="100" spans="2:14" ht="14.4">
      <c r="D100" s="2" t="s">
        <v>128</v>
      </c>
      <c r="E100" s="2" t="s">
        <v>82</v>
      </c>
      <c r="J100" s="83">
        <v>0.03</v>
      </c>
      <c r="K100" s="83">
        <v>0.03</v>
      </c>
      <c r="L100" s="83">
        <v>0.03</v>
      </c>
      <c r="M100" s="83">
        <v>0.03</v>
      </c>
      <c r="N100" s="83">
        <v>0.03</v>
      </c>
    </row>
    <row r="101" spans="2:14">
      <c r="D101" s="2" t="s">
        <v>131</v>
      </c>
      <c r="E101" s="2" t="s">
        <v>82</v>
      </c>
      <c r="J101" s="84">
        <f>J100+J99</f>
        <v>5.2499999999999998E-2</v>
      </c>
      <c r="K101" s="84">
        <f t="shared" ref="K101:N101" si="13">K100+K99</f>
        <v>5.2499999999999998E-2</v>
      </c>
      <c r="L101" s="84">
        <f t="shared" si="13"/>
        <v>5.2499999999999998E-2</v>
      </c>
      <c r="M101" s="84">
        <f t="shared" si="13"/>
        <v>5.2499999999999998E-2</v>
      </c>
      <c r="N101" s="84">
        <f t="shared" si="13"/>
        <v>5.2499999999999998E-2</v>
      </c>
    </row>
    <row r="102" spans="2:14" ht="14.4">
      <c r="D102" s="2" t="s">
        <v>129</v>
      </c>
      <c r="E102" s="2" t="s">
        <v>82</v>
      </c>
      <c r="J102" s="77">
        <v>7.4999999999999997E-3</v>
      </c>
      <c r="K102" s="77">
        <v>7.4999999999999997E-3</v>
      </c>
      <c r="L102" s="77">
        <v>7.4999999999999997E-3</v>
      </c>
      <c r="M102" s="77">
        <v>7.4999999999999997E-3</v>
      </c>
      <c r="N102" s="77">
        <v>7.4999999999999997E-3</v>
      </c>
    </row>
    <row r="104" spans="2:14">
      <c r="D104" s="7" t="s">
        <v>130</v>
      </c>
    </row>
    <row r="105" spans="2:14" ht="14.4">
      <c r="D105" s="2" t="str">
        <f>D97</f>
        <v>Fixed rate term debt</v>
      </c>
      <c r="E105" s="2" t="str">
        <f>Currency</f>
        <v>$'m</v>
      </c>
      <c r="J105" s="74">
        <v>40</v>
      </c>
      <c r="K105" s="74">
        <v>40</v>
      </c>
      <c r="L105" s="74">
        <v>40</v>
      </c>
      <c r="M105" s="74">
        <v>40</v>
      </c>
      <c r="N105" s="74">
        <v>40</v>
      </c>
    </row>
    <row r="106" spans="2:14" ht="14.4">
      <c r="D106" s="2" t="str">
        <f>D101</f>
        <v>Variable rate term debt</v>
      </c>
      <c r="E106" s="2" t="str">
        <f>Currency</f>
        <v>$'m</v>
      </c>
      <c r="J106" s="74">
        <v>20</v>
      </c>
      <c r="K106" s="74">
        <v>20</v>
      </c>
      <c r="L106" s="74">
        <v>20</v>
      </c>
      <c r="M106" s="74">
        <v>20</v>
      </c>
      <c r="N106" s="74">
        <v>20</v>
      </c>
    </row>
    <row r="108" spans="2:14" ht="14.4" thickBot="1"/>
    <row r="109" spans="2:14" ht="14.4" thickBot="1">
      <c r="B109" s="73" t="s">
        <v>132</v>
      </c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2"/>
    </row>
    <row r="111" spans="2:14">
      <c r="D111" s="7" t="s">
        <v>134</v>
      </c>
    </row>
    <row r="112" spans="2:14" ht="14.4">
      <c r="D112" s="2" t="s">
        <v>133</v>
      </c>
      <c r="E112" s="2" t="str">
        <f>Currency</f>
        <v>$'m</v>
      </c>
      <c r="J112" s="74"/>
      <c r="K112" s="74">
        <v>50</v>
      </c>
      <c r="L112" s="74"/>
      <c r="M112" s="74"/>
      <c r="N112" s="74"/>
    </row>
    <row r="113" spans="2:14" ht="14.4">
      <c r="D113" s="2" t="s">
        <v>135</v>
      </c>
      <c r="E113" s="2" t="s">
        <v>82</v>
      </c>
      <c r="J113" s="77">
        <v>0.08</v>
      </c>
      <c r="K113" s="77">
        <v>0.08</v>
      </c>
      <c r="L113" s="77">
        <v>0.08</v>
      </c>
      <c r="M113" s="77">
        <v>0.08</v>
      </c>
      <c r="N113" s="77">
        <v>0.08</v>
      </c>
    </row>
    <row r="115" spans="2:14" ht="14.4">
      <c r="D115" s="2" t="s">
        <v>136</v>
      </c>
      <c r="E115" s="2" t="s">
        <v>82</v>
      </c>
      <c r="J115" s="77">
        <v>0.2</v>
      </c>
      <c r="K115" s="77">
        <v>0.2</v>
      </c>
      <c r="L115" s="77">
        <v>0.2</v>
      </c>
      <c r="M115" s="77">
        <v>0.2</v>
      </c>
      <c r="N115" s="77">
        <v>0.2</v>
      </c>
    </row>
    <row r="117" spans="2:14" ht="14.4" thickBot="1"/>
    <row r="118" spans="2:14" ht="14.4" thickBot="1">
      <c r="B118" s="73" t="s">
        <v>137</v>
      </c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2"/>
    </row>
    <row r="120" spans="2:14" ht="14.4">
      <c r="D120" s="2" t="s">
        <v>156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</row>
    <row r="121" spans="2:14" ht="14.4">
      <c r="D121" s="2" t="s">
        <v>6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</row>
    <row r="122" spans="2:14" ht="14.4">
      <c r="D122" s="2" t="s">
        <v>182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</row>
    <row r="123" spans="2:14" ht="14.4">
      <c r="D123" s="2" t="s">
        <v>21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</row>
    <row r="124" spans="2:14" ht="14.4">
      <c r="D124" s="2" t="s">
        <v>183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</row>
    <row r="125" spans="2:14" ht="14.4">
      <c r="D125" s="2" t="s">
        <v>184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</row>
    <row r="126" spans="2:14" ht="14.4">
      <c r="D126" s="2" t="s">
        <v>33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</row>
    <row r="127" spans="2:14" ht="14.4">
      <c r="D127" s="18" t="s">
        <v>119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</row>
    <row r="128" spans="2:14" ht="14.4">
      <c r="D128" s="2" t="s">
        <v>208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</row>
    <row r="129" spans="4:14" ht="14.4">
      <c r="D129" s="2" t="s">
        <v>209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</row>
    <row r="130" spans="4:14" ht="14.4">
      <c r="D130" s="2" t="s">
        <v>210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</row>
  </sheetData>
  <sheetProtection formatCells="0"/>
  <printOptions horizontalCentered="1"/>
  <pageMargins left="0.25" right="0.25" top="0.25" bottom="0.5" header="0.25" footer="0.25"/>
  <pageSetup scale="70" fitToHeight="0" orientation="portrait" r:id="rId1"/>
  <headerFooter alignWithMargins="0">
    <oddFooter>&amp;LSecureIT Data Centres LLC
Financial Model for 2025 - 2029&amp;CPage &amp;P of &amp;N&amp;R&amp;D &amp;T
Sheet Name: 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12</xdr:col>
                    <xdr:colOff>358140</xdr:colOff>
                    <xdr:row>0</xdr:row>
                    <xdr:rowOff>152400</xdr:rowOff>
                  </from>
                  <to>
                    <xdr:col>16383</xdr:col>
                    <xdr:colOff>358140</xdr:colOff>
                    <xdr:row>1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8C8A-6C8B-4A01-9527-A89B27B10EE7}">
  <sheetPr>
    <pageSetUpPr fitToPage="1"/>
  </sheetPr>
  <dimension ref="A2:N37"/>
  <sheetViews>
    <sheetView showGridLines="0" zoomScaleNormal="100" zoomScaleSheetLayoutView="90" workbookViewId="0"/>
  </sheetViews>
  <sheetFormatPr defaultColWidth="0" defaultRowHeight="13.8"/>
  <cols>
    <col min="1" max="1" width="2.5546875" style="2" customWidth="1"/>
    <col min="2" max="2" width="1.77734375" style="2" customWidth="1"/>
    <col min="3" max="3" width="2.21875" style="2" customWidth="1"/>
    <col min="4" max="4" width="32.77734375" style="2" customWidth="1"/>
    <col min="5" max="5" width="12.77734375" style="2" customWidth="1"/>
    <col min="6" max="6" width="1.77734375" style="2" customWidth="1"/>
    <col min="7" max="9" width="12.77734375" style="2" customWidth="1"/>
    <col min="10" max="14" width="9.21875" style="2" customWidth="1"/>
    <col min="15" max="16384" width="9.21875" style="2" hidden="1"/>
  </cols>
  <sheetData>
    <row r="2" spans="2:14" ht="23.4">
      <c r="B2" s="1" t="s">
        <v>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9.5" customHeight="1">
      <c r="B3" s="115" t="s">
        <v>212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6" customHeight="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>
      <c r="B5" s="5" t="s">
        <v>56</v>
      </c>
    </row>
    <row r="6" spans="2:14">
      <c r="F6" s="6"/>
      <c r="J6" s="70" t="s">
        <v>69</v>
      </c>
      <c r="K6" s="70"/>
      <c r="L6" s="70"/>
      <c r="M6" s="70"/>
      <c r="N6" s="70"/>
    </row>
    <row r="7" spans="2:14">
      <c r="F7" s="7"/>
      <c r="G7" s="8">
        <v>2022</v>
      </c>
      <c r="H7" s="8">
        <f>G7+1</f>
        <v>2023</v>
      </c>
      <c r="I7" s="8">
        <f>H7+1</f>
        <v>2024</v>
      </c>
      <c r="J7" s="69">
        <f>I7+1</f>
        <v>2025</v>
      </c>
      <c r="K7" s="69">
        <f t="shared" ref="K7:N7" si="0">J7+1</f>
        <v>2026</v>
      </c>
      <c r="L7" s="69">
        <f t="shared" si="0"/>
        <v>2027</v>
      </c>
      <c r="M7" s="69">
        <f t="shared" si="0"/>
        <v>2028</v>
      </c>
      <c r="N7" s="69">
        <f t="shared" si="0"/>
        <v>2029</v>
      </c>
    </row>
    <row r="8" spans="2:14" ht="13.2" customHeight="1">
      <c r="F8" s="7"/>
      <c r="G8" s="7"/>
      <c r="H8" s="7"/>
      <c r="I8" s="7"/>
    </row>
    <row r="10" spans="2:14">
      <c r="D10" s="2" t="s">
        <v>83</v>
      </c>
    </row>
    <row r="11" spans="2:14" ht="14.4">
      <c r="D11" s="2" t="s">
        <v>84</v>
      </c>
      <c r="E11" s="74">
        <v>1</v>
      </c>
    </row>
    <row r="12" spans="2:14">
      <c r="D12" s="2" t="s">
        <v>85</v>
      </c>
    </row>
    <row r="13" spans="2:14">
      <c r="D13" s="2" t="s">
        <v>86</v>
      </c>
    </row>
    <row r="14" spans="2:14" ht="14.4" thickBot="1"/>
    <row r="15" spans="2:14" ht="14.4" thickBot="1">
      <c r="B15" s="73" t="s">
        <v>87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6"/>
    </row>
    <row r="17" spans="2:14">
      <c r="D17" s="9" t="str">
        <f>"Used In the Model: "&amp;INDEX(L_Scenarios,S_Scenarios)</f>
        <v>Used In the Model: Base Case</v>
      </c>
      <c r="J17" s="78">
        <f>INDEX(J18:J20,S_Scenarios)</f>
        <v>2.5000000000000001E-2</v>
      </c>
      <c r="K17" s="78">
        <f>INDEX(K18:K20,S_Scenarios)</f>
        <v>2.5000000000000001E-2</v>
      </c>
      <c r="L17" s="78">
        <f>INDEX(L18:L20,S_Scenarios)</f>
        <v>2.5000000000000001E-2</v>
      </c>
      <c r="M17" s="78">
        <f>INDEX(M18:M20,S_Scenarios)</f>
        <v>2.5000000000000001E-2</v>
      </c>
      <c r="N17" s="78">
        <f>INDEX(N18:N20,S_Scenarios)</f>
        <v>2.5000000000000001E-2</v>
      </c>
    </row>
    <row r="18" spans="2:14" ht="14.4">
      <c r="D18" s="2" t="str">
        <f>$D$11</f>
        <v>Base Case</v>
      </c>
      <c r="J18" s="77">
        <v>2.5000000000000001E-2</v>
      </c>
      <c r="K18" s="77">
        <v>2.5000000000000001E-2</v>
      </c>
      <c r="L18" s="77">
        <v>2.5000000000000001E-2</v>
      </c>
      <c r="M18" s="77">
        <v>2.5000000000000001E-2</v>
      </c>
      <c r="N18" s="77">
        <v>2.5000000000000001E-2</v>
      </c>
    </row>
    <row r="19" spans="2:14" ht="14.4">
      <c r="D19" s="2" t="str">
        <f>$D$12</f>
        <v>Best Case</v>
      </c>
      <c r="J19" s="77">
        <f>J18+1%</f>
        <v>3.5000000000000003E-2</v>
      </c>
      <c r="K19" s="77">
        <f t="shared" ref="K19:N19" si="1">K18+1%</f>
        <v>3.5000000000000003E-2</v>
      </c>
      <c r="L19" s="77">
        <f t="shared" si="1"/>
        <v>3.5000000000000003E-2</v>
      </c>
      <c r="M19" s="77">
        <f t="shared" si="1"/>
        <v>3.5000000000000003E-2</v>
      </c>
      <c r="N19" s="77">
        <f t="shared" si="1"/>
        <v>3.5000000000000003E-2</v>
      </c>
    </row>
    <row r="20" spans="2:14" ht="14.4">
      <c r="D20" s="2" t="str">
        <f>$D$13</f>
        <v>Worst Case</v>
      </c>
      <c r="J20" s="77">
        <f>J18-1%</f>
        <v>1.5000000000000001E-2</v>
      </c>
      <c r="K20" s="77">
        <f t="shared" ref="K20:N20" si="2">K18-1%</f>
        <v>1.5000000000000001E-2</v>
      </c>
      <c r="L20" s="77">
        <f t="shared" si="2"/>
        <v>1.5000000000000001E-2</v>
      </c>
      <c r="M20" s="77">
        <f t="shared" si="2"/>
        <v>1.5000000000000001E-2</v>
      </c>
      <c r="N20" s="77">
        <f t="shared" si="2"/>
        <v>1.5000000000000001E-2</v>
      </c>
    </row>
    <row r="23" spans="2:14" ht="14.4" thickBot="1"/>
    <row r="24" spans="2:14" ht="14.4" thickBot="1">
      <c r="B24" s="73" t="s">
        <v>88</v>
      </c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6"/>
    </row>
    <row r="26" spans="2:14">
      <c r="D26" s="9" t="str">
        <f>"Used In the Model: "&amp;INDEX(L_Scenarios,S_Scenarios)</f>
        <v>Used In the Model: Base Case</v>
      </c>
      <c r="J26" s="82">
        <f>INDEX(J27:J29,S_Scenarios)</f>
        <v>2</v>
      </c>
      <c r="K26" s="82">
        <f>INDEX(K27:K29,S_Scenarios)</f>
        <v>2</v>
      </c>
      <c r="L26" s="82">
        <f>INDEX(L27:L29,S_Scenarios)</f>
        <v>2</v>
      </c>
      <c r="M26" s="82">
        <f>INDEX(M27:M29,S_Scenarios)</f>
        <v>2</v>
      </c>
      <c r="N26" s="82">
        <f>INDEX(N27:N29,S_Scenarios)</f>
        <v>2</v>
      </c>
    </row>
    <row r="27" spans="2:14" ht="14.4">
      <c r="D27" s="2" t="str">
        <f>$D$11</f>
        <v>Base Case</v>
      </c>
      <c r="J27" s="74">
        <v>2</v>
      </c>
      <c r="K27" s="74">
        <v>2</v>
      </c>
      <c r="L27" s="74">
        <v>2</v>
      </c>
      <c r="M27" s="74">
        <v>2</v>
      </c>
      <c r="N27" s="74">
        <v>2</v>
      </c>
    </row>
    <row r="28" spans="2:14" ht="14.4">
      <c r="D28" s="2" t="str">
        <f>$D$12</f>
        <v>Best Case</v>
      </c>
      <c r="J28" s="74">
        <v>3</v>
      </c>
      <c r="K28" s="74">
        <v>3</v>
      </c>
      <c r="L28" s="74">
        <v>3</v>
      </c>
      <c r="M28" s="74">
        <v>3</v>
      </c>
      <c r="N28" s="74">
        <v>3</v>
      </c>
    </row>
    <row r="29" spans="2:14" ht="14.4">
      <c r="D29" s="2" t="str">
        <f>$D$13</f>
        <v>Worst Case</v>
      </c>
      <c r="J29" s="74">
        <v>1</v>
      </c>
      <c r="K29" s="74">
        <v>1</v>
      </c>
      <c r="L29" s="74">
        <v>1</v>
      </c>
      <c r="M29" s="74">
        <v>1</v>
      </c>
      <c r="N29" s="74">
        <v>1</v>
      </c>
    </row>
    <row r="31" spans="2:14" ht="14.4" thickBot="1"/>
    <row r="32" spans="2:14" ht="14.4" thickBot="1">
      <c r="B32" s="73" t="s">
        <v>103</v>
      </c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</row>
    <row r="34" spans="4:14">
      <c r="D34" s="9" t="str">
        <f>"Used In the Model: "&amp;INDEX(L_Scenarios,S_Scenarios)</f>
        <v>Used In the Model: Base Case</v>
      </c>
      <c r="J34" s="78">
        <f>INDEX(J35:J37,S_Scenarios)</f>
        <v>0.02</v>
      </c>
      <c r="K34" s="78">
        <f>INDEX(K35:K37,S_Scenarios)</f>
        <v>0.02</v>
      </c>
      <c r="L34" s="78">
        <f>INDEX(L35:L37,S_Scenarios)</f>
        <v>0.02</v>
      </c>
      <c r="M34" s="78">
        <f>INDEX(M35:M37,S_Scenarios)</f>
        <v>0.02</v>
      </c>
      <c r="N34" s="78">
        <f>INDEX(N35:N37,S_Scenarios)</f>
        <v>0.02</v>
      </c>
    </row>
    <row r="35" spans="4:14" ht="14.4">
      <c r="D35" s="2" t="str">
        <f>$D$11</f>
        <v>Base Case</v>
      </c>
      <c r="J35" s="77">
        <v>0.02</v>
      </c>
      <c r="K35" s="77">
        <v>0.02</v>
      </c>
      <c r="L35" s="77">
        <v>0.02</v>
      </c>
      <c r="M35" s="77">
        <v>0.02</v>
      </c>
      <c r="N35" s="77">
        <v>0.02</v>
      </c>
    </row>
    <row r="36" spans="4:14" ht="14.4">
      <c r="D36" s="2" t="str">
        <f>$D$12</f>
        <v>Best Case</v>
      </c>
      <c r="J36" s="77">
        <v>0.01</v>
      </c>
      <c r="K36" s="77">
        <v>0.01</v>
      </c>
      <c r="L36" s="77">
        <v>0.01</v>
      </c>
      <c r="M36" s="77">
        <v>0.01</v>
      </c>
      <c r="N36" s="77">
        <v>0.01</v>
      </c>
    </row>
    <row r="37" spans="4:14" ht="14.4">
      <c r="D37" s="2" t="str">
        <f>$D$13</f>
        <v>Worst Case</v>
      </c>
      <c r="J37" s="77">
        <v>0.03</v>
      </c>
      <c r="K37" s="77">
        <v>0.03</v>
      </c>
      <c r="L37" s="77">
        <v>0.03</v>
      </c>
      <c r="M37" s="77">
        <v>0.03</v>
      </c>
      <c r="N37" s="77">
        <v>0.03</v>
      </c>
    </row>
  </sheetData>
  <sheetProtection formatCells="0"/>
  <printOptions horizontalCentered="1"/>
  <pageMargins left="0.25" right="0.25" top="0.25" bottom="0.5" header="0.25" footer="0.25"/>
  <pageSetup scale="75" fitToHeight="0" orientation="portrait" r:id="rId1"/>
  <headerFooter alignWithMargins="0">
    <oddFooter>&amp;LSecureIT Data Centres LLC
Financial Model for 2025 - 2029&amp;CPage &amp;P of &amp;N&amp;R&amp;D &amp;T
Sheet Name: 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3</xdr:col>
                    <xdr:colOff>2209800</xdr:colOff>
                    <xdr:row>9</xdr:row>
                    <xdr:rowOff>152400</xdr:rowOff>
                  </from>
                  <to>
                    <xdr:col>4</xdr:col>
                    <xdr:colOff>868680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8A70-3239-42D9-B2AD-DD35D21F0A3F}">
  <sheetPr>
    <pageSetUpPr fitToPage="1"/>
  </sheetPr>
  <dimension ref="A2:O363"/>
  <sheetViews>
    <sheetView showGridLines="0" zoomScaleNormal="100" zoomScaleSheetLayoutView="90" workbookViewId="0">
      <pane ySplit="7" topLeftCell="A8" activePane="bottomLeft" state="frozen"/>
      <selection pane="bottomLeft"/>
    </sheetView>
  </sheetViews>
  <sheetFormatPr defaultColWidth="0" defaultRowHeight="13.8"/>
  <cols>
    <col min="1" max="1" width="2.5546875" style="2" customWidth="1"/>
    <col min="2" max="2" width="1.77734375" style="2" customWidth="1"/>
    <col min="3" max="3" width="2.21875" style="2" customWidth="1"/>
    <col min="4" max="4" width="32.77734375" style="2" customWidth="1"/>
    <col min="5" max="5" width="12.77734375" style="2" customWidth="1"/>
    <col min="6" max="6" width="5.77734375" style="2" bestFit="1" customWidth="1"/>
    <col min="7" max="9" width="12.77734375" style="2" customWidth="1"/>
    <col min="10" max="10" width="12.88671875" style="2" bestFit="1" customWidth="1"/>
    <col min="11" max="14" width="10.88671875" style="2" bestFit="1" customWidth="1"/>
    <col min="15" max="16384" width="9.21875" style="2" hidden="1"/>
  </cols>
  <sheetData>
    <row r="2" spans="2:14" ht="23.4">
      <c r="B2" s="1" t="s">
        <v>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9.5" customHeight="1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6" customHeight="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>
      <c r="B5" s="5" t="s">
        <v>56</v>
      </c>
    </row>
    <row r="6" spans="2:14">
      <c r="F6" s="6"/>
      <c r="J6" s="70" t="s">
        <v>69</v>
      </c>
      <c r="K6" s="70"/>
      <c r="L6" s="70"/>
      <c r="M6" s="70"/>
      <c r="N6" s="70"/>
    </row>
    <row r="7" spans="2:14">
      <c r="F7" s="7"/>
      <c r="G7" s="8">
        <v>2022</v>
      </c>
      <c r="H7" s="8">
        <f>G7+1</f>
        <v>2023</v>
      </c>
      <c r="I7" s="8">
        <f>H7+1</f>
        <v>2024</v>
      </c>
      <c r="J7" s="69">
        <f>I7+1</f>
        <v>2025</v>
      </c>
      <c r="K7" s="69">
        <f t="shared" ref="K7:N7" si="0">J7+1</f>
        <v>2026</v>
      </c>
      <c r="L7" s="69">
        <f t="shared" si="0"/>
        <v>2027</v>
      </c>
      <c r="M7" s="69">
        <f t="shared" si="0"/>
        <v>2028</v>
      </c>
      <c r="N7" s="69">
        <f t="shared" si="0"/>
        <v>2029</v>
      </c>
    </row>
    <row r="8" spans="2:14" ht="13.2" customHeight="1">
      <c r="F8" s="7"/>
      <c r="G8" s="7"/>
      <c r="H8" s="7"/>
      <c r="I8" s="7"/>
    </row>
    <row r="9" spans="2:14">
      <c r="B9" s="52" t="s">
        <v>1</v>
      </c>
      <c r="C9" s="53"/>
      <c r="D9" s="53"/>
      <c r="E9" s="53"/>
      <c r="F9" s="54"/>
      <c r="G9" s="54"/>
      <c r="H9" s="55">
        <f>H13/G13-1</f>
        <v>1.9116582186821107E-2</v>
      </c>
      <c r="I9" s="56">
        <f>I13/H13-1</f>
        <v>6.0110842688645638E-2</v>
      </c>
      <c r="J9" s="56">
        <f t="shared" ref="J9:N9" si="1">J13/I13-1</f>
        <v>5.6538461538461648E-2</v>
      </c>
      <c r="K9" s="56">
        <f t="shared" si="1"/>
        <v>5.5597014925373056E-2</v>
      </c>
      <c r="L9" s="56">
        <f t="shared" si="1"/>
        <v>5.4710144927536009E-2</v>
      </c>
      <c r="M9" s="56">
        <f t="shared" si="1"/>
        <v>5.387323943661948E-2</v>
      </c>
      <c r="N9" s="56">
        <f t="shared" si="1"/>
        <v>5.3082191780821741E-2</v>
      </c>
    </row>
    <row r="10" spans="2:14">
      <c r="B10" s="57" t="s">
        <v>2</v>
      </c>
      <c r="C10" s="58"/>
      <c r="D10" s="58"/>
      <c r="E10" s="58"/>
      <c r="F10" s="59"/>
      <c r="G10" s="60">
        <f>G15/G$13</f>
        <v>0.56553222302679218</v>
      </c>
      <c r="H10" s="60">
        <f>H15/H$13</f>
        <v>0.55492397328406984</v>
      </c>
      <c r="I10" s="61">
        <f>I15/I$13</f>
        <v>0.53887399463806973</v>
      </c>
      <c r="J10" s="61">
        <f t="shared" ref="J10:N10" si="2">J15/J$13</f>
        <v>0.52378192734750362</v>
      </c>
      <c r="K10" s="61">
        <f t="shared" si="2"/>
        <v>0.50954326929911098</v>
      </c>
      <c r="L10" s="61">
        <f t="shared" si="2"/>
        <v>0.496086082871255</v>
      </c>
      <c r="M10" s="61">
        <f t="shared" si="2"/>
        <v>0.48334631277876056</v>
      </c>
      <c r="N10" s="61">
        <f t="shared" si="2"/>
        <v>0.47126673510239259</v>
      </c>
    </row>
    <row r="11" spans="2:14">
      <c r="B11" s="62" t="s">
        <v>3</v>
      </c>
      <c r="C11" s="63"/>
      <c r="D11" s="63"/>
      <c r="E11" s="63"/>
      <c r="F11" s="64"/>
      <c r="G11" s="65">
        <f>G16/G$13</f>
        <v>0.16727009413468502</v>
      </c>
      <c r="H11" s="65">
        <f t="shared" ref="H11:I11" si="3">H16/H$13</f>
        <v>0.16029558050305526</v>
      </c>
      <c r="I11" s="66">
        <f t="shared" si="3"/>
        <v>0.19343163538873998</v>
      </c>
      <c r="J11" s="66">
        <f t="shared" ref="J11:N11" si="4">J16/J$13</f>
        <v>0.1903124149083914</v>
      </c>
      <c r="K11" s="66">
        <f t="shared" si="4"/>
        <v>0.18389466857319856</v>
      </c>
      <c r="L11" s="66">
        <f t="shared" si="4"/>
        <v>0.17784275883451345</v>
      </c>
      <c r="M11" s="66">
        <f t="shared" si="4"/>
        <v>0.17212659665613722</v>
      </c>
      <c r="N11" s="66">
        <f t="shared" si="4"/>
        <v>0.16671930259532983</v>
      </c>
    </row>
    <row r="12" spans="2:14" ht="13.2" customHeight="1">
      <c r="B12" s="9"/>
      <c r="F12" s="7"/>
      <c r="G12" s="7"/>
      <c r="H12" s="7"/>
      <c r="I12" s="7"/>
    </row>
    <row r="13" spans="2:14">
      <c r="C13" s="9" t="s">
        <v>58</v>
      </c>
      <c r="D13" s="9"/>
      <c r="E13" s="9"/>
      <c r="F13" s="7"/>
      <c r="G13" s="67">
        <v>690.5</v>
      </c>
      <c r="H13" s="67">
        <v>703.7</v>
      </c>
      <c r="I13" s="67">
        <v>746</v>
      </c>
      <c r="J13" s="2">
        <f>J162</f>
        <v>788.17769230769238</v>
      </c>
      <c r="K13" s="2">
        <f t="shared" ref="K13:N13" si="5">K162</f>
        <v>831.99801923076927</v>
      </c>
      <c r="L13" s="2">
        <f t="shared" si="5"/>
        <v>877.51675144230762</v>
      </c>
      <c r="M13" s="2">
        <f t="shared" si="5"/>
        <v>924.79142150240364</v>
      </c>
      <c r="N13" s="2">
        <f t="shared" si="5"/>
        <v>973.88137709585305</v>
      </c>
    </row>
    <row r="14" spans="2:14" ht="13.2" customHeight="1">
      <c r="F14" s="7"/>
      <c r="G14" s="7"/>
      <c r="H14" s="7"/>
      <c r="I14" s="7"/>
    </row>
    <row r="15" spans="2:14">
      <c r="C15" s="2" t="s">
        <v>59</v>
      </c>
      <c r="E15" s="2" t="str">
        <f>Currency</f>
        <v>$'m</v>
      </c>
      <c r="F15" s="7"/>
      <c r="G15" s="10">
        <v>390.5</v>
      </c>
      <c r="H15" s="10">
        <v>390.5</v>
      </c>
      <c r="I15" s="10">
        <v>402</v>
      </c>
      <c r="J15" s="2">
        <f>J180</f>
        <v>412.83323076923079</v>
      </c>
      <c r="K15" s="2">
        <f t="shared" ref="K15:N15" si="6">K180</f>
        <v>423.93899076923077</v>
      </c>
      <c r="L15" s="2">
        <f t="shared" si="6"/>
        <v>435.32384787692308</v>
      </c>
      <c r="M15" s="2">
        <f t="shared" si="6"/>
        <v>446.9945236726154</v>
      </c>
      <c r="N15" s="2">
        <f t="shared" si="6"/>
        <v>458.95789696098467</v>
      </c>
    </row>
    <row r="16" spans="2:14">
      <c r="C16" s="11" t="s">
        <v>4</v>
      </c>
      <c r="E16" s="2" t="str">
        <f>Currency</f>
        <v>$'m</v>
      </c>
      <c r="F16" s="7"/>
      <c r="G16" s="12">
        <v>115.5</v>
      </c>
      <c r="H16" s="12">
        <v>112.8</v>
      </c>
      <c r="I16" s="12">
        <v>144.30000000000001</v>
      </c>
      <c r="J16" s="2">
        <f>J197</f>
        <v>150</v>
      </c>
      <c r="K16" s="2">
        <f t="shared" ref="K16:N16" si="7">K197</f>
        <v>153</v>
      </c>
      <c r="L16" s="2">
        <f t="shared" si="7"/>
        <v>156.06</v>
      </c>
      <c r="M16" s="2">
        <f t="shared" si="7"/>
        <v>159.18120000000002</v>
      </c>
      <c r="N16" s="2">
        <f t="shared" si="7"/>
        <v>162.36482400000003</v>
      </c>
    </row>
    <row r="17" spans="2:14">
      <c r="C17" s="13" t="s">
        <v>5</v>
      </c>
      <c r="F17" s="7"/>
      <c r="G17" s="14">
        <f t="shared" ref="G17:H17" si="8">SUM(G15:G16)</f>
        <v>506</v>
      </c>
      <c r="H17" s="14">
        <f t="shared" si="8"/>
        <v>503.3</v>
      </c>
      <c r="I17" s="14">
        <f>SUM(I15:I16)</f>
        <v>546.29999999999995</v>
      </c>
      <c r="J17" s="101">
        <f t="shared" ref="J17:N17" si="9">SUM(J15:J16)</f>
        <v>562.83323076923079</v>
      </c>
      <c r="K17" s="101">
        <f t="shared" si="9"/>
        <v>576.93899076923071</v>
      </c>
      <c r="L17" s="101">
        <f t="shared" si="9"/>
        <v>591.38384787692303</v>
      </c>
      <c r="M17" s="101">
        <f t="shared" si="9"/>
        <v>606.17572367261539</v>
      </c>
      <c r="N17" s="101">
        <f t="shared" si="9"/>
        <v>621.32272096098473</v>
      </c>
    </row>
    <row r="18" spans="2:14">
      <c r="C18" s="13"/>
      <c r="F18" s="7"/>
      <c r="G18" s="7"/>
      <c r="H18" s="7"/>
      <c r="I18" s="7"/>
    </row>
    <row r="19" spans="2:14">
      <c r="C19" s="2" t="s">
        <v>6</v>
      </c>
      <c r="E19" s="2" t="s">
        <v>76</v>
      </c>
      <c r="F19" s="7"/>
      <c r="G19" s="12">
        <v>9.6999999999999993</v>
      </c>
      <c r="H19" s="12">
        <v>-7.5</v>
      </c>
      <c r="I19" s="12">
        <v>-5.2</v>
      </c>
      <c r="J19" s="2">
        <f>Assumptions!J120</f>
        <v>0</v>
      </c>
      <c r="K19" s="2">
        <f>Assumptions!K120</f>
        <v>0</v>
      </c>
      <c r="L19" s="2">
        <f>Assumptions!L120</f>
        <v>0</v>
      </c>
      <c r="M19" s="2">
        <f>Assumptions!M120</f>
        <v>0</v>
      </c>
      <c r="N19" s="2">
        <f>Assumptions!N120</f>
        <v>0</v>
      </c>
    </row>
    <row r="20" spans="2:14">
      <c r="B20" s="9"/>
      <c r="C20" s="9" t="s">
        <v>7</v>
      </c>
      <c r="E20" s="2" t="s">
        <v>76</v>
      </c>
      <c r="G20" s="15">
        <f t="shared" ref="G20:H20" si="10">G13-G17+G19</f>
        <v>194.2</v>
      </c>
      <c r="H20" s="15">
        <f t="shared" si="10"/>
        <v>192.90000000000003</v>
      </c>
      <c r="I20" s="15">
        <f>I13-I17+I19</f>
        <v>194.50000000000006</v>
      </c>
      <c r="J20" s="102">
        <f t="shared" ref="J20:N20" si="11">J13-J17+J19</f>
        <v>225.34446153846159</v>
      </c>
      <c r="K20" s="102">
        <f t="shared" si="11"/>
        <v>255.05902846153856</v>
      </c>
      <c r="L20" s="102">
        <f t="shared" si="11"/>
        <v>286.13290356538459</v>
      </c>
      <c r="M20" s="102">
        <f t="shared" si="11"/>
        <v>318.61569782978825</v>
      </c>
      <c r="N20" s="102">
        <f t="shared" si="11"/>
        <v>352.55865613486833</v>
      </c>
    </row>
    <row r="22" spans="2:14">
      <c r="C22" s="2" t="s">
        <v>8</v>
      </c>
      <c r="E22" s="2" t="s">
        <v>76</v>
      </c>
      <c r="G22" s="16">
        <v>131.80000000000001</v>
      </c>
      <c r="H22" s="16">
        <v>140.6</v>
      </c>
      <c r="I22" s="16">
        <v>144</v>
      </c>
      <c r="J22" s="2">
        <f>J230</f>
        <v>159.46857142857144</v>
      </c>
      <c r="K22" s="2">
        <f t="shared" ref="K22:N22" si="12">K230</f>
        <v>170.18285714285716</v>
      </c>
      <c r="L22" s="2">
        <f t="shared" si="12"/>
        <v>180.89714285714288</v>
      </c>
      <c r="M22" s="2">
        <f t="shared" si="12"/>
        <v>191.61142857142858</v>
      </c>
      <c r="N22" s="2">
        <f t="shared" si="12"/>
        <v>202.3257142857143</v>
      </c>
    </row>
    <row r="23" spans="2:14">
      <c r="C23" s="13" t="s">
        <v>9</v>
      </c>
      <c r="E23" s="2" t="s">
        <v>76</v>
      </c>
      <c r="G23" s="15">
        <f t="shared" ref="G23:N23" si="13">G20-G22</f>
        <v>62.399999999999977</v>
      </c>
      <c r="H23" s="15">
        <f t="shared" si="13"/>
        <v>52.30000000000004</v>
      </c>
      <c r="I23" s="15">
        <f t="shared" si="13"/>
        <v>50.500000000000057</v>
      </c>
      <c r="J23" s="102">
        <f t="shared" si="13"/>
        <v>65.87589010989015</v>
      </c>
      <c r="K23" s="102">
        <f t="shared" si="13"/>
        <v>84.876171318681401</v>
      </c>
      <c r="L23" s="102">
        <f t="shared" si="13"/>
        <v>105.23576070824171</v>
      </c>
      <c r="M23" s="102">
        <f t="shared" si="13"/>
        <v>127.00426925835967</v>
      </c>
      <c r="N23" s="102">
        <f t="shared" si="13"/>
        <v>150.23294184915403</v>
      </c>
    </row>
    <row r="24" spans="2:14" ht="6" customHeight="1">
      <c r="C24" s="13"/>
    </row>
    <row r="25" spans="2:14" ht="12.75" customHeight="1">
      <c r="C25" s="2" t="s">
        <v>6</v>
      </c>
      <c r="E25" s="2" t="s">
        <v>76</v>
      </c>
      <c r="G25" s="17">
        <v>-0.3</v>
      </c>
      <c r="H25" s="17">
        <v>-2.5</v>
      </c>
      <c r="I25" s="17">
        <v>9.6</v>
      </c>
      <c r="J25" s="2">
        <f>Assumptions!J121</f>
        <v>0</v>
      </c>
      <c r="K25" s="2">
        <f>Assumptions!K121</f>
        <v>0</v>
      </c>
      <c r="L25" s="2">
        <f>Assumptions!L121</f>
        <v>0</v>
      </c>
      <c r="M25" s="2">
        <f>Assumptions!M121</f>
        <v>0</v>
      </c>
      <c r="N25" s="2">
        <f>Assumptions!N121</f>
        <v>0</v>
      </c>
    </row>
    <row r="26" spans="2:14">
      <c r="C26" s="18" t="s">
        <v>55</v>
      </c>
      <c r="E26" s="2" t="s">
        <v>76</v>
      </c>
      <c r="G26" s="16">
        <v>84.8</v>
      </c>
      <c r="H26" s="16">
        <v>98.5</v>
      </c>
      <c r="I26" s="16">
        <v>96.9</v>
      </c>
      <c r="J26" s="2">
        <f ca="1">J362</f>
        <v>92.005223374408459</v>
      </c>
      <c r="K26" s="2">
        <f t="shared" ref="K26:N26" ca="1" si="14">K362</f>
        <v>89.319170731926434</v>
      </c>
      <c r="L26" s="2">
        <f t="shared" ca="1" si="14"/>
        <v>85.594949650015025</v>
      </c>
      <c r="M26" s="2">
        <f t="shared" ca="1" si="14"/>
        <v>81.459360235136259</v>
      </c>
      <c r="N26" s="2">
        <f t="shared" ca="1" si="14"/>
        <v>76.603173822574959</v>
      </c>
    </row>
    <row r="27" spans="2:14">
      <c r="C27" s="19" t="s">
        <v>10</v>
      </c>
      <c r="G27" s="15">
        <f t="shared" ref="G27:H27" si="15">G23+G25-G26</f>
        <v>-22.700000000000017</v>
      </c>
      <c r="H27" s="15">
        <f t="shared" si="15"/>
        <v>-48.69999999999996</v>
      </c>
      <c r="I27" s="15">
        <f>I23+I25-I26</f>
        <v>-36.799999999999947</v>
      </c>
      <c r="J27" s="102">
        <f t="shared" ref="J27:N27" ca="1" si="16">J23+J25-J26</f>
        <v>-26.129333264518309</v>
      </c>
      <c r="K27" s="102">
        <f t="shared" ca="1" si="16"/>
        <v>-4.4429994132450332</v>
      </c>
      <c r="L27" s="102">
        <f t="shared" ca="1" si="16"/>
        <v>19.640811058226689</v>
      </c>
      <c r="M27" s="102">
        <f t="shared" ca="1" si="16"/>
        <v>45.544909023223411</v>
      </c>
      <c r="N27" s="102">
        <f t="shared" ca="1" si="16"/>
        <v>73.629768026579072</v>
      </c>
    </row>
    <row r="28" spans="2:14" ht="6" customHeight="1">
      <c r="C28" s="13"/>
    </row>
    <row r="29" spans="2:14">
      <c r="C29" s="2" t="s">
        <v>11</v>
      </c>
      <c r="E29" s="2" t="s">
        <v>76</v>
      </c>
      <c r="G29" s="17">
        <v>2</v>
      </c>
      <c r="H29" s="17">
        <v>7</v>
      </c>
      <c r="I29" s="17">
        <v>6</v>
      </c>
      <c r="J29" s="2">
        <f ca="1">J241</f>
        <v>0</v>
      </c>
      <c r="K29" s="2">
        <f t="shared" ref="K29:N29" ca="1" si="17">K241</f>
        <v>0</v>
      </c>
      <c r="L29" s="2">
        <f t="shared" ca="1" si="17"/>
        <v>0</v>
      </c>
      <c r="M29" s="2">
        <f t="shared" ca="1" si="17"/>
        <v>1.9407181581281938</v>
      </c>
      <c r="N29" s="2">
        <f t="shared" ca="1" si="17"/>
        <v>11.770418809302674</v>
      </c>
    </row>
    <row r="30" spans="2:14">
      <c r="C30" s="2" t="s">
        <v>12</v>
      </c>
      <c r="E30" s="2" t="s">
        <v>76</v>
      </c>
      <c r="G30" s="16">
        <v>1.5</v>
      </c>
      <c r="H30" s="16">
        <v>-17.8</v>
      </c>
      <c r="I30" s="111">
        <v>-6.7</v>
      </c>
      <c r="J30" s="2">
        <f>J242</f>
        <v>14</v>
      </c>
      <c r="K30" s="2">
        <f t="shared" ref="K30:N30" si="18">K242</f>
        <v>14</v>
      </c>
      <c r="L30" s="2">
        <f t="shared" si="18"/>
        <v>14</v>
      </c>
      <c r="M30" s="2">
        <f t="shared" si="18"/>
        <v>14</v>
      </c>
      <c r="N30" s="2">
        <f t="shared" si="18"/>
        <v>14</v>
      </c>
    </row>
    <row r="31" spans="2:14">
      <c r="C31" s="9" t="s">
        <v>13</v>
      </c>
      <c r="E31" s="2" t="s">
        <v>76</v>
      </c>
      <c r="G31" s="15">
        <f t="shared" ref="G31:H31" si="19">SUM(G29:G30)</f>
        <v>3.5</v>
      </c>
      <c r="H31" s="15">
        <f t="shared" si="19"/>
        <v>-10.8</v>
      </c>
      <c r="I31" s="102">
        <f>SUM(I29:I30)</f>
        <v>-0.70000000000000018</v>
      </c>
      <c r="J31" s="102">
        <f t="shared" ref="J31:N31" ca="1" si="20">SUM(J29:J30)</f>
        <v>14</v>
      </c>
      <c r="K31" s="102">
        <f t="shared" ca="1" si="20"/>
        <v>14</v>
      </c>
      <c r="L31" s="102">
        <f t="shared" ca="1" si="20"/>
        <v>14</v>
      </c>
      <c r="M31" s="102">
        <f t="shared" ca="1" si="20"/>
        <v>15.940718158128194</v>
      </c>
      <c r="N31" s="102">
        <f t="shared" ca="1" si="20"/>
        <v>25.770418809302676</v>
      </c>
    </row>
    <row r="32" spans="2:14" ht="9" customHeight="1">
      <c r="G32" s="20"/>
      <c r="H32" s="20"/>
      <c r="I32" s="20"/>
    </row>
    <row r="33" spans="2:14">
      <c r="C33" s="21" t="s">
        <v>14</v>
      </c>
      <c r="D33" s="9"/>
      <c r="E33" s="9" t="s">
        <v>76</v>
      </c>
      <c r="G33" s="22">
        <f t="shared" ref="G33:H33" si="21">G27-G31</f>
        <v>-26.200000000000017</v>
      </c>
      <c r="H33" s="22">
        <f t="shared" si="21"/>
        <v>-37.899999999999963</v>
      </c>
      <c r="I33" s="22">
        <f>I27-I31</f>
        <v>-36.099999999999945</v>
      </c>
      <c r="J33" s="22">
        <f t="shared" ref="J33:N33" ca="1" si="22">J27-J31</f>
        <v>-40.129333264518309</v>
      </c>
      <c r="K33" s="22">
        <f t="shared" ca="1" si="22"/>
        <v>-18.442999413245033</v>
      </c>
      <c r="L33" s="22">
        <f t="shared" ca="1" si="22"/>
        <v>5.6408110582266886</v>
      </c>
      <c r="M33" s="22">
        <f t="shared" ca="1" si="22"/>
        <v>29.604190865095219</v>
      </c>
      <c r="N33" s="22">
        <f t="shared" ca="1" si="22"/>
        <v>47.859349217276396</v>
      </c>
    </row>
    <row r="34" spans="2:14">
      <c r="C34" s="21"/>
      <c r="D34" s="9"/>
      <c r="E34" s="9"/>
      <c r="G34" s="14"/>
      <c r="H34" s="14"/>
      <c r="I34" s="14"/>
    </row>
    <row r="35" spans="2:14">
      <c r="C35" s="23" t="s">
        <v>52</v>
      </c>
      <c r="D35" s="9"/>
      <c r="E35" s="9" t="s">
        <v>76</v>
      </c>
      <c r="G35" s="16">
        <v>0</v>
      </c>
      <c r="H35" s="16">
        <v>0</v>
      </c>
      <c r="I35" s="16">
        <v>0</v>
      </c>
      <c r="J35" s="2">
        <f>J290</f>
        <v>0</v>
      </c>
      <c r="K35" s="2">
        <f t="shared" ref="K35:N35" si="23">K290</f>
        <v>4</v>
      </c>
      <c r="L35" s="2">
        <f t="shared" si="23"/>
        <v>4</v>
      </c>
      <c r="M35" s="2">
        <f t="shared" si="23"/>
        <v>4</v>
      </c>
      <c r="N35" s="2">
        <f t="shared" si="23"/>
        <v>4</v>
      </c>
    </row>
    <row r="36" spans="2:14" ht="13.5" customHeight="1" thickBot="1">
      <c r="C36" s="21" t="s">
        <v>53</v>
      </c>
      <c r="D36" s="9"/>
      <c r="E36" s="9" t="s">
        <v>76</v>
      </c>
      <c r="G36" s="24">
        <f t="shared" ref="G36:N36" si="24">G33-G35</f>
        <v>-26.200000000000017</v>
      </c>
      <c r="H36" s="24">
        <f t="shared" si="24"/>
        <v>-37.899999999999963</v>
      </c>
      <c r="I36" s="24">
        <f t="shared" si="24"/>
        <v>-36.099999999999945</v>
      </c>
      <c r="J36" s="113">
        <f ca="1">J33-J35</f>
        <v>-40.129333264518309</v>
      </c>
      <c r="K36" s="113">
        <f ca="1">K33-K35</f>
        <v>-22.442999413245033</v>
      </c>
      <c r="L36" s="113">
        <f t="shared" ca="1" si="24"/>
        <v>1.6408110582266886</v>
      </c>
      <c r="M36" s="113">
        <f t="shared" ca="1" si="24"/>
        <v>25.604190865095219</v>
      </c>
      <c r="N36" s="113">
        <f t="shared" ca="1" si="24"/>
        <v>43.859349217276396</v>
      </c>
    </row>
    <row r="37" spans="2:14" ht="13.5" customHeight="1" thickTop="1">
      <c r="B37" s="25"/>
      <c r="C37" s="25"/>
      <c r="D37" s="25"/>
      <c r="E37" s="25"/>
      <c r="F37" s="25"/>
      <c r="G37" s="26"/>
      <c r="H37" s="26"/>
      <c r="I37" s="26"/>
      <c r="J37" s="26"/>
      <c r="K37" s="26"/>
      <c r="L37" s="26"/>
      <c r="M37" s="26"/>
      <c r="N37" s="26"/>
    </row>
    <row r="38" spans="2:14">
      <c r="C38" s="27"/>
      <c r="G38" s="28"/>
      <c r="H38" s="28"/>
      <c r="I38" s="28"/>
    </row>
    <row r="39" spans="2:14">
      <c r="B39" s="9"/>
      <c r="C39" s="9"/>
      <c r="D39" s="9"/>
      <c r="E39" s="9"/>
      <c r="F39" s="9"/>
      <c r="G39" s="9"/>
      <c r="H39" s="9"/>
      <c r="I39" s="9"/>
    </row>
    <row r="40" spans="2:14">
      <c r="B40" s="9"/>
      <c r="G40" s="29"/>
      <c r="H40" s="29"/>
      <c r="I40" s="29"/>
      <c r="J40" s="29"/>
      <c r="K40" s="29"/>
      <c r="L40" s="29"/>
      <c r="M40" s="29"/>
      <c r="N40" s="29"/>
    </row>
    <row r="41" spans="2:14" ht="23.4">
      <c r="B41" s="1" t="str">
        <f>$B$2</f>
        <v>SecureIT Data Centres LLC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2:14" ht="18">
      <c r="B42" s="3" t="s">
        <v>15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4" ht="6" customHeight="1" thickBot="1">
      <c r="B43" s="4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2:14">
      <c r="B44" s="5" t="str">
        <f>$B$5</f>
        <v>Millions for the Year Ended December 31</v>
      </c>
    </row>
    <row r="45" spans="2:14">
      <c r="J45" s="86" t="s">
        <v>69</v>
      </c>
      <c r="K45" s="86"/>
      <c r="L45" s="86"/>
      <c r="M45" s="86"/>
      <c r="N45" s="86"/>
    </row>
    <row r="46" spans="2:14">
      <c r="B46" s="32"/>
      <c r="F46" s="33"/>
      <c r="G46" s="8">
        <f>G$7</f>
        <v>2022</v>
      </c>
      <c r="H46" s="8">
        <f t="shared" ref="H46:I46" si="25">H$7</f>
        <v>2023</v>
      </c>
      <c r="I46" s="8">
        <f t="shared" si="25"/>
        <v>2024</v>
      </c>
      <c r="J46" s="85">
        <f>J7</f>
        <v>2025</v>
      </c>
      <c r="K46" s="85">
        <f t="shared" ref="K46:N46" si="26">K7</f>
        <v>2026</v>
      </c>
      <c r="L46" s="85">
        <f t="shared" si="26"/>
        <v>2027</v>
      </c>
      <c r="M46" s="85">
        <f t="shared" si="26"/>
        <v>2028</v>
      </c>
      <c r="N46" s="85">
        <f t="shared" si="26"/>
        <v>2029</v>
      </c>
    </row>
    <row r="47" spans="2:14">
      <c r="B47" s="32"/>
      <c r="F47" s="33"/>
      <c r="G47" s="33"/>
      <c r="H47" s="33"/>
      <c r="I47" s="33"/>
    </row>
    <row r="48" spans="2:14">
      <c r="B48" s="9" t="s">
        <v>16</v>
      </c>
    </row>
    <row r="49" spans="2:14">
      <c r="C49" s="2" t="s">
        <v>14</v>
      </c>
      <c r="E49" s="2" t="str">
        <f t="shared" ref="E49:E54" si="27">Currency</f>
        <v>$'m</v>
      </c>
      <c r="F49" s="34"/>
      <c r="G49" s="35">
        <v>-26.200000000000017</v>
      </c>
      <c r="H49" s="35">
        <v>-37.899999999999963</v>
      </c>
      <c r="I49" s="35">
        <v>-36.1</v>
      </c>
      <c r="J49" s="2">
        <f ca="1">J33</f>
        <v>-40.129333264518309</v>
      </c>
      <c r="K49" s="2">
        <f t="shared" ref="K49:N49" ca="1" si="28">K33</f>
        <v>-18.442999413245033</v>
      </c>
      <c r="L49" s="2">
        <f t="shared" ca="1" si="28"/>
        <v>5.6408110582266886</v>
      </c>
      <c r="M49" s="2">
        <f t="shared" ca="1" si="28"/>
        <v>29.604190865095219</v>
      </c>
      <c r="N49" s="2">
        <f t="shared" ca="1" si="28"/>
        <v>47.859349217276396</v>
      </c>
    </row>
    <row r="50" spans="2:14">
      <c r="C50" s="2" t="s">
        <v>8</v>
      </c>
      <c r="E50" s="2" t="str">
        <f t="shared" si="27"/>
        <v>$'m</v>
      </c>
      <c r="F50" s="34"/>
      <c r="G50" s="35">
        <v>131.80000000000001</v>
      </c>
      <c r="H50" s="35">
        <v>140.6</v>
      </c>
      <c r="I50" s="35">
        <v>144</v>
      </c>
      <c r="J50" s="2">
        <f>J22</f>
        <v>159.46857142857144</v>
      </c>
      <c r="K50" s="2">
        <f t="shared" ref="K50:N50" si="29">K22</f>
        <v>170.18285714285716</v>
      </c>
      <c r="L50" s="2">
        <f t="shared" si="29"/>
        <v>180.89714285714288</v>
      </c>
      <c r="M50" s="2">
        <f t="shared" si="29"/>
        <v>191.61142857142858</v>
      </c>
      <c r="N50" s="2">
        <f t="shared" si="29"/>
        <v>202.3257142857143</v>
      </c>
    </row>
    <row r="51" spans="2:14">
      <c r="C51" s="2" t="s">
        <v>12</v>
      </c>
      <c r="E51" s="2" t="str">
        <f t="shared" si="27"/>
        <v>$'m</v>
      </c>
      <c r="F51" s="34"/>
      <c r="G51" s="35">
        <v>1.5</v>
      </c>
      <c r="H51" s="35">
        <v>-17.8</v>
      </c>
      <c r="I51" s="35">
        <v>-6.7</v>
      </c>
      <c r="J51" s="2">
        <f>J30</f>
        <v>14</v>
      </c>
      <c r="K51" s="2">
        <f t="shared" ref="K51:N51" si="30">K30</f>
        <v>14</v>
      </c>
      <c r="L51" s="2">
        <f t="shared" si="30"/>
        <v>14</v>
      </c>
      <c r="M51" s="2">
        <f t="shared" si="30"/>
        <v>14</v>
      </c>
      <c r="N51" s="2">
        <f t="shared" si="30"/>
        <v>14</v>
      </c>
    </row>
    <row r="52" spans="2:14">
      <c r="C52" s="2" t="s">
        <v>17</v>
      </c>
      <c r="E52" s="2" t="str">
        <f t="shared" si="27"/>
        <v>$'m</v>
      </c>
      <c r="F52" s="36"/>
      <c r="G52" s="35">
        <v>3.6</v>
      </c>
      <c r="H52" s="35">
        <v>6</v>
      </c>
      <c r="I52" s="35">
        <v>21.899999999999977</v>
      </c>
      <c r="J52" s="2">
        <f>J273</f>
        <v>-9.9791790516332526</v>
      </c>
      <c r="K52" s="2">
        <f t="shared" ref="K52:N52" si="31">K273</f>
        <v>5.4156337936775003</v>
      </c>
      <c r="L52" s="2">
        <f t="shared" si="31"/>
        <v>5.5957069324351494</v>
      </c>
      <c r="M52" s="2">
        <f t="shared" si="31"/>
        <v>5.3349749465014327</v>
      </c>
      <c r="N52" s="2">
        <f t="shared" si="31"/>
        <v>6.4184328757315257</v>
      </c>
    </row>
    <row r="53" spans="2:14">
      <c r="C53" s="2" t="s">
        <v>29</v>
      </c>
      <c r="E53" s="2" t="str">
        <f t="shared" si="27"/>
        <v>$'m</v>
      </c>
      <c r="F53" s="36"/>
      <c r="G53" s="37">
        <v>-0.7</v>
      </c>
      <c r="H53" s="37">
        <v>-0.3</v>
      </c>
      <c r="I53" s="12">
        <v>0.1</v>
      </c>
      <c r="J53" s="2">
        <f>Assumptions!J122</f>
        <v>0</v>
      </c>
      <c r="K53" s="2">
        <f>Assumptions!K122</f>
        <v>0</v>
      </c>
      <c r="L53" s="2">
        <f>Assumptions!L122</f>
        <v>0</v>
      </c>
      <c r="M53" s="2">
        <f>Assumptions!M122</f>
        <v>0</v>
      </c>
      <c r="N53" s="2">
        <f>Assumptions!N122</f>
        <v>0</v>
      </c>
    </row>
    <row r="54" spans="2:14">
      <c r="C54" s="13" t="s">
        <v>18</v>
      </c>
      <c r="E54" s="2" t="str">
        <f t="shared" si="27"/>
        <v>$'m</v>
      </c>
      <c r="F54" s="38"/>
      <c r="G54" s="39">
        <f t="shared" ref="G54:H54" si="32">SUM(G49:G53)</f>
        <v>109.99999999999999</v>
      </c>
      <c r="H54" s="39">
        <f t="shared" si="32"/>
        <v>90.600000000000037</v>
      </c>
      <c r="I54" s="39">
        <f>SUM(I49:I53)</f>
        <v>123.19999999999997</v>
      </c>
      <c r="J54" s="112">
        <f t="shared" ref="J54:N54" ca="1" si="33">SUM(J49:J53)</f>
        <v>123.36005911241989</v>
      </c>
      <c r="K54" s="112">
        <f t="shared" ca="1" si="33"/>
        <v>171.15549152328964</v>
      </c>
      <c r="L54" s="112">
        <f t="shared" ca="1" si="33"/>
        <v>206.13366084780472</v>
      </c>
      <c r="M54" s="112">
        <f t="shared" ca="1" si="33"/>
        <v>240.55059438302524</v>
      </c>
      <c r="N54" s="112">
        <f t="shared" ca="1" si="33"/>
        <v>270.60349637872224</v>
      </c>
    </row>
    <row r="55" spans="2:14">
      <c r="B55" s="11"/>
    </row>
    <row r="56" spans="2:14">
      <c r="B56" s="11"/>
    </row>
    <row r="57" spans="2:14">
      <c r="B57" s="9" t="s">
        <v>19</v>
      </c>
      <c r="E57" s="2" t="str">
        <f>Currency</f>
        <v>$'m</v>
      </c>
    </row>
    <row r="58" spans="2:14">
      <c r="C58" s="2" t="s">
        <v>20</v>
      </c>
      <c r="E58" s="2" t="str">
        <f>Currency</f>
        <v>$'m</v>
      </c>
      <c r="G58" s="17">
        <v>-83.2</v>
      </c>
      <c r="H58" s="17">
        <v>-77.5</v>
      </c>
      <c r="I58" s="17">
        <v>-131.80000000000001</v>
      </c>
      <c r="J58" s="2">
        <f>-J213</f>
        <v>-125</v>
      </c>
      <c r="K58" s="2">
        <f t="shared" ref="K58:N58" si="34">-K213</f>
        <v>-150</v>
      </c>
      <c r="L58" s="2">
        <f t="shared" si="34"/>
        <v>-150</v>
      </c>
      <c r="M58" s="2">
        <f t="shared" si="34"/>
        <v>-150</v>
      </c>
      <c r="N58" s="2">
        <f t="shared" si="34"/>
        <v>-150</v>
      </c>
    </row>
    <row r="59" spans="2:14">
      <c r="C59" s="2" t="s">
        <v>21</v>
      </c>
      <c r="E59" s="2" t="str">
        <f>Currency</f>
        <v>$'m</v>
      </c>
      <c r="G59" s="17">
        <v>17.5</v>
      </c>
      <c r="H59" s="17">
        <v>0</v>
      </c>
      <c r="I59" s="17">
        <v>5.8</v>
      </c>
      <c r="J59" s="2">
        <f>Assumptions!J123</f>
        <v>0</v>
      </c>
      <c r="K59" s="2">
        <f>Assumptions!K123</f>
        <v>0</v>
      </c>
      <c r="L59" s="2">
        <f>Assumptions!L123</f>
        <v>0</v>
      </c>
      <c r="M59" s="2">
        <f>Assumptions!M123</f>
        <v>0</v>
      </c>
      <c r="N59" s="2">
        <f>Assumptions!N123</f>
        <v>0</v>
      </c>
    </row>
    <row r="60" spans="2:14">
      <c r="C60" s="2" t="s">
        <v>29</v>
      </c>
      <c r="E60" s="2" t="str">
        <f>Currency</f>
        <v>$'m</v>
      </c>
      <c r="G60" s="16">
        <v>0.2</v>
      </c>
      <c r="H60" s="16">
        <v>-0.2</v>
      </c>
      <c r="I60" s="16">
        <v>0.1</v>
      </c>
      <c r="J60" s="2">
        <f>Assumptions!J124</f>
        <v>0</v>
      </c>
      <c r="K60" s="2">
        <f>Assumptions!K124</f>
        <v>0</v>
      </c>
      <c r="L60" s="2">
        <f>Assumptions!L124</f>
        <v>0</v>
      </c>
      <c r="M60" s="2">
        <f>Assumptions!M124</f>
        <v>0</v>
      </c>
      <c r="N60" s="2">
        <f>Assumptions!N124</f>
        <v>0</v>
      </c>
    </row>
    <row r="61" spans="2:14">
      <c r="C61" s="9" t="s">
        <v>22</v>
      </c>
      <c r="E61" s="2" t="str">
        <f>Currency</f>
        <v>$'m</v>
      </c>
      <c r="F61" s="38"/>
      <c r="G61" s="39">
        <f t="shared" ref="G61:N61" si="35">SUM(G58:G60)</f>
        <v>-65.5</v>
      </c>
      <c r="H61" s="39">
        <f t="shared" si="35"/>
        <v>-77.7</v>
      </c>
      <c r="I61" s="39">
        <f t="shared" si="35"/>
        <v>-125.90000000000002</v>
      </c>
      <c r="J61" s="112">
        <f t="shared" si="35"/>
        <v>-125</v>
      </c>
      <c r="K61" s="112">
        <f t="shared" si="35"/>
        <v>-150</v>
      </c>
      <c r="L61" s="112">
        <f t="shared" si="35"/>
        <v>-150</v>
      </c>
      <c r="M61" s="112">
        <f t="shared" si="35"/>
        <v>-150</v>
      </c>
      <c r="N61" s="112">
        <f t="shared" si="35"/>
        <v>-150</v>
      </c>
    </row>
    <row r="62" spans="2:14">
      <c r="B62" s="19"/>
      <c r="F62" s="34"/>
      <c r="G62" s="34"/>
      <c r="H62" s="34"/>
      <c r="I62" s="34"/>
    </row>
    <row r="63" spans="2:14">
      <c r="B63" s="19"/>
      <c r="F63" s="34"/>
      <c r="G63" s="40"/>
      <c r="H63" s="40"/>
      <c r="I63" s="40"/>
    </row>
    <row r="64" spans="2:14">
      <c r="B64" s="19" t="s">
        <v>23</v>
      </c>
      <c r="F64" s="34"/>
      <c r="G64" s="34"/>
      <c r="H64" s="34"/>
      <c r="I64" s="34"/>
    </row>
    <row r="65" spans="2:14">
      <c r="B65" s="19"/>
      <c r="C65" s="2" t="s">
        <v>24</v>
      </c>
      <c r="E65" s="2" t="str">
        <f t="shared" ref="E65:E73" si="36">Currency</f>
        <v>$'m</v>
      </c>
      <c r="F65" s="38"/>
      <c r="G65" s="17">
        <v>0</v>
      </c>
      <c r="H65" s="17">
        <v>-64.900000000000034</v>
      </c>
      <c r="I65" s="17">
        <v>-0.1</v>
      </c>
      <c r="J65" s="2">
        <f ca="1">J352</f>
        <v>43.139940887580153</v>
      </c>
      <c r="K65" s="2">
        <f t="shared" ref="K65:N65" ca="1" si="37">K352</f>
        <v>-11.155491523289641</v>
      </c>
      <c r="L65" s="2">
        <f t="shared" ca="1" si="37"/>
        <v>7.8663391521952803</v>
      </c>
      <c r="M65" s="2">
        <f t="shared" ca="1" si="37"/>
        <v>-26.222432171379893</v>
      </c>
      <c r="N65" s="2">
        <f t="shared" ca="1" si="37"/>
        <v>-13.6283563451059</v>
      </c>
    </row>
    <row r="66" spans="2:14">
      <c r="B66" s="19"/>
      <c r="C66" s="18" t="s">
        <v>50</v>
      </c>
      <c r="E66" s="2" t="str">
        <f t="shared" si="36"/>
        <v>$'m</v>
      </c>
      <c r="F66" s="38"/>
      <c r="G66" s="17">
        <v>81.400000000000006</v>
      </c>
      <c r="H66" s="17">
        <v>13.199999999999989</v>
      </c>
      <c r="I66" s="17">
        <v>-4.8999999999999986</v>
      </c>
      <c r="J66" s="2">
        <f>-J327</f>
        <v>-20</v>
      </c>
      <c r="K66" s="2">
        <f t="shared" ref="K66:N66" si="38">-K327</f>
        <v>-20</v>
      </c>
      <c r="L66" s="2">
        <f t="shared" si="38"/>
        <v>-20</v>
      </c>
      <c r="M66" s="2">
        <f t="shared" si="38"/>
        <v>-20</v>
      </c>
      <c r="N66" s="2">
        <f t="shared" si="38"/>
        <v>-20</v>
      </c>
    </row>
    <row r="67" spans="2:14">
      <c r="B67" s="19"/>
      <c r="C67" s="18" t="s">
        <v>51</v>
      </c>
      <c r="E67" s="2" t="str">
        <f t="shared" si="36"/>
        <v>$'m</v>
      </c>
      <c r="F67" s="38"/>
      <c r="G67" s="17">
        <v>-36.4</v>
      </c>
      <c r="H67" s="17">
        <v>-62.1</v>
      </c>
      <c r="I67" s="17">
        <v>-49.2</v>
      </c>
      <c r="J67" s="2">
        <f>-J320</f>
        <v>-40</v>
      </c>
      <c r="K67" s="2">
        <f t="shared" ref="K67:N67" si="39">-K320</f>
        <v>-40</v>
      </c>
      <c r="L67" s="2">
        <f t="shared" si="39"/>
        <v>-40</v>
      </c>
      <c r="M67" s="2">
        <f t="shared" si="39"/>
        <v>-40</v>
      </c>
      <c r="N67" s="2">
        <f t="shared" si="39"/>
        <v>-40</v>
      </c>
    </row>
    <row r="68" spans="2:14">
      <c r="B68" s="19"/>
      <c r="C68" s="18" t="s">
        <v>188</v>
      </c>
      <c r="E68" s="2" t="str">
        <f t="shared" si="36"/>
        <v>$'m</v>
      </c>
      <c r="F68" s="38"/>
      <c r="G68" s="17">
        <v>0</v>
      </c>
      <c r="H68" s="17">
        <v>0</v>
      </c>
      <c r="I68" s="17">
        <v>0</v>
      </c>
      <c r="J68" s="2">
        <f>J287</f>
        <v>0</v>
      </c>
      <c r="K68" s="2">
        <f t="shared" ref="K68:N68" si="40">K287</f>
        <v>50</v>
      </c>
      <c r="L68" s="2">
        <f t="shared" si="40"/>
        <v>0</v>
      </c>
      <c r="M68" s="2">
        <f t="shared" si="40"/>
        <v>0</v>
      </c>
      <c r="N68" s="2">
        <f t="shared" si="40"/>
        <v>0</v>
      </c>
    </row>
    <row r="69" spans="2:14">
      <c r="B69" s="19"/>
      <c r="C69" s="18" t="s">
        <v>57</v>
      </c>
      <c r="E69" s="2" t="str">
        <f t="shared" si="36"/>
        <v>$'m</v>
      </c>
      <c r="F69" s="38"/>
      <c r="G69" s="17">
        <v>0</v>
      </c>
      <c r="H69" s="17">
        <v>0</v>
      </c>
      <c r="I69" s="17">
        <v>75</v>
      </c>
      <c r="J69" s="2">
        <f>J294</f>
        <v>0</v>
      </c>
      <c r="K69" s="2">
        <f t="shared" ref="K69:N69" si="41">K294</f>
        <v>0</v>
      </c>
      <c r="L69" s="2">
        <f t="shared" si="41"/>
        <v>0</v>
      </c>
      <c r="M69" s="2">
        <f t="shared" si="41"/>
        <v>0</v>
      </c>
      <c r="N69" s="2">
        <f t="shared" si="41"/>
        <v>0</v>
      </c>
    </row>
    <row r="70" spans="2:14" s="120" customFormat="1">
      <c r="B70" s="118"/>
      <c r="C70" s="119" t="s">
        <v>213</v>
      </c>
      <c r="F70" s="121"/>
      <c r="G70" s="122"/>
      <c r="H70" s="122"/>
      <c r="I70" s="122"/>
      <c r="J70" s="120">
        <f>-J290</f>
        <v>0</v>
      </c>
      <c r="K70" s="120">
        <f t="shared" ref="K70:N70" si="42">-K290</f>
        <v>-4</v>
      </c>
      <c r="L70" s="120">
        <f t="shared" si="42"/>
        <v>-4</v>
      </c>
      <c r="M70" s="120">
        <f t="shared" si="42"/>
        <v>-4</v>
      </c>
      <c r="N70" s="120">
        <f t="shared" si="42"/>
        <v>-4</v>
      </c>
    </row>
    <row r="71" spans="2:14" s="120" customFormat="1">
      <c r="B71" s="118"/>
      <c r="C71" s="119" t="s">
        <v>214</v>
      </c>
      <c r="F71" s="121"/>
      <c r="G71" s="122"/>
      <c r="H71" s="122"/>
      <c r="I71" s="122"/>
      <c r="J71" s="120">
        <f ca="1">-J300</f>
        <v>0</v>
      </c>
      <c r="K71" s="120">
        <f t="shared" ref="K71:N71" ca="1" si="43">-K300</f>
        <v>0</v>
      </c>
      <c r="L71" s="120">
        <f t="shared" ca="1" si="43"/>
        <v>-0.32816221164533776</v>
      </c>
      <c r="M71" s="120">
        <f t="shared" ca="1" si="43"/>
        <v>-5.1208381730190444</v>
      </c>
      <c r="N71" s="120">
        <f t="shared" ca="1" si="43"/>
        <v>-8.7718698434552795</v>
      </c>
    </row>
    <row r="72" spans="2:14">
      <c r="B72" s="19"/>
      <c r="C72" s="2" t="s">
        <v>29</v>
      </c>
      <c r="E72" s="2" t="str">
        <f t="shared" si="36"/>
        <v>$'m</v>
      </c>
      <c r="F72" s="38"/>
      <c r="G72" s="16">
        <v>0.8</v>
      </c>
      <c r="H72" s="16">
        <v>0</v>
      </c>
      <c r="I72" s="16">
        <v>0.4</v>
      </c>
      <c r="J72" s="2">
        <f>Assumptions!J128</f>
        <v>0</v>
      </c>
      <c r="K72" s="2">
        <f>Assumptions!K128</f>
        <v>0</v>
      </c>
      <c r="L72" s="2">
        <f>Assumptions!L128</f>
        <v>0</v>
      </c>
      <c r="M72" s="2">
        <f>Assumptions!M128</f>
        <v>0</v>
      </c>
      <c r="N72" s="2">
        <f>Assumptions!N128</f>
        <v>0</v>
      </c>
    </row>
    <row r="73" spans="2:14">
      <c r="B73" s="19"/>
      <c r="C73" s="9" t="s">
        <v>25</v>
      </c>
      <c r="E73" s="2" t="str">
        <f t="shared" si="36"/>
        <v>$'m</v>
      </c>
      <c r="F73" s="38"/>
      <c r="G73" s="39">
        <f>SUM(G65:G72)</f>
        <v>45.800000000000004</v>
      </c>
      <c r="H73" s="39">
        <f>SUM(H65:H72)</f>
        <v>-113.80000000000004</v>
      </c>
      <c r="I73" s="39">
        <f>SUM(I65:I72)</f>
        <v>21.199999999999996</v>
      </c>
      <c r="J73" s="112">
        <f ca="1">SUM(J65:J72)</f>
        <v>-16.860059112419847</v>
      </c>
      <c r="K73" s="112">
        <f t="shared" ref="K73:N73" ca="1" si="44">SUM(K65:K72)</f>
        <v>-25.155491523289641</v>
      </c>
      <c r="L73" s="112">
        <f t="shared" ca="1" si="44"/>
        <v>-56.461823059450055</v>
      </c>
      <c r="M73" s="112">
        <f t="shared" ca="1" si="44"/>
        <v>-95.343270344398931</v>
      </c>
      <c r="N73" s="112">
        <f t="shared" ca="1" si="44"/>
        <v>-86.400226188561177</v>
      </c>
    </row>
    <row r="74" spans="2:14">
      <c r="B74" s="19"/>
      <c r="C74" s="9"/>
      <c r="F74" s="38"/>
    </row>
    <row r="75" spans="2:14">
      <c r="C75" s="11" t="s">
        <v>45</v>
      </c>
      <c r="E75" s="2" t="str">
        <f>Currency</f>
        <v>$'m</v>
      </c>
      <c r="F75" s="38"/>
      <c r="G75" s="41">
        <f>G73+G61+G54</f>
        <v>90.299999999999983</v>
      </c>
      <c r="H75" s="41">
        <f>H73+H61+H54</f>
        <v>-100.90000000000002</v>
      </c>
      <c r="I75" s="41">
        <f>I73+I61+I54</f>
        <v>18.499999999999957</v>
      </c>
      <c r="J75" s="41">
        <f ca="1">J73+J61+J54</f>
        <v>-18.499999999999943</v>
      </c>
      <c r="K75" s="41">
        <f t="shared" ref="K75:N75" ca="1" si="45">K73+K61+K54</f>
        <v>-4</v>
      </c>
      <c r="L75" s="41">
        <f t="shared" ca="1" si="45"/>
        <v>-0.32816221164534909</v>
      </c>
      <c r="M75" s="41">
        <f t="shared" ca="1" si="45"/>
        <v>-4.7926759613737033</v>
      </c>
      <c r="N75" s="41">
        <f t="shared" ca="1" si="45"/>
        <v>34.203270190161049</v>
      </c>
    </row>
    <row r="76" spans="2:14">
      <c r="C76" s="11" t="s">
        <v>46</v>
      </c>
      <c r="E76" s="2" t="str">
        <f>Currency</f>
        <v>$'m</v>
      </c>
      <c r="F76" s="38"/>
      <c r="G76" s="16">
        <v>10.6</v>
      </c>
      <c r="H76" s="42">
        <f>G77</f>
        <v>100.89999999999998</v>
      </c>
      <c r="I76" s="42">
        <f>H77</f>
        <v>0</v>
      </c>
      <c r="J76" s="42">
        <f>I77</f>
        <v>18.499999999999957</v>
      </c>
      <c r="K76" s="42">
        <f t="shared" ref="K76:N76" ca="1" si="46">J77</f>
        <v>0</v>
      </c>
      <c r="L76" s="42">
        <f t="shared" ca="1" si="46"/>
        <v>-4</v>
      </c>
      <c r="M76" s="42">
        <f t="shared" ca="1" si="46"/>
        <v>-4.3281622116453491</v>
      </c>
      <c r="N76" s="42">
        <f t="shared" ca="1" si="46"/>
        <v>-9.1208381730190524</v>
      </c>
    </row>
    <row r="77" spans="2:14">
      <c r="C77" s="13" t="s">
        <v>47</v>
      </c>
      <c r="E77" s="2" t="str">
        <f>Currency</f>
        <v>$'m</v>
      </c>
      <c r="F77" s="38"/>
      <c r="G77" s="15">
        <f>G76+G75</f>
        <v>100.89999999999998</v>
      </c>
      <c r="H77" s="15">
        <f>H76+H75</f>
        <v>0</v>
      </c>
      <c r="I77" s="15">
        <f>I76+I75</f>
        <v>18.499999999999957</v>
      </c>
      <c r="J77" s="102">
        <f ca="1">J76+J75</f>
        <v>0</v>
      </c>
      <c r="K77" s="102">
        <f t="shared" ref="K77:N77" ca="1" si="47">K76+K75</f>
        <v>-4</v>
      </c>
      <c r="L77" s="102">
        <f t="shared" ca="1" si="47"/>
        <v>-4.3281622116453491</v>
      </c>
      <c r="M77" s="102">
        <f t="shared" ca="1" si="47"/>
        <v>-9.1208381730190524</v>
      </c>
      <c r="N77" s="102">
        <f t="shared" ca="1" si="47"/>
        <v>25.082432017141997</v>
      </c>
    </row>
    <row r="78" spans="2:14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81" spans="2:14" ht="23.4">
      <c r="B81" s="1" t="str">
        <f>$B$2</f>
        <v>SecureIT Data Centres LLC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spans="2:14" ht="18">
      <c r="B82" s="3" t="s">
        <v>26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2:14" ht="6" customHeight="1" thickBot="1">
      <c r="B83" s="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</row>
    <row r="84" spans="2:14">
      <c r="B84" s="5" t="str">
        <f>$B$5</f>
        <v>Millions for the Year Ended December 31</v>
      </c>
      <c r="D84" s="9"/>
      <c r="E84" s="9"/>
      <c r="G84" s="43"/>
      <c r="H84" s="43"/>
      <c r="I84" s="43"/>
      <c r="J84" s="87" t="s">
        <v>69</v>
      </c>
      <c r="K84" s="87"/>
      <c r="L84" s="87"/>
      <c r="M84" s="87"/>
      <c r="N84" s="87"/>
    </row>
    <row r="85" spans="2:14">
      <c r="B85" s="44"/>
      <c r="F85" s="33"/>
      <c r="G85" s="8">
        <f>G$7</f>
        <v>2022</v>
      </c>
      <c r="H85" s="8">
        <f t="shared" ref="H85:I85" si="48">H$7</f>
        <v>2023</v>
      </c>
      <c r="I85" s="8">
        <f t="shared" si="48"/>
        <v>2024</v>
      </c>
      <c r="J85" s="85">
        <f>J46</f>
        <v>2025</v>
      </c>
      <c r="K85" s="85">
        <f t="shared" ref="K85:N85" si="49">K46</f>
        <v>2026</v>
      </c>
      <c r="L85" s="85">
        <f t="shared" si="49"/>
        <v>2027</v>
      </c>
      <c r="M85" s="85">
        <f t="shared" si="49"/>
        <v>2028</v>
      </c>
      <c r="N85" s="85">
        <f t="shared" si="49"/>
        <v>2029</v>
      </c>
    </row>
    <row r="86" spans="2:14">
      <c r="B86" s="9" t="s">
        <v>27</v>
      </c>
    </row>
    <row r="87" spans="2:14">
      <c r="B87" s="9"/>
      <c r="C87" s="2" t="s">
        <v>60</v>
      </c>
      <c r="E87" s="2" t="str">
        <f>Currency</f>
        <v>$'m</v>
      </c>
      <c r="G87" s="17">
        <v>100.89999999999998</v>
      </c>
      <c r="H87" s="17">
        <v>0</v>
      </c>
      <c r="I87" s="17">
        <v>18.500000000000043</v>
      </c>
      <c r="J87" s="2">
        <f ca="1">J77</f>
        <v>0</v>
      </c>
      <c r="K87" s="2">
        <f t="shared" ref="K87:N87" ca="1" si="50">K77</f>
        <v>-4</v>
      </c>
      <c r="L87" s="2">
        <f t="shared" ca="1" si="50"/>
        <v>-4.3281622116453491</v>
      </c>
      <c r="M87" s="2">
        <f t="shared" ca="1" si="50"/>
        <v>-9.1208381730190524</v>
      </c>
      <c r="N87" s="2">
        <f t="shared" ca="1" si="50"/>
        <v>25.082432017141997</v>
      </c>
    </row>
    <row r="88" spans="2:14">
      <c r="C88" s="2" t="s">
        <v>28</v>
      </c>
      <c r="E88" s="2" t="str">
        <f>Currency</f>
        <v>$'m</v>
      </c>
      <c r="F88" s="36"/>
      <c r="G88" s="17">
        <v>33.5</v>
      </c>
      <c r="H88" s="17">
        <v>18.3</v>
      </c>
      <c r="I88" s="17">
        <v>28.3</v>
      </c>
      <c r="J88" s="2">
        <f>J263</f>
        <v>29.583655848261326</v>
      </c>
      <c r="K88" s="2">
        <f t="shared" ref="K88:N88" si="51">K263</f>
        <v>31.228418804004214</v>
      </c>
      <c r="L88" s="2">
        <f t="shared" si="51"/>
        <v>32.936930122629079</v>
      </c>
      <c r="M88" s="2">
        <f t="shared" si="51"/>
        <v>34.616509493395981</v>
      </c>
      <c r="N88" s="2">
        <f t="shared" si="51"/>
        <v>36.553903743049823</v>
      </c>
    </row>
    <row r="89" spans="2:14">
      <c r="C89" s="2" t="s">
        <v>61</v>
      </c>
      <c r="E89" s="2" t="str">
        <f>Currency</f>
        <v>$'m</v>
      </c>
      <c r="F89" s="36"/>
      <c r="G89" s="17">
        <v>41.9</v>
      </c>
      <c r="H89" s="17">
        <v>37.5</v>
      </c>
      <c r="I89" s="17">
        <v>38.1</v>
      </c>
      <c r="J89" s="2">
        <f t="shared" ref="J89:N90" si="52">J264</f>
        <v>39.586748155953636</v>
      </c>
      <c r="K89" s="2">
        <f t="shared" si="52"/>
        <v>38.328730672286618</v>
      </c>
      <c r="L89" s="2">
        <f t="shared" si="52"/>
        <v>36.972710367629084</v>
      </c>
      <c r="M89" s="2">
        <f t="shared" si="52"/>
        <v>35.417598870234556</v>
      </c>
      <c r="N89" s="2">
        <f t="shared" si="52"/>
        <v>33.950310186155029</v>
      </c>
    </row>
    <row r="90" spans="2:14">
      <c r="C90" s="18" t="s">
        <v>118</v>
      </c>
      <c r="E90" s="2" t="str">
        <f>Currency</f>
        <v>$'m</v>
      </c>
      <c r="F90" s="36"/>
      <c r="G90" s="16">
        <v>0.3</v>
      </c>
      <c r="H90" s="16">
        <v>0.2</v>
      </c>
      <c r="I90" s="16">
        <v>0.4</v>
      </c>
      <c r="J90" s="2">
        <f t="shared" si="52"/>
        <v>0.33931498419388828</v>
      </c>
      <c r="K90" s="2">
        <f t="shared" si="52"/>
        <v>0.34844300611169648</v>
      </c>
      <c r="L90" s="2">
        <f t="shared" si="52"/>
        <v>0.3578004229125395</v>
      </c>
      <c r="M90" s="2">
        <f t="shared" si="52"/>
        <v>0.36638895383001263</v>
      </c>
      <c r="N90" s="2">
        <f t="shared" si="52"/>
        <v>0.37722566873505586</v>
      </c>
    </row>
    <row r="91" spans="2:14">
      <c r="C91" s="13" t="s">
        <v>30</v>
      </c>
      <c r="E91" s="2" t="str">
        <f>Currency</f>
        <v>$'m</v>
      </c>
      <c r="F91" s="34"/>
      <c r="G91" s="41">
        <f>SUM(G87:G90)</f>
        <v>176.6</v>
      </c>
      <c r="H91" s="41">
        <f t="shared" ref="H91:N91" si="53">SUM(H87:H90)</f>
        <v>56</v>
      </c>
      <c r="I91" s="41">
        <f t="shared" si="53"/>
        <v>85.30000000000004</v>
      </c>
      <c r="J91" s="45">
        <f t="shared" ca="1" si="53"/>
        <v>69.509718988408849</v>
      </c>
      <c r="K91" s="45">
        <f t="shared" ca="1" si="53"/>
        <v>65.905592482402525</v>
      </c>
      <c r="L91" s="45">
        <f t="shared" ca="1" si="53"/>
        <v>65.939278701525353</v>
      </c>
      <c r="M91" s="45">
        <f t="shared" ca="1" si="53"/>
        <v>61.279659144441496</v>
      </c>
      <c r="N91" s="45">
        <f t="shared" ca="1" si="53"/>
        <v>95.963871615081899</v>
      </c>
    </row>
    <row r="92" spans="2:14" ht="10.95" customHeight="1">
      <c r="F92" s="34"/>
      <c r="G92" s="17"/>
      <c r="H92" s="17"/>
      <c r="I92" s="17"/>
    </row>
    <row r="93" spans="2:14">
      <c r="C93" s="2" t="s">
        <v>31</v>
      </c>
      <c r="E93" s="2" t="str">
        <f>Currency</f>
        <v>$'m</v>
      </c>
      <c r="F93" s="36"/>
      <c r="G93" s="17">
        <v>1580.7</v>
      </c>
      <c r="H93" s="17">
        <v>1517.6000000000001</v>
      </c>
      <c r="I93" s="17">
        <v>1505.4</v>
      </c>
      <c r="J93" s="2">
        <f>J215</f>
        <v>1470.9314285714286</v>
      </c>
      <c r="K93" s="2">
        <f t="shared" ref="K93:N93" si="54">K215</f>
        <v>1450.7485714285715</v>
      </c>
      <c r="L93" s="2">
        <f t="shared" si="54"/>
        <v>1419.8514285714286</v>
      </c>
      <c r="M93" s="2">
        <f t="shared" si="54"/>
        <v>1378.24</v>
      </c>
      <c r="N93" s="2">
        <f t="shared" si="54"/>
        <v>1325.9142857142856</v>
      </c>
    </row>
    <row r="94" spans="2:14">
      <c r="C94" s="2" t="s">
        <v>32</v>
      </c>
      <c r="E94" s="2" t="str">
        <f>Currency</f>
        <v>$'m</v>
      </c>
      <c r="F94" s="36"/>
      <c r="G94" s="17">
        <v>706.2</v>
      </c>
      <c r="H94" s="17">
        <v>704.1</v>
      </c>
      <c r="I94" s="17">
        <v>702.6</v>
      </c>
      <c r="J94" s="2">
        <f>I94+Assumptions!J125</f>
        <v>702.6</v>
      </c>
      <c r="K94" s="2">
        <f>J94+Assumptions!K125</f>
        <v>702.6</v>
      </c>
      <c r="L94" s="2">
        <f>K94+Assumptions!L125</f>
        <v>702.6</v>
      </c>
      <c r="M94" s="2">
        <f>L94+Assumptions!M125</f>
        <v>702.6</v>
      </c>
      <c r="N94" s="2">
        <f>M94+Assumptions!N125</f>
        <v>702.6</v>
      </c>
    </row>
    <row r="95" spans="2:14">
      <c r="C95" s="2" t="s">
        <v>33</v>
      </c>
      <c r="E95" s="2" t="str">
        <f>Currency</f>
        <v>$'m</v>
      </c>
      <c r="F95" s="36"/>
      <c r="G95" s="17">
        <v>234.9</v>
      </c>
      <c r="H95" s="17">
        <v>232.7</v>
      </c>
      <c r="I95" s="17">
        <v>230.2</v>
      </c>
      <c r="J95" s="2">
        <f>I95+Assumptions!J126</f>
        <v>230.2</v>
      </c>
      <c r="K95" s="2">
        <f>J95+Assumptions!K126</f>
        <v>230.2</v>
      </c>
      <c r="L95" s="2">
        <f>K95+Assumptions!L126</f>
        <v>230.2</v>
      </c>
      <c r="M95" s="2">
        <f>L95+Assumptions!M126</f>
        <v>230.2</v>
      </c>
      <c r="N95" s="2">
        <f>M95+Assumptions!N126</f>
        <v>230.2</v>
      </c>
    </row>
    <row r="96" spans="2:14">
      <c r="C96" s="18" t="s">
        <v>119</v>
      </c>
      <c r="E96" s="2" t="str">
        <f>Currency</f>
        <v>$'m</v>
      </c>
      <c r="F96" s="36"/>
      <c r="G96" s="17">
        <v>23.7</v>
      </c>
      <c r="H96" s="17">
        <v>25.6</v>
      </c>
      <c r="I96" s="17">
        <v>24.7</v>
      </c>
      <c r="J96" s="2">
        <f>I96+Assumptions!J127</f>
        <v>24.7</v>
      </c>
      <c r="K96" s="2">
        <f>J96+Assumptions!K127</f>
        <v>24.7</v>
      </c>
      <c r="L96" s="2">
        <f>K96+Assumptions!L127</f>
        <v>24.7</v>
      </c>
      <c r="M96" s="2">
        <f>L96+Assumptions!M127</f>
        <v>24.7</v>
      </c>
      <c r="N96" s="2">
        <f>M96+Assumptions!N127</f>
        <v>24.7</v>
      </c>
    </row>
    <row r="97" spans="2:14">
      <c r="C97" s="19" t="s">
        <v>34</v>
      </c>
      <c r="E97" s="2" t="str">
        <f>Currency</f>
        <v>$'m</v>
      </c>
      <c r="F97" s="36"/>
      <c r="G97" s="45">
        <f>SUM(G93:G96)</f>
        <v>2545.5</v>
      </c>
      <c r="H97" s="45">
        <f t="shared" ref="H97" si="55">SUM(H93:H96)</f>
        <v>2480</v>
      </c>
      <c r="I97" s="45">
        <f>SUM(I93:I96)</f>
        <v>2462.8999999999996</v>
      </c>
      <c r="J97" s="45">
        <f t="shared" ref="J97:N97" si="56">SUM(J93:J96)</f>
        <v>2428.4314285714281</v>
      </c>
      <c r="K97" s="45">
        <f t="shared" si="56"/>
        <v>2408.2485714285713</v>
      </c>
      <c r="L97" s="45">
        <f t="shared" si="56"/>
        <v>2377.3514285714282</v>
      </c>
      <c r="M97" s="45">
        <f t="shared" si="56"/>
        <v>2335.7399999999998</v>
      </c>
      <c r="N97" s="45">
        <f t="shared" si="56"/>
        <v>2283.4142857142851</v>
      </c>
    </row>
    <row r="98" spans="2:14" ht="10.95" customHeight="1">
      <c r="C98" s="18"/>
      <c r="F98" s="34"/>
      <c r="G98" s="46"/>
      <c r="H98" s="46"/>
      <c r="I98" s="46"/>
    </row>
    <row r="99" spans="2:14" ht="14.4" thickBot="1">
      <c r="C99" s="9" t="s">
        <v>35</v>
      </c>
      <c r="E99" s="2" t="str">
        <f>Currency</f>
        <v>$'m</v>
      </c>
      <c r="F99" s="38"/>
      <c r="G99" s="47">
        <f>G91+G97</f>
        <v>2722.1</v>
      </c>
      <c r="H99" s="47">
        <f t="shared" ref="H99:N99" si="57">H91+H97</f>
        <v>2536</v>
      </c>
      <c r="I99" s="47">
        <f t="shared" si="57"/>
        <v>2548.1999999999998</v>
      </c>
      <c r="J99" s="47">
        <f t="shared" ca="1" si="57"/>
        <v>2497.9411475598372</v>
      </c>
      <c r="K99" s="47">
        <f t="shared" ca="1" si="57"/>
        <v>2474.1541639109737</v>
      </c>
      <c r="L99" s="47">
        <f t="shared" ca="1" si="57"/>
        <v>2443.2907072729536</v>
      </c>
      <c r="M99" s="47">
        <f t="shared" ca="1" si="57"/>
        <v>2397.0196591444414</v>
      </c>
      <c r="N99" s="47">
        <f t="shared" ca="1" si="57"/>
        <v>2379.3781573293672</v>
      </c>
    </row>
    <row r="100" spans="2:14" ht="14.4" thickTop="1">
      <c r="F100" s="34"/>
      <c r="G100" s="34"/>
      <c r="H100" s="34"/>
      <c r="I100" s="34"/>
    </row>
    <row r="101" spans="2:14">
      <c r="F101" s="34"/>
      <c r="G101" s="34"/>
      <c r="H101" s="34"/>
      <c r="I101" s="34"/>
    </row>
    <row r="102" spans="2:14">
      <c r="B102" s="13" t="s">
        <v>36</v>
      </c>
      <c r="F102" s="34"/>
      <c r="G102" s="34"/>
      <c r="H102" s="34"/>
      <c r="I102" s="34"/>
    </row>
    <row r="103" spans="2:14">
      <c r="C103" s="18" t="s">
        <v>37</v>
      </c>
      <c r="E103" s="2" t="str">
        <f t="shared" ref="E103:E108" si="58">Currency</f>
        <v>$'m</v>
      </c>
      <c r="F103" s="36"/>
      <c r="G103" s="17">
        <v>65</v>
      </c>
      <c r="H103" s="17">
        <v>0.1</v>
      </c>
      <c r="I103" s="17">
        <v>0</v>
      </c>
      <c r="J103" s="2">
        <f ca="1">J353</f>
        <v>43.139940887580153</v>
      </c>
      <c r="K103" s="2">
        <f t="shared" ref="K103:N103" ca="1" si="59">K353</f>
        <v>31.984449364290512</v>
      </c>
      <c r="L103" s="2">
        <f t="shared" ca="1" si="59"/>
        <v>39.850788516485792</v>
      </c>
      <c r="M103" s="2">
        <f t="shared" ca="1" si="59"/>
        <v>13.6283563451059</v>
      </c>
      <c r="N103" s="2">
        <f t="shared" ca="1" si="59"/>
        <v>0</v>
      </c>
    </row>
    <row r="104" spans="2:14">
      <c r="C104" s="18" t="s">
        <v>38</v>
      </c>
      <c r="E104" s="2" t="str">
        <f t="shared" si="58"/>
        <v>$'m</v>
      </c>
      <c r="F104" s="36"/>
      <c r="G104" s="17">
        <v>48.9</v>
      </c>
      <c r="H104" s="17">
        <v>57.9</v>
      </c>
      <c r="I104" s="17">
        <v>61.9</v>
      </c>
      <c r="J104" s="2">
        <f>J267</f>
        <v>58.927702255005272</v>
      </c>
      <c r="K104" s="2">
        <f t="shared" ref="K104:N104" si="60">K267</f>
        <v>60.512935394731294</v>
      </c>
      <c r="L104" s="2">
        <f t="shared" si="60"/>
        <v>62.138006779144362</v>
      </c>
      <c r="M104" s="2">
        <f t="shared" si="60"/>
        <v>63.629548315145527</v>
      </c>
      <c r="N104" s="2">
        <f t="shared" si="60"/>
        <v>65.511524470321376</v>
      </c>
    </row>
    <row r="105" spans="2:14">
      <c r="C105" s="18" t="s">
        <v>62</v>
      </c>
      <c r="E105" s="2" t="str">
        <f t="shared" si="58"/>
        <v>$'m</v>
      </c>
      <c r="F105" s="36"/>
      <c r="G105" s="17">
        <v>88.4</v>
      </c>
      <c r="H105" s="17">
        <v>65.3</v>
      </c>
      <c r="I105" s="17">
        <v>81.400000000000006</v>
      </c>
      <c r="J105" s="2">
        <f t="shared" ref="J105:N107" si="61">J268</f>
        <v>82.114226174920972</v>
      </c>
      <c r="K105" s="2">
        <f t="shared" si="61"/>
        <v>84.323207479030557</v>
      </c>
      <c r="L105" s="2">
        <f t="shared" si="61"/>
        <v>86.587702344834554</v>
      </c>
      <c r="M105" s="2">
        <f t="shared" si="61"/>
        <v>88.666126826863049</v>
      </c>
      <c r="N105" s="2">
        <f t="shared" si="61"/>
        <v>91.288611833883522</v>
      </c>
    </row>
    <row r="106" spans="2:14">
      <c r="C106" s="18" t="s">
        <v>63</v>
      </c>
      <c r="E106" s="2" t="str">
        <f t="shared" si="58"/>
        <v>$'m</v>
      </c>
      <c r="F106" s="36"/>
      <c r="G106" s="35">
        <v>60.2</v>
      </c>
      <c r="H106" s="35">
        <v>60.7</v>
      </c>
      <c r="I106" s="35">
        <v>73.099999999999994</v>
      </c>
      <c r="J106" s="2">
        <f t="shared" si="61"/>
        <v>67.74989184404636</v>
      </c>
      <c r="K106" s="2">
        <f t="shared" si="61"/>
        <v>69.572453553635398</v>
      </c>
      <c r="L106" s="2">
        <f t="shared" si="61"/>
        <v>71.440817774870382</v>
      </c>
      <c r="M106" s="2">
        <f t="shared" si="61"/>
        <v>73.155661114725859</v>
      </c>
      <c r="N106" s="2">
        <f t="shared" si="61"/>
        <v>75.319391857432819</v>
      </c>
    </row>
    <row r="107" spans="2:14">
      <c r="C107" s="18" t="s">
        <v>120</v>
      </c>
      <c r="E107" s="2" t="str">
        <f t="shared" si="58"/>
        <v>$'m</v>
      </c>
      <c r="F107" s="36"/>
      <c r="G107" s="16">
        <v>6.8</v>
      </c>
      <c r="H107" s="16">
        <v>7.1</v>
      </c>
      <c r="I107" s="16">
        <v>6.9</v>
      </c>
      <c r="J107" s="2">
        <f t="shared" si="61"/>
        <v>7.2387196628029518</v>
      </c>
      <c r="K107" s="2">
        <f t="shared" si="61"/>
        <v>7.4334507970495265</v>
      </c>
      <c r="L107" s="2">
        <f t="shared" si="61"/>
        <v>7.6330756888008437</v>
      </c>
      <c r="M107" s="2">
        <f t="shared" si="61"/>
        <v>7.8162976817069358</v>
      </c>
      <c r="N107" s="2">
        <f t="shared" si="61"/>
        <v>8.0474809330145263</v>
      </c>
    </row>
    <row r="108" spans="2:14">
      <c r="C108" s="13" t="s">
        <v>39</v>
      </c>
      <c r="E108" s="2" t="str">
        <f t="shared" si="58"/>
        <v>$'m</v>
      </c>
      <c r="F108" s="34"/>
      <c r="G108" s="41">
        <f>SUM(G103:G107)</f>
        <v>269.3</v>
      </c>
      <c r="H108" s="41">
        <f t="shared" ref="H108" si="62">SUM(H103:H107)</f>
        <v>191.1</v>
      </c>
      <c r="I108" s="41">
        <f>SUM(I103:I107)</f>
        <v>223.3</v>
      </c>
      <c r="J108" s="45">
        <f t="shared" ref="J108:N108" ca="1" si="63">SUM(J103:J107)</f>
        <v>259.17048082435571</v>
      </c>
      <c r="K108" s="45">
        <f t="shared" ca="1" si="63"/>
        <v>253.82649658873729</v>
      </c>
      <c r="L108" s="45">
        <f t="shared" ca="1" si="63"/>
        <v>267.65039110413591</v>
      </c>
      <c r="M108" s="45">
        <f t="shared" ca="1" si="63"/>
        <v>246.89599028354726</v>
      </c>
      <c r="N108" s="45">
        <f t="shared" ca="1" si="63"/>
        <v>240.16700909465226</v>
      </c>
    </row>
    <row r="109" spans="2:14" ht="10.95" customHeight="1">
      <c r="F109" s="34"/>
      <c r="G109" s="34"/>
      <c r="H109" s="34"/>
      <c r="I109" s="34"/>
    </row>
    <row r="110" spans="2:14">
      <c r="C110" s="18" t="s">
        <v>48</v>
      </c>
      <c r="E110" s="2" t="str">
        <f>Currency</f>
        <v>$'m</v>
      </c>
      <c r="F110" s="48"/>
      <c r="G110" s="17">
        <v>1000.2</v>
      </c>
      <c r="H110" s="17">
        <v>1013.4000000000001</v>
      </c>
      <c r="I110" s="17">
        <v>1008.5000000000001</v>
      </c>
      <c r="J110" s="2">
        <f>J328</f>
        <v>988.50000000000011</v>
      </c>
      <c r="K110" s="2">
        <f t="shared" ref="K110:N110" si="64">K328</f>
        <v>968.50000000000011</v>
      </c>
      <c r="L110" s="2">
        <f t="shared" si="64"/>
        <v>948.50000000000011</v>
      </c>
      <c r="M110" s="2">
        <f t="shared" si="64"/>
        <v>928.50000000000011</v>
      </c>
      <c r="N110" s="2">
        <f t="shared" si="64"/>
        <v>908.50000000000011</v>
      </c>
    </row>
    <row r="111" spans="2:14">
      <c r="C111" s="18" t="s">
        <v>49</v>
      </c>
      <c r="E111" s="2" t="str">
        <f>Currency</f>
        <v>$'m</v>
      </c>
      <c r="F111" s="48"/>
      <c r="G111" s="17">
        <v>723.1</v>
      </c>
      <c r="H111" s="17">
        <v>661</v>
      </c>
      <c r="I111" s="17">
        <v>611.79999999999995</v>
      </c>
      <c r="J111" s="2">
        <f>J321</f>
        <v>571.79999999999995</v>
      </c>
      <c r="K111" s="2">
        <f t="shared" ref="K111:N111" si="65">K321</f>
        <v>531.79999999999995</v>
      </c>
      <c r="L111" s="2">
        <f t="shared" si="65"/>
        <v>491.79999999999995</v>
      </c>
      <c r="M111" s="2">
        <f t="shared" si="65"/>
        <v>451.79999999999995</v>
      </c>
      <c r="N111" s="2">
        <f t="shared" si="65"/>
        <v>411.79999999999995</v>
      </c>
    </row>
    <row r="112" spans="2:14">
      <c r="C112" s="2" t="s">
        <v>12</v>
      </c>
      <c r="E112" s="2" t="str">
        <f>Currency</f>
        <v>$'m</v>
      </c>
      <c r="F112" s="48"/>
      <c r="G112" s="17">
        <v>77.8</v>
      </c>
      <c r="H112" s="17">
        <v>60</v>
      </c>
      <c r="I112" s="17">
        <v>53.3</v>
      </c>
      <c r="J112" s="2">
        <f>I112+J242</f>
        <v>67.3</v>
      </c>
      <c r="K112" s="2">
        <f t="shared" ref="K112:N112" si="66">J112+K242</f>
        <v>81.3</v>
      </c>
      <c r="L112" s="2">
        <f t="shared" si="66"/>
        <v>95.3</v>
      </c>
      <c r="M112" s="2">
        <f t="shared" si="66"/>
        <v>109.3</v>
      </c>
      <c r="N112" s="2">
        <f t="shared" si="66"/>
        <v>123.3</v>
      </c>
    </row>
    <row r="113" spans="2:14">
      <c r="C113" s="18" t="s">
        <v>121</v>
      </c>
      <c r="E113" s="2" t="str">
        <f>Currency</f>
        <v>$'m</v>
      </c>
      <c r="F113" s="48"/>
      <c r="G113" s="16">
        <v>93.9</v>
      </c>
      <c r="H113" s="16">
        <v>91.5</v>
      </c>
      <c r="I113" s="16">
        <v>92.9</v>
      </c>
      <c r="J113" s="120">
        <f>I113+Assumptions!J129</f>
        <v>92.9</v>
      </c>
      <c r="K113" s="120">
        <f>J113+Assumptions!K129</f>
        <v>92.9</v>
      </c>
      <c r="L113" s="120">
        <f>K113+Assumptions!L129</f>
        <v>92.9</v>
      </c>
      <c r="M113" s="120">
        <f>L113+Assumptions!M129</f>
        <v>92.9</v>
      </c>
      <c r="N113" s="120">
        <f>M113+Assumptions!N129</f>
        <v>92.9</v>
      </c>
    </row>
    <row r="114" spans="2:14">
      <c r="C114" s="19" t="s">
        <v>40</v>
      </c>
      <c r="E114" s="2" t="str">
        <f>Currency</f>
        <v>$'m</v>
      </c>
      <c r="F114" s="36"/>
      <c r="G114" s="41">
        <f>SUM(G110:G113)</f>
        <v>1895.0000000000002</v>
      </c>
      <c r="H114" s="41">
        <f t="shared" ref="H114:N114" si="67">SUM(H110:H113)</f>
        <v>1825.9</v>
      </c>
      <c r="I114" s="41">
        <f t="shared" si="67"/>
        <v>1766.5000000000002</v>
      </c>
      <c r="J114" s="45">
        <f t="shared" si="67"/>
        <v>1720.5000000000002</v>
      </c>
      <c r="K114" s="45">
        <f t="shared" si="67"/>
        <v>1674.5000000000002</v>
      </c>
      <c r="L114" s="45">
        <f t="shared" si="67"/>
        <v>1628.5000000000002</v>
      </c>
      <c r="M114" s="45">
        <f t="shared" si="67"/>
        <v>1582.5000000000002</v>
      </c>
      <c r="N114" s="45">
        <f t="shared" si="67"/>
        <v>1536.5000000000002</v>
      </c>
    </row>
    <row r="115" spans="2:14" ht="10.95" customHeight="1">
      <c r="C115" s="13"/>
      <c r="F115" s="34"/>
      <c r="G115" s="46"/>
      <c r="H115" s="46"/>
      <c r="I115" s="46"/>
    </row>
    <row r="116" spans="2:14">
      <c r="C116" s="19" t="s">
        <v>41</v>
      </c>
      <c r="F116" s="38"/>
      <c r="G116" s="15">
        <f>G108+G114</f>
        <v>2164.3000000000002</v>
      </c>
      <c r="H116" s="15">
        <f t="shared" ref="H116:N116" si="68">H108+H114</f>
        <v>2017</v>
      </c>
      <c r="I116" s="15">
        <f t="shared" si="68"/>
        <v>1989.8000000000002</v>
      </c>
      <c r="J116" s="15">
        <f t="shared" ca="1" si="68"/>
        <v>1979.670480824356</v>
      </c>
      <c r="K116" s="15">
        <f t="shared" ca="1" si="68"/>
        <v>1928.3264965887374</v>
      </c>
      <c r="L116" s="15">
        <f t="shared" ca="1" si="68"/>
        <v>1896.1503911041361</v>
      </c>
      <c r="M116" s="15">
        <f t="shared" ca="1" si="68"/>
        <v>1829.3959902835475</v>
      </c>
      <c r="N116" s="15">
        <f t="shared" ca="1" si="68"/>
        <v>1776.6670090946525</v>
      </c>
    </row>
    <row r="117" spans="2:14" ht="10.95" customHeight="1">
      <c r="F117" s="34"/>
      <c r="G117" s="34"/>
      <c r="H117" s="34"/>
      <c r="I117" s="34"/>
    </row>
    <row r="118" spans="2:14" ht="10.95" customHeight="1">
      <c r="C118" s="2" t="s">
        <v>187</v>
      </c>
      <c r="E118" s="2" t="str">
        <f>Currency</f>
        <v>$'m</v>
      </c>
      <c r="F118" s="34"/>
      <c r="G118" s="17">
        <v>0</v>
      </c>
      <c r="H118" s="17">
        <v>0</v>
      </c>
      <c r="I118" s="17">
        <v>0</v>
      </c>
      <c r="J118" s="2">
        <f>J288</f>
        <v>0</v>
      </c>
      <c r="K118" s="2">
        <f t="shared" ref="K118:N118" si="69">K288</f>
        <v>50</v>
      </c>
      <c r="L118" s="2">
        <f t="shared" si="69"/>
        <v>50</v>
      </c>
      <c r="M118" s="2">
        <f t="shared" si="69"/>
        <v>50</v>
      </c>
      <c r="N118" s="2">
        <f t="shared" si="69"/>
        <v>50</v>
      </c>
    </row>
    <row r="119" spans="2:14">
      <c r="C119" s="2" t="s">
        <v>54</v>
      </c>
      <c r="E119" s="2" t="str">
        <f>Currency</f>
        <v>$'m</v>
      </c>
      <c r="F119" s="34"/>
      <c r="G119" s="17">
        <v>1504.6</v>
      </c>
      <c r="H119" s="17">
        <v>1504.6</v>
      </c>
      <c r="I119" s="17">
        <v>1579.6</v>
      </c>
      <c r="J119" s="2">
        <f>J295</f>
        <v>1579.6</v>
      </c>
      <c r="K119" s="2">
        <f t="shared" ref="K119:N119" si="70">K295</f>
        <v>1579.6</v>
      </c>
      <c r="L119" s="2">
        <f t="shared" si="70"/>
        <v>1579.6</v>
      </c>
      <c r="M119" s="2">
        <f t="shared" si="70"/>
        <v>1579.6</v>
      </c>
      <c r="N119" s="2">
        <f t="shared" si="70"/>
        <v>1579.6</v>
      </c>
    </row>
    <row r="120" spans="2:14">
      <c r="C120" s="2" t="s">
        <v>42</v>
      </c>
      <c r="E120" s="2" t="str">
        <f>Currency</f>
        <v>$'m</v>
      </c>
      <c r="F120" s="34"/>
      <c r="G120" s="17">
        <v>-963.5</v>
      </c>
      <c r="H120" s="17">
        <v>-1001.4</v>
      </c>
      <c r="I120" s="17">
        <v>-1037.5</v>
      </c>
      <c r="J120" s="2">
        <f ca="1">J301</f>
        <v>-1077.6293332645182</v>
      </c>
      <c r="K120" s="2">
        <f t="shared" ref="K120:N120" ca="1" si="71">K301</f>
        <v>-1100.0723326777631</v>
      </c>
      <c r="L120" s="2">
        <f t="shared" ca="1" si="71"/>
        <v>-1098.7596838311817</v>
      </c>
      <c r="M120" s="2">
        <f t="shared" ca="1" si="71"/>
        <v>-1078.2763311391057</v>
      </c>
      <c r="N120" s="2">
        <f t="shared" ca="1" si="71"/>
        <v>-1043.1888517652847</v>
      </c>
    </row>
    <row r="121" spans="2:14">
      <c r="C121" s="2" t="s">
        <v>29</v>
      </c>
      <c r="E121" s="2" t="str">
        <f>Currency</f>
        <v>$'m</v>
      </c>
      <c r="F121" s="34"/>
      <c r="G121" s="16">
        <v>16.7</v>
      </c>
      <c r="H121" s="16">
        <v>15.8</v>
      </c>
      <c r="I121" s="16">
        <v>16.3</v>
      </c>
      <c r="J121" s="120">
        <f>I121+Assumptions!J130</f>
        <v>16.3</v>
      </c>
      <c r="K121" s="120">
        <f>J121+Assumptions!K130</f>
        <v>16.3</v>
      </c>
      <c r="L121" s="120">
        <f>K121+Assumptions!L130</f>
        <v>16.3</v>
      </c>
      <c r="M121" s="120">
        <f>L121+Assumptions!M130</f>
        <v>16.3</v>
      </c>
      <c r="N121" s="120">
        <f>M121+Assumptions!N130</f>
        <v>16.3</v>
      </c>
    </row>
    <row r="122" spans="2:14">
      <c r="C122" s="13" t="s">
        <v>43</v>
      </c>
      <c r="F122" s="36"/>
      <c r="G122" s="15">
        <f>SUM(G118:G121)</f>
        <v>557.79999999999995</v>
      </c>
      <c r="H122" s="15">
        <f t="shared" ref="H122:I122" si="72">SUM(H118:H121)</f>
        <v>518.99999999999989</v>
      </c>
      <c r="I122" s="15">
        <f t="shared" si="72"/>
        <v>558.39999999999986</v>
      </c>
      <c r="J122" s="102">
        <f t="shared" ref="J122" ca="1" si="73">SUM(J118:J121)</f>
        <v>518.27066673548165</v>
      </c>
      <c r="K122" s="102">
        <f t="shared" ref="K122" ca="1" si="74">SUM(K118:K121)</f>
        <v>545.82766732223672</v>
      </c>
      <c r="L122" s="102">
        <f t="shared" ref="L122" ca="1" si="75">SUM(L118:L121)</f>
        <v>547.14031616881812</v>
      </c>
      <c r="M122" s="102">
        <f t="shared" ref="M122" ca="1" si="76">SUM(M118:M121)</f>
        <v>567.62366886089421</v>
      </c>
      <c r="N122" s="102">
        <f t="shared" ref="N122" ca="1" si="77">SUM(N118:N121)</f>
        <v>602.71114823471521</v>
      </c>
    </row>
    <row r="123" spans="2:14">
      <c r="F123" s="34"/>
      <c r="G123" s="34"/>
      <c r="H123" s="34"/>
      <c r="I123" s="34"/>
    </row>
    <row r="124" spans="2:14" ht="14.4" thickBot="1">
      <c r="B124" s="13" t="s">
        <v>44</v>
      </c>
      <c r="F124" s="38"/>
      <c r="G124" s="47">
        <f>G122+G116</f>
        <v>2722.1000000000004</v>
      </c>
      <c r="H124" s="47">
        <f>H122+H116</f>
        <v>2536</v>
      </c>
      <c r="I124" s="47">
        <f>I122+I116</f>
        <v>2548.1999999999998</v>
      </c>
      <c r="J124" s="47">
        <f t="shared" ref="J124:N124" ca="1" si="78">J122+J116</f>
        <v>2497.9411475598376</v>
      </c>
      <c r="K124" s="47">
        <f t="shared" ca="1" si="78"/>
        <v>2474.1541639109741</v>
      </c>
      <c r="L124" s="47">
        <f t="shared" ca="1" si="78"/>
        <v>2443.290707272954</v>
      </c>
      <c r="M124" s="47">
        <f t="shared" ca="1" si="78"/>
        <v>2397.0196591444419</v>
      </c>
      <c r="N124" s="47">
        <f t="shared" ca="1" si="78"/>
        <v>2379.3781573293677</v>
      </c>
    </row>
    <row r="125" spans="2:14" ht="6" customHeight="1" thickTop="1">
      <c r="F125" s="49"/>
      <c r="G125" s="49"/>
      <c r="H125" s="49"/>
      <c r="I125" s="49"/>
    </row>
    <row r="126" spans="2:14" ht="6" customHeight="1">
      <c r="B126" s="50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spans="2:14">
      <c r="B127" s="32"/>
    </row>
    <row r="128" spans="2:14">
      <c r="G128" s="51">
        <f>G124-G99</f>
        <v>0</v>
      </c>
      <c r="H128" s="51">
        <f>H124-H99</f>
        <v>0</v>
      </c>
      <c r="I128" s="51">
        <f>I124-I99</f>
        <v>0</v>
      </c>
      <c r="J128" s="51">
        <f t="shared" ref="J128:N128" ca="1" si="79">J124-J99</f>
        <v>0</v>
      </c>
      <c r="K128" s="51">
        <f t="shared" ca="1" si="79"/>
        <v>0</v>
      </c>
      <c r="L128" s="51">
        <f t="shared" ca="1" si="79"/>
        <v>0</v>
      </c>
      <c r="M128" s="51">
        <f t="shared" ca="1" si="79"/>
        <v>0</v>
      </c>
      <c r="N128" s="51">
        <f t="shared" ca="1" si="79"/>
        <v>0</v>
      </c>
    </row>
    <row r="132" spans="2:14" ht="23.4">
      <c r="B132" s="1" t="s">
        <v>64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ht="19.5" customHeight="1">
      <c r="B133" s="3" t="s">
        <v>138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 ht="6" customHeight="1" thickBot="1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2:14">
      <c r="B135" s="5" t="s">
        <v>56</v>
      </c>
    </row>
    <row r="136" spans="2:14">
      <c r="F136" s="6"/>
      <c r="J136" s="70" t="s">
        <v>69</v>
      </c>
      <c r="K136" s="70"/>
      <c r="L136" s="70"/>
      <c r="M136" s="70"/>
      <c r="N136" s="70"/>
    </row>
    <row r="137" spans="2:14">
      <c r="F137" s="7"/>
      <c r="G137" s="8">
        <v>2022</v>
      </c>
      <c r="H137" s="8">
        <f>G137+1</f>
        <v>2023</v>
      </c>
      <c r="I137" s="8">
        <f>H137+1</f>
        <v>2024</v>
      </c>
      <c r="J137" s="69">
        <f>I137+1</f>
        <v>2025</v>
      </c>
      <c r="K137" s="69">
        <f t="shared" ref="K137" si="80">J137+1</f>
        <v>2026</v>
      </c>
      <c r="L137" s="69">
        <f t="shared" ref="L137" si="81">K137+1</f>
        <v>2027</v>
      </c>
      <c r="M137" s="69">
        <f t="shared" ref="M137" si="82">L137+1</f>
        <v>2028</v>
      </c>
      <c r="N137" s="69">
        <f t="shared" ref="N137" si="83">M137+1</f>
        <v>2029</v>
      </c>
    </row>
    <row r="138" spans="2:14" ht="14.4" thickBot="1"/>
    <row r="139" spans="2:14" ht="14.4" thickBot="1">
      <c r="B139" s="73" t="s">
        <v>139</v>
      </c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2"/>
    </row>
    <row r="141" spans="2:14">
      <c r="D141" s="2" t="str">
        <f>Assumptions!D19</f>
        <v>Number of Leasable Properties</v>
      </c>
      <c r="E141" s="2" t="str">
        <f>Assumptions!E19</f>
        <v>units</v>
      </c>
      <c r="I141" s="79">
        <f>Assumptions!I19</f>
        <v>65</v>
      </c>
    </row>
    <row r="142" spans="2:14">
      <c r="D142" s="2" t="str">
        <f>Assumptions!D20</f>
        <v>Leasable Area</v>
      </c>
      <c r="E142" s="2" t="str">
        <f>Assumptions!E20</f>
        <v>Sqr ft</v>
      </c>
      <c r="I142" s="79">
        <f>Assumptions!I20</f>
        <v>5350000</v>
      </c>
    </row>
    <row r="143" spans="2:14">
      <c r="D143" s="2" t="str">
        <f>Assumptions!D21</f>
        <v>Occupancy Rate</v>
      </c>
      <c r="E143" s="2" t="str">
        <f>Assumptions!E21</f>
        <v>%</v>
      </c>
      <c r="I143" s="80">
        <f>Assumptions!I21</f>
        <v>0.9</v>
      </c>
    </row>
    <row r="145" spans="4:14">
      <c r="D145" s="2" t="str">
        <f>Assumptions!D23</f>
        <v>Increase in Rent</v>
      </c>
      <c r="J145" s="80">
        <f>Assumptions!J23</f>
        <v>2.5000000000000001E-2</v>
      </c>
      <c r="K145" s="80">
        <f>Assumptions!K23</f>
        <v>2.5000000000000001E-2</v>
      </c>
      <c r="L145" s="80">
        <f>Assumptions!L23</f>
        <v>2.5000000000000001E-2</v>
      </c>
      <c r="M145" s="80">
        <f>Assumptions!M23</f>
        <v>2.5000000000000001E-2</v>
      </c>
      <c r="N145" s="80">
        <f>Assumptions!N23</f>
        <v>2.5000000000000001E-2</v>
      </c>
    </row>
    <row r="147" spans="4:14">
      <c r="D147" s="2" t="str">
        <f>Assumptions!D25</f>
        <v>Property Additions</v>
      </c>
      <c r="J147" s="79">
        <f>Assumptions!J25</f>
        <v>2</v>
      </c>
      <c r="K147" s="79">
        <f>Assumptions!K25</f>
        <v>2</v>
      </c>
      <c r="L147" s="79">
        <f>Assumptions!L25</f>
        <v>2</v>
      </c>
      <c r="M147" s="79">
        <f>Assumptions!M25</f>
        <v>2</v>
      </c>
      <c r="N147" s="79">
        <f>Assumptions!N25</f>
        <v>2</v>
      </c>
    </row>
    <row r="149" spans="4:14">
      <c r="D149" s="7" t="s">
        <v>141</v>
      </c>
    </row>
    <row r="150" spans="4:14">
      <c r="D150" s="2" t="s">
        <v>143</v>
      </c>
      <c r="E150" s="2" t="s">
        <v>78</v>
      </c>
      <c r="I150" s="79">
        <f>I141</f>
        <v>65</v>
      </c>
      <c r="J150">
        <f>I150+J147</f>
        <v>67</v>
      </c>
      <c r="K150">
        <f t="shared" ref="K150:N150" si="84">J150+K147</f>
        <v>69</v>
      </c>
      <c r="L150">
        <f t="shared" si="84"/>
        <v>71</v>
      </c>
      <c r="M150">
        <f t="shared" si="84"/>
        <v>73</v>
      </c>
      <c r="N150">
        <f t="shared" si="84"/>
        <v>75</v>
      </c>
    </row>
    <row r="151" spans="4:14">
      <c r="D151" s="2" t="str">
        <f>D143</f>
        <v>Occupancy Rate</v>
      </c>
      <c r="E151" s="2" t="s">
        <v>82</v>
      </c>
      <c r="I151" s="40">
        <f>$I$143</f>
        <v>0.9</v>
      </c>
      <c r="J151" s="40">
        <f>$I$143</f>
        <v>0.9</v>
      </c>
      <c r="K151" s="40">
        <f t="shared" ref="K151:N151" si="85">$I$143</f>
        <v>0.9</v>
      </c>
      <c r="L151" s="40">
        <f t="shared" si="85"/>
        <v>0.9</v>
      </c>
      <c r="M151" s="40">
        <f t="shared" si="85"/>
        <v>0.9</v>
      </c>
      <c r="N151" s="40">
        <f t="shared" si="85"/>
        <v>0.9</v>
      </c>
    </row>
    <row r="152" spans="4:14">
      <c r="D152" s="2" t="s">
        <v>146</v>
      </c>
      <c r="E152" s="2" t="s">
        <v>78</v>
      </c>
      <c r="I152" s="88">
        <f>ROUND(I151*I150,0)</f>
        <v>59</v>
      </c>
      <c r="J152" s="88">
        <f>ROUND(J151*J150,0)</f>
        <v>60</v>
      </c>
      <c r="K152" s="88">
        <f t="shared" ref="K152:N152" si="86">ROUND(K151*K150,0)</f>
        <v>62</v>
      </c>
      <c r="L152" s="88">
        <f t="shared" si="86"/>
        <v>64</v>
      </c>
      <c r="M152" s="88">
        <f t="shared" si="86"/>
        <v>66</v>
      </c>
      <c r="N152" s="88">
        <f t="shared" si="86"/>
        <v>68</v>
      </c>
    </row>
    <row r="153" spans="4:14">
      <c r="D153" s="2" t="s">
        <v>142</v>
      </c>
      <c r="E153" s="2" t="str">
        <f>E142</f>
        <v>Sqr ft</v>
      </c>
      <c r="I153" s="2">
        <f>I142/I141</f>
        <v>82307.692307692312</v>
      </c>
      <c r="J153" s="2">
        <f>I153</f>
        <v>82307.692307692312</v>
      </c>
      <c r="K153" s="2">
        <f t="shared" ref="K153:N153" si="87">J153</f>
        <v>82307.692307692312</v>
      </c>
      <c r="L153" s="2">
        <f t="shared" si="87"/>
        <v>82307.692307692312</v>
      </c>
      <c r="M153" s="2">
        <f t="shared" si="87"/>
        <v>82307.692307692312</v>
      </c>
      <c r="N153" s="2">
        <f t="shared" si="87"/>
        <v>82307.692307692312</v>
      </c>
    </row>
    <row r="154" spans="4:14">
      <c r="D154" s="2" t="s">
        <v>144</v>
      </c>
      <c r="E154" s="2" t="s">
        <v>80</v>
      </c>
      <c r="I154" s="2">
        <f>I153*I150</f>
        <v>5350000</v>
      </c>
      <c r="J154" s="2">
        <f>J153*J150</f>
        <v>5514615.384615385</v>
      </c>
      <c r="K154" s="2">
        <f t="shared" ref="K154:N154" si="88">K153*K150</f>
        <v>5679230.7692307699</v>
      </c>
      <c r="L154" s="2">
        <f t="shared" si="88"/>
        <v>5843846.153846154</v>
      </c>
      <c r="M154" s="2">
        <f t="shared" si="88"/>
        <v>6008461.538461539</v>
      </c>
      <c r="N154" s="2">
        <f t="shared" si="88"/>
        <v>6173076.923076923</v>
      </c>
    </row>
    <row r="155" spans="4:14">
      <c r="D155" s="89" t="s">
        <v>145</v>
      </c>
      <c r="E155" s="90" t="s">
        <v>80</v>
      </c>
      <c r="F155" s="90"/>
      <c r="G155" s="90"/>
      <c r="H155" s="90"/>
      <c r="I155" s="90">
        <f>I151*I154</f>
        <v>4815000</v>
      </c>
      <c r="J155" s="90">
        <f>J151*J154</f>
        <v>4963153.8461538469</v>
      </c>
      <c r="K155" s="90">
        <f t="shared" ref="K155:N155" si="89">K151*K154</f>
        <v>5111307.692307693</v>
      </c>
      <c r="L155" s="90">
        <f t="shared" si="89"/>
        <v>5259461.538461539</v>
      </c>
      <c r="M155" s="90">
        <f t="shared" si="89"/>
        <v>5407615.384615385</v>
      </c>
      <c r="N155" s="91">
        <f t="shared" si="89"/>
        <v>5555769.230769231</v>
      </c>
    </row>
    <row r="157" spans="4:14">
      <c r="D157" s="9" t="s">
        <v>140</v>
      </c>
    </row>
    <row r="158" spans="4:14">
      <c r="D158" s="2" t="s">
        <v>58</v>
      </c>
      <c r="E158" s="2" t="str">
        <f>Currency</f>
        <v>$'m</v>
      </c>
      <c r="I158" s="79">
        <f>I13</f>
        <v>746</v>
      </c>
    </row>
    <row r="159" spans="4:14">
      <c r="D159" s="2" t="str">
        <f>D155</f>
        <v>Occupied Leasable area</v>
      </c>
      <c r="E159" s="2" t="s">
        <v>147</v>
      </c>
      <c r="I159" s="79">
        <f>I155</f>
        <v>4815000</v>
      </c>
    </row>
    <row r="160" spans="4:14">
      <c r="D160" s="2" t="s">
        <v>148</v>
      </c>
      <c r="I160" s="2">
        <f>I158*Million/I159</f>
        <v>154.93250259605401</v>
      </c>
      <c r="J160" s="2">
        <f>I160*(1+J161)</f>
        <v>158.80581516095535</v>
      </c>
      <c r="K160" s="2">
        <f t="shared" ref="K160:N160" si="90">J160*(1+K161)</f>
        <v>162.77596053997922</v>
      </c>
      <c r="L160" s="2">
        <f t="shared" si="90"/>
        <v>166.84535955347869</v>
      </c>
      <c r="M160" s="2">
        <f t="shared" si="90"/>
        <v>171.01649354231563</v>
      </c>
      <c r="N160" s="2">
        <f t="shared" si="90"/>
        <v>175.29190588087351</v>
      </c>
    </row>
    <row r="161" spans="2:15">
      <c r="D161" s="2" t="str">
        <f>D145</f>
        <v>Increase in Rent</v>
      </c>
      <c r="J161" s="80">
        <f t="shared" ref="J161:N161" si="91">J145</f>
        <v>2.5000000000000001E-2</v>
      </c>
      <c r="K161" s="80">
        <f t="shared" si="91"/>
        <v>2.5000000000000001E-2</v>
      </c>
      <c r="L161" s="80">
        <f t="shared" si="91"/>
        <v>2.5000000000000001E-2</v>
      </c>
      <c r="M161" s="80">
        <f t="shared" si="91"/>
        <v>2.5000000000000001E-2</v>
      </c>
      <c r="N161" s="80">
        <f t="shared" si="91"/>
        <v>2.5000000000000001E-2</v>
      </c>
    </row>
    <row r="162" spans="2:15">
      <c r="D162" s="92" t="s">
        <v>58</v>
      </c>
      <c r="E162" s="93" t="str">
        <f>Currency</f>
        <v>$'m</v>
      </c>
      <c r="F162" s="93"/>
      <c r="G162" s="93"/>
      <c r="H162" s="93"/>
      <c r="I162" s="93"/>
      <c r="J162" s="93">
        <f>J160*J155/Million</f>
        <v>788.17769230769238</v>
      </c>
      <c r="K162" s="93">
        <f>K160*K155/Million</f>
        <v>831.99801923076927</v>
      </c>
      <c r="L162" s="93">
        <f>L160*L155/Million</f>
        <v>877.51675144230762</v>
      </c>
      <c r="M162" s="93">
        <f>M160*M155/Million</f>
        <v>924.79142150240364</v>
      </c>
      <c r="N162" s="94">
        <f>N160*N155/Million</f>
        <v>973.88137709585305</v>
      </c>
    </row>
    <row r="164" spans="2:15" ht="14.4" thickBot="1"/>
    <row r="165" spans="2:15" ht="14.4" thickBot="1">
      <c r="B165" s="73" t="s">
        <v>149</v>
      </c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2"/>
    </row>
    <row r="167" spans="2:15">
      <c r="D167" s="2" t="str">
        <f>D155</f>
        <v>Occupied Leasable area</v>
      </c>
      <c r="E167" s="2" t="str">
        <f>E155</f>
        <v>Sqr ft</v>
      </c>
      <c r="I167" s="79">
        <f t="shared" ref="I167:N167" si="92">I155</f>
        <v>4815000</v>
      </c>
      <c r="J167" s="79">
        <f t="shared" si="92"/>
        <v>4963153.8461538469</v>
      </c>
      <c r="K167" s="79">
        <f t="shared" si="92"/>
        <v>5111307.692307693</v>
      </c>
      <c r="L167" s="79">
        <f t="shared" si="92"/>
        <v>5259461.538461539</v>
      </c>
      <c r="M167" s="79">
        <f t="shared" si="92"/>
        <v>5407615.384615385</v>
      </c>
      <c r="N167" s="79">
        <f t="shared" si="92"/>
        <v>5555769.230769231</v>
      </c>
    </row>
    <row r="169" spans="2:15">
      <c r="D169" s="7" t="str">
        <f>Assumptions!D29</f>
        <v>Variable Costs</v>
      </c>
    </row>
    <row r="170" spans="2:15">
      <c r="D170" s="2" t="str">
        <f>Assumptions!D30</f>
        <v>Utilities</v>
      </c>
      <c r="E170" s="2" t="str">
        <f>Assumptions!E30</f>
        <v>$'m</v>
      </c>
      <c r="I170" s="79">
        <f>Assumptions!I30</f>
        <v>64.7</v>
      </c>
      <c r="J170" s="2">
        <f t="shared" ref="J170:N172" si="93">J185*J$167/Million</f>
        <v>68.02458461538464</v>
      </c>
      <c r="K170" s="2">
        <f t="shared" si="93"/>
        <v>71.45627261538462</v>
      </c>
      <c r="L170" s="2">
        <f t="shared" si="93"/>
        <v>74.998018301538465</v>
      </c>
      <c r="M170" s="2">
        <f t="shared" si="93"/>
        <v>78.652851306092316</v>
      </c>
      <c r="N170" s="2">
        <f t="shared" si="93"/>
        <v>82.423878423507702</v>
      </c>
    </row>
    <row r="171" spans="2:15">
      <c r="D171" s="2" t="str">
        <f>Assumptions!D31</f>
        <v>Maintenance &amp; Repairs</v>
      </c>
      <c r="E171" s="2" t="str">
        <f>Assumptions!E31</f>
        <v>$'m</v>
      </c>
      <c r="I171" s="79">
        <f>Assumptions!I31</f>
        <v>24.3</v>
      </c>
      <c r="J171" s="2">
        <f t="shared" si="93"/>
        <v>25.54864615384616</v>
      </c>
      <c r="K171" s="2">
        <f t="shared" si="93"/>
        <v>26.837518153846158</v>
      </c>
      <c r="L171" s="2">
        <f t="shared" si="93"/>
        <v>28.167725575384619</v>
      </c>
      <c r="M171" s="2">
        <f t="shared" si="93"/>
        <v>29.54040628652308</v>
      </c>
      <c r="N171" s="2">
        <f t="shared" si="93"/>
        <v>30.956727135876928</v>
      </c>
    </row>
    <row r="172" spans="2:15">
      <c r="D172" s="2" t="str">
        <f>Assumptions!D32</f>
        <v>Total Variable Costs</v>
      </c>
      <c r="E172" s="2" t="str">
        <f>Assumptions!E32</f>
        <v>$'m</v>
      </c>
      <c r="I172" s="79">
        <f>SUM(I170:I171)</f>
        <v>89</v>
      </c>
      <c r="J172" s="100">
        <f t="shared" si="93"/>
        <v>93.573230769230804</v>
      </c>
      <c r="K172" s="81">
        <f t="shared" si="93"/>
        <v>98.293790769230796</v>
      </c>
      <c r="L172" s="81">
        <f t="shared" si="93"/>
        <v>103.16574387692309</v>
      </c>
      <c r="M172" s="81">
        <f t="shared" si="93"/>
        <v>108.1932575926154</v>
      </c>
      <c r="N172" s="81">
        <f t="shared" si="93"/>
        <v>113.38060555938462</v>
      </c>
      <c r="O172" s="2">
        <f>SUM(J172:N172)</f>
        <v>516.60662856738475</v>
      </c>
    </row>
    <row r="173" spans="2:15">
      <c r="I173" s="2">
        <f>Assumptions!I33</f>
        <v>0</v>
      </c>
    </row>
    <row r="174" spans="2:15">
      <c r="D174" s="7" t="str">
        <f>Assumptions!D34</f>
        <v>Fixed Cost</v>
      </c>
      <c r="I174" s="2">
        <f>Assumptions!I34</f>
        <v>0</v>
      </c>
    </row>
    <row r="175" spans="2:15">
      <c r="D175" s="2" t="str">
        <f>Assumptions!D35</f>
        <v>Rent</v>
      </c>
      <c r="E175" s="2" t="str">
        <f>Assumptions!E35</f>
        <v>$'m</v>
      </c>
      <c r="I175" s="79">
        <f>Assumptions!I35</f>
        <v>125.6</v>
      </c>
      <c r="J175" s="2">
        <f>I175*(1+J$182)</f>
        <v>128.11199999999999</v>
      </c>
      <c r="K175" s="2">
        <f t="shared" ref="K175:N175" si="94">J175*(1+K$182)</f>
        <v>130.67424</v>
      </c>
      <c r="L175" s="2">
        <f t="shared" si="94"/>
        <v>133.28772480000001</v>
      </c>
      <c r="M175" s="2">
        <f t="shared" si="94"/>
        <v>135.95347929600001</v>
      </c>
      <c r="N175" s="2">
        <f t="shared" si="94"/>
        <v>138.67254888192002</v>
      </c>
    </row>
    <row r="176" spans="2:15">
      <c r="D176" s="2" t="str">
        <f>Assumptions!D36</f>
        <v>Salaries &amp; Benefits</v>
      </c>
      <c r="E176" s="2" t="str">
        <f>Assumptions!E36</f>
        <v>$'m</v>
      </c>
      <c r="I176" s="79">
        <f>Assumptions!I36</f>
        <v>87.6</v>
      </c>
      <c r="J176" s="2">
        <f>I176*(1+J$182)</f>
        <v>89.35199999999999</v>
      </c>
      <c r="K176" s="2">
        <f t="shared" ref="K176:N176" si="95">J176*(1+K$182)</f>
        <v>91.139039999999994</v>
      </c>
      <c r="L176" s="2">
        <f t="shared" si="95"/>
        <v>92.961820799999998</v>
      </c>
      <c r="M176" s="2">
        <f t="shared" si="95"/>
        <v>94.821057216</v>
      </c>
      <c r="N176" s="2">
        <f t="shared" si="95"/>
        <v>96.717478360320001</v>
      </c>
    </row>
    <row r="177" spans="4:14">
      <c r="D177" s="2" t="str">
        <f>Assumptions!D37</f>
        <v>Security</v>
      </c>
      <c r="E177" s="2" t="str">
        <f>Assumptions!E37</f>
        <v>$'m</v>
      </c>
      <c r="I177" s="79">
        <f>Assumptions!I37</f>
        <v>99.8</v>
      </c>
      <c r="J177" s="2">
        <f>I177*(1+J$182)</f>
        <v>101.79599999999999</v>
      </c>
      <c r="K177" s="2">
        <f t="shared" ref="K177:N177" si="96">J177*(1+K$182)</f>
        <v>103.83192</v>
      </c>
      <c r="L177" s="2">
        <f t="shared" si="96"/>
        <v>105.9085584</v>
      </c>
      <c r="M177" s="2">
        <f t="shared" si="96"/>
        <v>108.02672956800001</v>
      </c>
      <c r="N177" s="2">
        <f t="shared" si="96"/>
        <v>110.18726415936001</v>
      </c>
    </row>
    <row r="178" spans="4:14">
      <c r="D178" s="2" t="str">
        <f>Assumptions!D38</f>
        <v>Total Fixed Costs</v>
      </c>
      <c r="E178" s="2" t="str">
        <f>Assumptions!E38</f>
        <v>$'m</v>
      </c>
      <c r="I178" s="79">
        <f>Assumptions!I38</f>
        <v>313</v>
      </c>
      <c r="J178" s="100">
        <f>SUM(J175:J177)</f>
        <v>319.26</v>
      </c>
      <c r="K178" s="81">
        <f t="shared" ref="K178:N178" si="97">SUM(K175:K177)</f>
        <v>325.64519999999999</v>
      </c>
      <c r="L178" s="81">
        <f t="shared" si="97"/>
        <v>332.15810399999998</v>
      </c>
      <c r="M178" s="81">
        <f t="shared" si="97"/>
        <v>338.80126608</v>
      </c>
      <c r="N178" s="81">
        <f t="shared" si="97"/>
        <v>345.57729140160006</v>
      </c>
    </row>
    <row r="179" spans="4:14">
      <c r="I179" s="2">
        <f>Assumptions!I39</f>
        <v>0</v>
      </c>
    </row>
    <row r="180" spans="4:14" ht="14.4" thickBot="1">
      <c r="D180" s="92" t="str">
        <f>Assumptions!D40</f>
        <v>Total Cost</v>
      </c>
      <c r="E180" s="93" t="str">
        <f>Assumptions!E40</f>
        <v>$'m</v>
      </c>
      <c r="F180" s="93"/>
      <c r="G180" s="93"/>
      <c r="H180" s="93"/>
      <c r="I180" s="96">
        <f>I172+I178</f>
        <v>402</v>
      </c>
      <c r="J180" s="97">
        <f>J178+J172</f>
        <v>412.83323076923079</v>
      </c>
      <c r="K180" s="98">
        <f t="shared" ref="K180:N180" si="98">K178+K172</f>
        <v>423.93899076923077</v>
      </c>
      <c r="L180" s="98">
        <f t="shared" si="98"/>
        <v>435.32384787692308</v>
      </c>
      <c r="M180" s="98">
        <f t="shared" si="98"/>
        <v>446.9945236726154</v>
      </c>
      <c r="N180" s="99">
        <f t="shared" si="98"/>
        <v>458.95789696098467</v>
      </c>
    </row>
    <row r="181" spans="4:14" ht="14.4" thickTop="1">
      <c r="I181" s="2">
        <f>Assumptions!I41</f>
        <v>0</v>
      </c>
    </row>
    <row r="182" spans="4:14">
      <c r="D182" s="2" t="str">
        <f>Assumptions!D42</f>
        <v>Cost Inflation</v>
      </c>
      <c r="E182" s="2" t="str">
        <f>Assumptions!E42</f>
        <v>%</v>
      </c>
      <c r="I182" s="2">
        <f>Assumptions!I42</f>
        <v>0</v>
      </c>
      <c r="J182" s="80">
        <f>Assumptions!J42</f>
        <v>0.02</v>
      </c>
      <c r="K182" s="80">
        <f>Assumptions!K42</f>
        <v>0.02</v>
      </c>
      <c r="L182" s="80">
        <f>Assumptions!L42</f>
        <v>0.02</v>
      </c>
      <c r="M182" s="80">
        <f>Assumptions!M42</f>
        <v>0.02</v>
      </c>
      <c r="N182" s="80">
        <f>Assumptions!N42</f>
        <v>0.02</v>
      </c>
    </row>
    <row r="184" spans="4:14">
      <c r="D184" s="7" t="s">
        <v>150</v>
      </c>
    </row>
    <row r="185" spans="4:14">
      <c r="D185" s="2" t="str">
        <f>D170</f>
        <v>Utilities</v>
      </c>
      <c r="E185" s="2" t="s">
        <v>151</v>
      </c>
      <c r="I185" s="2">
        <f>I170*Million/I$167</f>
        <v>13.43717549325026</v>
      </c>
      <c r="J185" s="2">
        <f>I185*(1+J$182)</f>
        <v>13.705919003115266</v>
      </c>
      <c r="K185" s="2">
        <f t="shared" ref="K185:N185" si="99">J185*(1+K$182)</f>
        <v>13.980037383177571</v>
      </c>
      <c r="L185" s="2">
        <f t="shared" si="99"/>
        <v>14.259638130841122</v>
      </c>
      <c r="M185" s="2">
        <f t="shared" si="99"/>
        <v>14.544830893457945</v>
      </c>
      <c r="N185" s="2">
        <f t="shared" si="99"/>
        <v>14.835727511327104</v>
      </c>
    </row>
    <row r="186" spans="4:14">
      <c r="D186" s="2" t="str">
        <f t="shared" ref="D186" si="100">D171</f>
        <v>Maintenance &amp; Repairs</v>
      </c>
      <c r="E186" s="2" t="s">
        <v>151</v>
      </c>
      <c r="I186" s="2">
        <f>I171*Million/I$167</f>
        <v>5.0467289719626169</v>
      </c>
      <c r="J186" s="2">
        <f t="shared" ref="J186:N186" si="101">I186*(1+J$182)</f>
        <v>5.1476635514018696</v>
      </c>
      <c r="K186" s="2">
        <f t="shared" si="101"/>
        <v>5.2506168224299072</v>
      </c>
      <c r="L186" s="2">
        <f t="shared" si="101"/>
        <v>5.3556291588785054</v>
      </c>
      <c r="M186" s="2">
        <f t="shared" si="101"/>
        <v>5.4627417420560755</v>
      </c>
      <c r="N186" s="2">
        <f t="shared" si="101"/>
        <v>5.5719965768971971</v>
      </c>
    </row>
    <row r="187" spans="4:14">
      <c r="D187" s="2" t="s">
        <v>153</v>
      </c>
      <c r="E187" s="2" t="s">
        <v>151</v>
      </c>
      <c r="J187" s="81">
        <f>SUM(J185:J186)</f>
        <v>18.853582554517136</v>
      </c>
      <c r="K187" s="81">
        <f t="shared" ref="K187:N187" si="102">SUM(K185:K186)</f>
        <v>19.230654205607479</v>
      </c>
      <c r="L187" s="81">
        <f t="shared" si="102"/>
        <v>19.615267289719625</v>
      </c>
      <c r="M187" s="81">
        <f t="shared" si="102"/>
        <v>20.00757263551402</v>
      </c>
      <c r="N187" s="81">
        <f t="shared" si="102"/>
        <v>20.407724088224299</v>
      </c>
    </row>
    <row r="189" spans="4:14">
      <c r="D189" s="7" t="s">
        <v>152</v>
      </c>
    </row>
    <row r="190" spans="4:14">
      <c r="D190" s="2" t="str">
        <f>D175</f>
        <v>Rent</v>
      </c>
      <c r="E190" s="2" t="s">
        <v>151</v>
      </c>
      <c r="I190" s="2">
        <f t="shared" ref="I190:N192" si="103">I175*Million/I$167</f>
        <v>26.08515057113188</v>
      </c>
      <c r="J190" s="2">
        <f t="shared" si="103"/>
        <v>25.812619147254377</v>
      </c>
      <c r="K190" s="2">
        <f t="shared" si="103"/>
        <v>25.565715833671945</v>
      </c>
      <c r="L190" s="2">
        <f t="shared" si="103"/>
        <v>25.342465920758194</v>
      </c>
      <c r="M190" s="2">
        <f t="shared" si="103"/>
        <v>25.141114821661759</v>
      </c>
      <c r="N190" s="2">
        <f t="shared" si="103"/>
        <v>24.960098794945797</v>
      </c>
    </row>
    <row r="191" spans="4:14">
      <c r="D191" s="2" t="str">
        <f t="shared" ref="D191:D192" si="104">D176</f>
        <v>Salaries &amp; Benefits</v>
      </c>
      <c r="E191" s="2" t="s">
        <v>151</v>
      </c>
      <c r="I191" s="2">
        <f t="shared" si="103"/>
        <v>18.193146417445483</v>
      </c>
      <c r="J191" s="2">
        <f t="shared" si="103"/>
        <v>18.003068768307987</v>
      </c>
      <c r="K191" s="2">
        <f t="shared" si="103"/>
        <v>17.830865501828523</v>
      </c>
      <c r="L191" s="2">
        <f t="shared" si="103"/>
        <v>17.675159352375935</v>
      </c>
      <c r="M191" s="2">
        <f t="shared" si="103"/>
        <v>17.534726579439251</v>
      </c>
      <c r="N191" s="2">
        <f t="shared" si="103"/>
        <v>17.408476548067288</v>
      </c>
    </row>
    <row r="192" spans="4:14">
      <c r="D192" s="2" t="str">
        <f t="shared" si="104"/>
        <v>Security</v>
      </c>
      <c r="E192" s="2" t="s">
        <v>151</v>
      </c>
      <c r="I192" s="2">
        <f t="shared" si="103"/>
        <v>20.726895119418483</v>
      </c>
      <c r="J192" s="2">
        <f t="shared" si="103"/>
        <v>20.510345468917091</v>
      </c>
      <c r="K192" s="2">
        <f t="shared" si="103"/>
        <v>20.314159555736147</v>
      </c>
      <c r="L192" s="2">
        <f t="shared" si="103"/>
        <v>20.136768303277609</v>
      </c>
      <c r="M192" s="2">
        <f t="shared" si="103"/>
        <v>19.976777541415952</v>
      </c>
      <c r="N192" s="2">
        <f t="shared" si="103"/>
        <v>19.832944743117757</v>
      </c>
    </row>
    <row r="193" spans="2:14">
      <c r="D193" s="2" t="s">
        <v>154</v>
      </c>
      <c r="E193" s="2" t="s">
        <v>151</v>
      </c>
      <c r="I193" s="2">
        <f>SUM(I190:I192)</f>
        <v>65.005192107995853</v>
      </c>
      <c r="J193" s="81">
        <f t="shared" ref="J193:N193" si="105">SUM(J190:J192)</f>
        <v>64.326033384479459</v>
      </c>
      <c r="K193" s="81">
        <f t="shared" si="105"/>
        <v>63.710740891236618</v>
      </c>
      <c r="L193" s="81">
        <f t="shared" si="105"/>
        <v>63.154393576411735</v>
      </c>
      <c r="M193" s="81">
        <f t="shared" si="105"/>
        <v>62.652618942516966</v>
      </c>
      <c r="N193" s="81">
        <f t="shared" si="105"/>
        <v>62.201520086130841</v>
      </c>
    </row>
    <row r="195" spans="2:14">
      <c r="D195" s="2" t="s">
        <v>155</v>
      </c>
      <c r="J195" s="90">
        <f>J193+J187</f>
        <v>83.179615938996591</v>
      </c>
      <c r="K195" s="90">
        <f t="shared" ref="K195:N195" si="106">K193+K187</f>
        <v>82.941395096844104</v>
      </c>
      <c r="L195" s="90">
        <f t="shared" si="106"/>
        <v>82.76966086613136</v>
      </c>
      <c r="M195" s="90">
        <f t="shared" si="106"/>
        <v>82.660191578030989</v>
      </c>
      <c r="N195" s="90">
        <f t="shared" si="106"/>
        <v>82.60924417435514</v>
      </c>
    </row>
    <row r="197" spans="2:14">
      <c r="D197" s="92" t="str">
        <f>Assumptions!D44</f>
        <v>SG&amp;A</v>
      </c>
      <c r="E197" s="93" t="str">
        <f>Assumptions!E44</f>
        <v>$'m</v>
      </c>
      <c r="F197" s="93"/>
      <c r="G197" s="93"/>
      <c r="H197" s="93"/>
      <c r="I197" s="93">
        <f>Assumptions!I44</f>
        <v>0</v>
      </c>
      <c r="J197" s="96">
        <f>Assumptions!J44</f>
        <v>150</v>
      </c>
      <c r="K197" s="93">
        <f>J197*(1+K198)</f>
        <v>153</v>
      </c>
      <c r="L197" s="93">
        <f t="shared" ref="L197:N197" si="107">K197*(1+L198)</f>
        <v>156.06</v>
      </c>
      <c r="M197" s="93">
        <f t="shared" si="107"/>
        <v>159.18120000000002</v>
      </c>
      <c r="N197" s="94">
        <f t="shared" si="107"/>
        <v>162.36482400000003</v>
      </c>
    </row>
    <row r="198" spans="2:14">
      <c r="D198" s="2" t="str">
        <f>Assumptions!D45</f>
        <v>SG&amp;A Growth- inflation</v>
      </c>
      <c r="E198" s="2" t="str">
        <f>Assumptions!E45</f>
        <v>%</v>
      </c>
      <c r="I198" s="2">
        <f>Assumptions!I45</f>
        <v>0</v>
      </c>
      <c r="J198" s="2">
        <f>Assumptions!J45</f>
        <v>0</v>
      </c>
      <c r="K198" s="80">
        <f>Assumptions!K45</f>
        <v>0.02</v>
      </c>
      <c r="L198" s="80">
        <f>Assumptions!L45</f>
        <v>0.02</v>
      </c>
      <c r="M198" s="80">
        <f>Assumptions!M45</f>
        <v>0.02</v>
      </c>
      <c r="N198" s="80">
        <f>Assumptions!N45</f>
        <v>0.02</v>
      </c>
    </row>
    <row r="200" spans="2:14" ht="14.4" thickBot="1"/>
    <row r="201" spans="2:14" ht="14.4" thickBot="1">
      <c r="B201" s="73" t="s">
        <v>157</v>
      </c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2"/>
    </row>
    <row r="203" spans="2:14">
      <c r="D203" s="2" t="str">
        <f>Assumptions!D50</f>
        <v>Capex Additions</v>
      </c>
      <c r="E203" s="2" t="str">
        <f>Assumptions!E50</f>
        <v>$'m</v>
      </c>
      <c r="F203" s="2">
        <f>Assumptions!F50</f>
        <v>0</v>
      </c>
      <c r="J203" s="79">
        <f>Assumptions!J50</f>
        <v>125</v>
      </c>
      <c r="K203" s="79">
        <f>Assumptions!K50</f>
        <v>150</v>
      </c>
      <c r="L203" s="79">
        <f>Assumptions!L50</f>
        <v>150</v>
      </c>
      <c r="M203" s="79">
        <f>Assumptions!M50</f>
        <v>150</v>
      </c>
      <c r="N203" s="79">
        <f>Assumptions!N50</f>
        <v>150</v>
      </c>
    </row>
    <row r="204" spans="2:14">
      <c r="D204" s="7" t="str">
        <f>Assumptions!D51</f>
        <v>Depreciation Method:</v>
      </c>
      <c r="E204" s="2">
        <f>Assumptions!E51</f>
        <v>0</v>
      </c>
      <c r="F204" s="2">
        <f>Assumptions!F51</f>
        <v>0</v>
      </c>
    </row>
    <row r="205" spans="2:14">
      <c r="D205" s="2" t="str">
        <f>Assumptions!D52</f>
        <v>Straight Line</v>
      </c>
      <c r="E205" s="2">
        <f>Assumptions!E52</f>
        <v>0</v>
      </c>
      <c r="F205" s="2">
        <f>Assumptions!F52</f>
        <v>0</v>
      </c>
    </row>
    <row r="206" spans="2:14">
      <c r="D206" s="2">
        <f>Assumptions!D53</f>
        <v>0</v>
      </c>
      <c r="E206" s="2">
        <f>Assumptions!E53</f>
        <v>0</v>
      </c>
      <c r="F206" s="2">
        <f>Assumptions!F53</f>
        <v>0</v>
      </c>
    </row>
    <row r="207" spans="2:14">
      <c r="D207" s="7" t="str">
        <f>Assumptions!D54</f>
        <v>Useful Life</v>
      </c>
      <c r="E207" s="2">
        <f>Assumptions!E54</f>
        <v>0</v>
      </c>
      <c r="F207" s="2">
        <f>Assumptions!F54</f>
        <v>0</v>
      </c>
    </row>
    <row r="208" spans="2:14">
      <c r="D208" s="2" t="str">
        <f>Assumptions!D55</f>
        <v>Existing Assets</v>
      </c>
      <c r="E208" s="2" t="str">
        <f>Assumptions!E55</f>
        <v>year</v>
      </c>
      <c r="F208" s="79">
        <f>Assumptions!F55</f>
        <v>10</v>
      </c>
    </row>
    <row r="209" spans="4:14">
      <c r="D209" s="2" t="str">
        <f>Assumptions!D56</f>
        <v>New Assets</v>
      </c>
      <c r="E209" s="2" t="str">
        <f>Assumptions!E56</f>
        <v>year</v>
      </c>
      <c r="F209" s="79">
        <f>Assumptions!F56</f>
        <v>14</v>
      </c>
    </row>
    <row r="210" spans="4:14">
      <c r="D210" s="2">
        <f>Assumptions!D57</f>
        <v>0</v>
      </c>
      <c r="E210" s="2">
        <f>Assumptions!E57</f>
        <v>0</v>
      </c>
      <c r="F210" s="2">
        <f>Assumptions!F57</f>
        <v>0</v>
      </c>
    </row>
    <row r="211" spans="4:14">
      <c r="D211" s="7" t="s">
        <v>158</v>
      </c>
    </row>
    <row r="212" spans="4:14">
      <c r="D212" s="2" t="s">
        <v>160</v>
      </c>
      <c r="E212" s="2" t="str">
        <f>Currency</f>
        <v>$'m</v>
      </c>
      <c r="J212" s="2">
        <f>I215</f>
        <v>1505.4</v>
      </c>
      <c r="K212" s="2">
        <f t="shared" ref="K212:N212" si="108">J215</f>
        <v>1470.9314285714286</v>
      </c>
      <c r="L212" s="2">
        <f t="shared" si="108"/>
        <v>1450.7485714285715</v>
      </c>
      <c r="M212" s="2">
        <f t="shared" si="108"/>
        <v>1419.8514285714286</v>
      </c>
      <c r="N212" s="2">
        <f t="shared" si="108"/>
        <v>1378.24</v>
      </c>
    </row>
    <row r="213" spans="4:14">
      <c r="D213" s="2" t="s">
        <v>159</v>
      </c>
      <c r="E213" s="2" t="str">
        <f>Currency</f>
        <v>$'m</v>
      </c>
      <c r="J213" s="2">
        <f>J203</f>
        <v>125</v>
      </c>
      <c r="K213" s="2">
        <f t="shared" ref="K213:N213" si="109">K203</f>
        <v>150</v>
      </c>
      <c r="L213" s="2">
        <f t="shared" si="109"/>
        <v>150</v>
      </c>
      <c r="M213" s="2">
        <f t="shared" si="109"/>
        <v>150</v>
      </c>
      <c r="N213" s="2">
        <f t="shared" si="109"/>
        <v>150</v>
      </c>
    </row>
    <row r="214" spans="4:14">
      <c r="D214" s="2" t="s">
        <v>161</v>
      </c>
      <c r="E214" s="2" t="str">
        <f>Currency</f>
        <v>$'m</v>
      </c>
      <c r="J214" s="2">
        <f>J230</f>
        <v>159.46857142857144</v>
      </c>
      <c r="K214" s="2">
        <f t="shared" ref="K214:N214" si="110">K230</f>
        <v>170.18285714285716</v>
      </c>
      <c r="L214" s="2">
        <f t="shared" si="110"/>
        <v>180.89714285714288</v>
      </c>
      <c r="M214" s="2">
        <f t="shared" si="110"/>
        <v>191.61142857142858</v>
      </c>
      <c r="N214" s="2">
        <f t="shared" si="110"/>
        <v>202.3257142857143</v>
      </c>
    </row>
    <row r="215" spans="4:14" ht="14.4" thickBot="1">
      <c r="D215" s="2" t="s">
        <v>162</v>
      </c>
      <c r="E215" s="2" t="str">
        <f>Currency</f>
        <v>$'m</v>
      </c>
      <c r="I215" s="79">
        <f>I93</f>
        <v>1505.4</v>
      </c>
      <c r="J215" s="103">
        <f>J212+J213-J214</f>
        <v>1470.9314285714286</v>
      </c>
      <c r="K215" s="104">
        <f t="shared" ref="K215:N215" si="111">K212+K213-K214</f>
        <v>1450.7485714285715</v>
      </c>
      <c r="L215" s="104">
        <f t="shared" si="111"/>
        <v>1419.8514285714286</v>
      </c>
      <c r="M215" s="104">
        <f t="shared" si="111"/>
        <v>1378.24</v>
      </c>
      <c r="N215" s="104">
        <f t="shared" si="111"/>
        <v>1325.9142857142856</v>
      </c>
    </row>
    <row r="216" spans="4:14" ht="14.4" thickTop="1"/>
    <row r="217" spans="4:14">
      <c r="D217" s="7" t="s">
        <v>163</v>
      </c>
    </row>
    <row r="218" spans="4:14">
      <c r="D218" s="2" t="s">
        <v>31</v>
      </c>
      <c r="I218" s="79">
        <f>I215</f>
        <v>1505.4</v>
      </c>
    </row>
    <row r="219" spans="4:14">
      <c r="D219" s="89" t="str">
        <f>D217</f>
        <v>Depreciation of Existing Assets</v>
      </c>
      <c r="E219" s="90"/>
      <c r="F219" s="90"/>
      <c r="G219" s="90"/>
      <c r="H219" s="90"/>
      <c r="I219" s="90"/>
      <c r="J219" s="90">
        <f>$I$218/$F$208</f>
        <v>150.54000000000002</v>
      </c>
      <c r="K219" s="90">
        <f t="shared" ref="K219:N219" si="112">$I$218/$F$208</f>
        <v>150.54000000000002</v>
      </c>
      <c r="L219" s="90">
        <f t="shared" si="112"/>
        <v>150.54000000000002</v>
      </c>
      <c r="M219" s="90">
        <f t="shared" si="112"/>
        <v>150.54000000000002</v>
      </c>
      <c r="N219" s="91">
        <f t="shared" si="112"/>
        <v>150.54000000000002</v>
      </c>
    </row>
    <row r="221" spans="4:14">
      <c r="D221" s="7" t="s">
        <v>164</v>
      </c>
    </row>
    <row r="222" spans="4:14">
      <c r="G222" s="107" t="s">
        <v>165</v>
      </c>
      <c r="H222" s="106" t="s">
        <v>166</v>
      </c>
      <c r="J222" s="105">
        <f>J7</f>
        <v>2025</v>
      </c>
      <c r="K222" s="105">
        <f t="shared" ref="K222:N222" si="113">K7</f>
        <v>2026</v>
      </c>
      <c r="L222" s="105">
        <f t="shared" si="113"/>
        <v>2027</v>
      </c>
      <c r="M222" s="105">
        <f t="shared" si="113"/>
        <v>2028</v>
      </c>
      <c r="N222" s="105">
        <f t="shared" si="113"/>
        <v>2029</v>
      </c>
    </row>
    <row r="223" spans="4:14">
      <c r="G223" s="79">
        <f t="array" ref="G223:G227">TRANSPOSE(J222:N222)</f>
        <v>2025</v>
      </c>
      <c r="H223" s="79">
        <f t="array" ref="H223:H227">TRANSPOSE(J203:N203)</f>
        <v>125</v>
      </c>
      <c r="J223" s="2">
        <f>IF(J$222&gt;=$G223,$H223/$F$209,0)</f>
        <v>8.9285714285714288</v>
      </c>
      <c r="K223" s="2">
        <f t="shared" ref="K223:N227" si="114">IF(K$222&gt;=$G223,$H223/$F$209,0)</f>
        <v>8.9285714285714288</v>
      </c>
      <c r="L223" s="2">
        <f t="shared" si="114"/>
        <v>8.9285714285714288</v>
      </c>
      <c r="M223" s="2">
        <f t="shared" si="114"/>
        <v>8.9285714285714288</v>
      </c>
      <c r="N223" s="2">
        <f t="shared" si="114"/>
        <v>8.9285714285714288</v>
      </c>
    </row>
    <row r="224" spans="4:14">
      <c r="G224" s="79">
        <v>2026</v>
      </c>
      <c r="H224" s="79">
        <v>150</v>
      </c>
      <c r="J224" s="2">
        <f t="shared" ref="J224:J227" si="115">IF(J$222&gt;=$G224,$H224/$F$209,0)</f>
        <v>0</v>
      </c>
      <c r="K224" s="2">
        <f t="shared" si="114"/>
        <v>10.714285714285714</v>
      </c>
      <c r="L224" s="2">
        <f t="shared" si="114"/>
        <v>10.714285714285714</v>
      </c>
      <c r="M224" s="2">
        <f t="shared" si="114"/>
        <v>10.714285714285714</v>
      </c>
      <c r="N224" s="2">
        <f t="shared" si="114"/>
        <v>10.714285714285714</v>
      </c>
    </row>
    <row r="225" spans="2:14">
      <c r="G225" s="79">
        <v>2027</v>
      </c>
      <c r="H225" s="79">
        <v>150</v>
      </c>
      <c r="J225" s="2">
        <f t="shared" si="115"/>
        <v>0</v>
      </c>
      <c r="K225" s="2">
        <f t="shared" si="114"/>
        <v>0</v>
      </c>
      <c r="L225" s="2">
        <f t="shared" si="114"/>
        <v>10.714285714285714</v>
      </c>
      <c r="M225" s="2">
        <f t="shared" si="114"/>
        <v>10.714285714285714</v>
      </c>
      <c r="N225" s="2">
        <f t="shared" si="114"/>
        <v>10.714285714285714</v>
      </c>
    </row>
    <row r="226" spans="2:14">
      <c r="G226" s="79">
        <v>2028</v>
      </c>
      <c r="H226" s="79">
        <v>150</v>
      </c>
      <c r="J226" s="2">
        <f t="shared" si="115"/>
        <v>0</v>
      </c>
      <c r="K226" s="2">
        <f t="shared" si="114"/>
        <v>0</v>
      </c>
      <c r="L226" s="2">
        <f t="shared" si="114"/>
        <v>0</v>
      </c>
      <c r="M226" s="2">
        <f t="shared" si="114"/>
        <v>10.714285714285714</v>
      </c>
      <c r="N226" s="2">
        <f t="shared" si="114"/>
        <v>10.714285714285714</v>
      </c>
    </row>
    <row r="227" spans="2:14">
      <c r="G227" s="79">
        <v>2029</v>
      </c>
      <c r="H227" s="79">
        <v>150</v>
      </c>
      <c r="J227" s="2">
        <f t="shared" si="115"/>
        <v>0</v>
      </c>
      <c r="K227" s="2">
        <f t="shared" si="114"/>
        <v>0</v>
      </c>
      <c r="L227" s="2">
        <f t="shared" si="114"/>
        <v>0</v>
      </c>
      <c r="M227" s="2">
        <f t="shared" si="114"/>
        <v>0</v>
      </c>
      <c r="N227" s="2">
        <f t="shared" si="114"/>
        <v>10.714285714285714</v>
      </c>
    </row>
    <row r="228" spans="2:14">
      <c r="D228" s="89" t="str">
        <f>D221</f>
        <v>Depreciation of New Assets</v>
      </c>
      <c r="E228" s="90"/>
      <c r="F228" s="90"/>
      <c r="G228" s="90"/>
      <c r="H228" s="90"/>
      <c r="I228" s="90"/>
      <c r="J228" s="90">
        <f>SUM(J223:J227)</f>
        <v>8.9285714285714288</v>
      </c>
      <c r="K228" s="90">
        <f t="shared" ref="K228:N228" si="116">SUM(K223:K227)</f>
        <v>19.642857142857142</v>
      </c>
      <c r="L228" s="90">
        <f t="shared" si="116"/>
        <v>30.357142857142854</v>
      </c>
      <c r="M228" s="90">
        <f t="shared" si="116"/>
        <v>41.071428571428569</v>
      </c>
      <c r="N228" s="91">
        <f t="shared" si="116"/>
        <v>51.785714285714285</v>
      </c>
    </row>
    <row r="230" spans="2:14">
      <c r="D230" s="92" t="s">
        <v>167</v>
      </c>
      <c r="E230" s="93" t="str">
        <f>Currency</f>
        <v>$'m</v>
      </c>
      <c r="F230" s="93"/>
      <c r="G230" s="93"/>
      <c r="H230" s="93"/>
      <c r="I230" s="93"/>
      <c r="J230" s="93">
        <f>J228+J219</f>
        <v>159.46857142857144</v>
      </c>
      <c r="K230" s="93">
        <f t="shared" ref="K230:N230" si="117">K228+K219</f>
        <v>170.18285714285716</v>
      </c>
      <c r="L230" s="93">
        <f t="shared" si="117"/>
        <v>180.89714285714288</v>
      </c>
      <c r="M230" s="93">
        <f t="shared" si="117"/>
        <v>191.61142857142858</v>
      </c>
      <c r="N230" s="94">
        <f t="shared" si="117"/>
        <v>202.3257142857143</v>
      </c>
    </row>
    <row r="232" spans="2:14" ht="14.4" thickBot="1"/>
    <row r="233" spans="2:14" ht="14.4" thickBot="1">
      <c r="B233" s="73" t="s">
        <v>168</v>
      </c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2"/>
    </row>
    <row r="235" spans="2:14">
      <c r="D235" s="2" t="str">
        <f>Assumptions!D60</f>
        <v>Tax Rate</v>
      </c>
      <c r="E235" s="2" t="str">
        <f>Assumptions!E60</f>
        <v>%</v>
      </c>
      <c r="F235" s="80">
        <f>Assumptions!F60</f>
        <v>0.35</v>
      </c>
      <c r="J235" s="80">
        <f>$F$235</f>
        <v>0.35</v>
      </c>
      <c r="K235" s="80">
        <f t="shared" ref="K235:N235" si="118">$F$235</f>
        <v>0.35</v>
      </c>
      <c r="L235" s="80">
        <f t="shared" si="118"/>
        <v>0.35</v>
      </c>
      <c r="M235" s="80">
        <f t="shared" si="118"/>
        <v>0.35</v>
      </c>
      <c r="N235" s="80">
        <f t="shared" si="118"/>
        <v>0.35</v>
      </c>
    </row>
    <row r="236" spans="2:14">
      <c r="D236" s="2" t="str">
        <f>Assumptions!D61</f>
        <v>Reduction in Company's EBT-Timing Difference</v>
      </c>
      <c r="E236" s="2" t="str">
        <f>Assumptions!E61</f>
        <v>$'m</v>
      </c>
      <c r="J236" s="79">
        <f>Assumptions!J61</f>
        <v>40</v>
      </c>
      <c r="K236" s="79">
        <f>Assumptions!K61</f>
        <v>40</v>
      </c>
      <c r="L236" s="79">
        <f>Assumptions!L61</f>
        <v>40</v>
      </c>
      <c r="M236" s="79">
        <f>Assumptions!M61</f>
        <v>40</v>
      </c>
      <c r="N236" s="79">
        <f>Assumptions!N61</f>
        <v>40</v>
      </c>
    </row>
    <row r="238" spans="2:14">
      <c r="D238" s="2" t="s">
        <v>169</v>
      </c>
      <c r="E238" s="2" t="str">
        <f>Currency</f>
        <v>$'m</v>
      </c>
      <c r="J238" s="2">
        <f ca="1">J27</f>
        <v>-26.129333264518309</v>
      </c>
      <c r="K238" s="2">
        <f t="shared" ref="K238:N238" ca="1" si="119">K27</f>
        <v>-4.4429994132450332</v>
      </c>
      <c r="L238" s="2">
        <f t="shared" ca="1" si="119"/>
        <v>19.640811058226689</v>
      </c>
      <c r="M238" s="2">
        <f t="shared" ca="1" si="119"/>
        <v>45.544909023223411</v>
      </c>
      <c r="N238" s="2">
        <f t="shared" ca="1" si="119"/>
        <v>73.629768026579072</v>
      </c>
    </row>
    <row r="239" spans="2:14">
      <c r="D239" s="2" t="str">
        <f>D236</f>
        <v>Reduction in Company's EBT-Timing Difference</v>
      </c>
      <c r="E239" s="2" t="str">
        <f>Currency</f>
        <v>$'m</v>
      </c>
      <c r="J239" s="2">
        <f>J236</f>
        <v>40</v>
      </c>
      <c r="K239" s="2">
        <f t="shared" ref="K239:N239" si="120">K236</f>
        <v>40</v>
      </c>
      <c r="L239" s="2">
        <f t="shared" si="120"/>
        <v>40</v>
      </c>
      <c r="M239" s="2">
        <f t="shared" si="120"/>
        <v>40</v>
      </c>
      <c r="N239" s="2">
        <f t="shared" si="120"/>
        <v>40</v>
      </c>
    </row>
    <row r="240" spans="2:14">
      <c r="D240" s="2" t="s">
        <v>170</v>
      </c>
      <c r="E240" s="2" t="str">
        <f>Currency</f>
        <v>$'m</v>
      </c>
      <c r="J240" s="81">
        <f ca="1">J238-J239</f>
        <v>-66.129333264518309</v>
      </c>
      <c r="K240" s="81">
        <f t="shared" ref="K240:N240" ca="1" si="121">K238-K239</f>
        <v>-44.442999413245033</v>
      </c>
      <c r="L240" s="81">
        <f t="shared" ca="1" si="121"/>
        <v>-20.359188941773311</v>
      </c>
      <c r="M240" s="81">
        <f t="shared" ca="1" si="121"/>
        <v>5.5449090232234113</v>
      </c>
      <c r="N240" s="81">
        <f t="shared" ca="1" si="121"/>
        <v>33.629768026579072</v>
      </c>
    </row>
    <row r="241" spans="2:14">
      <c r="D241" s="108" t="s">
        <v>171</v>
      </c>
      <c r="E241" s="81" t="str">
        <f>Currency</f>
        <v>$'m</v>
      </c>
      <c r="F241" s="81"/>
      <c r="G241" s="81"/>
      <c r="H241" s="81"/>
      <c r="I241" s="81"/>
      <c r="J241" s="81">
        <f ca="1">MAX(J240*J235,0)</f>
        <v>0</v>
      </c>
      <c r="K241" s="81">
        <f t="shared" ref="K241:N241" ca="1" si="122">MAX(K240*K235,0)</f>
        <v>0</v>
      </c>
      <c r="L241" s="81">
        <f t="shared" ca="1" si="122"/>
        <v>0</v>
      </c>
      <c r="M241" s="81">
        <f t="shared" ca="1" si="122"/>
        <v>1.9407181581281938</v>
      </c>
      <c r="N241" s="81">
        <f t="shared" ca="1" si="122"/>
        <v>11.770418809302674</v>
      </c>
    </row>
    <row r="242" spans="2:14">
      <c r="D242" s="109" t="s">
        <v>172</v>
      </c>
      <c r="E242" s="25" t="str">
        <f>Currency</f>
        <v>$'m</v>
      </c>
      <c r="F242" s="25"/>
      <c r="G242" s="25"/>
      <c r="H242" s="25"/>
      <c r="I242" s="25"/>
      <c r="J242" s="25">
        <f>J239*J235</f>
        <v>14</v>
      </c>
      <c r="K242" s="25">
        <f t="shared" ref="K242:N242" si="123">K239*K235</f>
        <v>14</v>
      </c>
      <c r="L242" s="25">
        <f t="shared" si="123"/>
        <v>14</v>
      </c>
      <c r="M242" s="25">
        <f t="shared" si="123"/>
        <v>14</v>
      </c>
      <c r="N242" s="110">
        <f t="shared" si="123"/>
        <v>14</v>
      </c>
    </row>
    <row r="244" spans="2:14" ht="14.4" thickBot="1"/>
    <row r="245" spans="2:14" ht="14.4" thickBot="1">
      <c r="B245" s="73" t="s">
        <v>173</v>
      </c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2"/>
    </row>
    <row r="247" spans="2:14">
      <c r="D247" s="2" t="str">
        <f>Assumptions!D66</f>
        <v>Days in the year</v>
      </c>
      <c r="G247" s="79">
        <f>Assumptions!G66</f>
        <v>365</v>
      </c>
      <c r="H247" s="79">
        <f>Assumptions!H66</f>
        <v>365</v>
      </c>
      <c r="I247" s="79">
        <f>Assumptions!I66</f>
        <v>366</v>
      </c>
      <c r="J247" s="79">
        <f>Assumptions!J66</f>
        <v>365</v>
      </c>
      <c r="K247" s="79">
        <f>Assumptions!K66</f>
        <v>365</v>
      </c>
      <c r="L247" s="79">
        <f>Assumptions!L66</f>
        <v>365</v>
      </c>
      <c r="M247" s="79">
        <f>Assumptions!M66</f>
        <v>366</v>
      </c>
      <c r="N247" s="79">
        <f>Assumptions!N66</f>
        <v>365</v>
      </c>
    </row>
    <row r="248" spans="2:14">
      <c r="D248" s="2">
        <f>Assumptions!D67</f>
        <v>0</v>
      </c>
    </row>
    <row r="249" spans="2:14">
      <c r="D249" s="7" t="str">
        <f>Assumptions!D68</f>
        <v>Extracts from Financial</v>
      </c>
    </row>
    <row r="250" spans="2:14">
      <c r="D250" s="2" t="str">
        <f>Assumptions!D69</f>
        <v>Revenue</v>
      </c>
      <c r="J250" s="79">
        <f>J13</f>
        <v>788.17769230769238</v>
      </c>
      <c r="K250" s="79">
        <f t="shared" ref="K250:N250" si="124">K13</f>
        <v>831.99801923076927</v>
      </c>
      <c r="L250" s="79">
        <f t="shared" si="124"/>
        <v>877.51675144230762</v>
      </c>
      <c r="M250" s="79">
        <f t="shared" si="124"/>
        <v>924.79142150240364</v>
      </c>
      <c r="N250" s="79">
        <f t="shared" si="124"/>
        <v>973.88137709585305</v>
      </c>
    </row>
    <row r="251" spans="2:14">
      <c r="D251" s="2" t="str">
        <f>Assumptions!D70</f>
        <v>Operating Costs</v>
      </c>
      <c r="J251" s="79">
        <f>J15</f>
        <v>412.83323076923079</v>
      </c>
      <c r="K251" s="79">
        <f t="shared" ref="K251:N251" si="125">K15</f>
        <v>423.93899076923077</v>
      </c>
      <c r="L251" s="79">
        <f t="shared" si="125"/>
        <v>435.32384787692308</v>
      </c>
      <c r="M251" s="79">
        <f t="shared" si="125"/>
        <v>446.9945236726154</v>
      </c>
      <c r="N251" s="79">
        <f t="shared" si="125"/>
        <v>458.95789696098467</v>
      </c>
    </row>
    <row r="252" spans="2:14">
      <c r="D252" s="2">
        <f>Assumptions!D71</f>
        <v>0</v>
      </c>
    </row>
    <row r="253" spans="2:14">
      <c r="D253" s="7" t="str">
        <f>Assumptions!D72</f>
        <v>Days</v>
      </c>
    </row>
    <row r="254" spans="2:14">
      <c r="D254" s="2" t="str">
        <f>Assumptions!D73</f>
        <v>Accounts Receivable</v>
      </c>
      <c r="J254" s="79">
        <f>Assumptions!J73</f>
        <v>13.7</v>
      </c>
      <c r="K254" s="79">
        <f>Assumptions!K73</f>
        <v>13.7</v>
      </c>
      <c r="L254" s="79">
        <f>Assumptions!L73</f>
        <v>13.7</v>
      </c>
      <c r="M254" s="79">
        <f>Assumptions!M73</f>
        <v>13.7</v>
      </c>
      <c r="N254" s="79">
        <f>Assumptions!N73</f>
        <v>13.7</v>
      </c>
    </row>
    <row r="255" spans="2:14">
      <c r="D255" s="2" t="str">
        <f>Assumptions!D74</f>
        <v>Prepaid Expenses</v>
      </c>
      <c r="J255" s="79">
        <f>Assumptions!J74</f>
        <v>35</v>
      </c>
      <c r="K255" s="79">
        <f>Assumptions!K74</f>
        <v>33</v>
      </c>
      <c r="L255" s="79">
        <f>Assumptions!L74</f>
        <v>31</v>
      </c>
      <c r="M255" s="79">
        <f>Assumptions!M74</f>
        <v>29</v>
      </c>
      <c r="N255" s="79">
        <f>Assumptions!N74</f>
        <v>27</v>
      </c>
    </row>
    <row r="256" spans="2:14">
      <c r="D256" s="2" t="str">
        <f>Assumptions!D75</f>
        <v>Other current assets</v>
      </c>
      <c r="J256" s="79">
        <f>Assumptions!J75</f>
        <v>0.3</v>
      </c>
      <c r="K256" s="79">
        <f>Assumptions!K75</f>
        <v>0.3</v>
      </c>
      <c r="L256" s="79">
        <f>Assumptions!L75</f>
        <v>0.3</v>
      </c>
      <c r="M256" s="79">
        <f>Assumptions!M75</f>
        <v>0.3</v>
      </c>
      <c r="N256" s="79">
        <f>Assumptions!N75</f>
        <v>0.3</v>
      </c>
    </row>
    <row r="257" spans="4:14">
      <c r="D257" s="2" t="str">
        <f>Assumptions!D76</f>
        <v>Accounts Payable</v>
      </c>
      <c r="J257" s="79">
        <f>Assumptions!J76</f>
        <v>52.1</v>
      </c>
      <c r="K257" s="79">
        <f>Assumptions!K76</f>
        <v>52.1</v>
      </c>
      <c r="L257" s="79">
        <f>Assumptions!L76</f>
        <v>52.1</v>
      </c>
      <c r="M257" s="79">
        <f>Assumptions!M76</f>
        <v>52.1</v>
      </c>
      <c r="N257" s="79">
        <f>Assumptions!N76</f>
        <v>52.1</v>
      </c>
    </row>
    <row r="258" spans="4:14">
      <c r="D258" s="2" t="str">
        <f>Assumptions!D77</f>
        <v>Accrued Expenses</v>
      </c>
      <c r="J258" s="79">
        <f>Assumptions!J77</f>
        <v>72.599999999999994</v>
      </c>
      <c r="K258" s="79">
        <f>Assumptions!K77</f>
        <v>72.599999999999994</v>
      </c>
      <c r="L258" s="79">
        <f>Assumptions!L77</f>
        <v>72.599999999999994</v>
      </c>
      <c r="M258" s="79">
        <f>Assumptions!M77</f>
        <v>72.599999999999994</v>
      </c>
      <c r="N258" s="79">
        <f>Assumptions!N77</f>
        <v>72.599999999999994</v>
      </c>
    </row>
    <row r="259" spans="4:14">
      <c r="D259" s="2" t="str">
        <f>Assumptions!D78</f>
        <v>Deferred Revenue</v>
      </c>
      <c r="J259" s="79">
        <f>Assumptions!J78</f>
        <v>59.9</v>
      </c>
      <c r="K259" s="79">
        <f>Assumptions!K78</f>
        <v>59.9</v>
      </c>
      <c r="L259" s="79">
        <f>Assumptions!L78</f>
        <v>59.9</v>
      </c>
      <c r="M259" s="79">
        <f>Assumptions!M78</f>
        <v>59.9</v>
      </c>
      <c r="N259" s="79">
        <f>Assumptions!N78</f>
        <v>59.9</v>
      </c>
    </row>
    <row r="260" spans="4:14">
      <c r="D260" s="2" t="str">
        <f>Assumptions!D79</f>
        <v>Other current liabilites</v>
      </c>
      <c r="J260" s="79">
        <f>Assumptions!J79</f>
        <v>6.4</v>
      </c>
      <c r="K260" s="79">
        <f>Assumptions!K79</f>
        <v>6.4</v>
      </c>
      <c r="L260" s="79">
        <f>Assumptions!L79</f>
        <v>6.4</v>
      </c>
      <c r="M260" s="79">
        <f>Assumptions!M79</f>
        <v>6.4</v>
      </c>
      <c r="N260" s="79">
        <f>Assumptions!N79</f>
        <v>6.4</v>
      </c>
    </row>
    <row r="261" spans="4:14">
      <c r="D261" s="2">
        <f>Assumptions!D80</f>
        <v>0</v>
      </c>
    </row>
    <row r="262" spans="4:14">
      <c r="D262" s="7" t="s">
        <v>174</v>
      </c>
    </row>
    <row r="263" spans="4:14">
      <c r="D263" s="2" t="str">
        <f>Assumptions!D82</f>
        <v>Accounts Receivable</v>
      </c>
      <c r="J263" s="2">
        <f>J254/J247*J250</f>
        <v>29.583655848261326</v>
      </c>
      <c r="K263" s="2">
        <f t="shared" ref="K263:N263" si="126">K254/K247*K250</f>
        <v>31.228418804004214</v>
      </c>
      <c r="L263" s="2">
        <f t="shared" si="126"/>
        <v>32.936930122629079</v>
      </c>
      <c r="M263" s="2">
        <f t="shared" si="126"/>
        <v>34.616509493395981</v>
      </c>
      <c r="N263" s="2">
        <f t="shared" si="126"/>
        <v>36.553903743049823</v>
      </c>
    </row>
    <row r="264" spans="4:14">
      <c r="D264" s="2" t="str">
        <f>Assumptions!D83</f>
        <v>Prepaid Expenses</v>
      </c>
      <c r="J264" s="2">
        <f>J255/J$247*J$251</f>
        <v>39.586748155953636</v>
      </c>
      <c r="K264" s="2">
        <f t="shared" ref="K264:N264" si="127">K255/K$247*K$251</f>
        <v>38.328730672286618</v>
      </c>
      <c r="L264" s="2">
        <f t="shared" si="127"/>
        <v>36.972710367629084</v>
      </c>
      <c r="M264" s="2">
        <f t="shared" si="127"/>
        <v>35.417598870234556</v>
      </c>
      <c r="N264" s="2">
        <f t="shared" si="127"/>
        <v>33.950310186155029</v>
      </c>
    </row>
    <row r="265" spans="4:14">
      <c r="D265" s="2" t="str">
        <f>Assumptions!D84</f>
        <v>Other current assets</v>
      </c>
      <c r="J265" s="2">
        <f t="shared" ref="J265:N265" si="128">J256/J$247*J$251</f>
        <v>0.33931498419388828</v>
      </c>
      <c r="K265" s="2">
        <f t="shared" si="128"/>
        <v>0.34844300611169648</v>
      </c>
      <c r="L265" s="2">
        <f t="shared" si="128"/>
        <v>0.3578004229125395</v>
      </c>
      <c r="M265" s="2">
        <f t="shared" si="128"/>
        <v>0.36638895383001263</v>
      </c>
      <c r="N265" s="2">
        <f t="shared" si="128"/>
        <v>0.37722566873505586</v>
      </c>
    </row>
    <row r="266" spans="4:14" s="9" customFormat="1">
      <c r="D266" s="9" t="s">
        <v>175</v>
      </c>
      <c r="I266" s="9" t="s">
        <v>215</v>
      </c>
      <c r="J266" s="9">
        <f t="shared" ref="J266:N266" si="129">SUM(J263:J265)</f>
        <v>69.509718988408849</v>
      </c>
      <c r="K266" s="9">
        <f t="shared" si="129"/>
        <v>69.905592482402525</v>
      </c>
      <c r="L266" s="9">
        <f t="shared" si="129"/>
        <v>70.267440913170702</v>
      </c>
      <c r="M266" s="9">
        <f t="shared" si="129"/>
        <v>70.400497317460548</v>
      </c>
      <c r="N266" s="9">
        <f t="shared" si="129"/>
        <v>70.881439597939902</v>
      </c>
    </row>
    <row r="267" spans="4:14">
      <c r="D267" s="2" t="str">
        <f>Assumptions!D86</f>
        <v>Accounts Payable</v>
      </c>
      <c r="J267" s="2">
        <f t="shared" ref="J267:N270" si="130">J257/J$247*J$251</f>
        <v>58.927702255005272</v>
      </c>
      <c r="K267" s="2">
        <f t="shared" si="130"/>
        <v>60.512935394731294</v>
      </c>
      <c r="L267" s="2">
        <f t="shared" si="130"/>
        <v>62.138006779144362</v>
      </c>
      <c r="M267" s="2">
        <f t="shared" si="130"/>
        <v>63.629548315145527</v>
      </c>
      <c r="N267" s="2">
        <f t="shared" si="130"/>
        <v>65.511524470321376</v>
      </c>
    </row>
    <row r="268" spans="4:14">
      <c r="D268" s="2" t="str">
        <f>Assumptions!D87</f>
        <v>Accrued Expenses</v>
      </c>
      <c r="J268" s="2">
        <f t="shared" si="130"/>
        <v>82.114226174920972</v>
      </c>
      <c r="K268" s="2">
        <f t="shared" si="130"/>
        <v>84.323207479030557</v>
      </c>
      <c r="L268" s="2">
        <f t="shared" si="130"/>
        <v>86.587702344834554</v>
      </c>
      <c r="M268" s="2">
        <f t="shared" si="130"/>
        <v>88.666126826863049</v>
      </c>
      <c r="N268" s="2">
        <f t="shared" si="130"/>
        <v>91.288611833883522</v>
      </c>
    </row>
    <row r="269" spans="4:14">
      <c r="D269" s="2" t="str">
        <f>Assumptions!D88</f>
        <v>Deferred Revenue</v>
      </c>
      <c r="J269" s="2">
        <f t="shared" si="130"/>
        <v>67.74989184404636</v>
      </c>
      <c r="K269" s="2">
        <f t="shared" si="130"/>
        <v>69.572453553635398</v>
      </c>
      <c r="L269" s="2">
        <f t="shared" si="130"/>
        <v>71.440817774870382</v>
      </c>
      <c r="M269" s="2">
        <f t="shared" si="130"/>
        <v>73.155661114725859</v>
      </c>
      <c r="N269" s="2">
        <f t="shared" si="130"/>
        <v>75.319391857432819</v>
      </c>
    </row>
    <row r="270" spans="4:14">
      <c r="D270" s="2" t="str">
        <f>Assumptions!D89</f>
        <v>Other current liabilites</v>
      </c>
      <c r="J270" s="2">
        <f t="shared" si="130"/>
        <v>7.2387196628029518</v>
      </c>
      <c r="K270" s="2">
        <f t="shared" si="130"/>
        <v>7.4334507970495265</v>
      </c>
      <c r="L270" s="2">
        <f t="shared" si="130"/>
        <v>7.6330756888008437</v>
      </c>
      <c r="M270" s="2">
        <f t="shared" si="130"/>
        <v>7.8162976817069358</v>
      </c>
      <c r="N270" s="2">
        <f t="shared" si="130"/>
        <v>8.0474809330145263</v>
      </c>
    </row>
    <row r="271" spans="4:14" s="9" customFormat="1">
      <c r="D271" s="9" t="s">
        <v>176</v>
      </c>
      <c r="J271" s="9">
        <f>SUM(J267:J270)</f>
        <v>216.0305399367756</v>
      </c>
      <c r="K271" s="9">
        <f t="shared" ref="K271:N271" si="131">SUM(K267:K270)</f>
        <v>221.84204722444676</v>
      </c>
      <c r="L271" s="9">
        <f t="shared" si="131"/>
        <v>227.7996025876501</v>
      </c>
      <c r="M271" s="9">
        <f t="shared" si="131"/>
        <v>233.26763393844138</v>
      </c>
      <c r="N271" s="9">
        <f t="shared" si="131"/>
        <v>240.16700909465226</v>
      </c>
    </row>
    <row r="272" spans="4:14">
      <c r="D272" s="2" t="s">
        <v>177</v>
      </c>
      <c r="I272" s="79">
        <f>Assumptions!I91</f>
        <v>-156.5</v>
      </c>
      <c r="J272" s="2">
        <f>J266-J271</f>
        <v>-146.52082094836675</v>
      </c>
      <c r="K272" s="2">
        <f t="shared" ref="K272:N272" si="132">K266-K271</f>
        <v>-151.93645474204425</v>
      </c>
      <c r="L272" s="2">
        <f t="shared" si="132"/>
        <v>-157.5321616744794</v>
      </c>
      <c r="M272" s="2">
        <f t="shared" si="132"/>
        <v>-162.86713662098083</v>
      </c>
      <c r="N272" s="2">
        <f t="shared" si="132"/>
        <v>-169.28556949671236</v>
      </c>
    </row>
    <row r="273" spans="2:14">
      <c r="D273" s="92" t="s">
        <v>181</v>
      </c>
      <c r="E273" s="93"/>
      <c r="F273" s="93"/>
      <c r="G273" s="93"/>
      <c r="H273" s="93"/>
      <c r="I273" s="93"/>
      <c r="J273" s="93">
        <f>I272-J272</f>
        <v>-9.9791790516332526</v>
      </c>
      <c r="K273" s="93">
        <f t="shared" ref="K273:N273" si="133">J272-K272</f>
        <v>5.4156337936775003</v>
      </c>
      <c r="L273" s="93">
        <f t="shared" si="133"/>
        <v>5.5957069324351494</v>
      </c>
      <c r="M273" s="93">
        <f t="shared" si="133"/>
        <v>5.3349749465014327</v>
      </c>
      <c r="N273" s="94">
        <f t="shared" si="133"/>
        <v>6.4184328757315257</v>
      </c>
    </row>
    <row r="275" spans="2:14" ht="14.4" thickBot="1"/>
    <row r="276" spans="2:14" ht="14.4" thickBot="1">
      <c r="B276" s="73" t="s">
        <v>185</v>
      </c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2"/>
    </row>
    <row r="278" spans="2:14">
      <c r="D278" s="7" t="str">
        <f>Assumptions!D111</f>
        <v>Preferred shares</v>
      </c>
    </row>
    <row r="279" spans="2:14">
      <c r="D279" s="2" t="str">
        <f>Assumptions!D112</f>
        <v>Preferred shares Issuance</v>
      </c>
      <c r="E279" s="2" t="str">
        <f>Assumptions!E112</f>
        <v>$'m</v>
      </c>
      <c r="F279" s="2">
        <f>Assumptions!F112</f>
        <v>0</v>
      </c>
      <c r="J279" s="79">
        <f>Assumptions!J112</f>
        <v>0</v>
      </c>
      <c r="K279" s="79">
        <f>Assumptions!K112</f>
        <v>50</v>
      </c>
      <c r="L279" s="79">
        <f>Assumptions!L112</f>
        <v>0</v>
      </c>
      <c r="M279" s="79">
        <f>Assumptions!M112</f>
        <v>0</v>
      </c>
      <c r="N279" s="79">
        <f>Assumptions!N112</f>
        <v>0</v>
      </c>
    </row>
    <row r="280" spans="2:14">
      <c r="D280" s="2" t="str">
        <f>Assumptions!D113</f>
        <v>Dividend yield</v>
      </c>
      <c r="E280" s="2" t="str">
        <f>Assumptions!E113</f>
        <v>%</v>
      </c>
      <c r="F280" s="2">
        <f>Assumptions!F113</f>
        <v>0</v>
      </c>
      <c r="J280" s="80">
        <f>Assumptions!J113</f>
        <v>0.08</v>
      </c>
      <c r="K280" s="80">
        <f>Assumptions!K113</f>
        <v>0.08</v>
      </c>
      <c r="L280" s="80">
        <f>Assumptions!L113</f>
        <v>0.08</v>
      </c>
      <c r="M280" s="80">
        <f>Assumptions!M113</f>
        <v>0.08</v>
      </c>
      <c r="N280" s="80">
        <f>Assumptions!N113</f>
        <v>0.08</v>
      </c>
    </row>
    <row r="281" spans="2:14">
      <c r="D281" s="7" t="s">
        <v>54</v>
      </c>
    </row>
    <row r="282" spans="2:14">
      <c r="D282" s="2" t="s">
        <v>191</v>
      </c>
      <c r="J282" s="79">
        <v>0</v>
      </c>
      <c r="K282" s="79">
        <v>0</v>
      </c>
      <c r="L282" s="79">
        <v>0</v>
      </c>
      <c r="M282" s="79">
        <v>0</v>
      </c>
      <c r="N282" s="79">
        <v>0</v>
      </c>
    </row>
    <row r="283" spans="2:14">
      <c r="D283" s="2" t="str">
        <f>Assumptions!D115</f>
        <v>Common Share dividend</v>
      </c>
      <c r="J283" s="80">
        <f>Assumptions!J115</f>
        <v>0.2</v>
      </c>
      <c r="K283" s="80">
        <f>Assumptions!K115</f>
        <v>0.2</v>
      </c>
      <c r="L283" s="80">
        <f>Assumptions!L115</f>
        <v>0.2</v>
      </c>
      <c r="M283" s="80">
        <f>Assumptions!M115</f>
        <v>0.2</v>
      </c>
      <c r="N283" s="80">
        <f>Assumptions!N115</f>
        <v>0.2</v>
      </c>
    </row>
    <row r="285" spans="2:14">
      <c r="D285" s="7" t="s">
        <v>190</v>
      </c>
    </row>
    <row r="286" spans="2:14">
      <c r="D286" s="2" t="s">
        <v>160</v>
      </c>
      <c r="J286" s="2">
        <f>I288</f>
        <v>0</v>
      </c>
      <c r="K286" s="2">
        <f t="shared" ref="K286:N286" si="134">J288</f>
        <v>0</v>
      </c>
      <c r="L286" s="2">
        <f t="shared" si="134"/>
        <v>50</v>
      </c>
      <c r="M286" s="2">
        <f t="shared" si="134"/>
        <v>50</v>
      </c>
      <c r="N286" s="2">
        <f t="shared" si="134"/>
        <v>50</v>
      </c>
    </row>
    <row r="287" spans="2:14">
      <c r="D287" s="2" t="s">
        <v>186</v>
      </c>
      <c r="J287" s="2">
        <f>J279</f>
        <v>0</v>
      </c>
      <c r="K287" s="2">
        <f t="shared" ref="K287:N287" si="135">K279</f>
        <v>50</v>
      </c>
      <c r="L287" s="2">
        <f t="shared" si="135"/>
        <v>0</v>
      </c>
      <c r="M287" s="2">
        <f t="shared" si="135"/>
        <v>0</v>
      </c>
      <c r="N287" s="2">
        <f t="shared" si="135"/>
        <v>0</v>
      </c>
    </row>
    <row r="288" spans="2:14" ht="14.4" thickBot="1">
      <c r="D288" s="2" t="s">
        <v>162</v>
      </c>
      <c r="I288" s="79">
        <f>I118</f>
        <v>0</v>
      </c>
      <c r="J288" s="103">
        <f>SUM(J286:J287)</f>
        <v>0</v>
      </c>
      <c r="K288" s="104">
        <f t="shared" ref="K288:N288" si="136">SUM(K286:K287)</f>
        <v>50</v>
      </c>
      <c r="L288" s="104">
        <f t="shared" si="136"/>
        <v>50</v>
      </c>
      <c r="M288" s="104">
        <f t="shared" si="136"/>
        <v>50</v>
      </c>
      <c r="N288" s="104">
        <f t="shared" si="136"/>
        <v>50</v>
      </c>
    </row>
    <row r="289" spans="2:14" ht="14.4" thickTop="1"/>
    <row r="290" spans="2:14">
      <c r="D290" s="89" t="str">
        <f>D280</f>
        <v>Dividend yield</v>
      </c>
      <c r="E290" s="90"/>
      <c r="F290" s="90"/>
      <c r="G290" s="90"/>
      <c r="H290" s="90"/>
      <c r="I290" s="90"/>
      <c r="J290" s="90">
        <f>J288*J280</f>
        <v>0</v>
      </c>
      <c r="K290" s="90">
        <f t="shared" ref="K290:N290" si="137">K288*K280</f>
        <v>4</v>
      </c>
      <c r="L290" s="90">
        <f t="shared" si="137"/>
        <v>4</v>
      </c>
      <c r="M290" s="90">
        <f t="shared" si="137"/>
        <v>4</v>
      </c>
      <c r="N290" s="91">
        <f t="shared" si="137"/>
        <v>4</v>
      </c>
    </row>
    <row r="292" spans="2:14">
      <c r="D292" s="7" t="s">
        <v>189</v>
      </c>
    </row>
    <row r="293" spans="2:14">
      <c r="D293" s="2" t="str">
        <f>D286</f>
        <v>Beginning Balance</v>
      </c>
      <c r="J293" s="2">
        <f>I295</f>
        <v>1579.6</v>
      </c>
      <c r="K293" s="2">
        <f t="shared" ref="K293:N293" si="138">J295</f>
        <v>1579.6</v>
      </c>
      <c r="L293" s="2">
        <f t="shared" si="138"/>
        <v>1579.6</v>
      </c>
      <c r="M293" s="2">
        <f t="shared" si="138"/>
        <v>1579.6</v>
      </c>
      <c r="N293" s="2">
        <f t="shared" si="138"/>
        <v>1579.6</v>
      </c>
    </row>
    <row r="294" spans="2:14">
      <c r="D294" s="2" t="str">
        <f t="shared" ref="D294:D295" si="139">D287</f>
        <v>Issuance/Repayment</v>
      </c>
      <c r="J294" s="2">
        <f>J282</f>
        <v>0</v>
      </c>
      <c r="K294" s="2">
        <f t="shared" ref="K294:N294" si="140">K282</f>
        <v>0</v>
      </c>
      <c r="L294" s="2">
        <f t="shared" si="140"/>
        <v>0</v>
      </c>
      <c r="M294" s="2">
        <f t="shared" si="140"/>
        <v>0</v>
      </c>
      <c r="N294" s="2">
        <f t="shared" si="140"/>
        <v>0</v>
      </c>
    </row>
    <row r="295" spans="2:14" ht="14.4" thickBot="1">
      <c r="D295" s="2" t="str">
        <f t="shared" si="139"/>
        <v>Ending Balance</v>
      </c>
      <c r="I295" s="2">
        <f>I119</f>
        <v>1579.6</v>
      </c>
      <c r="J295" s="104">
        <f>SUM(J293:J294)</f>
        <v>1579.6</v>
      </c>
      <c r="K295" s="104">
        <f t="shared" ref="K295:N295" si="141">SUM(K293:K294)</f>
        <v>1579.6</v>
      </c>
      <c r="L295" s="104">
        <f t="shared" si="141"/>
        <v>1579.6</v>
      </c>
      <c r="M295" s="104">
        <f t="shared" si="141"/>
        <v>1579.6</v>
      </c>
      <c r="N295" s="104">
        <f t="shared" si="141"/>
        <v>1579.6</v>
      </c>
    </row>
    <row r="296" spans="2:14" ht="14.4" thickTop="1"/>
    <row r="297" spans="2:14">
      <c r="D297" s="7" t="s">
        <v>192</v>
      </c>
    </row>
    <row r="298" spans="2:14">
      <c r="D298" s="2" t="s">
        <v>160</v>
      </c>
      <c r="J298" s="2">
        <f>I301</f>
        <v>-1037.5</v>
      </c>
      <c r="K298" s="2">
        <f t="shared" ref="K298:N298" ca="1" si="142">J301</f>
        <v>-1077.6293332645182</v>
      </c>
      <c r="L298" s="2">
        <f t="shared" ca="1" si="142"/>
        <v>-1100.0723326777631</v>
      </c>
      <c r="M298" s="2">
        <f t="shared" ca="1" si="142"/>
        <v>-1098.7596838311817</v>
      </c>
      <c r="N298" s="2">
        <f t="shared" ca="1" si="142"/>
        <v>-1078.2763311391057</v>
      </c>
    </row>
    <row r="299" spans="2:14">
      <c r="D299" s="2" t="s">
        <v>14</v>
      </c>
      <c r="J299" s="2">
        <f ca="1">J36</f>
        <v>-40.129333264518309</v>
      </c>
      <c r="K299" s="2">
        <f t="shared" ref="K299:N299" ca="1" si="143">K36</f>
        <v>-22.442999413245033</v>
      </c>
      <c r="L299" s="2">
        <f t="shared" ca="1" si="143"/>
        <v>1.6408110582266886</v>
      </c>
      <c r="M299" s="2">
        <f t="shared" ca="1" si="143"/>
        <v>25.604190865095219</v>
      </c>
      <c r="N299" s="2">
        <f t="shared" ca="1" si="143"/>
        <v>43.859349217276396</v>
      </c>
    </row>
    <row r="300" spans="2:14">
      <c r="D300" s="2" t="s">
        <v>193</v>
      </c>
      <c r="J300" s="2">
        <f ca="1">MAX(0,J299*J283)</f>
        <v>0</v>
      </c>
      <c r="K300" s="2">
        <f t="shared" ref="K300:N300" ca="1" si="144">MAX(0,K299*K283)</f>
        <v>0</v>
      </c>
      <c r="L300" s="2">
        <f t="shared" ca="1" si="144"/>
        <v>0.32816221164533776</v>
      </c>
      <c r="M300" s="2">
        <f t="shared" ca="1" si="144"/>
        <v>5.1208381730190444</v>
      </c>
      <c r="N300" s="2">
        <f t="shared" ca="1" si="144"/>
        <v>8.7718698434552795</v>
      </c>
    </row>
    <row r="301" spans="2:14" ht="14.4" thickBot="1">
      <c r="D301" s="2" t="s">
        <v>162</v>
      </c>
      <c r="I301" s="79">
        <f>I120</f>
        <v>-1037.5</v>
      </c>
      <c r="J301" s="104">
        <f ca="1">J298+J299-J300</f>
        <v>-1077.6293332645182</v>
      </c>
      <c r="K301" s="104">
        <f t="shared" ref="K301:N301" ca="1" si="145">K298+K299-K300</f>
        <v>-1100.0723326777631</v>
      </c>
      <c r="L301" s="104">
        <f t="shared" ca="1" si="145"/>
        <v>-1098.7596838311817</v>
      </c>
      <c r="M301" s="104">
        <f t="shared" ca="1" si="145"/>
        <v>-1078.2763311391057</v>
      </c>
      <c r="N301" s="104">
        <f t="shared" ca="1" si="145"/>
        <v>-1043.1888517652847</v>
      </c>
    </row>
    <row r="302" spans="2:14" ht="14.4" thickTop="1"/>
    <row r="303" spans="2:14" ht="14.4" thickBot="1"/>
    <row r="304" spans="2:14" ht="14.4" thickBot="1">
      <c r="B304" s="73" t="s">
        <v>194</v>
      </c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2"/>
    </row>
    <row r="306" spans="4:14">
      <c r="D306" s="7" t="str">
        <f>Assumptions!D96</f>
        <v>Interest Rates</v>
      </c>
    </row>
    <row r="307" spans="4:14">
      <c r="D307" s="2" t="str">
        <f>Assumptions!D97</f>
        <v>Fixed rate term debt</v>
      </c>
      <c r="E307" s="2" t="str">
        <f>Assumptions!E97</f>
        <v>%</v>
      </c>
      <c r="F307" s="2">
        <f>Assumptions!F97</f>
        <v>0</v>
      </c>
      <c r="J307" s="80">
        <f>Assumptions!J97</f>
        <v>6.5000000000000002E-2</v>
      </c>
      <c r="K307" s="80">
        <f>Assumptions!K97</f>
        <v>6.5000000000000002E-2</v>
      </c>
      <c r="L307" s="80">
        <f>Assumptions!L97</f>
        <v>6.5000000000000002E-2</v>
      </c>
      <c r="M307" s="80">
        <f>Assumptions!M97</f>
        <v>6.5000000000000002E-2</v>
      </c>
      <c r="N307" s="80">
        <f>Assumptions!N97</f>
        <v>6.5000000000000002E-2</v>
      </c>
    </row>
    <row r="308" spans="4:14">
      <c r="D308" s="2" t="str">
        <f>Assumptions!D98</f>
        <v>Revolver</v>
      </c>
      <c r="E308" s="2" t="str">
        <f>Assumptions!E98</f>
        <v>%</v>
      </c>
      <c r="F308" s="2">
        <f>Assumptions!F98</f>
        <v>0</v>
      </c>
      <c r="J308" s="80">
        <f>Assumptions!J98</f>
        <v>5.5E-2</v>
      </c>
      <c r="K308" s="80">
        <f>Assumptions!K98</f>
        <v>5.5E-2</v>
      </c>
      <c r="L308" s="80">
        <f>Assumptions!L98</f>
        <v>5.5E-2</v>
      </c>
      <c r="M308" s="80">
        <f>Assumptions!M98</f>
        <v>5.5E-2</v>
      </c>
      <c r="N308" s="80">
        <f>Assumptions!N98</f>
        <v>5.5E-2</v>
      </c>
    </row>
    <row r="309" spans="4:14">
      <c r="D309" s="2" t="str">
        <f>Assumptions!D99</f>
        <v>Spread</v>
      </c>
      <c r="E309" s="2" t="str">
        <f>Assumptions!E99</f>
        <v>%</v>
      </c>
      <c r="F309" s="2">
        <f>Assumptions!F99</f>
        <v>0</v>
      </c>
      <c r="J309" s="80">
        <f>Assumptions!J99</f>
        <v>2.2499999999999999E-2</v>
      </c>
      <c r="K309" s="80">
        <f>Assumptions!K99</f>
        <v>2.2499999999999999E-2</v>
      </c>
      <c r="L309" s="80">
        <f>Assumptions!L99</f>
        <v>2.2499999999999999E-2</v>
      </c>
      <c r="M309" s="80">
        <f>Assumptions!M99</f>
        <v>2.2499999999999999E-2</v>
      </c>
      <c r="N309" s="80">
        <f>Assumptions!N99</f>
        <v>2.2499999999999999E-2</v>
      </c>
    </row>
    <row r="310" spans="4:14">
      <c r="D310" s="2" t="str">
        <f>Assumptions!D100</f>
        <v>SOFR</v>
      </c>
      <c r="E310" s="2" t="str">
        <f>Assumptions!E100</f>
        <v>%</v>
      </c>
      <c r="F310" s="2">
        <f>Assumptions!F100</f>
        <v>0</v>
      </c>
      <c r="J310" s="80">
        <f>Assumptions!J100</f>
        <v>0.03</v>
      </c>
      <c r="K310" s="80">
        <f>Assumptions!K100</f>
        <v>0.03</v>
      </c>
      <c r="L310" s="80">
        <f>Assumptions!L100</f>
        <v>0.03</v>
      </c>
      <c r="M310" s="80">
        <f>Assumptions!M100</f>
        <v>0.03</v>
      </c>
      <c r="N310" s="80">
        <f>Assumptions!N100</f>
        <v>0.03</v>
      </c>
    </row>
    <row r="311" spans="4:14">
      <c r="D311" s="2" t="str">
        <f>Assumptions!D101</f>
        <v>Variable rate term debt</v>
      </c>
      <c r="E311" s="2" t="str">
        <f>Assumptions!E101</f>
        <v>%</v>
      </c>
      <c r="F311" s="2">
        <f>Assumptions!F101</f>
        <v>0</v>
      </c>
      <c r="J311" s="80">
        <f>Assumptions!J101</f>
        <v>5.2499999999999998E-2</v>
      </c>
      <c r="K311" s="80">
        <f>Assumptions!K101</f>
        <v>5.2499999999999998E-2</v>
      </c>
      <c r="L311" s="80">
        <f>Assumptions!L101</f>
        <v>5.2499999999999998E-2</v>
      </c>
      <c r="M311" s="80">
        <f>Assumptions!M101</f>
        <v>5.2499999999999998E-2</v>
      </c>
      <c r="N311" s="80">
        <f>Assumptions!N101</f>
        <v>5.2499999999999998E-2</v>
      </c>
    </row>
    <row r="312" spans="4:14">
      <c r="D312" s="2" t="str">
        <f>Assumptions!D102</f>
        <v>Excess Cash</v>
      </c>
      <c r="E312" s="2" t="str">
        <f>Assumptions!E102</f>
        <v>%</v>
      </c>
      <c r="F312" s="2">
        <f>Assumptions!F102</f>
        <v>0</v>
      </c>
      <c r="J312" s="80">
        <f>Assumptions!J102</f>
        <v>7.4999999999999997E-3</v>
      </c>
      <c r="K312" s="80">
        <f>Assumptions!K102</f>
        <v>7.4999999999999997E-3</v>
      </c>
      <c r="L312" s="80">
        <f>Assumptions!L102</f>
        <v>7.4999999999999997E-3</v>
      </c>
      <c r="M312" s="80">
        <f>Assumptions!M102</f>
        <v>7.4999999999999997E-3</v>
      </c>
      <c r="N312" s="80">
        <f>Assumptions!N102</f>
        <v>7.4999999999999997E-3</v>
      </c>
    </row>
    <row r="313" spans="4:14">
      <c r="D313" s="2">
        <f>Assumptions!D103</f>
        <v>0</v>
      </c>
    </row>
    <row r="314" spans="4:14">
      <c r="D314" s="7" t="str">
        <f>Assumptions!D104</f>
        <v>Amortization</v>
      </c>
    </row>
    <row r="315" spans="4:14">
      <c r="D315" s="2" t="str">
        <f>Assumptions!D105</f>
        <v>Fixed rate term debt</v>
      </c>
      <c r="E315" s="2" t="str">
        <f>Assumptions!E105</f>
        <v>$'m</v>
      </c>
      <c r="J315" s="79">
        <f>Assumptions!J105</f>
        <v>40</v>
      </c>
      <c r="K315" s="79">
        <f>Assumptions!K105</f>
        <v>40</v>
      </c>
      <c r="L315" s="79">
        <f>Assumptions!L105</f>
        <v>40</v>
      </c>
      <c r="M315" s="79">
        <f>Assumptions!M105</f>
        <v>40</v>
      </c>
      <c r="N315" s="79">
        <f>Assumptions!N105</f>
        <v>40</v>
      </c>
    </row>
    <row r="316" spans="4:14">
      <c r="D316" s="2" t="str">
        <f>Assumptions!D106</f>
        <v>Variable rate term debt</v>
      </c>
      <c r="E316" s="2" t="str">
        <f>Assumptions!E106</f>
        <v>$'m</v>
      </c>
      <c r="J316" s="79">
        <f>Assumptions!J106</f>
        <v>20</v>
      </c>
      <c r="K316" s="79">
        <f>Assumptions!K106</f>
        <v>20</v>
      </c>
      <c r="L316" s="79">
        <f>Assumptions!L106</f>
        <v>20</v>
      </c>
      <c r="M316" s="79">
        <f>Assumptions!M106</f>
        <v>20</v>
      </c>
      <c r="N316" s="79">
        <f>Assumptions!N106</f>
        <v>20</v>
      </c>
    </row>
    <row r="317" spans="4:14">
      <c r="D317" s="2">
        <f>Assumptions!D107</f>
        <v>0</v>
      </c>
    </row>
    <row r="318" spans="4:14">
      <c r="D318" s="9" t="str">
        <f>D307</f>
        <v>Fixed rate term debt</v>
      </c>
    </row>
    <row r="319" spans="4:14">
      <c r="D319" s="2" t="s">
        <v>160</v>
      </c>
      <c r="E319" s="2" t="str">
        <f>Currency</f>
        <v>$'m</v>
      </c>
      <c r="J319" s="2">
        <f>I321</f>
        <v>611.79999999999995</v>
      </c>
      <c r="K319" s="2">
        <f t="shared" ref="K319:N319" si="146">J321</f>
        <v>571.79999999999995</v>
      </c>
      <c r="L319" s="2">
        <f t="shared" si="146"/>
        <v>531.79999999999995</v>
      </c>
      <c r="M319" s="2">
        <f t="shared" si="146"/>
        <v>491.79999999999995</v>
      </c>
      <c r="N319" s="2">
        <f t="shared" si="146"/>
        <v>451.79999999999995</v>
      </c>
    </row>
    <row r="320" spans="4:14">
      <c r="D320" s="2" t="s">
        <v>195</v>
      </c>
      <c r="E320" s="2" t="str">
        <f>Currency</f>
        <v>$'m</v>
      </c>
      <c r="J320" s="2">
        <f>MIN(I321,J315)</f>
        <v>40</v>
      </c>
      <c r="K320" s="2">
        <f t="shared" ref="K320:N320" si="147">MIN(J321,K315)</f>
        <v>40</v>
      </c>
      <c r="L320" s="2">
        <f t="shared" si="147"/>
        <v>40</v>
      </c>
      <c r="M320" s="2">
        <f t="shared" si="147"/>
        <v>40</v>
      </c>
      <c r="N320" s="2">
        <f t="shared" si="147"/>
        <v>40</v>
      </c>
    </row>
    <row r="321" spans="4:14" ht="14.4" thickBot="1">
      <c r="D321" s="2" t="s">
        <v>162</v>
      </c>
      <c r="E321" s="2" t="str">
        <f>Currency</f>
        <v>$'m</v>
      </c>
      <c r="I321" s="79">
        <f>I111</f>
        <v>611.79999999999995</v>
      </c>
      <c r="J321" s="103">
        <f>J319-J320</f>
        <v>571.79999999999995</v>
      </c>
      <c r="K321" s="104">
        <f t="shared" ref="K321:N321" si="148">K319-K320</f>
        <v>531.79999999999995</v>
      </c>
      <c r="L321" s="104">
        <f t="shared" si="148"/>
        <v>491.79999999999995</v>
      </c>
      <c r="M321" s="104">
        <f t="shared" si="148"/>
        <v>451.79999999999995</v>
      </c>
      <c r="N321" s="104">
        <f t="shared" si="148"/>
        <v>411.79999999999995</v>
      </c>
    </row>
    <row r="322" spans="4:14" ht="14.4" thickTop="1"/>
    <row r="323" spans="4:14">
      <c r="D323" s="89" t="s">
        <v>196</v>
      </c>
      <c r="E323" s="90" t="str">
        <f>Currency</f>
        <v>$'m</v>
      </c>
      <c r="F323" s="90"/>
      <c r="G323" s="90"/>
      <c r="H323" s="90"/>
      <c r="I323" s="90"/>
      <c r="J323" s="90">
        <f>AVERAGE(I321:J321)*J307</f>
        <v>38.466999999999999</v>
      </c>
      <c r="K323" s="90">
        <f t="shared" ref="K323:N323" si="149">AVERAGE(J321:K321)*K307</f>
        <v>35.866999999999997</v>
      </c>
      <c r="L323" s="90">
        <f t="shared" si="149"/>
        <v>33.266999999999996</v>
      </c>
      <c r="M323" s="90">
        <f t="shared" si="149"/>
        <v>30.666999999999998</v>
      </c>
      <c r="N323" s="91">
        <f t="shared" si="149"/>
        <v>28.066999999999997</v>
      </c>
    </row>
    <row r="325" spans="4:14">
      <c r="D325" s="7" t="str">
        <f>D311</f>
        <v>Variable rate term debt</v>
      </c>
    </row>
    <row r="326" spans="4:14">
      <c r="D326" s="2" t="str">
        <f>D319</f>
        <v>Beginning Balance</v>
      </c>
      <c r="E326" s="2" t="str">
        <f>Currency</f>
        <v>$'m</v>
      </c>
      <c r="J326" s="2">
        <f>I328</f>
        <v>1008.5000000000001</v>
      </c>
      <c r="K326" s="2">
        <f t="shared" ref="K326:N326" si="150">J328</f>
        <v>988.50000000000011</v>
      </c>
      <c r="L326" s="2">
        <f t="shared" si="150"/>
        <v>968.50000000000011</v>
      </c>
      <c r="M326" s="2">
        <f t="shared" si="150"/>
        <v>948.50000000000011</v>
      </c>
      <c r="N326" s="2">
        <f t="shared" si="150"/>
        <v>928.50000000000011</v>
      </c>
    </row>
    <row r="327" spans="4:14">
      <c r="D327" s="2" t="str">
        <f t="shared" ref="D327:D328" si="151">D320</f>
        <v>Repayment</v>
      </c>
      <c r="E327" s="2" t="str">
        <f>Currency</f>
        <v>$'m</v>
      </c>
      <c r="J327" s="2">
        <f>MIN(I328,J316)</f>
        <v>20</v>
      </c>
      <c r="K327" s="2">
        <f t="shared" ref="K327:N327" si="152">MIN(J328,K316)</f>
        <v>20</v>
      </c>
      <c r="L327" s="2">
        <f t="shared" si="152"/>
        <v>20</v>
      </c>
      <c r="M327" s="2">
        <f t="shared" si="152"/>
        <v>20</v>
      </c>
      <c r="N327" s="2">
        <f t="shared" si="152"/>
        <v>20</v>
      </c>
    </row>
    <row r="328" spans="4:14" ht="14.4" thickBot="1">
      <c r="D328" s="2" t="str">
        <f t="shared" si="151"/>
        <v>Ending Balance</v>
      </c>
      <c r="E328" s="2" t="str">
        <f>Currency</f>
        <v>$'m</v>
      </c>
      <c r="I328" s="79">
        <f>I110</f>
        <v>1008.5000000000001</v>
      </c>
      <c r="J328" s="103">
        <f>J326-J327</f>
        <v>988.50000000000011</v>
      </c>
      <c r="K328" s="104">
        <f t="shared" ref="K328:N328" si="153">K326-K327</f>
        <v>968.50000000000011</v>
      </c>
      <c r="L328" s="104">
        <f t="shared" si="153"/>
        <v>948.50000000000011</v>
      </c>
      <c r="M328" s="104">
        <f t="shared" si="153"/>
        <v>928.50000000000011</v>
      </c>
      <c r="N328" s="104">
        <f t="shared" si="153"/>
        <v>908.50000000000011</v>
      </c>
    </row>
    <row r="329" spans="4:14" ht="14.4" thickTop="1"/>
    <row r="330" spans="4:14">
      <c r="D330" s="89" t="s">
        <v>197</v>
      </c>
      <c r="E330" s="90"/>
      <c r="F330" s="90"/>
      <c r="G330" s="90"/>
      <c r="H330" s="90"/>
      <c r="I330" s="90"/>
      <c r="J330" s="90">
        <f>AVERAGE(I328:J328)*J311</f>
        <v>52.421250000000001</v>
      </c>
      <c r="K330" s="90">
        <f t="shared" ref="K330:N330" si="154">AVERAGE(J328:K328)*K311</f>
        <v>51.371250000000003</v>
      </c>
      <c r="L330" s="90">
        <f t="shared" si="154"/>
        <v>50.321250000000006</v>
      </c>
      <c r="M330" s="90">
        <f t="shared" si="154"/>
        <v>49.271250000000002</v>
      </c>
      <c r="N330" s="91">
        <f t="shared" si="154"/>
        <v>48.221250000000005</v>
      </c>
    </row>
    <row r="332" spans="4:14">
      <c r="D332" s="9" t="s">
        <v>198</v>
      </c>
    </row>
    <row r="333" spans="4:14">
      <c r="D333" s="2" t="str">
        <f>D326</f>
        <v>Beginning Balance</v>
      </c>
      <c r="E333" s="2" t="str">
        <f>Currency</f>
        <v>$'m</v>
      </c>
      <c r="J333" s="2">
        <f>I335</f>
        <v>18.499999999999957</v>
      </c>
      <c r="K333" s="2">
        <f t="shared" ref="K333:N333" ca="1" si="155">J335</f>
        <v>0</v>
      </c>
      <c r="L333" s="2">
        <f t="shared" ca="1" si="155"/>
        <v>-4</v>
      </c>
      <c r="M333" s="2">
        <f t="shared" ca="1" si="155"/>
        <v>-4.3281622116453491</v>
      </c>
      <c r="N333" s="2">
        <f t="shared" ca="1" si="155"/>
        <v>-9.1208381730190524</v>
      </c>
    </row>
    <row r="334" spans="4:14">
      <c r="D334" s="2" t="s">
        <v>199</v>
      </c>
      <c r="E334" s="2" t="str">
        <f>Currency</f>
        <v>$'m</v>
      </c>
      <c r="J334" s="2">
        <f ca="1">J75</f>
        <v>-18.499999999999943</v>
      </c>
      <c r="K334" s="2">
        <f t="shared" ref="K334:N334" ca="1" si="156">K75</f>
        <v>-4</v>
      </c>
      <c r="L334" s="2">
        <f t="shared" ca="1" si="156"/>
        <v>-0.32816221164534909</v>
      </c>
      <c r="M334" s="2">
        <f t="shared" ca="1" si="156"/>
        <v>-4.7926759613737033</v>
      </c>
      <c r="N334" s="2">
        <f t="shared" ca="1" si="156"/>
        <v>34.203270190161049</v>
      </c>
    </row>
    <row r="335" spans="4:14" ht="14.4" thickBot="1">
      <c r="D335" s="2" t="s">
        <v>162</v>
      </c>
      <c r="E335" s="2" t="str">
        <f>Currency</f>
        <v>$'m</v>
      </c>
      <c r="I335" s="79">
        <f>I77</f>
        <v>18.499999999999957</v>
      </c>
      <c r="J335" s="103">
        <f ca="1">SUM(J333:J334)</f>
        <v>0</v>
      </c>
      <c r="K335" s="104">
        <f t="shared" ref="K335:N335" ca="1" si="157">SUM(K333:K334)</f>
        <v>-4</v>
      </c>
      <c r="L335" s="104">
        <f t="shared" ca="1" si="157"/>
        <v>-4.3281622116453491</v>
      </c>
      <c r="M335" s="104">
        <f t="shared" ca="1" si="157"/>
        <v>-9.1208381730190524</v>
      </c>
      <c r="N335" s="104">
        <f t="shared" ca="1" si="157"/>
        <v>25.082432017141997</v>
      </c>
    </row>
    <row r="336" spans="4:14" ht="14.4" thickTop="1"/>
    <row r="337" spans="3:14">
      <c r="D337" s="89" t="s">
        <v>200</v>
      </c>
      <c r="E337" s="90" t="str">
        <f>Currency</f>
        <v>$'m</v>
      </c>
      <c r="F337" s="90"/>
      <c r="G337" s="90"/>
      <c r="H337" s="90"/>
      <c r="I337" s="90"/>
      <c r="J337" s="90">
        <f ca="1">AVERAGE(I335:J335)*J312</f>
        <v>6.937499999999984E-2</v>
      </c>
      <c r="K337" s="90">
        <f t="shared" ref="K337:N337" ca="1" si="158">AVERAGE(J335:K335)*K312</f>
        <v>-1.4999999999999999E-2</v>
      </c>
      <c r="L337" s="90">
        <f t="shared" ca="1" si="158"/>
        <v>-3.1230608293670057E-2</v>
      </c>
      <c r="M337" s="90">
        <f t="shared" ca="1" si="158"/>
        <v>-5.0433751442491501E-2</v>
      </c>
      <c r="N337" s="91">
        <f t="shared" ca="1" si="158"/>
        <v>5.9855976915461039E-2</v>
      </c>
    </row>
    <row r="339" spans="3:14">
      <c r="C339" s="7" t="s">
        <v>126</v>
      </c>
    </row>
    <row r="340" spans="3:14">
      <c r="C340" s="2" t="s">
        <v>201</v>
      </c>
    </row>
    <row r="341" spans="3:14">
      <c r="C341" s="2" t="str">
        <f>C54</f>
        <v>Operating Cash Flow</v>
      </c>
      <c r="J341" s="2">
        <f t="shared" ref="J341:N341" ca="1" si="159">J54</f>
        <v>123.36005911241989</v>
      </c>
      <c r="K341" s="2">
        <f t="shared" ca="1" si="159"/>
        <v>171.15549152328964</v>
      </c>
      <c r="L341" s="2">
        <f t="shared" ca="1" si="159"/>
        <v>206.13366084780472</v>
      </c>
      <c r="M341" s="2">
        <f t="shared" ca="1" si="159"/>
        <v>240.55059438302524</v>
      </c>
      <c r="N341" s="2">
        <f t="shared" ca="1" si="159"/>
        <v>270.60349637872224</v>
      </c>
    </row>
    <row r="342" spans="3:14">
      <c r="C342" s="2" t="str">
        <f>C61</f>
        <v>Investing Cash Flow</v>
      </c>
      <c r="J342" s="2">
        <f t="shared" ref="J342:N342" si="160">J61</f>
        <v>-125</v>
      </c>
      <c r="K342" s="2">
        <f t="shared" si="160"/>
        <v>-150</v>
      </c>
      <c r="L342" s="2">
        <f t="shared" si="160"/>
        <v>-150</v>
      </c>
      <c r="M342" s="2">
        <f t="shared" si="160"/>
        <v>-150</v>
      </c>
      <c r="N342" s="2">
        <f t="shared" si="160"/>
        <v>-150</v>
      </c>
    </row>
    <row r="343" spans="3:14">
      <c r="C343" s="2" t="str">
        <f>C66</f>
        <v>Variable Rate Long Term Debt Issuance / (Repayment)</v>
      </c>
      <c r="J343" s="2">
        <f t="shared" ref="J343:N343" si="161">J66</f>
        <v>-20</v>
      </c>
      <c r="K343" s="2">
        <f t="shared" si="161"/>
        <v>-20</v>
      </c>
      <c r="L343" s="2">
        <f t="shared" si="161"/>
        <v>-20</v>
      </c>
      <c r="M343" s="2">
        <f t="shared" si="161"/>
        <v>-20</v>
      </c>
      <c r="N343" s="2">
        <f t="shared" si="161"/>
        <v>-20</v>
      </c>
    </row>
    <row r="344" spans="3:14">
      <c r="C344" s="2" t="str">
        <f>C67</f>
        <v>Fixed Rate Long Term Debt Issuance / (Repayment)</v>
      </c>
      <c r="J344" s="2">
        <f t="shared" ref="J344:N344" si="162">J67</f>
        <v>-40</v>
      </c>
      <c r="K344" s="2">
        <f t="shared" si="162"/>
        <v>-40</v>
      </c>
      <c r="L344" s="2">
        <f t="shared" si="162"/>
        <v>-40</v>
      </c>
      <c r="M344" s="2">
        <f t="shared" si="162"/>
        <v>-40</v>
      </c>
      <c r="N344" s="2">
        <f t="shared" si="162"/>
        <v>-40</v>
      </c>
    </row>
    <row r="345" spans="3:14">
      <c r="C345" s="2" t="str">
        <f>C68</f>
        <v>Preferred Shares Issuance/(Buy-Back)</v>
      </c>
      <c r="J345" s="2">
        <f t="shared" ref="J345:N345" si="163">J68</f>
        <v>0</v>
      </c>
      <c r="K345" s="2">
        <f t="shared" si="163"/>
        <v>50</v>
      </c>
      <c r="L345" s="2">
        <f t="shared" si="163"/>
        <v>0</v>
      </c>
      <c r="M345" s="2">
        <f t="shared" si="163"/>
        <v>0</v>
      </c>
      <c r="N345" s="2">
        <f t="shared" si="163"/>
        <v>0</v>
      </c>
    </row>
    <row r="346" spans="3:14">
      <c r="C346" s="2" t="str">
        <f>C69</f>
        <v>Common Share Issuance / (Buy-Back)</v>
      </c>
      <c r="J346" s="2">
        <f t="shared" ref="J346:N346" si="164">J69</f>
        <v>0</v>
      </c>
      <c r="K346" s="2">
        <f t="shared" si="164"/>
        <v>0</v>
      </c>
      <c r="L346" s="2">
        <f t="shared" si="164"/>
        <v>0</v>
      </c>
      <c r="M346" s="2">
        <f t="shared" si="164"/>
        <v>0</v>
      </c>
      <c r="N346" s="2">
        <f t="shared" si="164"/>
        <v>0</v>
      </c>
    </row>
    <row r="347" spans="3:14">
      <c r="C347" s="2" t="str">
        <f>C72</f>
        <v>Other</v>
      </c>
      <c r="J347" s="2">
        <f t="shared" ref="J347:N347" si="165">J72</f>
        <v>0</v>
      </c>
      <c r="K347" s="2">
        <f t="shared" si="165"/>
        <v>0</v>
      </c>
      <c r="L347" s="2">
        <f t="shared" si="165"/>
        <v>0</v>
      </c>
      <c r="M347" s="2">
        <f t="shared" si="165"/>
        <v>0</v>
      </c>
      <c r="N347" s="2">
        <f t="shared" si="165"/>
        <v>0</v>
      </c>
    </row>
    <row r="348" spans="3:14" s="9" customFormat="1">
      <c r="C348" s="9" t="s">
        <v>202</v>
      </c>
      <c r="J348" s="9">
        <f t="shared" ref="J348:N348" ca="1" si="166">SUM(J341:J347)</f>
        <v>-61.63994088758011</v>
      </c>
      <c r="K348" s="9">
        <f t="shared" ca="1" si="166"/>
        <v>11.155491523289641</v>
      </c>
      <c r="L348" s="9">
        <f t="shared" ca="1" si="166"/>
        <v>-3.8663391521952803</v>
      </c>
      <c r="M348" s="9">
        <f t="shared" ca="1" si="166"/>
        <v>30.550594383025242</v>
      </c>
      <c r="N348" s="9">
        <f t="shared" ca="1" si="166"/>
        <v>60.603496378722241</v>
      </c>
    </row>
    <row r="350" spans="3:14">
      <c r="D350" s="7" t="s">
        <v>203</v>
      </c>
    </row>
    <row r="351" spans="3:14">
      <c r="D351" s="2" t="s">
        <v>160</v>
      </c>
      <c r="J351" s="2">
        <f>I353</f>
        <v>0</v>
      </c>
      <c r="K351" s="2">
        <f t="shared" ref="K351:N351" ca="1" si="167">J353</f>
        <v>43.139940887580153</v>
      </c>
      <c r="L351" s="2">
        <f t="shared" ca="1" si="167"/>
        <v>31.984449364290512</v>
      </c>
      <c r="M351" s="2">
        <f t="shared" ca="1" si="167"/>
        <v>39.850788516485792</v>
      </c>
      <c r="N351" s="2">
        <f t="shared" ca="1" si="167"/>
        <v>13.6283563451059</v>
      </c>
    </row>
    <row r="352" spans="3:14">
      <c r="D352" s="2" t="s">
        <v>204</v>
      </c>
      <c r="J352" s="2">
        <f ca="1">-MIN(J351,J348+J333)</f>
        <v>43.139940887580153</v>
      </c>
      <c r="K352" s="2">
        <f t="shared" ref="K352:N352" ca="1" si="168">-MIN(K351,K348+K333)</f>
        <v>-11.155491523289641</v>
      </c>
      <c r="L352" s="2">
        <f t="shared" ca="1" si="168"/>
        <v>7.8663391521952803</v>
      </c>
      <c r="M352" s="2">
        <f t="shared" ca="1" si="168"/>
        <v>-26.222432171379893</v>
      </c>
      <c r="N352" s="2">
        <f t="shared" ca="1" si="168"/>
        <v>-13.6283563451059</v>
      </c>
    </row>
    <row r="353" spans="4:14" ht="14.4" thickBot="1">
      <c r="D353" s="2" t="s">
        <v>205</v>
      </c>
      <c r="I353" s="123">
        <f>I103</f>
        <v>0</v>
      </c>
      <c r="J353" s="104">
        <f ca="1">SUM(J351:J352)</f>
        <v>43.139940887580153</v>
      </c>
      <c r="K353" s="104">
        <f t="shared" ref="K353:N353" ca="1" si="169">SUM(K351:K352)</f>
        <v>31.984449364290512</v>
      </c>
      <c r="L353" s="104">
        <f t="shared" ca="1" si="169"/>
        <v>39.850788516485792</v>
      </c>
      <c r="M353" s="104">
        <f t="shared" ca="1" si="169"/>
        <v>13.6283563451059</v>
      </c>
      <c r="N353" s="104">
        <f t="shared" ca="1" si="169"/>
        <v>0</v>
      </c>
    </row>
    <row r="354" spans="4:14" ht="14.4" thickTop="1"/>
    <row r="355" spans="4:14">
      <c r="D355" s="89" t="s">
        <v>206</v>
      </c>
      <c r="E355" s="90"/>
      <c r="F355" s="90"/>
      <c r="G355" s="90"/>
      <c r="H355" s="90"/>
      <c r="I355" s="90"/>
      <c r="J355" s="90">
        <f ca="1">AVERAGE(I353:J353)*J308</f>
        <v>1.1863483744084542</v>
      </c>
      <c r="K355" s="90">
        <f t="shared" ref="K355:N355" ca="1" si="170">AVERAGE(J353:K353)*K308</f>
        <v>2.0659207319264432</v>
      </c>
      <c r="L355" s="90">
        <f t="shared" ca="1" si="170"/>
        <v>1.9754690417213483</v>
      </c>
      <c r="M355" s="90">
        <f t="shared" ca="1" si="170"/>
        <v>1.4706764836937716</v>
      </c>
      <c r="N355" s="91">
        <f t="shared" ca="1" si="170"/>
        <v>0.37477979949041224</v>
      </c>
    </row>
    <row r="357" spans="4:14">
      <c r="D357" s="7" t="s">
        <v>207</v>
      </c>
    </row>
    <row r="358" spans="4:14">
      <c r="D358" s="2" t="str">
        <f>D323</f>
        <v>Interest expense on fixed rate term debt</v>
      </c>
      <c r="J358" s="2">
        <f t="shared" ref="J358:N358" si="171">J323</f>
        <v>38.466999999999999</v>
      </c>
      <c r="K358" s="2">
        <f t="shared" si="171"/>
        <v>35.866999999999997</v>
      </c>
      <c r="L358" s="2">
        <f t="shared" si="171"/>
        <v>33.266999999999996</v>
      </c>
      <c r="M358" s="2">
        <f t="shared" si="171"/>
        <v>30.666999999999998</v>
      </c>
      <c r="N358" s="2">
        <f t="shared" si="171"/>
        <v>28.066999999999997</v>
      </c>
    </row>
    <row r="359" spans="4:14">
      <c r="D359" s="2" t="str">
        <f>D330</f>
        <v>interest expense on Variable rate term debt</v>
      </c>
      <c r="J359" s="2">
        <f t="shared" ref="J359:N359" si="172">J330</f>
        <v>52.421250000000001</v>
      </c>
      <c r="K359" s="2">
        <f t="shared" si="172"/>
        <v>51.371250000000003</v>
      </c>
      <c r="L359" s="2">
        <f t="shared" si="172"/>
        <v>50.321250000000006</v>
      </c>
      <c r="M359" s="2">
        <f t="shared" si="172"/>
        <v>49.271250000000002</v>
      </c>
      <c r="N359" s="2">
        <f t="shared" si="172"/>
        <v>48.221250000000005</v>
      </c>
    </row>
    <row r="360" spans="4:14">
      <c r="D360" s="2" t="str">
        <f>D337</f>
        <v>Interest Income on Excess cash</v>
      </c>
      <c r="J360" s="2">
        <f t="shared" ref="J360:N360" ca="1" si="173">J337</f>
        <v>6.937499999999984E-2</v>
      </c>
      <c r="K360" s="2">
        <f t="shared" ca="1" si="173"/>
        <v>-1.4999999999999999E-2</v>
      </c>
      <c r="L360" s="2">
        <f t="shared" ca="1" si="173"/>
        <v>-3.1230608293670057E-2</v>
      </c>
      <c r="M360" s="2">
        <f t="shared" ca="1" si="173"/>
        <v>-5.0433751442491501E-2</v>
      </c>
      <c r="N360" s="2">
        <f t="shared" ca="1" si="173"/>
        <v>5.9855976915461039E-2</v>
      </c>
    </row>
    <row r="361" spans="4:14">
      <c r="D361" s="2" t="str">
        <f>D355</f>
        <v>Interest Expense on Revolver</v>
      </c>
      <c r="J361" s="2">
        <f t="shared" ref="J361:N361" ca="1" si="174">J355</f>
        <v>1.1863483744084542</v>
      </c>
      <c r="K361" s="2">
        <f t="shared" ca="1" si="174"/>
        <v>2.0659207319264432</v>
      </c>
      <c r="L361" s="2">
        <f t="shared" ca="1" si="174"/>
        <v>1.9754690417213483</v>
      </c>
      <c r="M361" s="2">
        <f t="shared" ca="1" si="174"/>
        <v>1.4706764836937716</v>
      </c>
      <c r="N361" s="2">
        <f t="shared" ca="1" si="174"/>
        <v>0.37477979949041224</v>
      </c>
    </row>
    <row r="362" spans="4:14" s="9" customFormat="1" ht="14.4" thickBot="1">
      <c r="D362" s="9" t="s">
        <v>55</v>
      </c>
      <c r="J362" s="98">
        <f ca="1">J358+J359-J360+J361</f>
        <v>92.005223374408459</v>
      </c>
      <c r="K362" s="98">
        <f t="shared" ref="K362:N362" ca="1" si="175">K358+K359-K360+K361</f>
        <v>89.319170731926434</v>
      </c>
      <c r="L362" s="98">
        <f t="shared" ca="1" si="175"/>
        <v>85.594949650015025</v>
      </c>
      <c r="M362" s="98">
        <f t="shared" ca="1" si="175"/>
        <v>81.459360235136259</v>
      </c>
      <c r="N362" s="98">
        <f t="shared" ca="1" si="175"/>
        <v>76.603173822574959</v>
      </c>
    </row>
    <row r="363" spans="4:14" ht="14.4" thickTop="1"/>
  </sheetData>
  <sheetProtection formatCells="0"/>
  <printOptions horizontalCentered="1"/>
  <pageMargins left="0.25" right="0.25" top="0.25" bottom="0.5" header="0.25" footer="0.25"/>
  <pageSetup scale="75" fitToHeight="0" orientation="portrait" r:id="rId1"/>
  <headerFooter alignWithMargins="0">
    <oddFooter>&amp;LSecureIT Data Centres LLC
Financial Model for 2025 - 2029&amp;CPage &amp;P of &amp;N&amp;R&amp;D &amp;T
Sheet Name: 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12</xdr:col>
                    <xdr:colOff>342900</xdr:colOff>
                    <xdr:row>0</xdr:row>
                    <xdr:rowOff>91440</xdr:rowOff>
                  </from>
                  <to>
                    <xdr:col>13</xdr:col>
                    <xdr:colOff>502920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12</xdr:col>
                    <xdr:colOff>342900</xdr:colOff>
                    <xdr:row>130</xdr:row>
                    <xdr:rowOff>91440</xdr:rowOff>
                  </from>
                  <to>
                    <xdr:col>13</xdr:col>
                    <xdr:colOff>502920</xdr:colOff>
                    <xdr:row>131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Cover</vt:lpstr>
      <vt:lpstr>Historical</vt:lpstr>
      <vt:lpstr>Summary</vt:lpstr>
      <vt:lpstr>Assumptions</vt:lpstr>
      <vt:lpstr>Scenarios</vt:lpstr>
      <vt:lpstr>Model</vt:lpstr>
      <vt:lpstr>Currency</vt:lpstr>
      <vt:lpstr>L_Scenarios</vt:lpstr>
      <vt:lpstr>Million</vt:lpstr>
      <vt:lpstr>Assumptions!Print_Titles</vt:lpstr>
      <vt:lpstr>Cover!Print_Titles</vt:lpstr>
      <vt:lpstr>Historical!Print_Titles</vt:lpstr>
      <vt:lpstr>Model!Print_Titles</vt:lpstr>
      <vt:lpstr>Scenarios!Print_Titles</vt:lpstr>
      <vt:lpstr>Summary!Print_Titles</vt:lpstr>
      <vt:lpstr>S_Scenarios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2020-10-02T18:01:15Z</dcterms:created>
  <dcterms:modified xsi:type="dcterms:W3CDTF">2025-03-20T15:11:07Z</dcterms:modified>
</cp:coreProperties>
</file>