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3.xml" ContentType="application/vnd.openxmlformats-officedocument.drawing+xml"/>
  <Override PartName="/xl/ctrlProps/ctrlProp7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chukwu Collins\Documents\dbrownconsulting\Mock Questions\Xcel Stores &amp; Properties\"/>
    </mc:Choice>
  </mc:AlternateContent>
  <xr:revisionPtr revIDLastSave="0" documentId="13_ncr:1_{797A002C-20C6-46DF-8429-281FFDB4D137}" xr6:coauthVersionLast="47" xr6:coauthVersionMax="47" xr10:uidLastSave="{00000000-0000-0000-0000-000000000000}"/>
  <workbookProtection workbookAlgorithmName="SHA-512" workbookHashValue="tASQWdfwBMbanoj3qJGgwCiRUKmkx3U7FGnk4QkNXsMm/+26aMoxi3xFaNhDccCDRz7V4DK+a9I7FdEY3g125Q==" workbookSaltValue="A98XRb+Ti57OPivkPHgOCw==" workbookSpinCount="100000" lockStructure="1"/>
  <bookViews>
    <workbookView xWindow="-108" yWindow="-108" windowWidth="23256" windowHeight="12456" activeTab="4" xr2:uid="{39751999-E243-44A5-83AF-58DFDCBAD556}"/>
  </bookViews>
  <sheets>
    <sheet name="Cover" sheetId="7" r:id="rId1"/>
    <sheet name="Summary" sheetId="3" r:id="rId2"/>
    <sheet name="Inputs" sheetId="4" r:id="rId3"/>
    <sheet name="Scenarios" sheetId="5" r:id="rId4"/>
    <sheet name="Model" sheetId="2" r:id="rId5"/>
  </sheets>
  <definedNames>
    <definedName name="BSCheck">Model!$E$125</definedName>
    <definedName name="Currency">Inputs!$E$13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40869.3787037037</definedName>
    <definedName name="IQ_NTM" hidden="1">6000</definedName>
    <definedName name="IQ_OPENED55" hidden="1">1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QRA8" hidden="1">"$A$9:$A$261"</definedName>
    <definedName name="IQRB8" hidden="1">"$B$9:$B$261"</definedName>
    <definedName name="IQRC8" hidden="1">"$C$9:$C$261"</definedName>
    <definedName name="L_Scenarios">Scenarios!$D$10:$D$12</definedName>
    <definedName name="Million">Inputs!$F$13</definedName>
    <definedName name="S_Switch">Scenarios!$E$10</definedName>
    <definedName name="UsedScenario">Scenarios!$D$9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4" i="2" l="1"/>
  <c r="L154" i="2"/>
  <c r="M154" i="2"/>
  <c r="N154" i="2"/>
  <c r="J154" i="2"/>
  <c r="K22" i="4"/>
  <c r="L22" i="4"/>
  <c r="M22" i="4"/>
  <c r="N22" i="4"/>
  <c r="J22" i="4"/>
  <c r="N30" i="5"/>
  <c r="M30" i="5"/>
  <c r="L30" i="5"/>
  <c r="K30" i="5"/>
  <c r="J30" i="5"/>
  <c r="H57" i="3" l="1"/>
  <c r="H60" i="3" s="1"/>
  <c r="I57" i="3"/>
  <c r="I60" i="3" s="1"/>
  <c r="H54" i="3"/>
  <c r="I54" i="3"/>
  <c r="H52" i="3"/>
  <c r="I52" i="3"/>
  <c r="G57" i="3"/>
  <c r="G60" i="3" s="1"/>
  <c r="G54" i="3"/>
  <c r="G52" i="3"/>
  <c r="J118" i="2"/>
  <c r="K118" i="2" s="1"/>
  <c r="L118" i="2" s="1"/>
  <c r="M118" i="2" s="1"/>
  <c r="N118" i="2" s="1"/>
  <c r="J110" i="2"/>
  <c r="K110" i="2" s="1"/>
  <c r="L110" i="2" s="1"/>
  <c r="M110" i="2" s="1"/>
  <c r="N110" i="2" s="1"/>
  <c r="J94" i="2"/>
  <c r="K94" i="2" s="1"/>
  <c r="L94" i="2" s="1"/>
  <c r="M94" i="2" s="1"/>
  <c r="N94" i="2" s="1"/>
  <c r="J95" i="2"/>
  <c r="K95" i="2" s="1"/>
  <c r="L95" i="2" s="1"/>
  <c r="M95" i="2" s="1"/>
  <c r="N95" i="2" s="1"/>
  <c r="J93" i="2"/>
  <c r="K93" i="2" s="1"/>
  <c r="L93" i="2" s="1"/>
  <c r="M93" i="2" s="1"/>
  <c r="N93" i="2" s="1"/>
  <c r="I189" i="2"/>
  <c r="J186" i="2" s="1"/>
  <c r="I76" i="2"/>
  <c r="J75" i="2" s="1"/>
  <c r="H72" i="2"/>
  <c r="G72" i="2"/>
  <c r="I72" i="2"/>
  <c r="K71" i="2"/>
  <c r="K318" i="2" s="1"/>
  <c r="L71" i="2"/>
  <c r="L318" i="2" s="1"/>
  <c r="M71" i="2"/>
  <c r="M318" i="2" s="1"/>
  <c r="N71" i="2"/>
  <c r="N318" i="2" s="1"/>
  <c r="J71" i="2"/>
  <c r="J318" i="2" s="1"/>
  <c r="D331" i="2"/>
  <c r="D330" i="2"/>
  <c r="D329" i="2"/>
  <c r="D328" i="2"/>
  <c r="K58" i="2"/>
  <c r="L58" i="2"/>
  <c r="M58" i="2"/>
  <c r="N58" i="2"/>
  <c r="K59" i="2"/>
  <c r="L59" i="2"/>
  <c r="M59" i="2"/>
  <c r="N59" i="2"/>
  <c r="J59" i="2"/>
  <c r="J58" i="2"/>
  <c r="K52" i="2"/>
  <c r="L52" i="2"/>
  <c r="M52" i="2"/>
  <c r="N52" i="2"/>
  <c r="J52" i="2"/>
  <c r="J45" i="2"/>
  <c r="K45" i="2" s="1"/>
  <c r="L45" i="2" s="1"/>
  <c r="M45" i="2" s="1"/>
  <c r="N45" i="2" s="1"/>
  <c r="N84" i="2" s="1"/>
  <c r="I323" i="2"/>
  <c r="J321" i="2" s="1"/>
  <c r="I318" i="2"/>
  <c r="H318" i="2"/>
  <c r="G318" i="2"/>
  <c r="I317" i="2"/>
  <c r="H317" i="2"/>
  <c r="G317" i="2"/>
  <c r="I316" i="2"/>
  <c r="H316" i="2"/>
  <c r="G316" i="2"/>
  <c r="I315" i="2"/>
  <c r="H315" i="2"/>
  <c r="G315" i="2"/>
  <c r="I314" i="2"/>
  <c r="H314" i="2"/>
  <c r="G314" i="2"/>
  <c r="I313" i="2"/>
  <c r="H313" i="2"/>
  <c r="G313" i="2"/>
  <c r="I312" i="2"/>
  <c r="H312" i="2"/>
  <c r="G312" i="2"/>
  <c r="I311" i="2"/>
  <c r="H311" i="2"/>
  <c r="G311" i="2"/>
  <c r="I310" i="2"/>
  <c r="H310" i="2"/>
  <c r="G310" i="2"/>
  <c r="D313" i="2"/>
  <c r="D314" i="2"/>
  <c r="D315" i="2"/>
  <c r="D316" i="2"/>
  <c r="D317" i="2"/>
  <c r="D318" i="2"/>
  <c r="D312" i="2"/>
  <c r="D311" i="2"/>
  <c r="D310" i="2"/>
  <c r="I304" i="2"/>
  <c r="I297" i="2"/>
  <c r="D296" i="2"/>
  <c r="D297" i="2"/>
  <c r="D295" i="2"/>
  <c r="N285" i="2"/>
  <c r="M285" i="2"/>
  <c r="L285" i="2"/>
  <c r="K285" i="2"/>
  <c r="J285" i="2"/>
  <c r="K284" i="2"/>
  <c r="J284" i="2"/>
  <c r="N283" i="2"/>
  <c r="M283" i="2"/>
  <c r="L283" i="2"/>
  <c r="K283" i="2"/>
  <c r="J283" i="2"/>
  <c r="N282" i="2"/>
  <c r="M282" i="2"/>
  <c r="L282" i="2"/>
  <c r="K282" i="2"/>
  <c r="J282" i="2"/>
  <c r="N281" i="2"/>
  <c r="M281" i="2"/>
  <c r="L281" i="2"/>
  <c r="K281" i="2"/>
  <c r="J281" i="2"/>
  <c r="N280" i="2"/>
  <c r="M280" i="2"/>
  <c r="L280" i="2"/>
  <c r="K280" i="2"/>
  <c r="J280" i="2"/>
  <c r="E285" i="2"/>
  <c r="E284" i="2"/>
  <c r="E283" i="2"/>
  <c r="E282" i="2"/>
  <c r="E281" i="2"/>
  <c r="E280" i="2"/>
  <c r="D281" i="2"/>
  <c r="D282" i="2"/>
  <c r="D283" i="2"/>
  <c r="D284" i="2"/>
  <c r="D285" i="2"/>
  <c r="D280" i="2"/>
  <c r="C279" i="2"/>
  <c r="I290" i="2"/>
  <c r="J288" i="2" s="1"/>
  <c r="J289" i="2" s="1"/>
  <c r="J66" i="2" s="1"/>
  <c r="J313" i="2" s="1"/>
  <c r="I274" i="2"/>
  <c r="J271" i="2" s="1"/>
  <c r="N268" i="2"/>
  <c r="M268" i="2"/>
  <c r="L268" i="2"/>
  <c r="K268" i="2"/>
  <c r="J268" i="2"/>
  <c r="E268" i="2"/>
  <c r="D268" i="2"/>
  <c r="I266" i="2"/>
  <c r="J264" i="2" s="1"/>
  <c r="E266" i="2"/>
  <c r="E273" i="2" s="1"/>
  <c r="D266" i="2"/>
  <c r="D274" i="2" s="1"/>
  <c r="N265" i="2"/>
  <c r="N68" i="2" s="1"/>
  <c r="N315" i="2" s="1"/>
  <c r="M265" i="2"/>
  <c r="M68" i="2" s="1"/>
  <c r="M315" i="2" s="1"/>
  <c r="L265" i="2"/>
  <c r="L68" i="2" s="1"/>
  <c r="L315" i="2" s="1"/>
  <c r="K265" i="2"/>
  <c r="K68" i="2" s="1"/>
  <c r="K315" i="2" s="1"/>
  <c r="J265" i="2"/>
  <c r="J68" i="2" s="1"/>
  <c r="J315" i="2" s="1"/>
  <c r="E265" i="2"/>
  <c r="E272" i="2" s="1"/>
  <c r="D265" i="2"/>
  <c r="E264" i="2"/>
  <c r="E271" i="2" s="1"/>
  <c r="D264" i="2"/>
  <c r="D271" i="2" s="1"/>
  <c r="N260" i="2"/>
  <c r="M260" i="2"/>
  <c r="L260" i="2"/>
  <c r="K260" i="2"/>
  <c r="J260" i="2"/>
  <c r="I258" i="2"/>
  <c r="J256" i="2" s="1"/>
  <c r="E258" i="2"/>
  <c r="N257" i="2"/>
  <c r="N67" i="2" s="1"/>
  <c r="N314" i="2" s="1"/>
  <c r="M257" i="2"/>
  <c r="M67" i="2" s="1"/>
  <c r="M314" i="2" s="1"/>
  <c r="L257" i="2"/>
  <c r="L67" i="2" s="1"/>
  <c r="L314" i="2" s="1"/>
  <c r="K257" i="2"/>
  <c r="K67" i="2" s="1"/>
  <c r="K314" i="2" s="1"/>
  <c r="J257" i="2"/>
  <c r="J67" i="2" s="1"/>
  <c r="J314" i="2" s="1"/>
  <c r="E257" i="2"/>
  <c r="E256" i="2"/>
  <c r="E250" i="2"/>
  <c r="E249" i="2"/>
  <c r="E247" i="2"/>
  <c r="E246" i="2"/>
  <c r="E245" i="2"/>
  <c r="N243" i="2"/>
  <c r="N246" i="2" s="1"/>
  <c r="M243" i="2"/>
  <c r="M246" i="2" s="1"/>
  <c r="L243" i="2"/>
  <c r="L246" i="2" s="1"/>
  <c r="K243" i="2"/>
  <c r="K246" i="2" s="1"/>
  <c r="J243" i="2"/>
  <c r="J246" i="2" s="1"/>
  <c r="E243" i="2"/>
  <c r="D243" i="2"/>
  <c r="N242" i="2"/>
  <c r="M242" i="2"/>
  <c r="L242" i="2"/>
  <c r="K242" i="2"/>
  <c r="J242" i="2"/>
  <c r="D242" i="2"/>
  <c r="N237" i="2"/>
  <c r="M237" i="2"/>
  <c r="L237" i="2"/>
  <c r="K237" i="2"/>
  <c r="N236" i="2"/>
  <c r="M236" i="2"/>
  <c r="L236" i="2"/>
  <c r="K236" i="2"/>
  <c r="N235" i="2"/>
  <c r="M235" i="2"/>
  <c r="L235" i="2"/>
  <c r="K235" i="2"/>
  <c r="N234" i="2"/>
  <c r="M234" i="2"/>
  <c r="L234" i="2"/>
  <c r="K234" i="2"/>
  <c r="N233" i="2"/>
  <c r="M233" i="2"/>
  <c r="L233" i="2"/>
  <c r="K233" i="2"/>
  <c r="C232" i="2"/>
  <c r="C218" i="2"/>
  <c r="I199" i="2"/>
  <c r="D199" i="2"/>
  <c r="F196" i="2"/>
  <c r="E196" i="2"/>
  <c r="D196" i="2"/>
  <c r="F195" i="2"/>
  <c r="E195" i="2"/>
  <c r="D195" i="2"/>
  <c r="N183" i="2"/>
  <c r="N187" i="2" s="1"/>
  <c r="N57" i="2" s="1"/>
  <c r="M183" i="2"/>
  <c r="M187" i="2" s="1"/>
  <c r="M57" i="2" s="1"/>
  <c r="L183" i="2"/>
  <c r="L187" i="2" s="1"/>
  <c r="L57" i="2" s="1"/>
  <c r="K183" i="2"/>
  <c r="K187" i="2" s="1"/>
  <c r="K57" i="2" s="1"/>
  <c r="J183" i="2"/>
  <c r="J187" i="2" s="1"/>
  <c r="J57" i="2" s="1"/>
  <c r="D183" i="2"/>
  <c r="D179" i="2"/>
  <c r="J178" i="2"/>
  <c r="I178" i="2"/>
  <c r="D178" i="2"/>
  <c r="D174" i="2"/>
  <c r="D172" i="2"/>
  <c r="D169" i="2"/>
  <c r="D168" i="2"/>
  <c r="D161" i="2"/>
  <c r="I160" i="2"/>
  <c r="D160" i="2"/>
  <c r="C159" i="2"/>
  <c r="I143" i="2"/>
  <c r="D143" i="2"/>
  <c r="I142" i="2"/>
  <c r="D142" i="2"/>
  <c r="D170" i="2" s="1"/>
  <c r="I140" i="2"/>
  <c r="I139" i="2"/>
  <c r="C138" i="2"/>
  <c r="J133" i="2"/>
  <c r="K133" i="2" s="1"/>
  <c r="N25" i="2"/>
  <c r="M25" i="2"/>
  <c r="L25" i="2"/>
  <c r="K25" i="2"/>
  <c r="J25" i="2"/>
  <c r="N19" i="2"/>
  <c r="M19" i="2"/>
  <c r="L19" i="2"/>
  <c r="K19" i="2"/>
  <c r="J19" i="2"/>
  <c r="I17" i="2"/>
  <c r="F20" i="2" s="1"/>
  <c r="J7" i="2"/>
  <c r="K7" i="2" s="1"/>
  <c r="L7" i="2" s="1"/>
  <c r="M7" i="2" s="1"/>
  <c r="N7" i="2" s="1"/>
  <c r="N23" i="5"/>
  <c r="M23" i="5"/>
  <c r="L23" i="5"/>
  <c r="K23" i="5"/>
  <c r="J23" i="5"/>
  <c r="N16" i="5"/>
  <c r="M16" i="5"/>
  <c r="L16" i="5"/>
  <c r="K16" i="5"/>
  <c r="J16" i="5"/>
  <c r="D9" i="5"/>
  <c r="D30" i="5" s="1"/>
  <c r="K7" i="5"/>
  <c r="L7" i="5" s="1"/>
  <c r="M7" i="5" s="1"/>
  <c r="N7" i="5" s="1"/>
  <c r="J7" i="5"/>
  <c r="D109" i="4"/>
  <c r="D102" i="4"/>
  <c r="D93" i="4"/>
  <c r="D92" i="4"/>
  <c r="N88" i="4"/>
  <c r="N284" i="2" s="1"/>
  <c r="M88" i="4"/>
  <c r="M284" i="2" s="1"/>
  <c r="L88" i="4"/>
  <c r="L284" i="2" s="1"/>
  <c r="K88" i="4"/>
  <c r="J88" i="4"/>
  <c r="I64" i="4"/>
  <c r="I227" i="2" s="1"/>
  <c r="H64" i="4"/>
  <c r="H227" i="2" s="1"/>
  <c r="G64" i="4"/>
  <c r="G227" i="2" s="1"/>
  <c r="D64" i="4"/>
  <c r="D71" i="4" s="1"/>
  <c r="D237" i="2" s="1"/>
  <c r="I63" i="4"/>
  <c r="I226" i="2" s="1"/>
  <c r="H63" i="4"/>
  <c r="H226" i="2" s="1"/>
  <c r="G63" i="4"/>
  <c r="D63" i="4"/>
  <c r="D226" i="2" s="1"/>
  <c r="I62" i="4"/>
  <c r="I224" i="2" s="1"/>
  <c r="H62" i="4"/>
  <c r="H224" i="2" s="1"/>
  <c r="G62" i="4"/>
  <c r="G224" i="2" s="1"/>
  <c r="D62" i="4"/>
  <c r="D224" i="2" s="1"/>
  <c r="I61" i="4"/>
  <c r="H61" i="4"/>
  <c r="G61" i="4"/>
  <c r="D61" i="4"/>
  <c r="D223" i="2" s="1"/>
  <c r="I60" i="4"/>
  <c r="I222" i="2" s="1"/>
  <c r="H60" i="4"/>
  <c r="G60" i="4"/>
  <c r="G222" i="2" s="1"/>
  <c r="D60" i="4"/>
  <c r="D67" i="4" s="1"/>
  <c r="D233" i="2" s="1"/>
  <c r="I58" i="4"/>
  <c r="I220" i="2" s="1"/>
  <c r="H58" i="4"/>
  <c r="G58" i="4"/>
  <c r="G220" i="2" s="1"/>
  <c r="D58" i="4"/>
  <c r="D220" i="2" s="1"/>
  <c r="I57" i="4"/>
  <c r="I219" i="2" s="1"/>
  <c r="H57" i="4"/>
  <c r="H219" i="2" s="1"/>
  <c r="G57" i="4"/>
  <c r="G219" i="2" s="1"/>
  <c r="D57" i="4"/>
  <c r="D219" i="2" s="1"/>
  <c r="D55" i="4"/>
  <c r="D217" i="2" s="1"/>
  <c r="M39" i="4"/>
  <c r="M179" i="2" s="1"/>
  <c r="E38" i="4"/>
  <c r="K36" i="4"/>
  <c r="K172" i="2" s="1"/>
  <c r="E34" i="4"/>
  <c r="E174" i="2" s="1"/>
  <c r="E33" i="4"/>
  <c r="E169" i="2" s="1"/>
  <c r="I32" i="4"/>
  <c r="E32" i="4"/>
  <c r="E168" i="2" s="1"/>
  <c r="E27" i="4"/>
  <c r="I11" i="4"/>
  <c r="I55" i="4" s="1"/>
  <c r="I217" i="2" s="1"/>
  <c r="H11" i="4"/>
  <c r="H55" i="4" s="1"/>
  <c r="H217" i="2" s="1"/>
  <c r="G11" i="4"/>
  <c r="G55" i="4" s="1"/>
  <c r="G217" i="2" s="1"/>
  <c r="J7" i="4"/>
  <c r="J11" i="4" s="1"/>
  <c r="J55" i="4" s="1"/>
  <c r="J217" i="2" s="1"/>
  <c r="J50" i="3"/>
  <c r="K50" i="3" s="1"/>
  <c r="L50" i="3" s="1"/>
  <c r="M50" i="3" s="1"/>
  <c r="N50" i="3" s="1"/>
  <c r="D8" i="7"/>
  <c r="K7" i="4" l="1"/>
  <c r="J36" i="4"/>
  <c r="J172" i="2" s="1"/>
  <c r="J145" i="2"/>
  <c r="K39" i="4"/>
  <c r="K179" i="2" s="1"/>
  <c r="K145" i="2"/>
  <c r="L36" i="4"/>
  <c r="L172" i="2" s="1"/>
  <c r="L145" i="2"/>
  <c r="M36" i="4"/>
  <c r="M172" i="2" s="1"/>
  <c r="M145" i="2"/>
  <c r="K28" i="4"/>
  <c r="K161" i="2" s="1"/>
  <c r="N36" i="4"/>
  <c r="N172" i="2" s="1"/>
  <c r="N145" i="2"/>
  <c r="I170" i="2"/>
  <c r="I149" i="2"/>
  <c r="I150" i="2" s="1"/>
  <c r="I151" i="2"/>
  <c r="L60" i="2"/>
  <c r="L311" i="2" s="1"/>
  <c r="I53" i="3"/>
  <c r="M60" i="2"/>
  <c r="M311" i="2" s="1"/>
  <c r="N60" i="2"/>
  <c r="N311" i="2" s="1"/>
  <c r="J290" i="2"/>
  <c r="J108" i="2" s="1"/>
  <c r="J60" i="2"/>
  <c r="J311" i="2" s="1"/>
  <c r="K60" i="2"/>
  <c r="K311" i="2" s="1"/>
  <c r="J84" i="2"/>
  <c r="H55" i="3"/>
  <c r="I319" i="2"/>
  <c r="M84" i="2"/>
  <c r="H319" i="2"/>
  <c r="G319" i="2"/>
  <c r="L84" i="2"/>
  <c r="K84" i="2"/>
  <c r="I56" i="3"/>
  <c r="H53" i="3"/>
  <c r="G56" i="3"/>
  <c r="H58" i="3"/>
  <c r="J28" i="4"/>
  <c r="J161" i="2" s="1"/>
  <c r="J160" i="2" s="1"/>
  <c r="K160" i="2" s="1"/>
  <c r="L39" i="4"/>
  <c r="L179" i="2" s="1"/>
  <c r="L28" i="4"/>
  <c r="L161" i="2" s="1"/>
  <c r="N39" i="4"/>
  <c r="N179" i="2" s="1"/>
  <c r="M28" i="4"/>
  <c r="M161" i="2" s="1"/>
  <c r="D16" i="5"/>
  <c r="D50" i="3"/>
  <c r="N28" i="4"/>
  <c r="N161" i="2" s="1"/>
  <c r="D23" i="5"/>
  <c r="I55" i="3"/>
  <c r="I58" i="3"/>
  <c r="I59" i="3"/>
  <c r="H56" i="3"/>
  <c r="H59" i="3"/>
  <c r="G59" i="3"/>
  <c r="J302" i="2"/>
  <c r="J295" i="2"/>
  <c r="L250" i="2"/>
  <c r="L30" i="2" s="1"/>
  <c r="L50" i="2" s="1"/>
  <c r="M250" i="2"/>
  <c r="M30" i="2" s="1"/>
  <c r="M50" i="2" s="1"/>
  <c r="H67" i="4"/>
  <c r="H233" i="2" s="1"/>
  <c r="K178" i="2"/>
  <c r="D70" i="4"/>
  <c r="D236" i="2" s="1"/>
  <c r="K250" i="2"/>
  <c r="K30" i="2" s="1"/>
  <c r="K50" i="2" s="1"/>
  <c r="J16" i="2"/>
  <c r="J266" i="2"/>
  <c r="D69" i="4"/>
  <c r="D235" i="2" s="1"/>
  <c r="J203" i="2"/>
  <c r="H70" i="4"/>
  <c r="H236" i="2" s="1"/>
  <c r="I68" i="4"/>
  <c r="I234" i="2" s="1"/>
  <c r="I69" i="4"/>
  <c r="I235" i="2" s="1"/>
  <c r="I70" i="4"/>
  <c r="I236" i="2" s="1"/>
  <c r="H222" i="2"/>
  <c r="G67" i="4"/>
  <c r="G233" i="2" s="1"/>
  <c r="H204" i="2" a="1"/>
  <c r="H207" i="2" s="1"/>
  <c r="J258" i="2"/>
  <c r="J250" i="2"/>
  <c r="I228" i="2"/>
  <c r="I141" i="2"/>
  <c r="I144" i="2" s="1"/>
  <c r="I71" i="4"/>
  <c r="I237" i="2" s="1"/>
  <c r="D68" i="4"/>
  <c r="D234" i="2" s="1"/>
  <c r="G223" i="2"/>
  <c r="G225" i="2" s="1"/>
  <c r="G68" i="4"/>
  <c r="G70" i="4"/>
  <c r="G226" i="2"/>
  <c r="G228" i="2" s="1"/>
  <c r="H69" i="4"/>
  <c r="H235" i="2" s="1"/>
  <c r="H220" i="2"/>
  <c r="H68" i="4"/>
  <c r="H234" i="2" s="1"/>
  <c r="H223" i="2"/>
  <c r="H225" i="2" s="1"/>
  <c r="H228" i="2"/>
  <c r="N250" i="2"/>
  <c r="N30" i="2" s="1"/>
  <c r="N50" i="2" s="1"/>
  <c r="L133" i="2"/>
  <c r="K203" i="2"/>
  <c r="D222" i="2"/>
  <c r="I67" i="4"/>
  <c r="I233" i="2" s="1"/>
  <c r="G69" i="4"/>
  <c r="G71" i="4"/>
  <c r="I168" i="2"/>
  <c r="J200" i="2"/>
  <c r="I33" i="4"/>
  <c r="I169" i="2" s="1"/>
  <c r="I171" i="2" s="1"/>
  <c r="J171" i="2" s="1"/>
  <c r="H71" i="4"/>
  <c r="H237" i="2" s="1"/>
  <c r="I223" i="2"/>
  <c r="I225" i="2" s="1"/>
  <c r="D227" i="2"/>
  <c r="E274" i="2"/>
  <c r="L7" i="4" l="1"/>
  <c r="K11" i="4"/>
  <c r="K55" i="4" s="1"/>
  <c r="K217" i="2" s="1"/>
  <c r="I152" i="2"/>
  <c r="I157" i="2" s="1"/>
  <c r="J155" i="2" s="1"/>
  <c r="J156" i="2" s="1"/>
  <c r="J142" i="2" s="1"/>
  <c r="J292" i="2"/>
  <c r="J328" i="2" s="1"/>
  <c r="K288" i="2"/>
  <c r="K289" i="2" s="1"/>
  <c r="K66" i="2" s="1"/>
  <c r="K313" i="2" s="1"/>
  <c r="J144" i="2"/>
  <c r="K264" i="2"/>
  <c r="K266" i="2" s="1"/>
  <c r="J116" i="2"/>
  <c r="K256" i="2"/>
  <c r="K258" i="2" s="1"/>
  <c r="K261" i="2" s="1"/>
  <c r="J115" i="2"/>
  <c r="J30" i="2"/>
  <c r="J50" i="2" s="1"/>
  <c r="J109" i="2"/>
  <c r="K109" i="2" s="1"/>
  <c r="L109" i="2" s="1"/>
  <c r="M109" i="2" s="1"/>
  <c r="N109" i="2" s="1"/>
  <c r="L160" i="2"/>
  <c r="M160" i="2" s="1"/>
  <c r="N160" i="2" s="1"/>
  <c r="L178" i="2"/>
  <c r="L16" i="2" s="1"/>
  <c r="J296" i="2"/>
  <c r="H206" i="2"/>
  <c r="K16" i="2"/>
  <c r="H229" i="2"/>
  <c r="J261" i="2"/>
  <c r="I229" i="2"/>
  <c r="H208" i="2"/>
  <c r="H204" i="2"/>
  <c r="K200" i="2"/>
  <c r="L200" i="2" s="1"/>
  <c r="H205" i="2"/>
  <c r="G229" i="2"/>
  <c r="K171" i="2"/>
  <c r="M133" i="2"/>
  <c r="L203" i="2"/>
  <c r="G234" i="2"/>
  <c r="J68" i="4"/>
  <c r="J234" i="2" s="1"/>
  <c r="G236" i="2"/>
  <c r="J70" i="4"/>
  <c r="J236" i="2" s="1"/>
  <c r="J69" i="4"/>
  <c r="J235" i="2" s="1"/>
  <c r="G235" i="2"/>
  <c r="J67" i="4"/>
  <c r="J233" i="2" s="1"/>
  <c r="J71" i="4"/>
  <c r="J237" i="2" s="1"/>
  <c r="G237" i="2"/>
  <c r="I34" i="4"/>
  <c r="I174" i="2" s="1"/>
  <c r="J174" i="2" s="1"/>
  <c r="K174" i="2" s="1"/>
  <c r="L174" i="2" s="1"/>
  <c r="M174" i="2" s="1"/>
  <c r="N174" i="2" s="1"/>
  <c r="M7" i="4" l="1"/>
  <c r="L11" i="4"/>
  <c r="L55" i="4" s="1"/>
  <c r="L217" i="2" s="1"/>
  <c r="J157" i="2"/>
  <c r="K155" i="2" s="1"/>
  <c r="K156" i="2" s="1"/>
  <c r="K157" i="2" s="1"/>
  <c r="L155" i="2" s="1"/>
  <c r="K290" i="2"/>
  <c r="K108" i="2" s="1"/>
  <c r="J146" i="2"/>
  <c r="J163" i="2" s="1"/>
  <c r="J13" i="2" s="1"/>
  <c r="J52" i="3" s="1"/>
  <c r="J53" i="3" s="1"/>
  <c r="K144" i="2"/>
  <c r="L144" i="2" s="1"/>
  <c r="M144" i="2" s="1"/>
  <c r="N144" i="2" s="1"/>
  <c r="K35" i="2"/>
  <c r="K69" i="2"/>
  <c r="K316" i="2" s="1"/>
  <c r="L256" i="2"/>
  <c r="L258" i="2" s="1"/>
  <c r="K115" i="2"/>
  <c r="J297" i="2"/>
  <c r="J107" i="2" s="1"/>
  <c r="J111" i="2" s="1"/>
  <c r="J65" i="2"/>
  <c r="J312" i="2" s="1"/>
  <c r="J35" i="2"/>
  <c r="J69" i="2"/>
  <c r="J316" i="2" s="1"/>
  <c r="L264" i="2"/>
  <c r="L266" i="2" s="1"/>
  <c r="K116" i="2"/>
  <c r="M178" i="2"/>
  <c r="M16" i="2" s="1"/>
  <c r="H230" i="2"/>
  <c r="I230" i="2"/>
  <c r="M200" i="2"/>
  <c r="N200" i="2" s="1"/>
  <c r="M203" i="2"/>
  <c r="N133" i="2"/>
  <c r="N203" i="2" s="1"/>
  <c r="L171" i="2"/>
  <c r="N7" i="4" l="1"/>
  <c r="N11" i="4" s="1"/>
  <c r="N55" i="4" s="1"/>
  <c r="N217" i="2" s="1"/>
  <c r="M11" i="4"/>
  <c r="M55" i="4" s="1"/>
  <c r="M217" i="2" s="1"/>
  <c r="K142" i="2"/>
  <c r="J170" i="2"/>
  <c r="L156" i="2"/>
  <c r="L157" i="2" s="1"/>
  <c r="M155" i="2" s="1"/>
  <c r="J299" i="2"/>
  <c r="J329" i="2" s="1"/>
  <c r="K295" i="2"/>
  <c r="K296" i="2" s="1"/>
  <c r="K297" i="2" s="1"/>
  <c r="K107" i="2" s="1"/>
  <c r="K111" i="2" s="1"/>
  <c r="K146" i="2"/>
  <c r="K163" i="2" s="1"/>
  <c r="K13" i="2" s="1"/>
  <c r="K219" i="2" s="1"/>
  <c r="K222" i="2" s="1"/>
  <c r="K87" i="2" s="1"/>
  <c r="L288" i="2"/>
  <c r="L289" i="2" s="1"/>
  <c r="L66" i="2" s="1"/>
  <c r="L313" i="2" s="1"/>
  <c r="K292" i="2"/>
  <c r="K328" i="2" s="1"/>
  <c r="J219" i="2"/>
  <c r="J222" i="2" s="1"/>
  <c r="J87" i="2" s="1"/>
  <c r="M256" i="2"/>
  <c r="M258" i="2" s="1"/>
  <c r="L115" i="2"/>
  <c r="L261" i="2"/>
  <c r="M264" i="2"/>
  <c r="M266" i="2" s="1"/>
  <c r="L116" i="2"/>
  <c r="N178" i="2"/>
  <c r="N16" i="2" s="1"/>
  <c r="G204" i="2" a="1"/>
  <c r="G207" i="2" s="1"/>
  <c r="M207" i="2" s="1"/>
  <c r="M171" i="2"/>
  <c r="J173" i="2" l="1"/>
  <c r="J176" i="2" s="1"/>
  <c r="J15" i="2" s="1"/>
  <c r="N207" i="2"/>
  <c r="M156" i="2"/>
  <c r="M157" i="2"/>
  <c r="N155" i="2" s="1"/>
  <c r="K65" i="2"/>
  <c r="K312" i="2" s="1"/>
  <c r="L142" i="2"/>
  <c r="K170" i="2"/>
  <c r="K173" i="2" s="1"/>
  <c r="K176" i="2" s="1"/>
  <c r="K15" i="2" s="1"/>
  <c r="K52" i="3"/>
  <c r="K53" i="3" s="1"/>
  <c r="L295" i="2"/>
  <c r="L296" i="2" s="1"/>
  <c r="L65" i="2" s="1"/>
  <c r="L312" i="2" s="1"/>
  <c r="L290" i="2"/>
  <c r="L292" i="2" s="1"/>
  <c r="L328" i="2" s="1"/>
  <c r="N264" i="2"/>
  <c r="N266" i="2" s="1"/>
  <c r="N116" i="2" s="1"/>
  <c r="M116" i="2"/>
  <c r="L35" i="2"/>
  <c r="L69" i="2"/>
  <c r="L316" i="2" s="1"/>
  <c r="K299" i="2"/>
  <c r="K329" i="2" s="1"/>
  <c r="M115" i="2"/>
  <c r="M261" i="2"/>
  <c r="N256" i="2"/>
  <c r="N258" i="2" s="1"/>
  <c r="G205" i="2"/>
  <c r="G206" i="2"/>
  <c r="G208" i="2"/>
  <c r="N208" i="2" s="1"/>
  <c r="G204" i="2"/>
  <c r="N171" i="2"/>
  <c r="J220" i="2" l="1"/>
  <c r="J17" i="2"/>
  <c r="J20" i="2" s="1"/>
  <c r="J54" i="3" s="1"/>
  <c r="K205" i="2"/>
  <c r="L205" i="2" s="1"/>
  <c r="M205" i="2"/>
  <c r="N205" i="2"/>
  <c r="K204" i="2"/>
  <c r="L204" i="2" s="1"/>
  <c r="M204" i="2" s="1"/>
  <c r="N204" i="2" s="1"/>
  <c r="J204" i="2"/>
  <c r="L206" i="2"/>
  <c r="M206" i="2"/>
  <c r="N206" i="2"/>
  <c r="K220" i="2"/>
  <c r="K17" i="2"/>
  <c r="K20" i="2" s="1"/>
  <c r="K54" i="3" s="1"/>
  <c r="K55" i="3" s="1"/>
  <c r="M142" i="2"/>
  <c r="L170" i="2"/>
  <c r="L173" i="2" s="1"/>
  <c r="L176" i="2" s="1"/>
  <c r="L15" i="2" s="1"/>
  <c r="L146" i="2"/>
  <c r="L163" i="2" s="1"/>
  <c r="L13" i="2" s="1"/>
  <c r="N156" i="2"/>
  <c r="N157" i="2"/>
  <c r="L297" i="2"/>
  <c r="M295" i="2" s="1"/>
  <c r="M296" i="2" s="1"/>
  <c r="M65" i="2" s="1"/>
  <c r="M312" i="2" s="1"/>
  <c r="M288" i="2"/>
  <c r="M289" i="2" s="1"/>
  <c r="M66" i="2" s="1"/>
  <c r="M313" i="2" s="1"/>
  <c r="L108" i="2"/>
  <c r="M35" i="2"/>
  <c r="M69" i="2"/>
  <c r="M316" i="2" s="1"/>
  <c r="N261" i="2"/>
  <c r="N115" i="2"/>
  <c r="J56" i="3" l="1"/>
  <c r="J55" i="3"/>
  <c r="J223" i="2"/>
  <c r="J227" i="2"/>
  <c r="J104" i="2" s="1"/>
  <c r="J224" i="2"/>
  <c r="J89" i="2" s="1"/>
  <c r="J226" i="2"/>
  <c r="L219" i="2"/>
  <c r="L222" i="2" s="1"/>
  <c r="L87" i="2" s="1"/>
  <c r="L52" i="3"/>
  <c r="L53" i="3" s="1"/>
  <c r="L17" i="2"/>
  <c r="L20" i="2" s="1"/>
  <c r="L54" i="3" s="1"/>
  <c r="L220" i="2"/>
  <c r="N142" i="2"/>
  <c r="M146" i="2"/>
  <c r="M163" i="2" s="1"/>
  <c r="M13" i="2" s="1"/>
  <c r="M170" i="2"/>
  <c r="M173" i="2" s="1"/>
  <c r="M176" i="2" s="1"/>
  <c r="M15" i="2" s="1"/>
  <c r="K56" i="3"/>
  <c r="K226" i="2"/>
  <c r="K224" i="2"/>
  <c r="K89" i="2" s="1"/>
  <c r="K223" i="2"/>
  <c r="K227" i="2"/>
  <c r="K104" i="2" s="1"/>
  <c r="L299" i="2"/>
  <c r="L329" i="2" s="1"/>
  <c r="L107" i="2"/>
  <c r="L111" i="2" s="1"/>
  <c r="M297" i="2"/>
  <c r="N295" i="2" s="1"/>
  <c r="N296" i="2" s="1"/>
  <c r="N65" i="2" s="1"/>
  <c r="N312" i="2" s="1"/>
  <c r="M290" i="2"/>
  <c r="N288" i="2"/>
  <c r="N289" i="2" s="1"/>
  <c r="N66" i="2" s="1"/>
  <c r="N313" i="2" s="1"/>
  <c r="N35" i="2"/>
  <c r="N69" i="2"/>
  <c r="N316" i="2" s="1"/>
  <c r="J209" i="2"/>
  <c r="J212" i="2" s="1"/>
  <c r="J22" i="2" s="1"/>
  <c r="K209" i="2"/>
  <c r="K212" i="2" s="1"/>
  <c r="J88" i="2" l="1"/>
  <c r="J225" i="2"/>
  <c r="J103" i="2"/>
  <c r="J228" i="2"/>
  <c r="M17" i="2"/>
  <c r="M20" i="2" s="1"/>
  <c r="M54" i="3" s="1"/>
  <c r="M220" i="2"/>
  <c r="L227" i="2"/>
  <c r="L104" i="2" s="1"/>
  <c r="L224" i="2"/>
  <c r="L89" i="2" s="1"/>
  <c r="L223" i="2"/>
  <c r="L226" i="2"/>
  <c r="K88" i="2"/>
  <c r="K225" i="2"/>
  <c r="L56" i="3"/>
  <c r="L55" i="3"/>
  <c r="M52" i="3"/>
  <c r="M53" i="3" s="1"/>
  <c r="M219" i="2"/>
  <c r="M222" i="2" s="1"/>
  <c r="M87" i="2" s="1"/>
  <c r="N170" i="2"/>
  <c r="N173" i="2" s="1"/>
  <c r="N176" i="2" s="1"/>
  <c r="N15" i="2" s="1"/>
  <c r="N146" i="2"/>
  <c r="N163" i="2" s="1"/>
  <c r="N13" i="2" s="1"/>
  <c r="K103" i="2"/>
  <c r="K228" i="2"/>
  <c r="M107" i="2"/>
  <c r="N297" i="2"/>
  <c r="N299" i="2" s="1"/>
  <c r="N329" i="2" s="1"/>
  <c r="M299" i="2"/>
  <c r="M329" i="2" s="1"/>
  <c r="M108" i="2"/>
  <c r="M292" i="2"/>
  <c r="M328" i="2" s="1"/>
  <c r="N290" i="2"/>
  <c r="N108" i="2" s="1"/>
  <c r="J23" i="2"/>
  <c r="J49" i="2"/>
  <c r="J188" i="2"/>
  <c r="J189" i="2" s="1"/>
  <c r="L209" i="2"/>
  <c r="L212" i="2" s="1"/>
  <c r="L22" i="2" s="1"/>
  <c r="K188" i="2"/>
  <c r="K22" i="2"/>
  <c r="J229" i="2" l="1"/>
  <c r="J230" i="2" s="1"/>
  <c r="J51" i="2" s="1"/>
  <c r="L103" i="2"/>
  <c r="L228" i="2"/>
  <c r="K229" i="2"/>
  <c r="K230" i="2" s="1"/>
  <c r="K51" i="2" s="1"/>
  <c r="N220" i="2"/>
  <c r="N17" i="2"/>
  <c r="N20" i="2" s="1"/>
  <c r="N54" i="3" s="1"/>
  <c r="L88" i="2"/>
  <c r="L225" i="2"/>
  <c r="L229" i="2" s="1"/>
  <c r="L230" i="2" s="1"/>
  <c r="L51" i="2" s="1"/>
  <c r="M227" i="2"/>
  <c r="M104" i="2" s="1"/>
  <c r="M226" i="2"/>
  <c r="M223" i="2"/>
  <c r="M88" i="2" s="1"/>
  <c r="M224" i="2"/>
  <c r="M89" i="2" s="1"/>
  <c r="N219" i="2"/>
  <c r="N222" i="2" s="1"/>
  <c r="N52" i="3"/>
  <c r="N53" i="3" s="1"/>
  <c r="M225" i="2"/>
  <c r="M56" i="3"/>
  <c r="M55" i="3"/>
  <c r="M111" i="2"/>
  <c r="N292" i="2"/>
  <c r="N328" i="2" s="1"/>
  <c r="N107" i="2"/>
  <c r="K23" i="2"/>
  <c r="K49" i="2"/>
  <c r="N111" i="2"/>
  <c r="L23" i="2"/>
  <c r="L49" i="2"/>
  <c r="K186" i="2"/>
  <c r="K189" i="2" s="1"/>
  <c r="J92" i="2"/>
  <c r="J96" i="2" s="1"/>
  <c r="N209" i="2"/>
  <c r="N212" i="2" s="1"/>
  <c r="L188" i="2"/>
  <c r="N56" i="3" l="1"/>
  <c r="N55" i="3"/>
  <c r="N87" i="2"/>
  <c r="N223" i="2"/>
  <c r="N88" i="2" s="1"/>
  <c r="N227" i="2"/>
  <c r="N104" i="2" s="1"/>
  <c r="N224" i="2"/>
  <c r="N89" i="2" s="1"/>
  <c r="N226" i="2"/>
  <c r="M228" i="2"/>
  <c r="M229" i="2" s="1"/>
  <c r="M103" i="2"/>
  <c r="L186" i="2"/>
  <c r="L189" i="2" s="1"/>
  <c r="K92" i="2"/>
  <c r="K96" i="2" s="1"/>
  <c r="M209" i="2"/>
  <c r="M212" i="2" s="1"/>
  <c r="M22" i="2" s="1"/>
  <c r="N188" i="2"/>
  <c r="N22" i="2"/>
  <c r="M230" i="2" l="1"/>
  <c r="M51" i="2" s="1"/>
  <c r="N225" i="2"/>
  <c r="N103" i="2"/>
  <c r="N228" i="2"/>
  <c r="M23" i="2"/>
  <c r="M49" i="2"/>
  <c r="M188" i="2"/>
  <c r="N23" i="2"/>
  <c r="N49" i="2"/>
  <c r="M186" i="2"/>
  <c r="L92" i="2"/>
  <c r="L96" i="2" s="1"/>
  <c r="M189" i="2" l="1"/>
  <c r="N186" i="2" s="1"/>
  <c r="N189" i="2" s="1"/>
  <c r="N92" i="2" s="1"/>
  <c r="N96" i="2" s="1"/>
  <c r="N229" i="2"/>
  <c r="N230" i="2" s="1"/>
  <c r="N51" i="2" s="1"/>
  <c r="M92" i="2" l="1"/>
  <c r="M96" i="2" s="1"/>
  <c r="J4" i="2" l="1"/>
  <c r="J26" i="2"/>
  <c r="K26" i="2"/>
  <c r="L26" i="2"/>
  <c r="M26" i="2"/>
  <c r="N26" i="2"/>
  <c r="J27" i="2"/>
  <c r="K27" i="2"/>
  <c r="L27" i="2"/>
  <c r="M27" i="2"/>
  <c r="N27" i="2"/>
  <c r="J29" i="2"/>
  <c r="K29" i="2"/>
  <c r="L29" i="2"/>
  <c r="M29" i="2"/>
  <c r="N29" i="2"/>
  <c r="J31" i="2"/>
  <c r="K31" i="2"/>
  <c r="L31" i="2"/>
  <c r="M31" i="2"/>
  <c r="N31" i="2"/>
  <c r="J33" i="2"/>
  <c r="K33" i="2"/>
  <c r="L33" i="2"/>
  <c r="M33" i="2"/>
  <c r="N33" i="2"/>
  <c r="J36" i="2"/>
  <c r="K36" i="2"/>
  <c r="L36" i="2"/>
  <c r="M36" i="2"/>
  <c r="N36" i="2"/>
  <c r="J48" i="2"/>
  <c r="K48" i="2"/>
  <c r="L48" i="2"/>
  <c r="M48" i="2"/>
  <c r="N48" i="2"/>
  <c r="J53" i="2"/>
  <c r="K53" i="2"/>
  <c r="L53" i="2"/>
  <c r="M53" i="2"/>
  <c r="N53" i="2"/>
  <c r="J64" i="2"/>
  <c r="K64" i="2"/>
  <c r="L64" i="2"/>
  <c r="M64" i="2"/>
  <c r="N64" i="2"/>
  <c r="J70" i="2"/>
  <c r="K70" i="2"/>
  <c r="L70" i="2"/>
  <c r="M70" i="2"/>
  <c r="N70" i="2"/>
  <c r="J72" i="2"/>
  <c r="K72" i="2"/>
  <c r="L72" i="2"/>
  <c r="M72" i="2"/>
  <c r="N72" i="2"/>
  <c r="J74" i="2"/>
  <c r="K74" i="2"/>
  <c r="L74" i="2"/>
  <c r="M74" i="2"/>
  <c r="N74" i="2"/>
  <c r="K75" i="2"/>
  <c r="L75" i="2"/>
  <c r="M75" i="2"/>
  <c r="N75" i="2"/>
  <c r="J76" i="2"/>
  <c r="K76" i="2"/>
  <c r="L76" i="2"/>
  <c r="M76" i="2"/>
  <c r="N76" i="2"/>
  <c r="J86" i="2"/>
  <c r="K86" i="2"/>
  <c r="L86" i="2"/>
  <c r="M86" i="2"/>
  <c r="N86" i="2"/>
  <c r="J90" i="2"/>
  <c r="K90" i="2"/>
  <c r="L90" i="2"/>
  <c r="M90" i="2"/>
  <c r="N90" i="2"/>
  <c r="J98" i="2"/>
  <c r="K98" i="2"/>
  <c r="L98" i="2"/>
  <c r="M98" i="2"/>
  <c r="N98" i="2"/>
  <c r="J102" i="2"/>
  <c r="K102" i="2"/>
  <c r="L102" i="2"/>
  <c r="M102" i="2"/>
  <c r="N102" i="2"/>
  <c r="J105" i="2"/>
  <c r="K105" i="2"/>
  <c r="L105" i="2"/>
  <c r="M105" i="2"/>
  <c r="N105" i="2"/>
  <c r="J113" i="2"/>
  <c r="K113" i="2"/>
  <c r="L113" i="2"/>
  <c r="M113" i="2"/>
  <c r="N113" i="2"/>
  <c r="J117" i="2"/>
  <c r="K117" i="2"/>
  <c r="L117" i="2"/>
  <c r="M117" i="2"/>
  <c r="N117" i="2"/>
  <c r="J119" i="2"/>
  <c r="K119" i="2"/>
  <c r="L119" i="2"/>
  <c r="M119" i="2"/>
  <c r="N119" i="2"/>
  <c r="J121" i="2"/>
  <c r="K121" i="2"/>
  <c r="L121" i="2"/>
  <c r="M121" i="2"/>
  <c r="N121" i="2"/>
  <c r="E125" i="2"/>
  <c r="J125" i="2"/>
  <c r="K125" i="2"/>
  <c r="L125" i="2"/>
  <c r="M125" i="2"/>
  <c r="N125" i="2"/>
  <c r="J245" i="2"/>
  <c r="K245" i="2"/>
  <c r="L245" i="2"/>
  <c r="M245" i="2"/>
  <c r="N245" i="2"/>
  <c r="J247" i="2"/>
  <c r="K247" i="2"/>
  <c r="L247" i="2"/>
  <c r="M247" i="2"/>
  <c r="N247" i="2"/>
  <c r="J249" i="2"/>
  <c r="K249" i="2"/>
  <c r="L249" i="2"/>
  <c r="M249" i="2"/>
  <c r="N249" i="2"/>
  <c r="K271" i="2"/>
  <c r="L271" i="2"/>
  <c r="M271" i="2"/>
  <c r="N271" i="2"/>
  <c r="J272" i="2"/>
  <c r="K272" i="2"/>
  <c r="L272" i="2"/>
  <c r="M272" i="2"/>
  <c r="N272" i="2"/>
  <c r="J273" i="2"/>
  <c r="K273" i="2"/>
  <c r="L273" i="2"/>
  <c r="M273" i="2"/>
  <c r="N273" i="2"/>
  <c r="J274" i="2"/>
  <c r="K274" i="2"/>
  <c r="L274" i="2"/>
  <c r="M274" i="2"/>
  <c r="N274" i="2"/>
  <c r="K302" i="2"/>
  <c r="L302" i="2"/>
  <c r="M302" i="2"/>
  <c r="N302" i="2"/>
  <c r="J303" i="2"/>
  <c r="K303" i="2"/>
  <c r="L303" i="2"/>
  <c r="M303" i="2"/>
  <c r="N303" i="2"/>
  <c r="J304" i="2"/>
  <c r="K304" i="2"/>
  <c r="L304" i="2"/>
  <c r="M304" i="2"/>
  <c r="N304" i="2"/>
  <c r="J306" i="2"/>
  <c r="K306" i="2"/>
  <c r="L306" i="2"/>
  <c r="M306" i="2"/>
  <c r="N306" i="2"/>
  <c r="J310" i="2"/>
  <c r="K310" i="2"/>
  <c r="L310" i="2"/>
  <c r="M310" i="2"/>
  <c r="N310" i="2"/>
  <c r="J317" i="2"/>
  <c r="K317" i="2"/>
  <c r="L317" i="2"/>
  <c r="M317" i="2"/>
  <c r="N317" i="2"/>
  <c r="J319" i="2"/>
  <c r="K319" i="2"/>
  <c r="L319" i="2"/>
  <c r="M319" i="2"/>
  <c r="N319" i="2"/>
  <c r="K321" i="2"/>
  <c r="L321" i="2"/>
  <c r="M321" i="2"/>
  <c r="N321" i="2"/>
  <c r="J322" i="2"/>
  <c r="K322" i="2"/>
  <c r="L322" i="2"/>
  <c r="M322" i="2"/>
  <c r="N322" i="2"/>
  <c r="J323" i="2"/>
  <c r="K323" i="2"/>
  <c r="L323" i="2"/>
  <c r="M323" i="2"/>
  <c r="N323" i="2"/>
  <c r="J325" i="2"/>
  <c r="K325" i="2"/>
  <c r="L325" i="2"/>
  <c r="M325" i="2"/>
  <c r="N325" i="2"/>
  <c r="J330" i="2"/>
  <c r="K330" i="2"/>
  <c r="L330" i="2"/>
  <c r="M330" i="2"/>
  <c r="N330" i="2"/>
  <c r="J331" i="2"/>
  <c r="K331" i="2"/>
  <c r="L331" i="2"/>
  <c r="M331" i="2"/>
  <c r="N331" i="2"/>
  <c r="J332" i="2"/>
  <c r="K332" i="2"/>
  <c r="L332" i="2"/>
  <c r="M332" i="2"/>
  <c r="N332" i="2"/>
  <c r="J57" i="3"/>
  <c r="K57" i="3"/>
  <c r="L57" i="3"/>
  <c r="M57" i="3"/>
  <c r="N57" i="3"/>
  <c r="J58" i="3"/>
  <c r="K58" i="3"/>
  <c r="L58" i="3"/>
  <c r="M58" i="3"/>
  <c r="N58" i="3"/>
  <c r="J59" i="3"/>
  <c r="K59" i="3"/>
  <c r="L59" i="3"/>
  <c r="M59" i="3"/>
  <c r="N59" i="3"/>
  <c r="J60" i="3"/>
  <c r="K60" i="3"/>
  <c r="L60" i="3"/>
  <c r="M60" i="3"/>
  <c r="N60" i="3"/>
</calcChain>
</file>

<file path=xl/sharedStrings.xml><?xml version="1.0" encoding="utf-8"?>
<sst xmlns="http://schemas.openxmlformats.org/spreadsheetml/2006/main" count="326" uniqueCount="212">
  <si>
    <t>Millions for the Year Ended December 31</t>
  </si>
  <si>
    <t>Revenue Growth</t>
  </si>
  <si>
    <t>COGS (% of revenue)</t>
  </si>
  <si>
    <t>SG&amp;A (% of revenue)</t>
  </si>
  <si>
    <t>Revenue</t>
  </si>
  <si>
    <t>Operating Costs</t>
  </si>
  <si>
    <t>SG&amp;A</t>
  </si>
  <si>
    <t>Total Costs</t>
  </si>
  <si>
    <t>Cost Adjustments - Gain / (Loss)</t>
  </si>
  <si>
    <t>EBITDA</t>
  </si>
  <si>
    <t>Depreciation</t>
  </si>
  <si>
    <t>EBIT</t>
  </si>
  <si>
    <t>Net Interest Expense</t>
  </si>
  <si>
    <t>EBT</t>
  </si>
  <si>
    <t>Current Taxes</t>
  </si>
  <si>
    <t>Deferred Income Taxes</t>
  </si>
  <si>
    <t>Total Income Taxes</t>
  </si>
  <si>
    <t>Net Income</t>
  </si>
  <si>
    <t>Preferred Dividend</t>
  </si>
  <si>
    <t>Net Income to Common</t>
  </si>
  <si>
    <t>Cash Flow Statement</t>
  </si>
  <si>
    <t>Operating Activities</t>
  </si>
  <si>
    <t>Changes in Working Capital</t>
  </si>
  <si>
    <t>Other</t>
  </si>
  <si>
    <t>Operating Cash Flow</t>
  </si>
  <si>
    <t>Investing Activities</t>
  </si>
  <si>
    <t>CAPEX</t>
  </si>
  <si>
    <t>Asset Dispositions</t>
  </si>
  <si>
    <t>Investing Cash Flow</t>
  </si>
  <si>
    <t>Financing Activities</t>
  </si>
  <si>
    <t>Revolver Issuance / (Repayment)</t>
  </si>
  <si>
    <t>Variable Rate Long Term Debt Issuance / (Repayment)</t>
  </si>
  <si>
    <t>Fixed Rate Long Term Debt Issuance / (Repayment)</t>
  </si>
  <si>
    <t>Preferred Share Issuance / (Buy-Back)</t>
  </si>
  <si>
    <t>Common Share Issuance / (Buy-Back)</t>
  </si>
  <si>
    <t>Preferred Share Dividends</t>
  </si>
  <si>
    <t>Common Share Dividends</t>
  </si>
  <si>
    <t>Financing Cash Flow</t>
  </si>
  <si>
    <t>Change in Cash Position</t>
  </si>
  <si>
    <t>Beginning Cash</t>
  </si>
  <si>
    <t>Ending Cash</t>
  </si>
  <si>
    <t>Balance Sheet</t>
  </si>
  <si>
    <t>ASSETS</t>
  </si>
  <si>
    <t>Cash and Equivalents</t>
  </si>
  <si>
    <t>Accounts Receivable</t>
  </si>
  <si>
    <t>Inventory</t>
  </si>
  <si>
    <t>Other Current Assets</t>
  </si>
  <si>
    <t>Total Current Assets</t>
  </si>
  <si>
    <t>Net PP&amp;E</t>
  </si>
  <si>
    <t>Goodwill</t>
  </si>
  <si>
    <t>Intangibles</t>
  </si>
  <si>
    <t>Other Long term Assets</t>
  </si>
  <si>
    <t>Total Long Term Assets</t>
  </si>
  <si>
    <t>Total Assets</t>
  </si>
  <si>
    <t>LIABILITIES AND EQUITY</t>
  </si>
  <si>
    <t>Bank Debt - Revolver</t>
  </si>
  <si>
    <t>Accounts Payable</t>
  </si>
  <si>
    <t>Other Current Liabilities</t>
  </si>
  <si>
    <t>Total Current Liabilities</t>
  </si>
  <si>
    <t>Variable Rate Long Term Debt</t>
  </si>
  <si>
    <t>Fixed Rate Long Term Debt</t>
  </si>
  <si>
    <t>Other Longterm Liabilities</t>
  </si>
  <si>
    <t>Total Long Term Liabilities</t>
  </si>
  <si>
    <t>Total Liabilities</t>
  </si>
  <si>
    <t>Preferred Shares</t>
  </si>
  <si>
    <t>Common Shares</t>
  </si>
  <si>
    <t>Retained Earnings</t>
  </si>
  <si>
    <t>Other Shareholder equity</t>
  </si>
  <si>
    <t>Shareholder's Equity</t>
  </si>
  <si>
    <t>Total Liabilities and Equity</t>
  </si>
  <si>
    <t>Xcel Stores &amp; Properties</t>
  </si>
  <si>
    <t>Foreign Exchange - Gain / (Loss)</t>
  </si>
  <si>
    <t>Financial Model for 2023 - 2027</t>
  </si>
  <si>
    <t>Modeler:</t>
  </si>
  <si>
    <t>Tochukwu Collins</t>
  </si>
  <si>
    <t>Ver1.01</t>
  </si>
  <si>
    <t>Version:</t>
  </si>
  <si>
    <t>Circularity:</t>
  </si>
  <si>
    <t>Interest Expense on the Income Statement</t>
  </si>
  <si>
    <t>Summary</t>
  </si>
  <si>
    <t>Inputs &amp; Assumptions</t>
  </si>
  <si>
    <t>Scenarios</t>
  </si>
  <si>
    <t>General Assumptions</t>
  </si>
  <si>
    <t>Model &amp; Schedules</t>
  </si>
  <si>
    <t>Days in the year</t>
  </si>
  <si>
    <t>Currency</t>
  </si>
  <si>
    <t>Unit</t>
  </si>
  <si>
    <t>Input</t>
  </si>
  <si>
    <t>$'MM</t>
  </si>
  <si>
    <t>Style Guide</t>
  </si>
  <si>
    <t>Revenue Assumptions</t>
  </si>
  <si>
    <t>Core Revenue</t>
  </si>
  <si>
    <t>Properties</t>
  </si>
  <si>
    <t>Land mass</t>
  </si>
  <si>
    <t>Sqr ft</t>
  </si>
  <si>
    <t>Rental Revenue</t>
  </si>
  <si>
    <t>Renting of Grounds</t>
  </si>
  <si>
    <t>Growth in Rental Revenue</t>
  </si>
  <si>
    <t>%</t>
  </si>
  <si>
    <t>Inflation Scenarios</t>
  </si>
  <si>
    <t>Base Case</t>
  </si>
  <si>
    <t>Best Case</t>
  </si>
  <si>
    <t>Worst Case</t>
  </si>
  <si>
    <t>BSCheck: OK</t>
  </si>
  <si>
    <t>Properties Addition</t>
  </si>
  <si>
    <t>units</t>
  </si>
  <si>
    <t>Operating Costs Assumptions</t>
  </si>
  <si>
    <t>Variable Costs</t>
  </si>
  <si>
    <t>Cost of Sale</t>
  </si>
  <si>
    <t>Fixed Cost</t>
  </si>
  <si>
    <t>Growth  Rate</t>
  </si>
  <si>
    <t>Capex &amp; Depreciation Assumptions</t>
  </si>
  <si>
    <t>Capex Additions</t>
  </si>
  <si>
    <t>Depreciation Method</t>
  </si>
  <si>
    <t>Declining Balance</t>
  </si>
  <si>
    <t>Depreciation Rate</t>
  </si>
  <si>
    <t>Exiting</t>
  </si>
  <si>
    <t>New</t>
  </si>
  <si>
    <t>Working Capital Assumptions</t>
  </si>
  <si>
    <t>Extracts from Financials</t>
  </si>
  <si>
    <t>Days</t>
  </si>
  <si>
    <t>Income Taxes Assumptions</t>
  </si>
  <si>
    <t>Company Tax Rate</t>
  </si>
  <si>
    <t>Deferred Tax Liabilities</t>
  </si>
  <si>
    <t>Debt Assumptions</t>
  </si>
  <si>
    <t>Interest</t>
  </si>
  <si>
    <t>Fixed Long Term debt</t>
  </si>
  <si>
    <t>Revolver</t>
  </si>
  <si>
    <t>SOFR</t>
  </si>
  <si>
    <t>Spread</t>
  </si>
  <si>
    <t>Variable Rate Term Debt</t>
  </si>
  <si>
    <t>Excess Cash</t>
  </si>
  <si>
    <t>Amortization</t>
  </si>
  <si>
    <t>Equity Assumptions</t>
  </si>
  <si>
    <t>Issues / Buy-backs</t>
  </si>
  <si>
    <t>Dividends Rate</t>
  </si>
  <si>
    <t>Preferrence Shares</t>
  </si>
  <si>
    <t>Calculations &amp; Schedules</t>
  </si>
  <si>
    <t>Revenue Calculations</t>
  </si>
  <si>
    <t>Revenue Per Property</t>
  </si>
  <si>
    <t>$</t>
  </si>
  <si>
    <t>Total Revenue</t>
  </si>
  <si>
    <t xml:space="preserve">Revenue from Renting </t>
  </si>
  <si>
    <t>Revenue from Properties</t>
  </si>
  <si>
    <t>Operating Costs Calculations</t>
  </si>
  <si>
    <t>Variaaable Cost Per Unit</t>
  </si>
  <si>
    <t>Operating Cost</t>
  </si>
  <si>
    <t>Capex &amp; Depreciation Calculations</t>
  </si>
  <si>
    <t>Capex Schedule</t>
  </si>
  <si>
    <t xml:space="preserve">Beginning Balance </t>
  </si>
  <si>
    <t>Add: Capex Additions</t>
  </si>
  <si>
    <t>Less: Depreciation</t>
  </si>
  <si>
    <t>Ending Balance</t>
  </si>
  <si>
    <t>Depreciation of Existing Assets</t>
  </si>
  <si>
    <t>Depreciation of New Assets</t>
  </si>
  <si>
    <t>Year</t>
  </si>
  <si>
    <t>Additions</t>
  </si>
  <si>
    <t>Total Depreciation</t>
  </si>
  <si>
    <t>Working Capital Calculations</t>
  </si>
  <si>
    <t>Other Assumptions</t>
  </si>
  <si>
    <t>Assets</t>
  </si>
  <si>
    <t>Liabilities</t>
  </si>
  <si>
    <t>OWC</t>
  </si>
  <si>
    <t>Changes in OWC</t>
  </si>
  <si>
    <t>Income Taxes Calculations</t>
  </si>
  <si>
    <t>EBT per Accounting</t>
  </si>
  <si>
    <t>EBT per Government</t>
  </si>
  <si>
    <t>Current Tax</t>
  </si>
  <si>
    <t>Temporary Difference</t>
  </si>
  <si>
    <t>Differed Tax Liability</t>
  </si>
  <si>
    <t>Equity Calculations</t>
  </si>
  <si>
    <t>Preference Shares</t>
  </si>
  <si>
    <t>Beginning Balance</t>
  </si>
  <si>
    <t>Issuance/ Buy-Back</t>
  </si>
  <si>
    <t>Dividend rate</t>
  </si>
  <si>
    <t>Net Profit</t>
  </si>
  <si>
    <t>Common Shares Dividend</t>
  </si>
  <si>
    <t>Debt &amp; Interest Calculations</t>
  </si>
  <si>
    <t>Fixed Term Debt</t>
  </si>
  <si>
    <t>Less: Repayment</t>
  </si>
  <si>
    <t>Interest on Fixed term debt</t>
  </si>
  <si>
    <t>Variable Rate term debt</t>
  </si>
  <si>
    <t>Interest Expense on Variable rate term debt</t>
  </si>
  <si>
    <t>Changes in the Year</t>
  </si>
  <si>
    <t>Interest Income in from Excess Cash</t>
  </si>
  <si>
    <t>Free Cash Flow</t>
  </si>
  <si>
    <t>Repayment/Drawdown</t>
  </si>
  <si>
    <t>Other Operating Activities</t>
  </si>
  <si>
    <t>Asset Disposals</t>
  </si>
  <si>
    <t>Interest Expense on Revolver</t>
  </si>
  <si>
    <t>Summary of Interest Expense</t>
  </si>
  <si>
    <t>Other Equity</t>
  </si>
  <si>
    <t>EBITDA Margin</t>
  </si>
  <si>
    <t>Net Income Margin</t>
  </si>
  <si>
    <t>EBITDA Growth rate</t>
  </si>
  <si>
    <t>Net Income Growth</t>
  </si>
  <si>
    <t>ROE</t>
  </si>
  <si>
    <t>Scenario Used: Base Case</t>
  </si>
  <si>
    <t>Scenario Used: Best Case</t>
  </si>
  <si>
    <t>Scenario Used: Worst Case</t>
  </si>
  <si>
    <t>SCENARIO GENERATOR</t>
  </si>
  <si>
    <t>BS Check</t>
  </si>
  <si>
    <t>Growth in Revenue</t>
  </si>
  <si>
    <t>Total Capacity</t>
  </si>
  <si>
    <t>Capacity for new properties</t>
  </si>
  <si>
    <t>Number of new properties</t>
  </si>
  <si>
    <t>Square feet Per Property</t>
  </si>
  <si>
    <t>Volume</t>
  </si>
  <si>
    <t>Property Additions</t>
  </si>
  <si>
    <t>Properties Additions Scenario</t>
  </si>
  <si>
    <t>Property Stock Schedule</t>
  </si>
  <si>
    <t>Actual Additions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</si>
</sst>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-* #,##0.00_-;\-* #,##0.00_-;_-* &quot;-&quot;??_-;_-@_-"/>
    <numFmt numFmtId="165" formatCode="0.0%;\(0.0%\)"/>
    <numFmt numFmtId="166" formatCode="#,##0.0_);\(#,##0.0\)"/>
    <numFmt numFmtId="167" formatCode="&quot;$&quot;#,##0_);[Red]\(&quot;$&quot;#,##0\)"/>
    <numFmt numFmtId="168" formatCode="_(* #,##0_);_(* \(#,##0\);_(* &quot;-&quot;??_);_(@_)"/>
    <numFmt numFmtId="169" formatCode="0%;\(0%\)"/>
    <numFmt numFmtId="170" formatCode="0\A"/>
    <numFmt numFmtId="171" formatCode="0.00%_);[Red]\(0.00%\)"/>
    <numFmt numFmtId="172" formatCode="#,##0.0000_);\(#,##0.0000\)"/>
    <numFmt numFmtId="173" formatCode="#,##0.000_);\(#,##0.000\)"/>
    <numFmt numFmtId="174" formatCode="_(* #,##0.0_);_(* \(#,##0.0\);_(* &quot;-&quot;??_);_(@_)"/>
    <numFmt numFmtId="175" formatCode="#,##0.00000_);\(#,##0.00000\)"/>
    <numFmt numFmtId="176" formatCode="0.00&quot;x&quot;"/>
    <numFmt numFmtId="177" formatCode="0\F"/>
    <numFmt numFmtId="178" formatCode="#,##0.0_);[Red]\(#,##0.0\)"/>
  </numFmts>
  <fonts count="26">
    <font>
      <sz val="10"/>
      <name val="Arial"/>
      <family val="2"/>
    </font>
    <font>
      <sz val="11"/>
      <color theme="1"/>
      <name val="Arial Narrow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9"/>
      <name val="Calibri"/>
      <family val="2"/>
      <scheme val="minor"/>
    </font>
    <font>
      <b/>
      <u/>
      <sz val="9"/>
      <name val="Calibri"/>
      <family val="2"/>
      <scheme val="minor"/>
    </font>
    <font>
      <sz val="10"/>
      <name val="Aldine401 BT"/>
    </font>
    <font>
      <b/>
      <sz val="10"/>
      <color rgb="FF0000FF"/>
      <name val="Calibri"/>
      <family val="2"/>
      <scheme val="minor"/>
    </font>
    <font>
      <sz val="10"/>
      <color indexed="12"/>
      <name val="Calibri"/>
      <family val="2"/>
      <scheme val="minor"/>
    </font>
    <font>
      <vertAlign val="superscript"/>
      <sz val="7"/>
      <name val="Calibri"/>
      <family val="2"/>
      <scheme val="minor"/>
    </font>
    <font>
      <sz val="10"/>
      <color rgb="FF0000FF"/>
      <name val="Calibri"/>
      <family val="2"/>
      <scheme val="minor"/>
    </font>
    <font>
      <b/>
      <i/>
      <sz val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i/>
      <sz val="9"/>
      <color rgb="FF7F7F7F"/>
      <name val="Arial"/>
      <family val="2"/>
    </font>
    <font>
      <sz val="11"/>
      <color rgb="FF3F3F76"/>
      <name val="Arial Narrow"/>
      <family val="2"/>
    </font>
    <font>
      <i/>
      <sz val="11"/>
      <color rgb="FF7F7F7F"/>
      <name val="Arial Narrow"/>
      <family val="2"/>
    </font>
    <font>
      <b/>
      <sz val="10"/>
      <name val="Arial"/>
      <family val="2"/>
    </font>
    <font>
      <b/>
      <sz val="18"/>
      <color theme="4" tint="-0.249977111117893"/>
      <name val="Arial"/>
      <family val="2"/>
    </font>
    <font>
      <sz val="10"/>
      <color rgb="FFC00000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C99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ashed">
        <color theme="1"/>
      </left>
      <right style="dashed">
        <color theme="1"/>
      </right>
      <top style="dashed">
        <color theme="1"/>
      </top>
      <bottom style="dashed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ed">
        <color rgb="FFC00000"/>
      </left>
      <right style="dashed">
        <color rgb="FFC00000"/>
      </right>
      <top style="dashed">
        <color rgb="FFC00000"/>
      </top>
      <bottom style="dashed">
        <color rgb="FFC00000"/>
      </bottom>
      <diagonal/>
    </border>
    <border>
      <left/>
      <right/>
      <top style="thin">
        <color indexed="64"/>
      </top>
      <bottom style="dashed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theme="1"/>
      </left>
      <right style="dashed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theme="1"/>
      </left>
      <right style="dashed">
        <color theme="1"/>
      </right>
      <top style="dashed">
        <color theme="1"/>
      </top>
      <bottom/>
      <diagonal/>
    </border>
    <border>
      <left style="dashed">
        <color theme="1"/>
      </left>
      <right/>
      <top style="thin">
        <color indexed="64"/>
      </top>
      <bottom/>
      <diagonal/>
    </border>
  </borders>
  <cellStyleXfs count="10">
    <xf numFmtId="40" fontId="0" fillId="0" borderId="0" applyFill="0" applyBorder="0"/>
    <xf numFmtId="171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7" fillId="2" borderId="15" applyNumberFormat="0" applyFont="0" applyAlignment="0" applyProtection="0"/>
    <xf numFmtId="0" fontId="18" fillId="0" borderId="16" applyNumberFormat="0" applyFont="0" applyFill="0" applyAlignment="0" applyProtection="0"/>
    <xf numFmtId="0" fontId="19" fillId="0" borderId="0" applyNumberFormat="0" applyFill="0" applyBorder="0" applyAlignment="0" applyProtection="0"/>
    <xf numFmtId="176" fontId="2" fillId="0" borderId="0" applyFont="0" applyFill="0" applyBorder="0" applyAlignment="0" applyProtection="0"/>
    <xf numFmtId="0" fontId="20" fillId="3" borderId="17" applyNumberFormat="0" applyAlignment="0" applyProtection="0"/>
    <xf numFmtId="178" fontId="1" fillId="0" borderId="27" applyFill="0" applyAlignment="0" applyProtection="0"/>
    <xf numFmtId="0" fontId="21" fillId="0" borderId="0" applyNumberFormat="0" applyFill="0" applyBorder="0" applyAlignment="0" applyProtection="0"/>
  </cellStyleXfs>
  <cellXfs count="121">
    <xf numFmtId="40" fontId="0" fillId="0" borderId="0" xfId="0"/>
    <xf numFmtId="40" fontId="3" fillId="0" borderId="0" xfId="0" applyFont="1" applyAlignment="1">
      <alignment horizontal="centerContinuous"/>
    </xf>
    <xf numFmtId="40" fontId="4" fillId="0" borderId="0" xfId="0" applyFont="1"/>
    <xf numFmtId="40" fontId="5" fillId="0" borderId="0" xfId="0" applyFont="1" applyAlignment="1">
      <alignment horizontal="centerContinuous"/>
    </xf>
    <xf numFmtId="40" fontId="5" fillId="0" borderId="1" xfId="0" applyFont="1" applyBorder="1" applyAlignment="1">
      <alignment horizontal="centerContinuous"/>
    </xf>
    <xf numFmtId="40" fontId="6" fillId="0" borderId="0" xfId="0" quotePrefix="1" applyFont="1"/>
    <xf numFmtId="40" fontId="7" fillId="0" borderId="0" xfId="0" applyFont="1" applyAlignment="1">
      <alignment horizontal="centerContinuous"/>
    </xf>
    <xf numFmtId="40" fontId="8" fillId="0" borderId="0" xfId="0" applyFont="1"/>
    <xf numFmtId="1" fontId="8" fillId="0" borderId="0" xfId="0" quotePrefix="1" applyNumberFormat="1" applyFont="1" applyAlignment="1">
      <alignment horizontal="right"/>
    </xf>
    <xf numFmtId="40" fontId="9" fillId="0" borderId="2" xfId="0" applyFont="1" applyBorder="1" applyAlignment="1">
      <alignment horizontal="left" vertical="center"/>
    </xf>
    <xf numFmtId="40" fontId="9" fillId="0" borderId="3" xfId="0" applyFont="1" applyBorder="1"/>
    <xf numFmtId="40" fontId="10" fillId="0" borderId="3" xfId="0" applyFont="1" applyBorder="1"/>
    <xf numFmtId="165" fontId="9" fillId="0" borderId="3" xfId="0" applyNumberFormat="1" applyFont="1" applyBorder="1"/>
    <xf numFmtId="165" fontId="9" fillId="0" borderId="4" xfId="0" applyNumberFormat="1" applyFont="1" applyBorder="1"/>
    <xf numFmtId="40" fontId="9" fillId="0" borderId="5" xfId="0" applyFont="1" applyBorder="1" applyAlignment="1">
      <alignment horizontal="left" vertical="center"/>
    </xf>
    <xf numFmtId="40" fontId="9" fillId="0" borderId="0" xfId="0" applyFont="1"/>
    <xf numFmtId="40" fontId="10" fillId="0" borderId="0" xfId="0" applyFont="1"/>
    <xf numFmtId="165" fontId="9" fillId="0" borderId="0" xfId="0" applyNumberFormat="1" applyFont="1"/>
    <xf numFmtId="165" fontId="9" fillId="0" borderId="6" xfId="0" applyNumberFormat="1" applyFont="1" applyBorder="1"/>
    <xf numFmtId="40" fontId="9" fillId="0" borderId="7" xfId="0" applyFont="1" applyBorder="1" applyAlignment="1">
      <alignment horizontal="left" vertical="center"/>
    </xf>
    <xf numFmtId="40" fontId="9" fillId="0" borderId="8" xfId="0" applyFont="1" applyBorder="1"/>
    <xf numFmtId="40" fontId="10" fillId="0" borderId="8" xfId="0" applyFont="1" applyBorder="1"/>
    <xf numFmtId="165" fontId="9" fillId="0" borderId="8" xfId="0" applyNumberFormat="1" applyFont="1" applyBorder="1"/>
    <xf numFmtId="165" fontId="9" fillId="0" borderId="9" xfId="0" applyNumberFormat="1" applyFont="1" applyBorder="1"/>
    <xf numFmtId="40" fontId="7" fillId="0" borderId="0" xfId="0" applyFont="1"/>
    <xf numFmtId="166" fontId="12" fillId="0" borderId="0" xfId="2" applyNumberFormat="1" applyFont="1" applyAlignment="1" applyProtection="1">
      <alignment horizontal="right"/>
      <protection locked="0"/>
    </xf>
    <xf numFmtId="166" fontId="13" fillId="0" borderId="0" xfId="2" applyNumberFormat="1" applyFont="1" applyAlignment="1" applyProtection="1">
      <alignment horizontal="right"/>
      <protection locked="0"/>
    </xf>
    <xf numFmtId="40" fontId="4" fillId="0" borderId="0" xfId="0" quotePrefix="1" applyFont="1" applyAlignment="1">
      <alignment horizontal="left"/>
    </xf>
    <xf numFmtId="166" fontId="13" fillId="0" borderId="10" xfId="2" applyNumberFormat="1" applyFont="1" applyBorder="1" applyAlignment="1" applyProtection="1">
      <alignment horizontal="right"/>
      <protection locked="0"/>
    </xf>
    <xf numFmtId="40" fontId="7" fillId="0" borderId="0" xfId="0" quotePrefix="1" applyFont="1" applyAlignment="1">
      <alignment horizontal="left"/>
    </xf>
    <xf numFmtId="166" fontId="7" fillId="0" borderId="0" xfId="2" applyNumberFormat="1" applyFont="1" applyAlignment="1">
      <alignment horizontal="right"/>
    </xf>
    <xf numFmtId="166" fontId="7" fillId="0" borderId="0" xfId="2" applyNumberFormat="1" applyFont="1"/>
    <xf numFmtId="166" fontId="13" fillId="0" borderId="10" xfId="2" applyNumberFormat="1" applyFont="1" applyBorder="1" applyProtection="1">
      <protection locked="0"/>
    </xf>
    <xf numFmtId="166" fontId="13" fillId="0" borderId="0" xfId="2" applyNumberFormat="1" applyFont="1" applyProtection="1">
      <protection locked="0"/>
    </xf>
    <xf numFmtId="40" fontId="4" fillId="0" borderId="0" xfId="0" applyFont="1" applyAlignment="1">
      <alignment horizontal="left"/>
    </xf>
    <xf numFmtId="40" fontId="7" fillId="0" borderId="0" xfId="0" applyFont="1" applyAlignment="1">
      <alignment horizontal="left"/>
    </xf>
    <xf numFmtId="166" fontId="4" fillId="0" borderId="0" xfId="0" applyNumberFormat="1" applyFont="1"/>
    <xf numFmtId="167" fontId="7" fillId="0" borderId="0" xfId="0" quotePrefix="1" applyNumberFormat="1" applyFont="1" applyAlignment="1">
      <alignment horizontal="left"/>
    </xf>
    <xf numFmtId="166" fontId="7" fillId="0" borderId="11" xfId="2" applyNumberFormat="1" applyFont="1" applyBorder="1" applyAlignment="1">
      <alignment horizontal="right"/>
    </xf>
    <xf numFmtId="167" fontId="4" fillId="0" borderId="0" xfId="0" quotePrefix="1" applyNumberFormat="1" applyFont="1" applyAlignment="1">
      <alignment horizontal="left"/>
    </xf>
    <xf numFmtId="166" fontId="7" fillId="0" borderId="12" xfId="2" applyNumberFormat="1" applyFont="1" applyBorder="1" applyAlignment="1">
      <alignment horizontal="right"/>
    </xf>
    <xf numFmtId="40" fontId="4" fillId="0" borderId="10" xfId="0" applyFont="1" applyBorder="1"/>
    <xf numFmtId="168" fontId="4" fillId="0" borderId="10" xfId="2" applyNumberFormat="1" applyFont="1" applyBorder="1"/>
    <xf numFmtId="40" fontId="14" fillId="0" borderId="0" xfId="0" quotePrefix="1" applyFont="1"/>
    <xf numFmtId="169" fontId="6" fillId="0" borderId="0" xfId="0" applyNumberFormat="1" applyFont="1"/>
    <xf numFmtId="168" fontId="4" fillId="0" borderId="0" xfId="2" applyNumberFormat="1" applyFont="1"/>
    <xf numFmtId="40" fontId="4" fillId="0" borderId="0" xfId="0" applyFont="1" applyAlignment="1">
      <alignment horizontal="centerContinuous"/>
    </xf>
    <xf numFmtId="40" fontId="4" fillId="0" borderId="1" xfId="0" applyFont="1" applyBorder="1" applyAlignment="1">
      <alignment horizontal="centerContinuous"/>
    </xf>
    <xf numFmtId="40" fontId="6" fillId="0" borderId="0" xfId="0" quotePrefix="1" applyFont="1" applyAlignment="1">
      <alignment horizontal="left"/>
    </xf>
    <xf numFmtId="170" fontId="8" fillId="0" borderId="0" xfId="0" applyNumberFormat="1" applyFont="1" applyAlignment="1">
      <alignment horizontal="right"/>
    </xf>
    <xf numFmtId="37" fontId="4" fillId="0" borderId="0" xfId="2" applyNumberFormat="1" applyFont="1"/>
    <xf numFmtId="166" fontId="15" fillId="0" borderId="0" xfId="2" applyNumberFormat="1" applyFont="1" applyProtection="1">
      <protection locked="0"/>
    </xf>
    <xf numFmtId="37" fontId="13" fillId="0" borderId="0" xfId="2" applyNumberFormat="1" applyFont="1"/>
    <xf numFmtId="166" fontId="15" fillId="0" borderId="10" xfId="2" applyNumberFormat="1" applyFont="1" applyBorder="1" applyAlignment="1" applyProtection="1">
      <alignment horizontal="right"/>
      <protection locked="0"/>
    </xf>
    <xf numFmtId="37" fontId="7" fillId="0" borderId="0" xfId="2" applyNumberFormat="1" applyFont="1"/>
    <xf numFmtId="166" fontId="7" fillId="0" borderId="0" xfId="2" applyNumberFormat="1" applyFont="1" applyProtection="1">
      <protection locked="0"/>
    </xf>
    <xf numFmtId="171" fontId="4" fillId="0" borderId="0" xfId="1" applyFont="1"/>
    <xf numFmtId="166" fontId="4" fillId="0" borderId="0" xfId="2" applyNumberFormat="1" applyFont="1"/>
    <xf numFmtId="166" fontId="4" fillId="0" borderId="10" xfId="2" applyNumberFormat="1" applyFont="1" applyBorder="1"/>
    <xf numFmtId="40" fontId="16" fillId="0" borderId="0" xfId="0" applyFont="1" applyAlignment="1">
      <alignment horizontal="centerContinuous"/>
    </xf>
    <xf numFmtId="40" fontId="6" fillId="0" borderId="0" xfId="0" applyFont="1" applyAlignment="1">
      <alignment horizontal="left"/>
    </xf>
    <xf numFmtId="166" fontId="15" fillId="0" borderId="0" xfId="0" applyNumberFormat="1" applyFont="1"/>
    <xf numFmtId="166" fontId="4" fillId="0" borderId="13" xfId="2" applyNumberFormat="1" applyFont="1" applyBorder="1"/>
    <xf numFmtId="172" fontId="4" fillId="0" borderId="0" xfId="2" applyNumberFormat="1" applyFont="1"/>
    <xf numFmtId="166" fontId="7" fillId="0" borderId="14" xfId="2" applyNumberFormat="1" applyFont="1" applyBorder="1"/>
    <xf numFmtId="173" fontId="13" fillId="0" borderId="0" xfId="2" applyNumberFormat="1" applyFont="1"/>
    <xf numFmtId="174" fontId="4" fillId="0" borderId="0" xfId="2" applyNumberFormat="1" applyFont="1"/>
    <xf numFmtId="40" fontId="6" fillId="0" borderId="10" xfId="0" quotePrefix="1" applyFont="1" applyBorder="1" applyAlignment="1">
      <alignment horizontal="left"/>
    </xf>
    <xf numFmtId="175" fontId="6" fillId="0" borderId="0" xfId="2" applyNumberFormat="1" applyFont="1"/>
    <xf numFmtId="40" fontId="22" fillId="0" borderId="0" xfId="0" applyFont="1"/>
    <xf numFmtId="40" fontId="23" fillId="0" borderId="0" xfId="0" applyFont="1"/>
    <xf numFmtId="40" fontId="24" fillId="0" borderId="0" xfId="0" applyFont="1"/>
    <xf numFmtId="177" fontId="22" fillId="0" borderId="1" xfId="0" applyNumberFormat="1" applyFont="1" applyBorder="1"/>
    <xf numFmtId="40" fontId="0" fillId="0" borderId="11" xfId="0" applyBorder="1"/>
    <xf numFmtId="40" fontId="22" fillId="0" borderId="11" xfId="0" applyFont="1" applyBorder="1"/>
    <xf numFmtId="40" fontId="22" fillId="0" borderId="18" xfId="0" applyFont="1" applyBorder="1"/>
    <xf numFmtId="40" fontId="22" fillId="0" borderId="19" xfId="0" applyFont="1" applyBorder="1"/>
    <xf numFmtId="40" fontId="22" fillId="0" borderId="20" xfId="0" applyFont="1" applyBorder="1"/>
    <xf numFmtId="40" fontId="0" fillId="0" borderId="0" xfId="0" applyAlignment="1">
      <alignment horizontal="centerContinuous"/>
    </xf>
    <xf numFmtId="0" fontId="0" fillId="0" borderId="0" xfId="0" applyNumberFormat="1"/>
    <xf numFmtId="40" fontId="21" fillId="0" borderId="0" xfId="9" applyNumberFormat="1"/>
    <xf numFmtId="40" fontId="25" fillId="0" borderId="0" xfId="0" applyFont="1"/>
    <xf numFmtId="40" fontId="20" fillId="3" borderId="17" xfId="7" applyNumberFormat="1"/>
    <xf numFmtId="171" fontId="20" fillId="3" borderId="17" xfId="1" applyFont="1" applyFill="1" applyBorder="1"/>
    <xf numFmtId="40" fontId="0" fillId="0" borderId="21" xfId="0" applyBorder="1"/>
    <xf numFmtId="40" fontId="20" fillId="3" borderId="22" xfId="7" applyNumberFormat="1" applyBorder="1"/>
    <xf numFmtId="40" fontId="0" fillId="0" borderId="23" xfId="0" applyBorder="1"/>
    <xf numFmtId="40" fontId="0" fillId="0" borderId="24" xfId="0" applyBorder="1"/>
    <xf numFmtId="40" fontId="0" fillId="0" borderId="25" xfId="0" applyBorder="1"/>
    <xf numFmtId="40" fontId="0" fillId="0" borderId="26" xfId="0" applyBorder="1"/>
    <xf numFmtId="171" fontId="0" fillId="0" borderId="0" xfId="1" applyFont="1"/>
    <xf numFmtId="171" fontId="20" fillId="3" borderId="17" xfId="7" applyNumberFormat="1"/>
    <xf numFmtId="171" fontId="22" fillId="0" borderId="0" xfId="1" applyFont="1"/>
    <xf numFmtId="40" fontId="0" fillId="0" borderId="16" xfId="4" applyNumberFormat="1" applyFont="1"/>
    <xf numFmtId="171" fontId="0" fillId="0" borderId="16" xfId="1" applyFont="1" applyBorder="1"/>
    <xf numFmtId="0" fontId="0" fillId="0" borderId="16" xfId="4" applyNumberFormat="1" applyFont="1"/>
    <xf numFmtId="171" fontId="0" fillId="0" borderId="16" xfId="4" applyNumberFormat="1" applyFont="1"/>
    <xf numFmtId="40" fontId="0" fillId="0" borderId="28" xfId="0" applyBorder="1"/>
    <xf numFmtId="40" fontId="0" fillId="0" borderId="13" xfId="0" applyBorder="1"/>
    <xf numFmtId="40" fontId="0" fillId="0" borderId="29" xfId="0" applyBorder="1"/>
    <xf numFmtId="40" fontId="0" fillId="0" borderId="30" xfId="0" applyBorder="1"/>
    <xf numFmtId="40" fontId="22" fillId="0" borderId="29" xfId="0" applyFont="1" applyBorder="1"/>
    <xf numFmtId="40" fontId="22" fillId="0" borderId="30" xfId="0" applyFont="1" applyBorder="1"/>
    <xf numFmtId="40" fontId="0" fillId="0" borderId="0" xfId="0" applyAlignment="1">
      <alignment horizontal="right"/>
    </xf>
    <xf numFmtId="166" fontId="7" fillId="0" borderId="13" xfId="2" applyNumberFormat="1" applyFont="1" applyBorder="1" applyAlignment="1">
      <alignment horizontal="right"/>
    </xf>
    <xf numFmtId="40" fontId="22" fillId="0" borderId="13" xfId="0" applyFont="1" applyBorder="1"/>
    <xf numFmtId="40" fontId="22" fillId="0" borderId="16" xfId="4" applyNumberFormat="1" applyFont="1"/>
    <xf numFmtId="40" fontId="22" fillId="0" borderId="31" xfId="4" applyNumberFormat="1" applyFont="1" applyBorder="1"/>
    <xf numFmtId="40" fontId="0" fillId="0" borderId="32" xfId="0" applyBorder="1"/>
    <xf numFmtId="40" fontId="0" fillId="0" borderId="10" xfId="0" applyBorder="1"/>
    <xf numFmtId="40" fontId="0" fillId="0" borderId="33" xfId="4" applyNumberFormat="1" applyFont="1" applyBorder="1"/>
    <xf numFmtId="40" fontId="0" fillId="0" borderId="34" xfId="0" applyBorder="1"/>
    <xf numFmtId="40" fontId="22" fillId="0" borderId="14" xfId="0" applyFont="1" applyBorder="1"/>
    <xf numFmtId="166" fontId="7" fillId="0" borderId="13" xfId="2" applyNumberFormat="1" applyFont="1" applyBorder="1" applyProtection="1">
      <protection locked="0"/>
    </xf>
    <xf numFmtId="166" fontId="7" fillId="0" borderId="13" xfId="2" applyNumberFormat="1" applyFont="1" applyBorder="1"/>
    <xf numFmtId="166" fontId="7" fillId="0" borderId="0" xfId="2" applyNumberFormat="1" applyFont="1" applyBorder="1" applyAlignment="1">
      <alignment horizontal="right"/>
    </xf>
    <xf numFmtId="171" fontId="4" fillId="0" borderId="0" xfId="1" applyFont="1" applyAlignment="1">
      <alignment horizontal="right"/>
    </xf>
    <xf numFmtId="40" fontId="0" fillId="0" borderId="1" xfId="0" applyBorder="1"/>
    <xf numFmtId="0" fontId="20" fillId="3" borderId="17" xfId="1" applyNumberFormat="1" applyFont="1" applyFill="1" applyBorder="1"/>
    <xf numFmtId="0" fontId="22" fillId="0" borderId="0" xfId="1" applyNumberFormat="1" applyFont="1"/>
    <xf numFmtId="40" fontId="22" fillId="0" borderId="34" xfId="0" applyFont="1" applyBorder="1"/>
  </cellXfs>
  <cellStyles count="10">
    <cellStyle name="Comma 2" xfId="2" xr:uid="{9D47974D-83F3-4730-BF75-53C2D8791817}"/>
    <cellStyle name="Explanatory Text" xfId="9" builtinId="53"/>
    <cellStyle name="Explanatory Text 2" xfId="5" xr:uid="{03023943-EE2D-4132-99D8-FD1B5138E0FD}"/>
    <cellStyle name="Input" xfId="7" builtinId="20"/>
    <cellStyle name="Input 2" xfId="3" xr:uid="{B3FE6EA0-10BE-4B6A-A3A8-B3B714ECB6B8}"/>
    <cellStyle name="Linked Cell" xfId="8" builtinId="24" customBuiltin="1"/>
    <cellStyle name="Linked Cell 2" xfId="4" xr:uid="{6E19E152-2BD8-499D-990B-B106094E72F9}"/>
    <cellStyle name="Multiple" xfId="6" xr:uid="{45F07609-F656-4BCB-95C1-4648C04C1843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Style="combo" dx="26" fmlaLink="S_Switch" fmlaRange="L_Scenarios" noThreeD="1" sel="1" val="0"/>
</file>

<file path=xl/ctrlProps/ctrlProp2.xml><?xml version="1.0" encoding="utf-8"?>
<formControlPr xmlns="http://schemas.microsoft.com/office/spreadsheetml/2009/9/main" objectType="Drop" dropStyle="combo" dx="26" fmlaLink="S_Switch" fmlaRange="L_Scenarios" noThreeD="1" sel="1" val="0"/>
</file>

<file path=xl/ctrlProps/ctrlProp3.xml><?xml version="1.0" encoding="utf-8"?>
<formControlPr xmlns="http://schemas.microsoft.com/office/spreadsheetml/2009/9/main" objectType="Drop" dropStyle="combo" dx="26" fmlaLink="S_Switch" fmlaRange="L_Scenarios" noThreeD="1" sel="1" val="0"/>
</file>

<file path=xl/ctrlProps/ctrlProp4.xml><?xml version="1.0" encoding="utf-8"?>
<formControlPr xmlns="http://schemas.microsoft.com/office/spreadsheetml/2009/9/main" objectType="Drop" dropStyle="combo" dx="26" fmlaLink="S_Switch" fmlaRange="L_Scenarios" noThreeD="1" sel="1" val="0"/>
</file>

<file path=xl/ctrlProps/ctrlProp5.xml><?xml version="1.0" encoding="utf-8"?>
<formControlPr xmlns="http://schemas.microsoft.com/office/spreadsheetml/2009/9/main" objectType="Drop" dropStyle="combo" dx="26" fmlaLink="S_Switch" fmlaRange="L_Scenarios" noThreeD="1" sel="1" val="0"/>
</file>

<file path=xl/ctrlProps/ctrlProp6.xml><?xml version="1.0" encoding="utf-8"?>
<formControlPr xmlns="http://schemas.microsoft.com/office/spreadsheetml/2009/9/main" objectType="Drop" dropStyle="combo" dx="26" fmlaLink="S_Switch" fmlaRange="L_Scenarios" noThreeD="1" sel="1" val="0"/>
</file>

<file path=xl/ctrlProps/ctrlProp7.xml><?xml version="1.0" encoding="utf-8"?>
<formControlPr xmlns="http://schemas.microsoft.com/office/spreadsheetml/2009/9/main" objectType="Drop" dropStyle="combo" dx="26" fmlaLink="S_Switch" fmlaRange="L_Scenarios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358140</xdr:colOff>
          <xdr:row>47</xdr:row>
          <xdr:rowOff>15240</xdr:rowOff>
        </xdr:from>
        <xdr:to>
          <xdr:col>13</xdr:col>
          <xdr:colOff>586740</xdr:colOff>
          <xdr:row>48</xdr:row>
          <xdr:rowOff>99060</xdr:rowOff>
        </xdr:to>
        <xdr:sp macro="" textlink="">
          <xdr:nvSpPr>
            <xdr:cNvPr id="3074" name="Drop Dow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1981200</xdr:colOff>
          <xdr:row>9</xdr:row>
          <xdr:rowOff>7620</xdr:rowOff>
        </xdr:from>
        <xdr:to>
          <xdr:col>5</xdr:col>
          <xdr:colOff>0</xdr:colOff>
          <xdr:row>10</xdr:row>
          <xdr:rowOff>38100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358140</xdr:colOff>
          <xdr:row>2</xdr:row>
          <xdr:rowOff>182880</xdr:rowOff>
        </xdr:from>
        <xdr:to>
          <xdr:col>13</xdr:col>
          <xdr:colOff>586740</xdr:colOff>
          <xdr:row>3</xdr:row>
          <xdr:rowOff>205740</xdr:rowOff>
        </xdr:to>
        <xdr:sp macro="" textlink="">
          <xdr:nvSpPr>
            <xdr:cNvPr id="5122" name="Drop Dow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3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1981200</xdr:colOff>
          <xdr:row>16</xdr:row>
          <xdr:rowOff>7620</xdr:rowOff>
        </xdr:from>
        <xdr:to>
          <xdr:col>5</xdr:col>
          <xdr:colOff>0</xdr:colOff>
          <xdr:row>17</xdr:row>
          <xdr:rowOff>38100</xdr:rowOff>
        </xdr:to>
        <xdr:sp macro="" textlink="">
          <xdr:nvSpPr>
            <xdr:cNvPr id="5123" name="Drop Down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3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1981200</xdr:colOff>
          <xdr:row>23</xdr:row>
          <xdr:rowOff>7620</xdr:rowOff>
        </xdr:from>
        <xdr:to>
          <xdr:col>5</xdr:col>
          <xdr:colOff>0</xdr:colOff>
          <xdr:row>24</xdr:row>
          <xdr:rowOff>38100</xdr:rowOff>
        </xdr:to>
        <xdr:sp macro="" textlink="">
          <xdr:nvSpPr>
            <xdr:cNvPr id="5124" name="Drop Down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3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1981200</xdr:colOff>
          <xdr:row>30</xdr:row>
          <xdr:rowOff>7620</xdr:rowOff>
        </xdr:from>
        <xdr:to>
          <xdr:col>5</xdr:col>
          <xdr:colOff>0</xdr:colOff>
          <xdr:row>31</xdr:row>
          <xdr:rowOff>38100</xdr:rowOff>
        </xdr:to>
        <xdr:sp macro="" textlink="">
          <xdr:nvSpPr>
            <xdr:cNvPr id="5125" name="Drop Down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3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457200</xdr:colOff>
          <xdr:row>2</xdr:row>
          <xdr:rowOff>7620</xdr:rowOff>
        </xdr:from>
        <xdr:to>
          <xdr:col>12</xdr:col>
          <xdr:colOff>426720</xdr:colOff>
          <xdr:row>3</xdr:row>
          <xdr:rowOff>30480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4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A52CD-B5AE-401F-8103-C92823A4F21C}">
  <sheetPr>
    <pageSetUpPr fitToPage="1"/>
  </sheetPr>
  <dimension ref="D8:E14"/>
  <sheetViews>
    <sheetView showGridLines="0" workbookViewId="0">
      <selection activeCell="E14" sqref="E14"/>
    </sheetView>
  </sheetViews>
  <sheetFormatPr defaultRowHeight="13.2"/>
  <sheetData>
    <row r="8" spans="4:5" ht="22.8">
      <c r="D8" s="70" t="str">
        <f>Model!B2</f>
        <v>Xcel Stores &amp; Properties</v>
      </c>
    </row>
    <row r="9" spans="4:5">
      <c r="D9" t="s">
        <v>72</v>
      </c>
    </row>
    <row r="12" spans="4:5">
      <c r="D12" t="s">
        <v>73</v>
      </c>
      <c r="E12" t="s">
        <v>74</v>
      </c>
    </row>
    <row r="13" spans="4:5">
      <c r="D13" t="s">
        <v>76</v>
      </c>
      <c r="E13" t="s">
        <v>75</v>
      </c>
    </row>
    <row r="14" spans="4:5">
      <c r="D14" t="s">
        <v>77</v>
      </c>
      <c r="E14" s="71" t="s">
        <v>78</v>
      </c>
    </row>
  </sheetData>
  <pageMargins left="0.7" right="0.7" top="0.75" bottom="0.75" header="0.3" footer="0.3"/>
  <pageSetup fitToHeight="0" orientation="portrait" verticalDpi="0" r:id="rId1"/>
  <headerFooter>
    <oddFooter>&amp;LXcel Stores Properties
Financial Model from 2023 - 2027&amp;CPage &amp;P of &amp;N&amp;R&amp;D &amp;T
Sheet: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DD2C-2E8C-4DE4-8008-7E8D8E6AF7D7}">
  <sheetPr>
    <pageSetUpPr fitToPage="1"/>
  </sheetPr>
  <dimension ref="A2:N60"/>
  <sheetViews>
    <sheetView showGridLines="0" workbookViewId="0">
      <selection activeCell="J37" sqref="J37"/>
    </sheetView>
  </sheetViews>
  <sheetFormatPr defaultColWidth="0" defaultRowHeight="13.2"/>
  <cols>
    <col min="1" max="3" width="3.21875" customWidth="1"/>
    <col min="4" max="4" width="31.6640625" customWidth="1"/>
    <col min="5" max="14" width="8.88671875" customWidth="1"/>
    <col min="15" max="16384" width="8.88671875" hidden="1"/>
  </cols>
  <sheetData>
    <row r="2" spans="2:14" ht="23.4">
      <c r="B2" s="1" t="s">
        <v>70</v>
      </c>
      <c r="C2" s="1"/>
      <c r="D2" s="1"/>
      <c r="E2" s="1"/>
      <c r="F2" s="1"/>
      <c r="G2" s="1"/>
      <c r="H2" s="1"/>
      <c r="I2" s="1"/>
      <c r="J2" s="78"/>
      <c r="K2" s="78"/>
      <c r="L2" s="78"/>
      <c r="M2" s="78"/>
      <c r="N2" s="78"/>
    </row>
    <row r="3" spans="2:14" ht="18">
      <c r="B3" s="3" t="s">
        <v>79</v>
      </c>
      <c r="C3" s="3"/>
      <c r="D3" s="3"/>
      <c r="E3" s="3"/>
      <c r="F3" s="3"/>
      <c r="G3" s="3"/>
      <c r="H3" s="3"/>
      <c r="I3" s="3"/>
      <c r="J3" s="78"/>
      <c r="K3" s="78"/>
      <c r="L3" s="78"/>
      <c r="M3" s="78"/>
      <c r="N3" s="78"/>
    </row>
    <row r="4" spans="2:14" ht="18.600000000000001" thickBot="1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2:14" ht="13.8">
      <c r="B5" s="5" t="s">
        <v>0</v>
      </c>
    </row>
    <row r="6" spans="2:14" ht="14.4" thickBot="1">
      <c r="D6" s="81" t="s">
        <v>197</v>
      </c>
      <c r="F6" s="7"/>
      <c r="G6" s="8">
        <v>2020</v>
      </c>
      <c r="H6" s="8">
        <v>2021</v>
      </c>
      <c r="I6" s="8">
        <v>2022</v>
      </c>
      <c r="J6" s="72">
        <v>2023</v>
      </c>
      <c r="K6" s="72">
        <v>2024</v>
      </c>
      <c r="L6" s="72">
        <v>2025</v>
      </c>
      <c r="M6" s="72">
        <v>2026</v>
      </c>
      <c r="N6" s="72">
        <v>2027</v>
      </c>
    </row>
    <row r="7" spans="2:14" ht="13.8">
      <c r="F7" s="7"/>
      <c r="G7" s="7"/>
      <c r="H7" s="7"/>
      <c r="I7" s="7"/>
    </row>
    <row r="8" spans="2:14" ht="13.8">
      <c r="C8" s="24" t="s">
        <v>4</v>
      </c>
      <c r="D8" s="24"/>
      <c r="E8" s="24"/>
      <c r="F8" s="7"/>
      <c r="G8" s="25">
        <v>234.1</v>
      </c>
      <c r="H8" s="25">
        <v>258.7</v>
      </c>
      <c r="I8" s="25">
        <v>278.89999999999998</v>
      </c>
      <c r="J8" s="25">
        <v>299.4153846153846</v>
      </c>
      <c r="K8" s="25">
        <v>319.94876923076924</v>
      </c>
      <c r="L8" s="25">
        <v>340.50069384615381</v>
      </c>
      <c r="M8" s="25">
        <v>361.07171466153841</v>
      </c>
      <c r="N8" s="25">
        <v>381.66240456292303</v>
      </c>
    </row>
    <row r="9" spans="2:14" ht="13.8">
      <c r="C9" t="s">
        <v>1</v>
      </c>
      <c r="F9" s="7"/>
      <c r="G9" s="7"/>
      <c r="H9" s="56">
        <v>0.10508329773601033</v>
      </c>
      <c r="I9" s="56">
        <v>7.8082721298801561E-2</v>
      </c>
      <c r="J9" s="56">
        <v>7.3558209449209766E-2</v>
      </c>
      <c r="K9" s="56">
        <v>6.8578255061144899E-2</v>
      </c>
      <c r="L9" s="56">
        <v>6.4235048207236911E-2</v>
      </c>
      <c r="M9" s="56">
        <v>6.0414034940789563E-2</v>
      </c>
      <c r="N9" s="56">
        <v>5.702659351393935E-2</v>
      </c>
    </row>
    <row r="10" spans="2:14" ht="13.8">
      <c r="B10" s="24"/>
      <c r="C10" s="24" t="s">
        <v>9</v>
      </c>
      <c r="G10" s="31">
        <v>145</v>
      </c>
      <c r="H10" s="31">
        <v>150.80000000000001</v>
      </c>
      <c r="I10" s="31">
        <v>158.5</v>
      </c>
      <c r="J10" s="31">
        <v>163.5366769230769</v>
      </c>
      <c r="K10" s="31">
        <v>174.95524138461536</v>
      </c>
      <c r="L10" s="31">
        <v>185.96774747384609</v>
      </c>
      <c r="M10" s="31">
        <v>196.55747882656917</v>
      </c>
      <c r="N10" s="31">
        <v>206.7070815492676</v>
      </c>
    </row>
    <row r="11" spans="2:14" ht="13.8">
      <c r="B11" s="24"/>
      <c r="C11" s="2" t="s">
        <v>194</v>
      </c>
      <c r="G11" s="31"/>
      <c r="H11" s="56">
        <v>4.0000000000000036E-2</v>
      </c>
      <c r="I11" s="56">
        <v>5.1061007957559523E-2</v>
      </c>
      <c r="J11" s="56">
        <v>3.1777141470516801E-2</v>
      </c>
      <c r="K11" s="56">
        <v>6.9822651874658304E-2</v>
      </c>
      <c r="L11" s="56">
        <v>6.2944705183317184E-2</v>
      </c>
      <c r="M11" s="56">
        <v>5.6943913644017075E-2</v>
      </c>
      <c r="N11" s="56">
        <v>5.1636817806631763E-2</v>
      </c>
    </row>
    <row r="12" spans="2:14">
      <c r="C12" t="s">
        <v>192</v>
      </c>
      <c r="G12" s="90">
        <v>0.61939342161469457</v>
      </c>
      <c r="H12" s="90">
        <v>0.58291457286432169</v>
      </c>
      <c r="I12" s="90">
        <v>0.56830405163140918</v>
      </c>
      <c r="J12" s="90">
        <v>0.54618662008015617</v>
      </c>
      <c r="K12" s="90">
        <v>0.54682267353379166</v>
      </c>
      <c r="L12" s="90">
        <v>0.5461596726080995</v>
      </c>
      <c r="M12" s="90">
        <v>0.54437240815392673</v>
      </c>
      <c r="N12" s="90">
        <v>0.54159665473466534</v>
      </c>
    </row>
    <row r="13" spans="2:14" ht="13.8">
      <c r="C13" s="37" t="s">
        <v>17</v>
      </c>
      <c r="D13" s="24"/>
      <c r="E13" s="24"/>
      <c r="G13">
        <v>48.099999999999994</v>
      </c>
      <c r="H13">
        <v>45.500000000000014</v>
      </c>
      <c r="I13">
        <v>43.100000000000009</v>
      </c>
      <c r="J13">
        <v>66.617556923076904</v>
      </c>
      <c r="K13">
        <v>66.506481934615366</v>
      </c>
      <c r="L13">
        <v>66.283089664846116</v>
      </c>
      <c r="M13">
        <v>66.593821125534177</v>
      </c>
      <c r="N13">
        <v>67.343936505003626</v>
      </c>
    </row>
    <row r="14" spans="2:14" ht="13.8">
      <c r="C14" s="39" t="s">
        <v>195</v>
      </c>
      <c r="D14" s="24"/>
      <c r="E14" s="24"/>
      <c r="G14" s="115"/>
      <c r="H14" s="56">
        <v>-5.4054054054053613E-2</v>
      </c>
      <c r="I14" s="56">
        <v>-5.2747252747252893E-2</v>
      </c>
      <c r="J14" s="56">
        <v>0.54565097269319929</v>
      </c>
      <c r="K14" s="56">
        <v>-1.6673530761537325E-3</v>
      </c>
      <c r="L14" s="56">
        <v>-3.3589548457678697E-3</v>
      </c>
      <c r="M14" s="56">
        <v>4.6879447270675723E-3</v>
      </c>
      <c r="N14" s="56">
        <v>1.1264038716976899E-2</v>
      </c>
    </row>
    <row r="15" spans="2:14" ht="13.8">
      <c r="C15" s="39" t="s">
        <v>193</v>
      </c>
      <c r="D15" s="24"/>
      <c r="E15" s="24"/>
      <c r="G15" s="116">
        <v>0.20546774882528832</v>
      </c>
      <c r="H15" s="116">
        <v>0.17587939698492469</v>
      </c>
      <c r="I15" s="116">
        <v>0.15453567586948733</v>
      </c>
      <c r="J15" s="116">
        <v>0.22249209742061449</v>
      </c>
      <c r="K15" s="116">
        <v>0.20786603459832745</v>
      </c>
      <c r="L15" s="116">
        <v>0.19466359647065615</v>
      </c>
      <c r="M15" s="116">
        <v>0.18443377983223616</v>
      </c>
      <c r="N15" s="116">
        <v>0.17644896563004522</v>
      </c>
    </row>
    <row r="16" spans="2:14">
      <c r="C16" s="69" t="s">
        <v>196</v>
      </c>
      <c r="G16">
        <v>2.6125685731356253E-2</v>
      </c>
      <c r="H16">
        <v>2.4274434485702098E-2</v>
      </c>
      <c r="I16">
        <v>2.2659166184743181E-2</v>
      </c>
      <c r="J16">
        <v>3.3906760290482459E-2</v>
      </c>
      <c r="K16">
        <v>2.7399727673046086E-2</v>
      </c>
      <c r="L16">
        <v>2.3017905810947127E-2</v>
      </c>
      <c r="M16">
        <v>2.2710898182726938E-2</v>
      </c>
      <c r="N16">
        <v>2.2557439108583321E-2</v>
      </c>
    </row>
    <row r="20" spans="2:14" ht="14.4" thickBot="1">
      <c r="D20" s="81" t="s">
        <v>198</v>
      </c>
      <c r="F20" s="7"/>
      <c r="G20" s="8">
        <v>2020</v>
      </c>
      <c r="H20" s="8">
        <v>2021</v>
      </c>
      <c r="I20" s="8">
        <v>2022</v>
      </c>
      <c r="J20" s="72">
        <v>2023</v>
      </c>
      <c r="K20" s="72">
        <v>2024</v>
      </c>
      <c r="L20" s="72">
        <v>2025</v>
      </c>
      <c r="M20" s="72">
        <v>2026</v>
      </c>
      <c r="N20" s="72">
        <v>2027</v>
      </c>
    </row>
    <row r="21" spans="2:14" ht="13.8">
      <c r="F21" s="7"/>
      <c r="G21" s="7"/>
      <c r="H21" s="7"/>
      <c r="I21" s="7"/>
    </row>
    <row r="22" spans="2:14" ht="13.8">
      <c r="C22" s="24" t="s">
        <v>4</v>
      </c>
      <c r="D22" s="24"/>
      <c r="E22" s="24"/>
      <c r="F22" s="7"/>
      <c r="G22" s="25">
        <v>234.1</v>
      </c>
      <c r="H22" s="25">
        <v>258.7</v>
      </c>
      <c r="I22" s="25">
        <v>278.89999999999998</v>
      </c>
      <c r="J22" s="25">
        <v>299.21538461538455</v>
      </c>
      <c r="K22" s="25">
        <v>319.53876923076922</v>
      </c>
      <c r="L22" s="25">
        <v>339.87031384615381</v>
      </c>
      <c r="M22" s="25">
        <v>360.2101816615384</v>
      </c>
      <c r="N22" s="25">
        <v>380.55853914092302</v>
      </c>
    </row>
    <row r="23" spans="2:14" ht="13.8">
      <c r="C23" t="s">
        <v>1</v>
      </c>
      <c r="F23" s="7"/>
      <c r="G23" s="7"/>
      <c r="H23" s="56">
        <v>0.10508329773601033</v>
      </c>
      <c r="I23" s="56">
        <v>7.8082721298801561E-2</v>
      </c>
      <c r="J23" s="56">
        <v>7.2841106544942802E-2</v>
      </c>
      <c r="K23" s="56">
        <v>6.7922258213790165E-2</v>
      </c>
      <c r="L23" s="56">
        <v>6.3627786588553947E-2</v>
      </c>
      <c r="M23" s="56">
        <v>5.9845967672809586E-2</v>
      </c>
      <c r="N23" s="56">
        <v>5.6490234078126145E-2</v>
      </c>
    </row>
    <row r="24" spans="2:14" ht="13.8">
      <c r="B24" s="24"/>
      <c r="C24" s="24" t="s">
        <v>9</v>
      </c>
      <c r="G24" s="31">
        <v>145</v>
      </c>
      <c r="H24" s="31">
        <v>150.80000000000001</v>
      </c>
      <c r="I24" s="31">
        <v>158.5</v>
      </c>
      <c r="J24" s="31">
        <v>164.41316923076917</v>
      </c>
      <c r="K24" s="31">
        <v>177.09940984615383</v>
      </c>
      <c r="L24" s="31">
        <v>189.54224558769226</v>
      </c>
      <c r="M24" s="31">
        <v>201.73483191803069</v>
      </c>
      <c r="N24" s="31">
        <v>213.67014788027072</v>
      </c>
    </row>
    <row r="25" spans="2:14" ht="13.8">
      <c r="B25" s="24"/>
      <c r="C25" s="2" t="s">
        <v>194</v>
      </c>
      <c r="G25" s="31"/>
      <c r="H25" s="56">
        <v>4.0000000000000036E-2</v>
      </c>
      <c r="I25" s="56">
        <v>5.1061007957559523E-2</v>
      </c>
      <c r="J25" s="56">
        <v>3.7307061392865437E-2</v>
      </c>
      <c r="K25" s="56">
        <v>7.7160732773044138E-2</v>
      </c>
      <c r="L25" s="56">
        <v>7.025904689545559E-2</v>
      </c>
      <c r="M25" s="56">
        <v>6.4326484539287021E-2</v>
      </c>
      <c r="N25" s="56">
        <v>5.9163387149174129E-2</v>
      </c>
    </row>
    <row r="26" spans="2:14">
      <c r="C26" t="s">
        <v>192</v>
      </c>
      <c r="G26" s="90">
        <v>0.61939342161469457</v>
      </c>
      <c r="H26" s="90">
        <v>0.58291457286432169</v>
      </c>
      <c r="I26" s="90">
        <v>0.56830405163140918</v>
      </c>
      <c r="J26" s="90">
        <v>0.54948100159391222</v>
      </c>
      <c r="K26" s="90">
        <v>0.55423449953346215</v>
      </c>
      <c r="L26" s="90">
        <v>0.55768991249259481</v>
      </c>
      <c r="M26" s="90">
        <v>0.56004755608930923</v>
      </c>
      <c r="N26" s="90">
        <v>0.56146459980273211</v>
      </c>
    </row>
    <row r="27" spans="2:14" ht="13.8">
      <c r="C27" s="37" t="s">
        <v>17</v>
      </c>
      <c r="D27" s="24"/>
      <c r="E27" s="24"/>
      <c r="G27">
        <v>48.099999999999994</v>
      </c>
      <c r="H27">
        <v>45.500000000000014</v>
      </c>
      <c r="I27">
        <v>43.100000000000009</v>
      </c>
      <c r="J27">
        <v>67.209189230769198</v>
      </c>
      <c r="K27">
        <v>67.953795646153836</v>
      </c>
      <c r="L27">
        <v>68.695875891692282</v>
      </c>
      <c r="M27">
        <v>70.088534462270701</v>
      </c>
      <c r="N27">
        <v>72.044006278430729</v>
      </c>
    </row>
    <row r="28" spans="2:14" ht="13.8">
      <c r="C28" s="39" t="s">
        <v>195</v>
      </c>
      <c r="D28" s="24"/>
      <c r="E28" s="24"/>
      <c r="G28" s="115"/>
      <c r="H28" s="56">
        <v>-5.4054054054053613E-2</v>
      </c>
      <c r="I28" s="56">
        <v>-5.2747252747252893E-2</v>
      </c>
      <c r="J28" s="56">
        <v>0.55937794038907618</v>
      </c>
      <c r="K28" s="56">
        <v>1.1078937626043395E-2</v>
      </c>
      <c r="L28" s="56">
        <v>1.0920364910925295E-2</v>
      </c>
      <c r="M28" s="56">
        <v>2.0272811904664012E-2</v>
      </c>
      <c r="N28" s="56">
        <v>2.7900024321562578E-2</v>
      </c>
    </row>
    <row r="29" spans="2:14" ht="13.8">
      <c r="C29" s="39" t="s">
        <v>193</v>
      </c>
      <c r="D29" s="24"/>
      <c r="E29" s="24"/>
      <c r="G29" s="116">
        <v>0.20546774882528832</v>
      </c>
      <c r="H29" s="116">
        <v>0.17587939698492469</v>
      </c>
      <c r="I29" s="116">
        <v>0.15453567586948733</v>
      </c>
      <c r="J29" s="116">
        <v>0.22461809347524289</v>
      </c>
      <c r="K29" s="116">
        <v>0.21266213113901669</v>
      </c>
      <c r="L29" s="116">
        <v>0.20212378984881937</v>
      </c>
      <c r="M29" s="116">
        <v>0.19457677220275651</v>
      </c>
      <c r="N29" s="116">
        <v>0.1893112330130961</v>
      </c>
    </row>
    <row r="30" spans="2:14">
      <c r="C30" s="69" t="s">
        <v>196</v>
      </c>
      <c r="G30">
        <v>2.6125685731356253E-2</v>
      </c>
      <c r="H30">
        <v>2.4274434485702098E-2</v>
      </c>
      <c r="I30">
        <v>2.2659166184743181E-2</v>
      </c>
      <c r="J30">
        <v>3.4199751350983895E-2</v>
      </c>
      <c r="K30">
        <v>2.7977434205333641E-2</v>
      </c>
      <c r="L30">
        <v>2.3826686655758655E-2</v>
      </c>
      <c r="M30">
        <v>2.385165716674021E-2</v>
      </c>
      <c r="N30">
        <v>2.4051281165423839E-2</v>
      </c>
    </row>
    <row r="34" spans="2:14" ht="14.4" thickBot="1">
      <c r="D34" s="81" t="s">
        <v>199</v>
      </c>
      <c r="F34" s="7"/>
      <c r="G34" s="8">
        <v>2020</v>
      </c>
      <c r="H34" s="8">
        <v>2021</v>
      </c>
      <c r="I34" s="8">
        <v>2022</v>
      </c>
      <c r="J34" s="72">
        <v>2023</v>
      </c>
      <c r="K34" s="72">
        <v>2024</v>
      </c>
      <c r="L34" s="72">
        <v>2025</v>
      </c>
      <c r="M34" s="72">
        <v>2026</v>
      </c>
      <c r="N34" s="72">
        <v>2027</v>
      </c>
    </row>
    <row r="35" spans="2:14" ht="13.8">
      <c r="F35" s="7"/>
      <c r="G35" s="7"/>
      <c r="H35" s="7"/>
      <c r="I35" s="7"/>
    </row>
    <row r="36" spans="2:14" ht="13.8">
      <c r="C36" s="24" t="s">
        <v>4</v>
      </c>
      <c r="D36" s="24"/>
      <c r="E36" s="24"/>
      <c r="F36" s="7"/>
      <c r="G36" s="25">
        <v>234.1</v>
      </c>
      <c r="H36" s="25">
        <v>258.7</v>
      </c>
      <c r="I36" s="25">
        <v>278.89999999999998</v>
      </c>
      <c r="J36" s="25">
        <v>299.61538461538458</v>
      </c>
      <c r="K36" s="25">
        <v>320.36276923076923</v>
      </c>
      <c r="L36" s="25">
        <v>341.14343384615381</v>
      </c>
      <c r="M36" s="25">
        <v>361.95870966153842</v>
      </c>
      <c r="N36" s="25">
        <v>382.80998112492301</v>
      </c>
    </row>
    <row r="37" spans="2:14" ht="13.8">
      <c r="C37" t="s">
        <v>1</v>
      </c>
      <c r="F37" s="7"/>
      <c r="G37" s="7"/>
      <c r="H37" s="56">
        <v>0.10508329773601033</v>
      </c>
      <c r="I37" s="56">
        <v>7.8082721298801561E-2</v>
      </c>
      <c r="J37" s="56">
        <v>7.4275312353476508E-2</v>
      </c>
      <c r="K37" s="56">
        <v>6.9246726572528949E-2</v>
      </c>
      <c r="L37" s="56">
        <v>6.4866041285888354E-2</v>
      </c>
      <c r="M37" s="56">
        <v>6.1016199493294954E-2</v>
      </c>
      <c r="N37" s="56">
        <v>5.7606768139057296E-2</v>
      </c>
    </row>
    <row r="38" spans="2:14" ht="13.8">
      <c r="B38" s="24"/>
      <c r="C38" s="24" t="s">
        <v>9</v>
      </c>
      <c r="G38" s="31">
        <v>145</v>
      </c>
      <c r="H38" s="31">
        <v>150.80000000000001</v>
      </c>
      <c r="I38" s="31">
        <v>158.5</v>
      </c>
      <c r="J38" s="31">
        <v>162.66018461538457</v>
      </c>
      <c r="K38" s="31">
        <v>172.79259323076923</v>
      </c>
      <c r="L38" s="31">
        <v>182.3282120861538</v>
      </c>
      <c r="M38" s="31">
        <v>191.23495076233843</v>
      </c>
      <c r="N38" s="31">
        <v>199.47910647020299</v>
      </c>
    </row>
    <row r="39" spans="2:14" ht="13.8">
      <c r="B39" s="24"/>
      <c r="C39" s="2" t="s">
        <v>194</v>
      </c>
      <c r="G39" s="31"/>
      <c r="H39" s="56">
        <v>4.0000000000000036E-2</v>
      </c>
      <c r="I39" s="56">
        <v>5.1061007957559523E-2</v>
      </c>
      <c r="J39" s="56">
        <v>2.6247221548167499E-2</v>
      </c>
      <c r="K39" s="56">
        <v>6.2291879474642764E-2</v>
      </c>
      <c r="L39" s="56">
        <v>5.5185344910296585E-2</v>
      </c>
      <c r="M39" s="56">
        <v>4.8850030251906373E-2</v>
      </c>
      <c r="N39" s="56">
        <v>4.3110088793915979E-2</v>
      </c>
    </row>
    <row r="40" spans="2:14">
      <c r="C40" t="s">
        <v>192</v>
      </c>
      <c r="G40" s="90">
        <v>0.61939342161469457</v>
      </c>
      <c r="H40" s="90">
        <v>0.58291457286432169</v>
      </c>
      <c r="I40" s="90">
        <v>0.56830405163140918</v>
      </c>
      <c r="J40" s="90">
        <v>0.54289663671373545</v>
      </c>
      <c r="K40" s="90">
        <v>0.53936540018575097</v>
      </c>
      <c r="L40" s="90">
        <v>0.53446202974077683</v>
      </c>
      <c r="M40" s="90">
        <v>0.52833360728122569</v>
      </c>
      <c r="N40" s="90">
        <v>0.52109170686724249</v>
      </c>
    </row>
    <row r="41" spans="2:14" ht="13.8">
      <c r="C41" s="37" t="s">
        <v>17</v>
      </c>
      <c r="D41" s="24"/>
      <c r="E41" s="24"/>
      <c r="G41">
        <v>48.099999999999994</v>
      </c>
      <c r="H41">
        <v>45.500000000000014</v>
      </c>
      <c r="I41">
        <v>43.100000000000009</v>
      </c>
      <c r="J41">
        <v>66.025924615384582</v>
      </c>
      <c r="K41">
        <v>65.046694430769222</v>
      </c>
      <c r="L41">
        <v>63.826403278153819</v>
      </c>
      <c r="M41">
        <v>63.001114682178432</v>
      </c>
      <c r="N41">
        <v>62.465053326635015</v>
      </c>
    </row>
    <row r="42" spans="2:14" ht="13.8">
      <c r="C42" s="39" t="s">
        <v>195</v>
      </c>
      <c r="D42" s="24"/>
      <c r="E42" s="24"/>
      <c r="G42" s="115"/>
      <c r="H42" s="56">
        <v>-5.4054054054053613E-2</v>
      </c>
      <c r="I42" s="56">
        <v>-5.2747252747252893E-2</v>
      </c>
      <c r="J42" s="56">
        <v>0.53192400499732173</v>
      </c>
      <c r="K42" s="56">
        <v>-1.4830995405510694E-2</v>
      </c>
      <c r="L42" s="56">
        <v>-1.8760233141657756E-2</v>
      </c>
      <c r="M42" s="56">
        <v>-1.2930206835857549E-2</v>
      </c>
      <c r="N42" s="56">
        <v>-8.5087598568324152E-3</v>
      </c>
    </row>
    <row r="43" spans="2:14" ht="13.8">
      <c r="C43" s="39" t="s">
        <v>193</v>
      </c>
      <c r="D43" s="24"/>
      <c r="E43" s="24"/>
      <c r="G43" s="116">
        <v>0.20546774882528832</v>
      </c>
      <c r="H43" s="116">
        <v>0.17587939698492469</v>
      </c>
      <c r="I43" s="116">
        <v>0.15453567586948733</v>
      </c>
      <c r="J43" s="116">
        <v>0.22036893966623869</v>
      </c>
      <c r="K43" s="116">
        <v>0.20304074217785795</v>
      </c>
      <c r="L43" s="116">
        <v>0.18709550571897493</v>
      </c>
      <c r="M43" s="116">
        <v>0.17405608153783542</v>
      </c>
      <c r="N43" s="116">
        <v>0.16317509053205875</v>
      </c>
    </row>
    <row r="44" spans="2:14">
      <c r="C44" s="69" t="s">
        <v>196</v>
      </c>
      <c r="G44">
        <v>2.6125685731356253E-2</v>
      </c>
      <c r="H44">
        <v>2.4274434485702098E-2</v>
      </c>
      <c r="I44">
        <v>2.2659166184743181E-2</v>
      </c>
      <c r="J44">
        <v>3.3613629797402296E-2</v>
      </c>
      <c r="K44">
        <v>2.6816220387524639E-2</v>
      </c>
      <c r="L44">
        <v>2.2192226971666035E-2</v>
      </c>
      <c r="M44">
        <v>2.1532650732418238E-2</v>
      </c>
      <c r="N44">
        <v>2.0995326285716095E-2</v>
      </c>
    </row>
    <row r="47" spans="2:14" s="117" customFormat="1" ht="13.8" thickBot="1"/>
    <row r="49" spans="2:14" ht="13.8">
      <c r="B49" s="69" t="s">
        <v>200</v>
      </c>
      <c r="F49" s="6"/>
    </row>
    <row r="50" spans="2:14" ht="14.4" thickBot="1">
      <c r="D50" s="81" t="str">
        <f>UsedScenario</f>
        <v>Scenario Used: Base Case</v>
      </c>
      <c r="F50" s="7"/>
      <c r="G50" s="8">
        <v>2020</v>
      </c>
      <c r="H50" s="8">
        <v>2021</v>
      </c>
      <c r="I50" s="8">
        <v>2022</v>
      </c>
      <c r="J50" s="72">
        <f>I50+1</f>
        <v>2023</v>
      </c>
      <c r="K50" s="72">
        <f>J50+1</f>
        <v>2024</v>
      </c>
      <c r="L50" s="72">
        <f>K50+1</f>
        <v>2025</v>
      </c>
      <c r="M50" s="72">
        <f>L50+1</f>
        <v>2026</v>
      </c>
      <c r="N50" s="72">
        <f>M50+1</f>
        <v>2027</v>
      </c>
    </row>
    <row r="51" spans="2:14" ht="13.8">
      <c r="F51" s="7"/>
      <c r="G51" s="7"/>
      <c r="H51" s="7"/>
      <c r="I51" s="7"/>
    </row>
    <row r="52" spans="2:14" ht="13.8">
      <c r="C52" s="24" t="s">
        <v>4</v>
      </c>
      <c r="D52" s="24"/>
      <c r="E52" s="24"/>
      <c r="F52" s="7"/>
      <c r="G52" s="25">
        <f>Model!G13</f>
        <v>234.1</v>
      </c>
      <c r="H52" s="25">
        <f>Model!H13</f>
        <v>258.7</v>
      </c>
      <c r="I52" s="25">
        <f>Model!I13</f>
        <v>278.89999999999998</v>
      </c>
      <c r="J52" s="25">
        <f>Model!J13</f>
        <v>307.77984615384617</v>
      </c>
      <c r="K52" s="25">
        <f>Model!K13</f>
        <v>338.14147307692303</v>
      </c>
      <c r="L52" s="25">
        <f>Model!L13</f>
        <v>370.04779575384612</v>
      </c>
      <c r="M52" s="25">
        <f>Model!M13</f>
        <v>403.56417046561535</v>
      </c>
      <c r="N52" s="25">
        <f>Model!N13</f>
        <v>423.36689193435996</v>
      </c>
    </row>
    <row r="53" spans="2:14" ht="13.8">
      <c r="C53" t="s">
        <v>1</v>
      </c>
      <c r="F53" s="7"/>
      <c r="G53" s="7"/>
      <c r="H53" s="56">
        <f>H52/G52-1</f>
        <v>0.10508329773601033</v>
      </c>
      <c r="I53" s="56">
        <f t="shared" ref="I53:N53" si="0">I52/H52-1</f>
        <v>7.8082721298801561E-2</v>
      </c>
      <c r="J53" s="56">
        <f t="shared" si="0"/>
        <v>0.10354910775850201</v>
      </c>
      <c r="K53" s="56">
        <f t="shared" si="0"/>
        <v>9.864722236523682E-2</v>
      </c>
      <c r="L53" s="56">
        <f t="shared" si="0"/>
        <v>9.435790997948601E-2</v>
      </c>
      <c r="M53" s="56">
        <f t="shared" si="0"/>
        <v>9.0573096492822192E-2</v>
      </c>
      <c r="N53" s="56">
        <f t="shared" si="0"/>
        <v>4.9069572865938715E-2</v>
      </c>
    </row>
    <row r="54" spans="2:14" ht="13.8">
      <c r="B54" s="24"/>
      <c r="C54" s="24" t="s">
        <v>9</v>
      </c>
      <c r="G54" s="31">
        <f>Model!G20</f>
        <v>145</v>
      </c>
      <c r="H54" s="31">
        <f>Model!H20</f>
        <v>150.80000000000001</v>
      </c>
      <c r="I54" s="31">
        <f>Model!I20</f>
        <v>158.5</v>
      </c>
      <c r="J54" s="31">
        <f>Model!J20</f>
        <v>171.90113846153847</v>
      </c>
      <c r="K54" s="31">
        <f>Model!K20</f>
        <v>193.14794523076915</v>
      </c>
      <c r="L54" s="31">
        <f>Model!L20</f>
        <v>215.5148493815384</v>
      </c>
      <c r="M54" s="31">
        <f>Model!M20</f>
        <v>239.04993463064611</v>
      </c>
      <c r="N54" s="31">
        <f>Model!N20</f>
        <v>252.08200898979592</v>
      </c>
    </row>
    <row r="55" spans="2:14" ht="13.8">
      <c r="B55" s="24"/>
      <c r="C55" s="2" t="s">
        <v>194</v>
      </c>
      <c r="G55" s="31"/>
      <c r="H55" s="56">
        <f>H54/G54-1</f>
        <v>4.0000000000000036E-2</v>
      </c>
      <c r="I55" s="56">
        <f t="shared" ref="I55" si="1">I54/H54-1</f>
        <v>5.1061007957559523E-2</v>
      </c>
      <c r="J55" s="56">
        <f t="shared" ref="J55" si="2">J54/I54-1</f>
        <v>8.4549769473428737E-2</v>
      </c>
      <c r="K55" s="56">
        <f t="shared" ref="K55" si="3">K54/J54-1</f>
        <v>0.12359898811248704</v>
      </c>
      <c r="L55" s="56">
        <f t="shared" ref="L55" si="4">L54/K54-1</f>
        <v>0.11580192646650067</v>
      </c>
      <c r="M55" s="56">
        <f t="shared" ref="M55" si="5">M54/L54-1</f>
        <v>0.10920400759690674</v>
      </c>
      <c r="N55" s="56">
        <f t="shared" ref="N55" si="6">N54/M54-1</f>
        <v>5.4516117644146433E-2</v>
      </c>
    </row>
    <row r="56" spans="2:14">
      <c r="C56" t="s">
        <v>192</v>
      </c>
      <c r="G56" s="90">
        <f>G54/G52</f>
        <v>0.61939342161469457</v>
      </c>
      <c r="H56" s="90">
        <f t="shared" ref="H56:N56" si="7">H54/H52</f>
        <v>0.58291457286432169</v>
      </c>
      <c r="I56" s="90">
        <f t="shared" si="7"/>
        <v>0.56830405163140918</v>
      </c>
      <c r="J56" s="90">
        <f t="shared" si="7"/>
        <v>0.55851980111658228</v>
      </c>
      <c r="K56" s="90">
        <f t="shared" si="7"/>
        <v>0.57120454191323156</v>
      </c>
      <c r="L56" s="90">
        <f t="shared" si="7"/>
        <v>0.58239733314044051</v>
      </c>
      <c r="M56" s="90">
        <f t="shared" si="7"/>
        <v>0.59234677437999605</v>
      </c>
      <c r="N56" s="90">
        <f t="shared" si="7"/>
        <v>0.59542211210242546</v>
      </c>
    </row>
    <row r="57" spans="2:14" ht="13.8">
      <c r="C57" s="37" t="s">
        <v>17</v>
      </c>
      <c r="D57" s="24"/>
      <c r="E57" s="24"/>
      <c r="G57">
        <f>Model!G33</f>
        <v>48.099999999999994</v>
      </c>
      <c r="H57">
        <f>Model!H33</f>
        <v>45.500000000000014</v>
      </c>
      <c r="I57">
        <f>Model!I33</f>
        <v>43.100000000000009</v>
      </c>
      <c r="J57">
        <f ca="1">Model!J33</f>
        <v>47.800708297174801</v>
      </c>
      <c r="K57">
        <f ca="1">Model!K33</f>
        <v>60.963674389191389</v>
      </c>
      <c r="L57">
        <f ca="1">Model!L33</f>
        <v>76.655663485459655</v>
      </c>
      <c r="M57">
        <f ca="1">Model!M33</f>
        <v>92.340439953749254</v>
      </c>
      <c r="N57">
        <f ca="1">Model!N33</f>
        <v>99.077502066699466</v>
      </c>
    </row>
    <row r="58" spans="2:14" ht="13.8">
      <c r="C58" s="39" t="s">
        <v>195</v>
      </c>
      <c r="D58" s="24"/>
      <c r="E58" s="24"/>
      <c r="G58" s="115"/>
      <c r="H58" s="56">
        <f>H57/G57-1</f>
        <v>-5.4054054054053613E-2</v>
      </c>
      <c r="I58" s="56">
        <f t="shared" ref="I58" si="8">I57/H57-1</f>
        <v>-5.2747252747252893E-2</v>
      </c>
      <c r="J58" s="56">
        <f t="shared" ref="J58" ca="1" si="9">J57/I57-1</f>
        <v>0.10906515770707181</v>
      </c>
      <c r="K58" s="56">
        <f t="shared" ref="K58" ca="1" si="10">K57/J57-1</f>
        <v>0.27537177922517464</v>
      </c>
      <c r="L58" s="56">
        <f t="shared" ref="L58" ca="1" si="11">L57/K57-1</f>
        <v>0.25739900446437636</v>
      </c>
      <c r="M58" s="56">
        <f t="shared" ref="M58" ca="1" si="12">M57/L57-1</f>
        <v>0.20461340695674424</v>
      </c>
      <c r="N58" s="56">
        <f t="shared" ref="N58" ca="1" si="13">N57/M57-1</f>
        <v>7.2958956187826551E-2</v>
      </c>
    </row>
    <row r="59" spans="2:14" ht="13.8">
      <c r="C59" s="39" t="s">
        <v>193</v>
      </c>
      <c r="D59" s="24"/>
      <c r="E59" s="24"/>
      <c r="G59" s="116">
        <f>G57/G52</f>
        <v>0.20546774882528832</v>
      </c>
      <c r="H59" s="116">
        <f t="shared" ref="H59:N59" si="14">H57/H52</f>
        <v>0.17587939698492469</v>
      </c>
      <c r="I59" s="116">
        <f t="shared" si="14"/>
        <v>0.15453567586948733</v>
      </c>
      <c r="J59" s="116">
        <f t="shared" ca="1" si="14"/>
        <v>0.15530811680658663</v>
      </c>
      <c r="K59" s="116">
        <f t="shared" ca="1" si="14"/>
        <v>0.18029043830220406</v>
      </c>
      <c r="L59" s="116">
        <f t="shared" ca="1" si="14"/>
        <v>0.20715070962468482</v>
      </c>
      <c r="M59" s="116">
        <f t="shared" ca="1" si="14"/>
        <v>0.22881228491422007</v>
      </c>
      <c r="N59" s="116">
        <f t="shared" ca="1" si="14"/>
        <v>0.23402279194297682</v>
      </c>
    </row>
    <row r="60" spans="2:14">
      <c r="C60" s="69" t="s">
        <v>196</v>
      </c>
      <c r="G60">
        <f>G57/Model!G119</f>
        <v>2.6125685731356253E-2</v>
      </c>
      <c r="H60">
        <f>H57/Model!H119</f>
        <v>2.4274434485702098E-2</v>
      </c>
      <c r="I60">
        <f>I57/Model!I119</f>
        <v>2.2659166184743181E-2</v>
      </c>
      <c r="J60">
        <f ca="1">J57/Model!J119</f>
        <v>2.4514911608995466E-2</v>
      </c>
      <c r="K60">
        <f ca="1">K57/Model!K119</f>
        <v>2.5585492151798478E-2</v>
      </c>
      <c r="L60">
        <f ca="1">L57/Model!L119</f>
        <v>2.7448173864217287E-2</v>
      </c>
      <c r="M60">
        <f ca="1">M57/Model!M119</f>
        <v>3.2801474260907126E-2</v>
      </c>
      <c r="N60">
        <f ca="1">N57/Model!N119</f>
        <v>3.485156814721576E-2</v>
      </c>
    </row>
  </sheetData>
  <pageMargins left="0.7" right="0.7" top="0.75" bottom="0.75" header="0.3" footer="0.3"/>
  <pageSetup scale="71" fitToHeight="0" orientation="portrait" verticalDpi="0" r:id="rId1"/>
  <headerFooter>
    <oddFooter>&amp;LXcel Stores Properties
Financial Model from 2023 - 2027&amp;CPage &amp;P of &amp;N&amp;R&amp;D &amp;T
Sheet: 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Drop Down 2">
              <controlPr defaultSize="0" autoLine="0" autoPict="0">
                <anchor moveWithCells="1">
                  <from>
                    <xdr:col>11</xdr:col>
                    <xdr:colOff>358140</xdr:colOff>
                    <xdr:row>47</xdr:row>
                    <xdr:rowOff>15240</xdr:rowOff>
                  </from>
                  <to>
                    <xdr:col>13</xdr:col>
                    <xdr:colOff>586740</xdr:colOff>
                    <xdr:row>48</xdr:row>
                    <xdr:rowOff>99060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5BEDB979-E33B-4A11-BAB0-C37600AFE57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Summary!G8:N8</xm:f>
              <xm:sqref>E8</xm:sqref>
            </x14:sparkline>
            <x14:sparkline>
              <xm:f>Summary!G9:N9</xm:f>
              <xm:sqref>E9</xm:sqref>
            </x14:sparkline>
            <x14:sparkline>
              <xm:f>Summary!G10:N10</xm:f>
              <xm:sqref>E10</xm:sqref>
            </x14:sparkline>
            <x14:sparkline>
              <xm:f>Summary!G11:N11</xm:f>
              <xm:sqref>E11</xm:sqref>
            </x14:sparkline>
            <x14:sparkline>
              <xm:f>Summary!G12:N12</xm:f>
              <xm:sqref>E12</xm:sqref>
            </x14:sparkline>
            <x14:sparkline>
              <xm:f>Summary!G13:N13</xm:f>
              <xm:sqref>E13</xm:sqref>
            </x14:sparkline>
            <x14:sparkline>
              <xm:f>Summary!G14:N14</xm:f>
              <xm:sqref>E14</xm:sqref>
            </x14:sparkline>
            <x14:sparkline>
              <xm:f>Summary!G15:N15</xm:f>
              <xm:sqref>E15</xm:sqref>
            </x14:sparkline>
            <x14:sparkline>
              <xm:f>Summary!G16:N16</xm:f>
              <xm:sqref>E16</xm:sqref>
            </x14:sparkline>
          </x14:sparklines>
        </x14:sparklineGroup>
        <x14:sparklineGroup displayEmptyCellsAs="gap" high="1" xr2:uid="{63349CB2-D5B6-4741-A99D-180EC05B10C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Summary!G22:N22</xm:f>
              <xm:sqref>E22</xm:sqref>
            </x14:sparkline>
            <x14:sparkline>
              <xm:f>Summary!G23:N23</xm:f>
              <xm:sqref>E23</xm:sqref>
            </x14:sparkline>
            <x14:sparkline>
              <xm:f>Summary!G24:N24</xm:f>
              <xm:sqref>E24</xm:sqref>
            </x14:sparkline>
            <x14:sparkline>
              <xm:f>Summary!G25:N25</xm:f>
              <xm:sqref>E25</xm:sqref>
            </x14:sparkline>
            <x14:sparkline>
              <xm:f>Summary!G26:N26</xm:f>
              <xm:sqref>E26</xm:sqref>
            </x14:sparkline>
            <x14:sparkline>
              <xm:f>Summary!G27:N27</xm:f>
              <xm:sqref>E27</xm:sqref>
            </x14:sparkline>
            <x14:sparkline>
              <xm:f>Summary!G28:N28</xm:f>
              <xm:sqref>E28</xm:sqref>
            </x14:sparkline>
            <x14:sparkline>
              <xm:f>Summary!G29:N29</xm:f>
              <xm:sqref>E29</xm:sqref>
            </x14:sparkline>
            <x14:sparkline>
              <xm:f>Summary!G30:N30</xm:f>
              <xm:sqref>E30</xm:sqref>
            </x14:sparkline>
          </x14:sparklines>
        </x14:sparklineGroup>
        <x14:sparklineGroup displayEmptyCellsAs="gap" low="1" xr2:uid="{F1CCB5B9-45F8-48C6-AFF1-E0959EF995A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Summary!G36:N36</xm:f>
              <xm:sqref>E36</xm:sqref>
            </x14:sparkline>
            <x14:sparkline>
              <xm:f>Summary!G37:N37</xm:f>
              <xm:sqref>E37</xm:sqref>
            </x14:sparkline>
            <x14:sparkline>
              <xm:f>Summary!G38:N38</xm:f>
              <xm:sqref>E38</xm:sqref>
            </x14:sparkline>
            <x14:sparkline>
              <xm:f>Summary!G39:N39</xm:f>
              <xm:sqref>E39</xm:sqref>
            </x14:sparkline>
            <x14:sparkline>
              <xm:f>Summary!G40:N40</xm:f>
              <xm:sqref>E40</xm:sqref>
            </x14:sparkline>
            <x14:sparkline>
              <xm:f>Summary!G41:N41</xm:f>
              <xm:sqref>E41</xm:sqref>
            </x14:sparkline>
            <x14:sparkline>
              <xm:f>Summary!G42:N42</xm:f>
              <xm:sqref>E42</xm:sqref>
            </x14:sparkline>
            <x14:sparkline>
              <xm:f>Summary!G43:N43</xm:f>
              <xm:sqref>E43</xm:sqref>
            </x14:sparkline>
            <x14:sparkline>
              <xm:f>Summary!G44:N44</xm:f>
              <xm:sqref>E44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359B3-1108-4419-8C73-14FAC8C034C1}">
  <sheetPr>
    <pageSetUpPr fitToPage="1"/>
  </sheetPr>
  <dimension ref="A2:N118"/>
  <sheetViews>
    <sheetView showGridLines="0" workbookViewId="0"/>
  </sheetViews>
  <sheetFormatPr defaultColWidth="0" defaultRowHeight="13.2"/>
  <cols>
    <col min="1" max="3" width="3.21875" customWidth="1"/>
    <col min="4" max="4" width="31.6640625" customWidth="1"/>
    <col min="5" max="5" width="8.88671875" customWidth="1"/>
    <col min="6" max="6" width="12.33203125" bestFit="1" customWidth="1"/>
    <col min="7" max="8" width="8.88671875" customWidth="1"/>
    <col min="9" max="9" width="12.33203125" bestFit="1" customWidth="1"/>
    <col min="10" max="14" width="8.88671875" customWidth="1"/>
    <col min="15" max="16384" width="8.88671875" hidden="1"/>
  </cols>
  <sheetData>
    <row r="2" spans="2:14" ht="23.4">
      <c r="B2" s="1" t="s">
        <v>70</v>
      </c>
      <c r="C2" s="1"/>
      <c r="D2" s="1"/>
      <c r="E2" s="1"/>
      <c r="F2" s="1"/>
      <c r="G2" s="1"/>
      <c r="H2" s="1"/>
      <c r="I2" s="1"/>
      <c r="J2" s="78"/>
      <c r="K2" s="78"/>
      <c r="L2" s="78"/>
      <c r="M2" s="78"/>
      <c r="N2" s="78"/>
    </row>
    <row r="3" spans="2:14" ht="18">
      <c r="B3" s="3" t="s">
        <v>80</v>
      </c>
      <c r="C3" s="3"/>
      <c r="D3" s="3"/>
      <c r="E3" s="3"/>
      <c r="F3" s="3"/>
      <c r="G3" s="3"/>
      <c r="H3" s="3"/>
      <c r="I3" s="3"/>
      <c r="J3" s="78"/>
      <c r="K3" s="78"/>
      <c r="L3" s="78"/>
      <c r="M3" s="78"/>
      <c r="N3" s="78"/>
    </row>
    <row r="4" spans="2:14" ht="18.600000000000001" thickBot="1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2:14" ht="13.8">
      <c r="B5" s="5" t="s">
        <v>0</v>
      </c>
    </row>
    <row r="6" spans="2:14" ht="13.8">
      <c r="F6" s="6"/>
    </row>
    <row r="7" spans="2:14" ht="14.4" thickBot="1">
      <c r="F7" s="7"/>
      <c r="G7" s="8">
        <v>2020</v>
      </c>
      <c r="H7" s="8">
        <v>2021</v>
      </c>
      <c r="I7" s="8">
        <v>2022</v>
      </c>
      <c r="J7" s="72">
        <f>I7+1</f>
        <v>2023</v>
      </c>
      <c r="K7" s="72">
        <f>J7+1</f>
        <v>2024</v>
      </c>
      <c r="L7" s="72">
        <f>K7+1</f>
        <v>2025</v>
      </c>
      <c r="M7" s="72">
        <f>L7+1</f>
        <v>2026</v>
      </c>
      <c r="N7" s="72">
        <f>M7+1</f>
        <v>2027</v>
      </c>
    </row>
    <row r="8" spans="2:14" ht="14.4" thickBot="1">
      <c r="E8" t="s">
        <v>86</v>
      </c>
      <c r="F8" s="2" t="s">
        <v>87</v>
      </c>
      <c r="G8" s="7"/>
      <c r="H8" s="7"/>
      <c r="I8" s="7"/>
    </row>
    <row r="9" spans="2:14" ht="13.8" thickBot="1">
      <c r="B9" s="75" t="s">
        <v>82</v>
      </c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7"/>
    </row>
    <row r="11" spans="2:14">
      <c r="D11" t="s">
        <v>84</v>
      </c>
      <c r="G11" s="79">
        <f>DATE(G7,12,31)-DATE(G7,1,1)+1</f>
        <v>366</v>
      </c>
      <c r="H11" s="79">
        <f t="shared" ref="H11:N11" si="0">DATE(H7,12,31)-DATE(H7,1,1)+1</f>
        <v>365</v>
      </c>
      <c r="I11" s="79">
        <f t="shared" si="0"/>
        <v>365</v>
      </c>
      <c r="J11" s="79">
        <f t="shared" si="0"/>
        <v>365</v>
      </c>
      <c r="K11" s="79">
        <f t="shared" si="0"/>
        <v>366</v>
      </c>
      <c r="L11" s="79">
        <f t="shared" si="0"/>
        <v>365</v>
      </c>
      <c r="M11" s="79">
        <f t="shared" si="0"/>
        <v>365</v>
      </c>
      <c r="N11" s="79">
        <f t="shared" si="0"/>
        <v>365</v>
      </c>
    </row>
    <row r="13" spans="2:14" ht="13.8">
      <c r="C13" t="s">
        <v>85</v>
      </c>
      <c r="E13" s="80" t="s">
        <v>88</v>
      </c>
      <c r="F13" s="82">
        <v>1000000</v>
      </c>
    </row>
    <row r="15" spans="2:14">
      <c r="C15" s="81" t="s">
        <v>89</v>
      </c>
    </row>
    <row r="17" spans="1:14" ht="13.8" thickBot="1"/>
    <row r="18" spans="1:14" ht="13.8" thickBot="1">
      <c r="B18" s="75" t="s">
        <v>90</v>
      </c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7"/>
    </row>
    <row r="20" spans="1:14">
      <c r="C20" s="81" t="s">
        <v>91</v>
      </c>
    </row>
    <row r="21" spans="1:14" ht="13.8">
      <c r="D21" t="s">
        <v>92</v>
      </c>
      <c r="E21" t="s">
        <v>105</v>
      </c>
      <c r="I21" s="82">
        <v>390</v>
      </c>
    </row>
    <row r="22" spans="1:14" s="93" customFormat="1">
      <c r="A22"/>
      <c r="B22"/>
      <c r="C22"/>
      <c r="D22" t="s">
        <v>104</v>
      </c>
      <c r="E22" t="s">
        <v>105</v>
      </c>
      <c r="F22"/>
      <c r="G22"/>
      <c r="H22"/>
      <c r="I22"/>
      <c r="J22" s="93">
        <f>Scenarios!J31</f>
        <v>30</v>
      </c>
      <c r="K22" s="93">
        <f>Scenarios!K31</f>
        <v>30</v>
      </c>
      <c r="L22" s="93">
        <f>Scenarios!L31</f>
        <v>30</v>
      </c>
      <c r="M22" s="93">
        <f>Scenarios!M31</f>
        <v>30</v>
      </c>
      <c r="N22" s="93">
        <f>Scenarios!N31</f>
        <v>30</v>
      </c>
    </row>
    <row r="23" spans="1:14" ht="13.8">
      <c r="D23" t="s">
        <v>93</v>
      </c>
      <c r="E23" t="s">
        <v>94</v>
      </c>
      <c r="I23" s="82">
        <v>1560000</v>
      </c>
    </row>
    <row r="26" spans="1:14">
      <c r="C26" s="81" t="s">
        <v>95</v>
      </c>
    </row>
    <row r="27" spans="1:14" ht="13.8">
      <c r="D27" t="s">
        <v>96</v>
      </c>
      <c r="E27" t="str">
        <f>Currency</f>
        <v>$'MM</v>
      </c>
      <c r="I27" s="82">
        <v>20</v>
      </c>
    </row>
    <row r="28" spans="1:14">
      <c r="D28" t="s">
        <v>97</v>
      </c>
      <c r="E28" t="s">
        <v>98</v>
      </c>
      <c r="J28" s="94">
        <f>Scenarios!J16</f>
        <v>0.03</v>
      </c>
      <c r="K28" s="94">
        <f>Scenarios!K16</f>
        <v>0.03</v>
      </c>
      <c r="L28" s="94">
        <f>Scenarios!L16</f>
        <v>0.03</v>
      </c>
      <c r="M28" s="94">
        <f>Scenarios!M16</f>
        <v>0.03</v>
      </c>
      <c r="N28" s="94">
        <f>Scenarios!N16</f>
        <v>0.03</v>
      </c>
    </row>
    <row r="29" spans="1:14" ht="13.8" thickBot="1"/>
    <row r="30" spans="1:14" ht="13.8" thickBot="1">
      <c r="B30" s="75" t="s">
        <v>106</v>
      </c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7"/>
    </row>
    <row r="32" spans="1:14">
      <c r="D32" t="s">
        <v>108</v>
      </c>
      <c r="E32" t="str">
        <f>Currency</f>
        <v>$'MM</v>
      </c>
      <c r="I32">
        <f>Model!I15</f>
        <v>102.9</v>
      </c>
    </row>
    <row r="33" spans="2:14" ht="13.8">
      <c r="D33" t="s">
        <v>107</v>
      </c>
      <c r="E33" t="str">
        <f>Currency</f>
        <v>$'MM</v>
      </c>
      <c r="F33" s="91">
        <v>0.6</v>
      </c>
      <c r="I33">
        <f>F33*I32</f>
        <v>61.74</v>
      </c>
    </row>
    <row r="34" spans="2:14">
      <c r="D34" t="s">
        <v>109</v>
      </c>
      <c r="E34" t="str">
        <f>Currency</f>
        <v>$'MM</v>
      </c>
      <c r="I34">
        <f>I32-I33</f>
        <v>41.160000000000004</v>
      </c>
    </row>
    <row r="36" spans="2:14">
      <c r="D36" t="s">
        <v>110</v>
      </c>
      <c r="E36" t="s">
        <v>98</v>
      </c>
      <c r="J36" s="94">
        <f>Scenarios!J16</f>
        <v>0.03</v>
      </c>
      <c r="K36" s="94">
        <f>Scenarios!K16</f>
        <v>0.03</v>
      </c>
      <c r="L36" s="94">
        <f>Scenarios!L16</f>
        <v>0.03</v>
      </c>
      <c r="M36" s="94">
        <f>Scenarios!M16</f>
        <v>0.03</v>
      </c>
      <c r="N36" s="94">
        <f>Scenarios!N16</f>
        <v>0.03</v>
      </c>
    </row>
    <row r="38" spans="2:14">
      <c r="D38" t="s">
        <v>6</v>
      </c>
      <c r="E38" t="str">
        <f>Currency</f>
        <v>$'MM</v>
      </c>
      <c r="J38">
        <v>25</v>
      </c>
    </row>
    <row r="39" spans="2:14">
      <c r="D39" t="s">
        <v>110</v>
      </c>
      <c r="E39" t="s">
        <v>98</v>
      </c>
      <c r="J39" s="94"/>
      <c r="K39" s="94">
        <f>Scenarios!K16</f>
        <v>0.03</v>
      </c>
      <c r="L39" s="94">
        <f>Scenarios!L16</f>
        <v>0.03</v>
      </c>
      <c r="M39" s="94">
        <f>Scenarios!M16</f>
        <v>0.03</v>
      </c>
      <c r="N39" s="94">
        <f>Scenarios!N16</f>
        <v>0.03</v>
      </c>
    </row>
    <row r="40" spans="2:14" ht="13.8" thickBot="1"/>
    <row r="41" spans="2:14" ht="13.8" thickBot="1">
      <c r="B41" s="75" t="s">
        <v>111</v>
      </c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7"/>
    </row>
    <row r="43" spans="2:14" ht="13.8">
      <c r="D43" t="s">
        <v>112</v>
      </c>
      <c r="J43" s="82">
        <v>140</v>
      </c>
      <c r="K43" s="82">
        <v>140</v>
      </c>
      <c r="L43" s="82">
        <v>150</v>
      </c>
      <c r="M43" s="82">
        <v>150</v>
      </c>
      <c r="N43" s="82">
        <v>150</v>
      </c>
    </row>
    <row r="45" spans="2:14">
      <c r="D45" s="81" t="s">
        <v>113</v>
      </c>
    </row>
    <row r="46" spans="2:14">
      <c r="D46" t="s">
        <v>114</v>
      </c>
    </row>
    <row r="48" spans="2:14">
      <c r="D48" s="81" t="s">
        <v>115</v>
      </c>
    </row>
    <row r="49" spans="2:14" ht="13.8">
      <c r="D49" t="s">
        <v>116</v>
      </c>
      <c r="E49" t="s">
        <v>98</v>
      </c>
      <c r="F49" s="91">
        <v>0.02</v>
      </c>
    </row>
    <row r="50" spans="2:14" ht="13.8">
      <c r="D50" t="s">
        <v>117</v>
      </c>
      <c r="E50" t="s">
        <v>98</v>
      </c>
      <c r="F50" s="91">
        <v>0.1</v>
      </c>
    </row>
    <row r="52" spans="2:14" ht="13.8" thickBot="1"/>
    <row r="53" spans="2:14" ht="13.8" thickBot="1">
      <c r="B53" s="75" t="s">
        <v>118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7"/>
    </row>
    <row r="55" spans="2:14">
      <c r="D55" t="str">
        <f>D11</f>
        <v>Days in the year</v>
      </c>
      <c r="G55" s="95">
        <f t="shared" ref="G55:N55" si="1">G11</f>
        <v>366</v>
      </c>
      <c r="H55" s="95">
        <f t="shared" si="1"/>
        <v>365</v>
      </c>
      <c r="I55" s="95">
        <f t="shared" si="1"/>
        <v>365</v>
      </c>
      <c r="J55" s="95">
        <f t="shared" si="1"/>
        <v>365</v>
      </c>
      <c r="K55" s="95">
        <f t="shared" si="1"/>
        <v>366</v>
      </c>
      <c r="L55" s="95">
        <f t="shared" si="1"/>
        <v>365</v>
      </c>
      <c r="M55" s="95">
        <f t="shared" si="1"/>
        <v>365</v>
      </c>
      <c r="N55" s="95">
        <f t="shared" si="1"/>
        <v>365</v>
      </c>
    </row>
    <row r="56" spans="2:14">
      <c r="C56" s="81" t="s">
        <v>119</v>
      </c>
    </row>
    <row r="57" spans="2:14">
      <c r="D57" t="str">
        <f>Model!C13</f>
        <v>Revenue</v>
      </c>
      <c r="G57" s="93">
        <f>Model!G13</f>
        <v>234.1</v>
      </c>
      <c r="H57" s="93">
        <f>Model!H13</f>
        <v>258.7</v>
      </c>
      <c r="I57" s="93">
        <f>Model!I13</f>
        <v>278.89999999999998</v>
      </c>
    </row>
    <row r="58" spans="2:14">
      <c r="D58" t="str">
        <f>Model!C15</f>
        <v>Operating Costs</v>
      </c>
      <c r="G58" s="93">
        <f>Model!G15</f>
        <v>74.599999999999994</v>
      </c>
      <c r="H58" s="93">
        <f>Model!H15</f>
        <v>91.8</v>
      </c>
      <c r="I58" s="93">
        <f>Model!I15</f>
        <v>102.9</v>
      </c>
    </row>
    <row r="60" spans="2:14">
      <c r="D60" t="str">
        <f>Model!C87</f>
        <v>Accounts Receivable</v>
      </c>
      <c r="G60" s="93">
        <f>Model!G87</f>
        <v>16</v>
      </c>
      <c r="H60" s="93">
        <f>Model!H87</f>
        <v>15.1</v>
      </c>
      <c r="I60" s="93">
        <f>Model!I87</f>
        <v>20.2</v>
      </c>
    </row>
    <row r="61" spans="2:14">
      <c r="D61" t="str">
        <f>Model!C88</f>
        <v>Inventory</v>
      </c>
      <c r="G61" s="93">
        <f>Model!G88</f>
        <v>2.8</v>
      </c>
      <c r="H61" s="93">
        <f>Model!H88</f>
        <v>3.6</v>
      </c>
      <c r="I61" s="93">
        <f>Model!I88</f>
        <v>4.2</v>
      </c>
    </row>
    <row r="62" spans="2:14">
      <c r="D62" t="str">
        <f>Model!C89</f>
        <v>Other Current Assets</v>
      </c>
      <c r="G62" s="93">
        <f>Model!G89</f>
        <v>0.3</v>
      </c>
      <c r="H62" s="93">
        <f>Model!H89</f>
        <v>0.2</v>
      </c>
      <c r="I62" s="93">
        <f>Model!I89</f>
        <v>0.2</v>
      </c>
    </row>
    <row r="63" spans="2:14">
      <c r="D63" t="str">
        <f>Model!C103</f>
        <v>Accounts Payable</v>
      </c>
      <c r="G63" s="93">
        <f>Model!G103</f>
        <v>14.9</v>
      </c>
      <c r="H63" s="93">
        <f>Model!H103</f>
        <v>21.5</v>
      </c>
      <c r="I63" s="93">
        <f>Model!I103</f>
        <v>23.9</v>
      </c>
    </row>
    <row r="64" spans="2:14">
      <c r="D64" t="str">
        <f>Model!C104</f>
        <v>Other Current Liabilities</v>
      </c>
      <c r="G64" s="93">
        <f>Model!G104</f>
        <v>4.5999999999999996</v>
      </c>
      <c r="H64" s="93">
        <f>Model!H104</f>
        <v>5.0999999999999996</v>
      </c>
      <c r="I64" s="93">
        <f>Model!I104</f>
        <v>4.9000000000000004</v>
      </c>
    </row>
    <row r="66" spans="2:14">
      <c r="C66" s="81" t="s">
        <v>120</v>
      </c>
    </row>
    <row r="67" spans="2:14" ht="13.8">
      <c r="D67" t="str">
        <f>D60</f>
        <v>Accounts Receivable</v>
      </c>
      <c r="G67">
        <f>G60/G57*G55</f>
        <v>25.014950875694151</v>
      </c>
      <c r="H67">
        <f>H60/H57*H55</f>
        <v>21.304599922690375</v>
      </c>
      <c r="I67">
        <f>I60/I57*I55</f>
        <v>26.43599856579419</v>
      </c>
      <c r="J67" s="82">
        <f>ROUND(AVERAGE(G67:I67),1)</f>
        <v>24.3</v>
      </c>
      <c r="K67" s="82">
        <v>24.3</v>
      </c>
      <c r="L67" s="82">
        <v>24.3</v>
      </c>
      <c r="M67" s="82">
        <v>24.3</v>
      </c>
      <c r="N67" s="82">
        <v>24.3</v>
      </c>
    </row>
    <row r="68" spans="2:14" ht="13.8">
      <c r="D68" t="str">
        <f>D61</f>
        <v>Inventory</v>
      </c>
      <c r="G68">
        <f>G61/G$58*G$55</f>
        <v>13.737265415549597</v>
      </c>
      <c r="H68">
        <f>H61/H$58*H$55</f>
        <v>14.313725490196079</v>
      </c>
      <c r="I68">
        <f>I61/I$58*I$55</f>
        <v>14.897959183673468</v>
      </c>
      <c r="J68" s="82">
        <f>ROUND(AVERAGE(G68:I68),1)</f>
        <v>14.3</v>
      </c>
      <c r="K68" s="82">
        <v>14.3</v>
      </c>
      <c r="L68" s="82">
        <v>14.3</v>
      </c>
      <c r="M68" s="82">
        <v>14.3</v>
      </c>
      <c r="N68" s="82">
        <v>14.3</v>
      </c>
    </row>
    <row r="69" spans="2:14" ht="13.8">
      <c r="D69" t="str">
        <f>D62</f>
        <v>Other Current Assets</v>
      </c>
      <c r="G69">
        <f t="shared" ref="G69:I71" si="2">G62/G$58*G$55</f>
        <v>1.4718498659517427</v>
      </c>
      <c r="H69">
        <f t="shared" si="2"/>
        <v>0.79520697167755994</v>
      </c>
      <c r="I69">
        <f t="shared" si="2"/>
        <v>0.7094266277939747</v>
      </c>
      <c r="J69" s="82">
        <f>ROUND(AVERAGE(G69:I69),1)</f>
        <v>1</v>
      </c>
      <c r="K69" s="82">
        <v>1</v>
      </c>
      <c r="L69" s="82">
        <v>1</v>
      </c>
      <c r="M69" s="82">
        <v>1</v>
      </c>
      <c r="N69" s="82">
        <v>1</v>
      </c>
    </row>
    <row r="70" spans="2:14" ht="13.8">
      <c r="D70" t="str">
        <f>D63</f>
        <v>Accounts Payable</v>
      </c>
      <c r="G70">
        <f t="shared" si="2"/>
        <v>73.101876675603222</v>
      </c>
      <c r="H70">
        <f t="shared" si="2"/>
        <v>85.484749455337692</v>
      </c>
      <c r="I70">
        <f t="shared" si="2"/>
        <v>84.776482021379977</v>
      </c>
      <c r="J70" s="82">
        <f>ROUND(AVERAGE(G70:I70),1)</f>
        <v>81.099999999999994</v>
      </c>
      <c r="K70" s="82">
        <v>81.099999999999994</v>
      </c>
      <c r="L70" s="82">
        <v>81.099999999999994</v>
      </c>
      <c r="M70" s="82">
        <v>81.099999999999994</v>
      </c>
      <c r="N70" s="82">
        <v>81.099999999999994</v>
      </c>
    </row>
    <row r="71" spans="2:14" ht="13.8">
      <c r="D71" t="str">
        <f>D64</f>
        <v>Other Current Liabilities</v>
      </c>
      <c r="G71">
        <f t="shared" si="2"/>
        <v>22.568364611260055</v>
      </c>
      <c r="H71">
        <f t="shared" si="2"/>
        <v>20.277777777777775</v>
      </c>
      <c r="I71">
        <f t="shared" si="2"/>
        <v>17.38095238095238</v>
      </c>
      <c r="J71" s="82">
        <f>ROUND(AVERAGE(G71:I71),1)</f>
        <v>20.100000000000001</v>
      </c>
      <c r="K71" s="82">
        <v>20.100000000000001</v>
      </c>
      <c r="L71" s="82">
        <v>20.100000000000001</v>
      </c>
      <c r="M71" s="82">
        <v>20.100000000000001</v>
      </c>
      <c r="N71" s="82">
        <v>20.100000000000001</v>
      </c>
    </row>
    <row r="75" spans="2:14" ht="13.8" thickBot="1"/>
    <row r="76" spans="2:14" ht="13.8" thickBot="1">
      <c r="B76" s="75" t="s">
        <v>121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7"/>
    </row>
    <row r="78" spans="2:14" ht="13.8">
      <c r="D78" t="s">
        <v>122</v>
      </c>
      <c r="E78" t="s">
        <v>98</v>
      </c>
      <c r="J78" s="91">
        <v>0.32500000000000001</v>
      </c>
      <c r="K78" s="91">
        <v>0.32500000000000001</v>
      </c>
      <c r="L78" s="91">
        <v>0.32500000000000001</v>
      </c>
      <c r="M78" s="91">
        <v>0.32500000000000001</v>
      </c>
      <c r="N78" s="91">
        <v>0.32500000000000001</v>
      </c>
    </row>
    <row r="79" spans="2:14" ht="13.8">
      <c r="D79" t="s">
        <v>123</v>
      </c>
      <c r="J79" s="82">
        <v>5</v>
      </c>
      <c r="K79" s="82">
        <v>5</v>
      </c>
      <c r="L79" s="82">
        <v>5</v>
      </c>
      <c r="M79" s="82">
        <v>5</v>
      </c>
      <c r="N79" s="82">
        <v>5</v>
      </c>
    </row>
    <row r="80" spans="2:14" ht="13.8" thickBot="1"/>
    <row r="81" spans="2:14" ht="13.8" thickBot="1">
      <c r="B81" s="75" t="s">
        <v>124</v>
      </c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7"/>
    </row>
    <row r="83" spans="2:14">
      <c r="C83" s="81" t="s">
        <v>125</v>
      </c>
    </row>
    <row r="84" spans="2:14" ht="13.8">
      <c r="D84" t="s">
        <v>126</v>
      </c>
      <c r="E84" t="s">
        <v>98</v>
      </c>
      <c r="J84" s="91">
        <v>6.5000000000000002E-2</v>
      </c>
      <c r="K84" s="91">
        <v>6.5000000000000002E-2</v>
      </c>
      <c r="L84" s="91">
        <v>6.5000000000000002E-2</v>
      </c>
      <c r="M84" s="91">
        <v>6.5000000000000002E-2</v>
      </c>
      <c r="N84" s="91">
        <v>6.5000000000000002E-2</v>
      </c>
    </row>
    <row r="85" spans="2:14" ht="13.8">
      <c r="D85" t="s">
        <v>127</v>
      </c>
      <c r="E85" t="s">
        <v>98</v>
      </c>
      <c r="J85" s="91">
        <v>5.5E-2</v>
      </c>
      <c r="K85" s="91">
        <v>5.5E-2</v>
      </c>
      <c r="L85" s="91">
        <v>5.5E-2</v>
      </c>
      <c r="M85" s="91">
        <v>5.5E-2</v>
      </c>
      <c r="N85" s="91">
        <v>5.5E-2</v>
      </c>
    </row>
    <row r="86" spans="2:14" ht="13.8">
      <c r="D86" t="s">
        <v>129</v>
      </c>
      <c r="E86" t="s">
        <v>98</v>
      </c>
      <c r="J86" s="91">
        <v>2.5000000000000001E-2</v>
      </c>
      <c r="K86" s="91">
        <v>2.5000000000000001E-2</v>
      </c>
      <c r="L86" s="91">
        <v>2.5000000000000001E-2</v>
      </c>
      <c r="M86" s="91">
        <v>2.5000000000000001E-2</v>
      </c>
      <c r="N86" s="91">
        <v>2.5000000000000001E-2</v>
      </c>
    </row>
    <row r="87" spans="2:14" ht="13.8">
      <c r="D87" t="s">
        <v>128</v>
      </c>
      <c r="E87" t="s">
        <v>98</v>
      </c>
      <c r="J87" s="91">
        <v>0.03</v>
      </c>
      <c r="K87" s="91">
        <v>0.03</v>
      </c>
      <c r="L87" s="91">
        <v>0.03</v>
      </c>
      <c r="M87" s="91">
        <v>0.03</v>
      </c>
      <c r="N87" s="91">
        <v>0.03</v>
      </c>
    </row>
    <row r="88" spans="2:14">
      <c r="D88" t="s">
        <v>130</v>
      </c>
      <c r="E88" t="s">
        <v>98</v>
      </c>
      <c r="J88" s="90">
        <f>J86+J87</f>
        <v>5.5E-2</v>
      </c>
      <c r="K88" s="90">
        <f>K86+K87</f>
        <v>5.5E-2</v>
      </c>
      <c r="L88" s="90">
        <f>L86+L87</f>
        <v>5.5E-2</v>
      </c>
      <c r="M88" s="90">
        <f>M86+M87</f>
        <v>5.5E-2</v>
      </c>
      <c r="N88" s="90">
        <f>N86+N87</f>
        <v>5.5E-2</v>
      </c>
    </row>
    <row r="89" spans="2:14" ht="13.8">
      <c r="D89" t="s">
        <v>131</v>
      </c>
      <c r="E89" t="s">
        <v>98</v>
      </c>
      <c r="J89" s="91">
        <v>7.4999999999999997E-3</v>
      </c>
      <c r="K89" s="91">
        <v>7.4999999999999997E-3</v>
      </c>
      <c r="L89" s="91">
        <v>7.4999999999999997E-3</v>
      </c>
      <c r="M89" s="91">
        <v>7.4999999999999997E-3</v>
      </c>
      <c r="N89" s="91">
        <v>7.4999999999999997E-3</v>
      </c>
    </row>
    <row r="91" spans="2:14">
      <c r="C91" s="81" t="s">
        <v>132</v>
      </c>
    </row>
    <row r="92" spans="2:14" ht="13.8">
      <c r="D92" t="str">
        <f>D84</f>
        <v>Fixed Long Term debt</v>
      </c>
      <c r="J92" s="82">
        <v>50</v>
      </c>
      <c r="K92" s="82">
        <v>50</v>
      </c>
      <c r="L92" s="82">
        <v>50</v>
      </c>
      <c r="M92" s="82">
        <v>50</v>
      </c>
      <c r="N92" s="82">
        <v>50</v>
      </c>
    </row>
    <row r="93" spans="2:14" ht="13.8">
      <c r="D93" t="str">
        <f>D88</f>
        <v>Variable Rate Term Debt</v>
      </c>
      <c r="J93" s="82">
        <v>135</v>
      </c>
      <c r="K93" s="82">
        <v>135</v>
      </c>
      <c r="L93" s="82">
        <v>135</v>
      </c>
      <c r="M93" s="82">
        <v>135</v>
      </c>
      <c r="N93" s="82">
        <v>135</v>
      </c>
    </row>
    <row r="94" spans="2:14" ht="13.8" thickBot="1"/>
    <row r="95" spans="2:14" ht="13.8" thickBot="1">
      <c r="B95" s="75" t="s">
        <v>133</v>
      </c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7"/>
    </row>
    <row r="97" spans="2:14">
      <c r="C97" s="81" t="s">
        <v>65</v>
      </c>
    </row>
    <row r="98" spans="2:14" ht="13.8">
      <c r="D98" t="s">
        <v>134</v>
      </c>
      <c r="J98" s="82">
        <v>10</v>
      </c>
      <c r="K98" s="82">
        <v>10</v>
      </c>
      <c r="L98" s="82">
        <v>0</v>
      </c>
      <c r="M98" s="82">
        <v>0</v>
      </c>
      <c r="N98" s="82">
        <v>0</v>
      </c>
    </row>
    <row r="99" spans="2:14" ht="13.8">
      <c r="D99" t="s">
        <v>135</v>
      </c>
      <c r="E99" t="s">
        <v>98</v>
      </c>
      <c r="J99" s="91">
        <v>0.21</v>
      </c>
      <c r="K99" s="91">
        <v>0.21</v>
      </c>
      <c r="L99" s="91">
        <v>0.21</v>
      </c>
      <c r="M99" s="91">
        <v>0.21</v>
      </c>
      <c r="N99" s="91">
        <v>0.21</v>
      </c>
    </row>
    <row r="101" spans="2:14">
      <c r="C101" s="81" t="s">
        <v>136</v>
      </c>
    </row>
    <row r="102" spans="2:14" ht="13.8">
      <c r="D102" t="str">
        <f>D98</f>
        <v>Issues / Buy-backs</v>
      </c>
      <c r="J102" s="82">
        <v>0</v>
      </c>
      <c r="K102" s="82">
        <v>400</v>
      </c>
      <c r="L102" s="82">
        <v>400</v>
      </c>
      <c r="M102" s="82">
        <v>0</v>
      </c>
      <c r="N102" s="82">
        <v>0</v>
      </c>
    </row>
    <row r="103" spans="2:14" ht="13.8">
      <c r="D103" t="s">
        <v>135</v>
      </c>
      <c r="E103" t="s">
        <v>98</v>
      </c>
      <c r="J103" s="91">
        <v>0.08</v>
      </c>
      <c r="K103" s="91">
        <v>0.08</v>
      </c>
      <c r="L103" s="91">
        <v>0.08</v>
      </c>
      <c r="M103" s="91">
        <v>0.08</v>
      </c>
      <c r="N103" s="91">
        <v>0.08</v>
      </c>
    </row>
    <row r="105" spans="2:14" ht="13.8" thickBot="1"/>
    <row r="106" spans="2:14" ht="13.8" thickBot="1">
      <c r="B106" s="75" t="s">
        <v>159</v>
      </c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7"/>
    </row>
    <row r="108" spans="2:14" ht="14.4">
      <c r="D108" s="2" t="s">
        <v>8</v>
      </c>
      <c r="J108" s="82">
        <v>0</v>
      </c>
      <c r="K108" s="82">
        <v>0</v>
      </c>
      <c r="L108" s="82">
        <v>0</v>
      </c>
      <c r="M108" s="82">
        <v>0</v>
      </c>
      <c r="N108" s="82">
        <v>0</v>
      </c>
    </row>
    <row r="109" spans="2:14" ht="13.8">
      <c r="D109" t="str">
        <f>Model!C25</f>
        <v>Foreign Exchange - Gain / (Loss)</v>
      </c>
      <c r="J109" s="82">
        <v>0</v>
      </c>
      <c r="K109" s="82">
        <v>0</v>
      </c>
      <c r="L109" s="82">
        <v>0</v>
      </c>
      <c r="M109" s="82">
        <v>0</v>
      </c>
      <c r="N109" s="82">
        <v>0</v>
      </c>
    </row>
    <row r="110" spans="2:14" ht="13.8">
      <c r="D110" t="s">
        <v>187</v>
      </c>
      <c r="J110" s="82">
        <v>0</v>
      </c>
      <c r="K110" s="82">
        <v>0</v>
      </c>
      <c r="L110" s="82">
        <v>0</v>
      </c>
      <c r="M110" s="82">
        <v>0</v>
      </c>
      <c r="N110" s="82">
        <v>0</v>
      </c>
    </row>
    <row r="111" spans="2:14" ht="13.8">
      <c r="D111" t="s">
        <v>188</v>
      </c>
      <c r="J111" s="82">
        <v>0</v>
      </c>
      <c r="K111" s="82">
        <v>0</v>
      </c>
      <c r="L111" s="82">
        <v>0</v>
      </c>
      <c r="M111" s="82">
        <v>0</v>
      </c>
      <c r="N111" s="82">
        <v>0</v>
      </c>
    </row>
    <row r="112" spans="2:14" ht="13.8">
      <c r="D112" t="s">
        <v>51</v>
      </c>
      <c r="J112" s="82">
        <v>0</v>
      </c>
      <c r="K112" s="82">
        <v>0</v>
      </c>
      <c r="L112" s="82">
        <v>0</v>
      </c>
      <c r="M112" s="82">
        <v>0</v>
      </c>
      <c r="N112" s="82">
        <v>0</v>
      </c>
    </row>
    <row r="113" spans="4:14" ht="13.8">
      <c r="D113" t="s">
        <v>191</v>
      </c>
      <c r="J113" s="82">
        <v>0</v>
      </c>
      <c r="K113" s="82">
        <v>0</v>
      </c>
      <c r="L113" s="82">
        <v>0</v>
      </c>
      <c r="M113" s="82">
        <v>0</v>
      </c>
      <c r="N113" s="82">
        <v>0</v>
      </c>
    </row>
    <row r="114" spans="4:14" ht="13.8">
      <c r="D114" t="s">
        <v>49</v>
      </c>
      <c r="J114" s="82">
        <v>0</v>
      </c>
      <c r="K114" s="82">
        <v>0</v>
      </c>
      <c r="L114" s="82">
        <v>0</v>
      </c>
      <c r="M114" s="82">
        <v>0</v>
      </c>
      <c r="N114" s="82">
        <v>0</v>
      </c>
    </row>
    <row r="115" spans="4:14" ht="13.8">
      <c r="D115" t="s">
        <v>50</v>
      </c>
      <c r="J115" s="82">
        <v>0</v>
      </c>
      <c r="K115" s="82">
        <v>0</v>
      </c>
      <c r="L115" s="82">
        <v>0</v>
      </c>
      <c r="M115" s="82">
        <v>0</v>
      </c>
      <c r="N115" s="82">
        <v>0</v>
      </c>
    </row>
    <row r="116" spans="4:14" ht="13.8">
      <c r="D116" t="s">
        <v>51</v>
      </c>
      <c r="J116" s="82">
        <v>0</v>
      </c>
      <c r="K116" s="82">
        <v>0</v>
      </c>
      <c r="L116" s="82">
        <v>0</v>
      </c>
      <c r="M116" s="82">
        <v>0</v>
      </c>
      <c r="N116" s="82">
        <v>0</v>
      </c>
    </row>
    <row r="117" spans="4:14" ht="13.8">
      <c r="D117" t="s">
        <v>51</v>
      </c>
      <c r="J117" s="82">
        <v>0</v>
      </c>
      <c r="K117" s="82">
        <v>0</v>
      </c>
      <c r="L117" s="82">
        <v>0</v>
      </c>
      <c r="M117" s="82">
        <v>0</v>
      </c>
      <c r="N117" s="82">
        <v>0</v>
      </c>
    </row>
    <row r="118" spans="4:14" ht="14.4">
      <c r="D118" s="2" t="s">
        <v>67</v>
      </c>
      <c r="J118" s="82">
        <v>0</v>
      </c>
      <c r="K118" s="82">
        <v>0</v>
      </c>
      <c r="L118" s="82">
        <v>0</v>
      </c>
      <c r="M118" s="82">
        <v>0</v>
      </c>
      <c r="N118" s="82">
        <v>0</v>
      </c>
    </row>
  </sheetData>
  <pageMargins left="0.7" right="0.7" top="0.75" bottom="0.75" header="0.3" footer="0.3"/>
  <pageSetup scale="67" fitToHeight="0" orientation="portrait" verticalDpi="0" r:id="rId1"/>
  <headerFooter>
    <oddFooter>&amp;LXcel Stores Properties
Financial Model from 2023 - 2027&amp;CPage &amp;P of &amp;N&amp;R&amp;D &amp;T
Sheet: &amp;A</oddFooter>
  </headerFooter>
  <rowBreaks count="1" manualBreakCount="1">
    <brk id="7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84A7-7997-4FE0-A86A-D9139DA73E0E}">
  <sheetPr>
    <pageSetUpPr fitToPage="1"/>
  </sheetPr>
  <dimension ref="A2:N33"/>
  <sheetViews>
    <sheetView showGridLines="0" workbookViewId="0"/>
  </sheetViews>
  <sheetFormatPr defaultColWidth="0" defaultRowHeight="13.2"/>
  <cols>
    <col min="1" max="3" width="3.21875" customWidth="1"/>
    <col min="4" max="4" width="31.6640625" customWidth="1"/>
    <col min="5" max="14" width="8.88671875" customWidth="1"/>
    <col min="15" max="16384" width="8.88671875" hidden="1"/>
  </cols>
  <sheetData>
    <row r="2" spans="2:14" ht="23.4">
      <c r="B2" s="1" t="s">
        <v>70</v>
      </c>
      <c r="C2" s="1"/>
      <c r="D2" s="1"/>
      <c r="E2" s="1"/>
      <c r="F2" s="1"/>
      <c r="G2" s="1"/>
      <c r="H2" s="1"/>
      <c r="I2" s="1"/>
      <c r="J2" s="78"/>
      <c r="K2" s="78"/>
      <c r="L2" s="78"/>
      <c r="M2" s="78"/>
      <c r="N2" s="78"/>
    </row>
    <row r="3" spans="2:14" ht="18">
      <c r="B3" s="3" t="s">
        <v>81</v>
      </c>
      <c r="C3" s="3"/>
      <c r="D3" s="3"/>
      <c r="E3" s="3"/>
      <c r="F3" s="3"/>
      <c r="G3" s="3"/>
      <c r="H3" s="3"/>
      <c r="I3" s="3"/>
      <c r="J3" s="78"/>
      <c r="K3" s="78"/>
      <c r="L3" s="78"/>
      <c r="M3" s="78"/>
      <c r="N3" s="78"/>
    </row>
    <row r="4" spans="2:14" ht="18.600000000000001" thickBot="1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2:14" ht="13.8">
      <c r="B5" s="5" t="s">
        <v>0</v>
      </c>
    </row>
    <row r="6" spans="2:14" ht="13.8">
      <c r="F6" s="6"/>
    </row>
    <row r="7" spans="2:14" ht="14.4" thickBot="1">
      <c r="F7" s="7"/>
      <c r="G7" s="8">
        <v>2020</v>
      </c>
      <c r="H7" s="8">
        <v>2021</v>
      </c>
      <c r="I7" s="8">
        <v>2022</v>
      </c>
      <c r="J7" s="72">
        <f>I7+1</f>
        <v>2023</v>
      </c>
      <c r="K7" s="72">
        <f>J7+1</f>
        <v>2024</v>
      </c>
      <c r="L7" s="72">
        <f>K7+1</f>
        <v>2025</v>
      </c>
      <c r="M7" s="72">
        <f>L7+1</f>
        <v>2026</v>
      </c>
      <c r="N7" s="72">
        <f>M7+1</f>
        <v>2027</v>
      </c>
    </row>
    <row r="8" spans="2:14" ht="13.8">
      <c r="F8" s="7"/>
      <c r="G8" s="7"/>
      <c r="H8" s="7"/>
      <c r="I8" s="7"/>
    </row>
    <row r="9" spans="2:14" ht="13.8">
      <c r="D9" s="81" t="str">
        <f>"Scenario Used: "&amp;INDEX(L_Scenarios,S_Switch)</f>
        <v>Scenario Used: Base Case</v>
      </c>
      <c r="F9" s="7"/>
      <c r="G9" s="7"/>
      <c r="H9" s="7"/>
      <c r="I9" s="7"/>
    </row>
    <row r="10" spans="2:14" ht="13.8">
      <c r="D10" s="84" t="s">
        <v>100</v>
      </c>
      <c r="E10" s="85">
        <v>1</v>
      </c>
    </row>
    <row r="11" spans="2:14">
      <c r="D11" s="86" t="s">
        <v>101</v>
      </c>
      <c r="E11" s="87"/>
    </row>
    <row r="12" spans="2:14">
      <c r="D12" s="88" t="s">
        <v>102</v>
      </c>
      <c r="E12" s="89"/>
    </row>
    <row r="13" spans="2:14" ht="13.8" thickBot="1"/>
    <row r="14" spans="2:14" ht="13.8" thickBot="1">
      <c r="B14" s="75" t="s">
        <v>99</v>
      </c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7"/>
    </row>
    <row r="16" spans="2:14">
      <c r="D16" t="str">
        <f>UsedScenario</f>
        <v>Scenario Used: Base Case</v>
      </c>
      <c r="J16" s="92">
        <f>INDEX(J17:J19,S_Switch)</f>
        <v>0.03</v>
      </c>
      <c r="K16" s="92">
        <f>INDEX(K17:K19,S_Switch)</f>
        <v>0.03</v>
      </c>
      <c r="L16" s="92">
        <f>INDEX(L17:L19,S_Switch)</f>
        <v>0.03</v>
      </c>
      <c r="M16" s="92">
        <f>INDEX(M17:M19,S_Switch)</f>
        <v>0.03</v>
      </c>
      <c r="N16" s="92">
        <f>INDEX(N17:N19,S_Switch)</f>
        <v>0.03</v>
      </c>
    </row>
    <row r="17" spans="2:14" ht="13.8">
      <c r="D17" s="84" t="s">
        <v>100</v>
      </c>
      <c r="J17" s="83">
        <v>0.03</v>
      </c>
      <c r="K17" s="83">
        <v>0.03</v>
      </c>
      <c r="L17" s="83">
        <v>0.03</v>
      </c>
      <c r="M17" s="83">
        <v>0.03</v>
      </c>
      <c r="N17" s="83">
        <v>0.03</v>
      </c>
    </row>
    <row r="18" spans="2:14" ht="13.8">
      <c r="D18" s="86" t="s">
        <v>101</v>
      </c>
      <c r="J18" s="83">
        <v>0.02</v>
      </c>
      <c r="K18" s="83">
        <v>0.02</v>
      </c>
      <c r="L18" s="83">
        <v>0.02</v>
      </c>
      <c r="M18" s="83">
        <v>0.02</v>
      </c>
      <c r="N18" s="83">
        <v>0.02</v>
      </c>
    </row>
    <row r="19" spans="2:14" ht="13.8">
      <c r="D19" s="88" t="s">
        <v>102</v>
      </c>
      <c r="J19" s="83">
        <v>0.04</v>
      </c>
      <c r="K19" s="83">
        <v>0.04</v>
      </c>
      <c r="L19" s="83">
        <v>0.04</v>
      </c>
      <c r="M19" s="83">
        <v>0.04</v>
      </c>
      <c r="N19" s="83">
        <v>0.04</v>
      </c>
    </row>
    <row r="20" spans="2:14" ht="13.8" thickBot="1"/>
    <row r="21" spans="2:14" ht="13.8" thickBot="1">
      <c r="B21" s="75" t="s">
        <v>99</v>
      </c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7"/>
    </row>
    <row r="23" spans="2:14">
      <c r="D23" t="str">
        <f>UsedScenario</f>
        <v>Scenario Used: Base Case</v>
      </c>
      <c r="J23" s="92">
        <f>INDEX(J24:J26,S_Switch)</f>
        <v>0.03</v>
      </c>
      <c r="K23" s="92">
        <f>INDEX(K24:K26,S_Switch)</f>
        <v>0.03</v>
      </c>
      <c r="L23" s="92">
        <f>INDEX(L24:L26,S_Switch)</f>
        <v>0.03</v>
      </c>
      <c r="M23" s="92">
        <f>INDEX(M24:M26,S_Switch)</f>
        <v>0.03</v>
      </c>
      <c r="N23" s="92">
        <f>INDEX(N24:N26,S_Switch)</f>
        <v>0.03</v>
      </c>
    </row>
    <row r="24" spans="2:14" ht="13.8">
      <c r="D24" s="84" t="s">
        <v>100</v>
      </c>
      <c r="J24" s="83">
        <v>0.03</v>
      </c>
      <c r="K24" s="83">
        <v>0.03</v>
      </c>
      <c r="L24" s="83">
        <v>0.03</v>
      </c>
      <c r="M24" s="83">
        <v>0.03</v>
      </c>
      <c r="N24" s="83">
        <v>0.03</v>
      </c>
    </row>
    <row r="25" spans="2:14" ht="13.8">
      <c r="D25" s="86" t="s">
        <v>101</v>
      </c>
      <c r="J25" s="83">
        <v>0.02</v>
      </c>
      <c r="K25" s="83">
        <v>0.02</v>
      </c>
      <c r="L25" s="83">
        <v>0.02</v>
      </c>
      <c r="M25" s="83">
        <v>0.02</v>
      </c>
      <c r="N25" s="83">
        <v>0.02</v>
      </c>
    </row>
    <row r="26" spans="2:14" ht="13.8">
      <c r="D26" s="88" t="s">
        <v>102</v>
      </c>
      <c r="J26" s="83">
        <v>0.04</v>
      </c>
      <c r="K26" s="83">
        <v>0.04</v>
      </c>
      <c r="L26" s="83">
        <v>0.04</v>
      </c>
      <c r="M26" s="83">
        <v>0.04</v>
      </c>
      <c r="N26" s="83">
        <v>0.04</v>
      </c>
    </row>
    <row r="27" spans="2:14" ht="13.8" thickBot="1"/>
    <row r="28" spans="2:14" ht="13.8" thickBot="1">
      <c r="B28" s="75" t="s">
        <v>209</v>
      </c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7"/>
    </row>
    <row r="30" spans="2:14">
      <c r="D30" t="str">
        <f>UsedScenario</f>
        <v>Scenario Used: Base Case</v>
      </c>
      <c r="J30" s="119">
        <f>INDEX(J31:J33,S_Switch)</f>
        <v>30</v>
      </c>
      <c r="K30" s="119">
        <f>INDEX(K31:K33,S_Switch)</f>
        <v>30</v>
      </c>
      <c r="L30" s="119">
        <f>INDEX(L31:L33,S_Switch)</f>
        <v>30</v>
      </c>
      <c r="M30" s="119">
        <f>INDEX(M31:M33,S_Switch)</f>
        <v>30</v>
      </c>
      <c r="N30" s="119">
        <f>INDEX(N31:N33,S_Switch)</f>
        <v>30</v>
      </c>
    </row>
    <row r="31" spans="2:14" ht="13.8">
      <c r="D31" s="84" t="s">
        <v>100</v>
      </c>
      <c r="J31" s="118">
        <v>30</v>
      </c>
      <c r="K31" s="118">
        <v>30</v>
      </c>
      <c r="L31" s="118">
        <v>30</v>
      </c>
      <c r="M31" s="118">
        <v>30</v>
      </c>
      <c r="N31" s="118">
        <v>30</v>
      </c>
    </row>
    <row r="32" spans="2:14" ht="13.8">
      <c r="D32" s="86" t="s">
        <v>101</v>
      </c>
      <c r="J32" s="118">
        <v>40</v>
      </c>
      <c r="K32" s="118">
        <v>40</v>
      </c>
      <c r="L32" s="118">
        <v>40</v>
      </c>
      <c r="M32" s="118">
        <v>40</v>
      </c>
      <c r="N32" s="118">
        <v>40</v>
      </c>
    </row>
    <row r="33" spans="4:14" ht="13.8">
      <c r="D33" s="88" t="s">
        <v>102</v>
      </c>
      <c r="J33" s="118">
        <v>20</v>
      </c>
      <c r="K33" s="118">
        <v>20</v>
      </c>
      <c r="L33" s="118">
        <v>20</v>
      </c>
      <c r="M33" s="118">
        <v>20</v>
      </c>
      <c r="N33" s="118">
        <v>20</v>
      </c>
    </row>
  </sheetData>
  <pageMargins left="0.7" right="0.7" top="0.75" bottom="0.75" header="0.3" footer="0.3"/>
  <pageSetup scale="71" fitToHeight="0" orientation="portrait" verticalDpi="0" r:id="rId1"/>
  <headerFooter>
    <oddFooter>&amp;LXcel Stores Properties
Financial Model from 2023 - 2027&amp;CPage &amp;P of &amp;N&amp;R&amp;D &amp;T
Sheet: 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Drop Down 1">
              <controlPr defaultSize="0" autoLine="0" autoPict="0">
                <anchor moveWithCells="1">
                  <from>
                    <xdr:col>3</xdr:col>
                    <xdr:colOff>1981200</xdr:colOff>
                    <xdr:row>9</xdr:row>
                    <xdr:rowOff>7620</xdr:rowOff>
                  </from>
                  <to>
                    <xdr:col>5</xdr:col>
                    <xdr:colOff>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Drop Down 2">
              <controlPr defaultSize="0" autoLine="0" autoPict="0">
                <anchor moveWithCells="1">
                  <from>
                    <xdr:col>11</xdr:col>
                    <xdr:colOff>358140</xdr:colOff>
                    <xdr:row>2</xdr:row>
                    <xdr:rowOff>182880</xdr:rowOff>
                  </from>
                  <to>
                    <xdr:col>13</xdr:col>
                    <xdr:colOff>586740</xdr:colOff>
                    <xdr:row>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Drop Down 3">
              <controlPr defaultSize="0" autoLine="0" autoPict="0">
                <anchor moveWithCells="1">
                  <from>
                    <xdr:col>3</xdr:col>
                    <xdr:colOff>1981200</xdr:colOff>
                    <xdr:row>16</xdr:row>
                    <xdr:rowOff>7620</xdr:rowOff>
                  </from>
                  <to>
                    <xdr:col>5</xdr:col>
                    <xdr:colOff>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Drop Down 4">
              <controlPr defaultSize="0" autoLine="0" autoPict="0">
                <anchor moveWithCells="1">
                  <from>
                    <xdr:col>3</xdr:col>
                    <xdr:colOff>1981200</xdr:colOff>
                    <xdr:row>23</xdr:row>
                    <xdr:rowOff>7620</xdr:rowOff>
                  </from>
                  <to>
                    <xdr:col>5</xdr:col>
                    <xdr:colOff>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Drop Down 5">
              <controlPr defaultSize="0" autoLine="0" autoPict="0">
                <anchor moveWithCells="1">
                  <from>
                    <xdr:col>3</xdr:col>
                    <xdr:colOff>1981200</xdr:colOff>
                    <xdr:row>30</xdr:row>
                    <xdr:rowOff>7620</xdr:rowOff>
                  </from>
                  <to>
                    <xdr:col>5</xdr:col>
                    <xdr:colOff>0</xdr:colOff>
                    <xdr:row>31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06E92-BBF4-4485-9A97-D6E6123ECE6C}">
  <sheetPr>
    <pageSetUpPr fitToPage="1"/>
  </sheetPr>
  <dimension ref="A2:N332"/>
  <sheetViews>
    <sheetView showGridLines="0" tabSelected="1" topLeftCell="A2" zoomScale="86" zoomScaleNormal="60" workbookViewId="0">
      <selection activeCell="N15" sqref="N15"/>
    </sheetView>
  </sheetViews>
  <sheetFormatPr defaultColWidth="0" defaultRowHeight="13.2"/>
  <cols>
    <col min="1" max="3" width="3.21875" customWidth="1"/>
    <col min="4" max="4" width="31.6640625" customWidth="1"/>
    <col min="5" max="8" width="8.88671875" customWidth="1"/>
    <col min="9" max="9" width="12.33203125" bestFit="1" customWidth="1"/>
    <col min="10" max="14" width="10.77734375" bestFit="1" customWidth="1"/>
    <col min="15" max="16384" width="8.88671875" hidden="1"/>
  </cols>
  <sheetData>
    <row r="2" spans="2:14" ht="23.4">
      <c r="B2" s="1" t="s">
        <v>70</v>
      </c>
      <c r="C2" s="1"/>
      <c r="D2" s="1"/>
      <c r="E2" s="1"/>
      <c r="F2" s="1"/>
      <c r="G2" s="1"/>
      <c r="H2" s="1"/>
      <c r="I2" s="1"/>
      <c r="J2" s="78"/>
      <c r="K2" s="78"/>
      <c r="L2" s="78"/>
      <c r="M2" s="78"/>
      <c r="N2" s="78"/>
    </row>
    <row r="3" spans="2:14" ht="18">
      <c r="B3" s="3" t="s">
        <v>83</v>
      </c>
      <c r="C3" s="3"/>
      <c r="D3" s="3"/>
      <c r="E3" s="3"/>
      <c r="F3" s="3"/>
      <c r="G3" s="3"/>
      <c r="H3" s="3"/>
      <c r="I3" s="3"/>
      <c r="J3" s="78"/>
      <c r="K3" s="78"/>
      <c r="L3" s="78"/>
      <c r="M3" s="78"/>
      <c r="N3" s="78"/>
    </row>
    <row r="4" spans="2:14" ht="18.600000000000001" thickBot="1">
      <c r="B4" s="4"/>
      <c r="C4" s="4"/>
      <c r="D4" s="4"/>
      <c r="E4" s="4"/>
      <c r="F4" s="4"/>
      <c r="G4" s="4"/>
      <c r="H4" s="4"/>
      <c r="I4" s="4"/>
      <c r="J4" s="4" t="str">
        <f ca="1">IF(BSCheck=0,"BS Check: OK", "BS Check: ERROR")</f>
        <v>BS Check: OK</v>
      </c>
      <c r="K4" s="4"/>
      <c r="L4" s="4"/>
      <c r="M4" s="4"/>
      <c r="N4" s="4"/>
    </row>
    <row r="5" spans="2:14" ht="13.8">
      <c r="B5" s="5" t="s">
        <v>0</v>
      </c>
    </row>
    <row r="6" spans="2:14" ht="13.8">
      <c r="F6" s="6"/>
    </row>
    <row r="7" spans="2:14" ht="14.4" thickBot="1">
      <c r="F7" s="7"/>
      <c r="G7" s="8">
        <v>2020</v>
      </c>
      <c r="H7" s="8">
        <v>2021</v>
      </c>
      <c r="I7" s="8">
        <v>2022</v>
      </c>
      <c r="J7" s="72">
        <f>I7+1</f>
        <v>2023</v>
      </c>
      <c r="K7" s="72">
        <f>J7+1</f>
        <v>2024</v>
      </c>
      <c r="L7" s="72">
        <f>K7+1</f>
        <v>2025</v>
      </c>
      <c r="M7" s="72">
        <f>L7+1</f>
        <v>2026</v>
      </c>
      <c r="N7" s="72">
        <f>M7+1</f>
        <v>2027</v>
      </c>
    </row>
    <row r="8" spans="2:14" ht="13.8">
      <c r="F8" s="7"/>
      <c r="G8" s="7"/>
      <c r="H8" s="7"/>
      <c r="I8" s="7"/>
    </row>
    <row r="9" spans="2:14">
      <c r="B9" s="9" t="s">
        <v>1</v>
      </c>
      <c r="C9" s="10"/>
      <c r="D9" s="10"/>
      <c r="E9" s="10"/>
      <c r="F9" s="11"/>
      <c r="G9" s="11"/>
      <c r="H9" s="12">
        <v>0.10508329773601033</v>
      </c>
      <c r="I9" s="13">
        <v>7.8082721298801561E-2</v>
      </c>
    </row>
    <row r="10" spans="2:14">
      <c r="B10" s="14" t="s">
        <v>2</v>
      </c>
      <c r="C10" s="15"/>
      <c r="D10" s="15"/>
      <c r="E10" s="15"/>
      <c r="F10" s="16"/>
      <c r="G10" s="17">
        <v>0.31866723622383597</v>
      </c>
      <c r="H10" s="17">
        <v>0.35485117897178198</v>
      </c>
      <c r="I10" s="18">
        <v>0.36894944424524923</v>
      </c>
    </row>
    <row r="11" spans="2:14">
      <c r="B11" s="19" t="s">
        <v>3</v>
      </c>
      <c r="C11" s="20"/>
      <c r="D11" s="20"/>
      <c r="E11" s="20"/>
      <c r="F11" s="21"/>
      <c r="G11" s="22">
        <v>6.1939342161469457E-2</v>
      </c>
      <c r="H11" s="22">
        <v>6.5326633165829137E-2</v>
      </c>
      <c r="I11" s="23">
        <v>7.0993187522409462E-2</v>
      </c>
    </row>
    <row r="12" spans="2:14" ht="13.8">
      <c r="B12" s="24"/>
      <c r="F12" s="7"/>
      <c r="G12" s="7"/>
      <c r="H12" s="7"/>
      <c r="I12" s="7"/>
    </row>
    <row r="13" spans="2:14" ht="13.8">
      <c r="C13" s="24" t="s">
        <v>4</v>
      </c>
      <c r="D13" s="24"/>
      <c r="E13" s="24"/>
      <c r="F13" s="7"/>
      <c r="G13" s="25">
        <v>234.1</v>
      </c>
      <c r="H13" s="25">
        <v>258.7</v>
      </c>
      <c r="I13" s="25">
        <v>278.89999999999998</v>
      </c>
      <c r="J13">
        <f>J163</f>
        <v>307.77984615384617</v>
      </c>
      <c r="K13">
        <f>K163</f>
        <v>338.14147307692303</v>
      </c>
      <c r="L13">
        <f>L163</f>
        <v>370.04779575384612</v>
      </c>
      <c r="M13">
        <f>M163</f>
        <v>403.56417046561535</v>
      </c>
      <c r="N13">
        <f>N163</f>
        <v>423.36689193435996</v>
      </c>
    </row>
    <row r="14" spans="2:14" ht="13.8">
      <c r="F14" s="7"/>
      <c r="G14" s="7"/>
      <c r="H14" s="7"/>
      <c r="I14" s="7"/>
    </row>
    <row r="15" spans="2:14" ht="13.8">
      <c r="C15" s="2" t="s">
        <v>5</v>
      </c>
      <c r="F15" s="7"/>
      <c r="G15" s="26">
        <v>74.599999999999994</v>
      </c>
      <c r="H15" s="26">
        <v>91.8</v>
      </c>
      <c r="I15" s="26">
        <v>102.9</v>
      </c>
      <c r="J15">
        <f>J176</f>
        <v>110.8787076923077</v>
      </c>
      <c r="K15">
        <f>K176</f>
        <v>119.24352784615387</v>
      </c>
      <c r="L15">
        <f>L176</f>
        <v>128.01044637230771</v>
      </c>
      <c r="M15">
        <f>M176</f>
        <v>137.19606083496924</v>
      </c>
      <c r="N15">
        <f>N176</f>
        <v>143.14716269456403</v>
      </c>
    </row>
    <row r="16" spans="2:14" ht="13.8">
      <c r="C16" s="27" t="s">
        <v>6</v>
      </c>
      <c r="F16" s="7"/>
      <c r="G16" s="28">
        <v>14.5</v>
      </c>
      <c r="H16" s="28">
        <v>16.899999999999999</v>
      </c>
      <c r="I16" s="28">
        <v>19.799999999999997</v>
      </c>
      <c r="J16">
        <f>J178</f>
        <v>25</v>
      </c>
      <c r="K16">
        <f>K178</f>
        <v>25.75</v>
      </c>
      <c r="L16">
        <f>L178</f>
        <v>26.522500000000001</v>
      </c>
      <c r="M16">
        <f>M178</f>
        <v>27.318175</v>
      </c>
      <c r="N16">
        <f>N178</f>
        <v>28.137720250000001</v>
      </c>
    </row>
    <row r="17" spans="2:14" ht="13.8">
      <c r="C17" s="29" t="s">
        <v>7</v>
      </c>
      <c r="F17" s="7"/>
      <c r="G17" s="30">
        <v>89.1</v>
      </c>
      <c r="H17" s="30">
        <v>108.69999999999999</v>
      </c>
      <c r="I17" s="30">
        <f t="shared" ref="I17:N17" si="0">SUM(I15:I16)</f>
        <v>122.7</v>
      </c>
      <c r="J17" s="104">
        <f t="shared" si="0"/>
        <v>135.8787076923077</v>
      </c>
      <c r="K17" s="104">
        <f t="shared" si="0"/>
        <v>144.99352784615388</v>
      </c>
      <c r="L17" s="104">
        <f t="shared" si="0"/>
        <v>154.53294637230772</v>
      </c>
      <c r="M17" s="104">
        <f t="shared" si="0"/>
        <v>164.51423583496924</v>
      </c>
      <c r="N17" s="104">
        <f t="shared" si="0"/>
        <v>171.28488294456403</v>
      </c>
    </row>
    <row r="18" spans="2:14" ht="13.8">
      <c r="C18" s="29"/>
      <c r="F18" s="7"/>
      <c r="G18" s="7"/>
      <c r="H18" s="7"/>
      <c r="I18" s="7"/>
    </row>
    <row r="19" spans="2:14" ht="13.8">
      <c r="C19" s="2" t="s">
        <v>8</v>
      </c>
      <c r="F19" s="7"/>
      <c r="G19" s="28">
        <v>0</v>
      </c>
      <c r="H19" s="28">
        <v>0.8</v>
      </c>
      <c r="I19" s="28">
        <v>2.2999999999999998</v>
      </c>
      <c r="J19">
        <f>Inputs!J108</f>
        <v>0</v>
      </c>
      <c r="K19">
        <f>Inputs!K108</f>
        <v>0</v>
      </c>
      <c r="L19">
        <f>Inputs!L108</f>
        <v>0</v>
      </c>
      <c r="M19">
        <f>Inputs!M108</f>
        <v>0</v>
      </c>
      <c r="N19">
        <f>Inputs!N108</f>
        <v>0</v>
      </c>
    </row>
    <row r="20" spans="2:14" ht="13.8">
      <c r="B20" s="24"/>
      <c r="C20" s="24" t="s">
        <v>9</v>
      </c>
      <c r="F20">
        <f>I13-I17+I19</f>
        <v>158.5</v>
      </c>
      <c r="G20" s="31">
        <v>145</v>
      </c>
      <c r="H20" s="31">
        <v>150.80000000000001</v>
      </c>
      <c r="I20" s="31">
        <v>158.5</v>
      </c>
      <c r="J20" s="105">
        <f>J13-J17+J19</f>
        <v>171.90113846153847</v>
      </c>
      <c r="K20" s="105">
        <f>K13-K17+K19</f>
        <v>193.14794523076915</v>
      </c>
      <c r="L20" s="105">
        <f>L13-L17+L19</f>
        <v>215.5148493815384</v>
      </c>
      <c r="M20" s="105">
        <f>M13-M17+M19</f>
        <v>239.04993463064611</v>
      </c>
      <c r="N20" s="105">
        <f>N13-N17+N19</f>
        <v>252.08200898979592</v>
      </c>
    </row>
    <row r="22" spans="2:14" ht="13.8">
      <c r="C22" s="2" t="s">
        <v>10</v>
      </c>
      <c r="G22" s="32">
        <v>41.7</v>
      </c>
      <c r="H22" s="32">
        <v>46.2</v>
      </c>
      <c r="I22" s="32">
        <v>54.6</v>
      </c>
      <c r="J22">
        <f>J212</f>
        <v>57.843999999999994</v>
      </c>
      <c r="K22">
        <f>K212</f>
        <v>70.127119999999991</v>
      </c>
      <c r="L22">
        <f>L212</f>
        <v>81.600577600000008</v>
      </c>
      <c r="M22">
        <f>M212</f>
        <v>92.346966047999999</v>
      </c>
      <c r="N22">
        <f>N212</f>
        <v>101.94058672704</v>
      </c>
    </row>
    <row r="23" spans="2:14" ht="13.8">
      <c r="C23" s="29" t="s">
        <v>11</v>
      </c>
      <c r="G23" s="31">
        <v>103.3</v>
      </c>
      <c r="H23" s="31">
        <v>104.60000000000001</v>
      </c>
      <c r="I23" s="31">
        <v>103.9</v>
      </c>
      <c r="J23" s="105">
        <f>J20-J22</f>
        <v>114.05713846153847</v>
      </c>
      <c r="K23" s="105">
        <f>K20-K22</f>
        <v>123.02082523076916</v>
      </c>
      <c r="L23" s="105">
        <f>L20-L22</f>
        <v>133.91427178153839</v>
      </c>
      <c r="M23" s="105">
        <f>M20-M22</f>
        <v>146.70296858264612</v>
      </c>
      <c r="N23" s="105">
        <f>N20-N22</f>
        <v>150.14142226275592</v>
      </c>
    </row>
    <row r="24" spans="2:14" ht="13.8">
      <c r="C24" s="29"/>
    </row>
    <row r="25" spans="2:14" ht="13.8">
      <c r="C25" s="2" t="s">
        <v>71</v>
      </c>
      <c r="G25" s="33">
        <v>0</v>
      </c>
      <c r="H25" s="33">
        <v>-2.6</v>
      </c>
      <c r="I25" s="33">
        <v>0</v>
      </c>
      <c r="J25">
        <f>Inputs!J109</f>
        <v>0</v>
      </c>
      <c r="K25">
        <f>Inputs!K109</f>
        <v>0</v>
      </c>
      <c r="L25">
        <f>Inputs!L109</f>
        <v>0</v>
      </c>
      <c r="M25">
        <f>Inputs!M109</f>
        <v>0</v>
      </c>
      <c r="N25">
        <f>Inputs!N109</f>
        <v>0</v>
      </c>
    </row>
    <row r="26" spans="2:14" ht="13.8">
      <c r="C26" s="34" t="s">
        <v>12</v>
      </c>
      <c r="G26" s="32">
        <v>33.5</v>
      </c>
      <c r="H26" s="32">
        <v>34.200000000000003</v>
      </c>
      <c r="I26" s="32">
        <v>36.6</v>
      </c>
      <c r="J26">
        <f ca="1">J332</f>
        <v>43.241274317575808</v>
      </c>
      <c r="K26">
        <f t="shared" ref="K26:N26" ca="1" si="1">K332</f>
        <v>32.704270580115249</v>
      </c>
      <c r="L26">
        <f t="shared" ca="1" si="1"/>
        <v>20.350325877153729</v>
      </c>
      <c r="M26">
        <f t="shared" ca="1" si="1"/>
        <v>9.9023167993138959</v>
      </c>
      <c r="N26">
        <f t="shared" ca="1" si="1"/>
        <v>3.3599377194975948</v>
      </c>
    </row>
    <row r="27" spans="2:14" ht="13.8">
      <c r="C27" s="35" t="s">
        <v>13</v>
      </c>
      <c r="G27" s="31">
        <v>69.8</v>
      </c>
      <c r="H27" s="31">
        <v>67.800000000000011</v>
      </c>
      <c r="I27" s="31">
        <v>67.300000000000011</v>
      </c>
      <c r="J27" s="105">
        <f ca="1">J23+J25-J26</f>
        <v>70.815864143962671</v>
      </c>
      <c r="K27" s="105">
        <f ca="1">K23+K25-K26</f>
        <v>90.316554650653913</v>
      </c>
      <c r="L27" s="105">
        <f ca="1">L23+L25-L26</f>
        <v>113.56394590438467</v>
      </c>
      <c r="M27" s="105">
        <f ca="1">M23+M25-M26</f>
        <v>136.80065178333223</v>
      </c>
      <c r="N27" s="105">
        <f ca="1">N23+N25-N26</f>
        <v>146.78148454325833</v>
      </c>
    </row>
    <row r="28" spans="2:14" ht="13.8">
      <c r="C28" s="29"/>
    </row>
    <row r="29" spans="2:14" ht="13.8">
      <c r="C29" s="2" t="s">
        <v>14</v>
      </c>
      <c r="G29" s="33">
        <v>11.3</v>
      </c>
      <c r="H29" s="33">
        <v>10.5</v>
      </c>
      <c r="I29" s="33">
        <v>15.8</v>
      </c>
      <c r="J29">
        <f ca="1">J249</f>
        <v>21.39015584678787</v>
      </c>
      <c r="K29">
        <f t="shared" ref="K29:N29" ca="1" si="2">K249</f>
        <v>27.727880261462523</v>
      </c>
      <c r="L29">
        <f t="shared" ca="1" si="2"/>
        <v>35.283282418925019</v>
      </c>
      <c r="M29">
        <f t="shared" ca="1" si="2"/>
        <v>42.835211829582974</v>
      </c>
      <c r="N29">
        <f t="shared" ca="1" si="2"/>
        <v>46.078982476558863</v>
      </c>
    </row>
    <row r="30" spans="2:14" ht="13.8">
      <c r="C30" s="2" t="s">
        <v>15</v>
      </c>
      <c r="G30" s="32">
        <v>10.399999999999999</v>
      </c>
      <c r="H30" s="32">
        <v>11.8</v>
      </c>
      <c r="I30" s="32">
        <v>8.3999999999999986</v>
      </c>
      <c r="J30">
        <f>J250</f>
        <v>1.625</v>
      </c>
      <c r="K30">
        <f t="shared" ref="K30:N30" si="3">K250</f>
        <v>1.625</v>
      </c>
      <c r="L30">
        <f t="shared" si="3"/>
        <v>1.625</v>
      </c>
      <c r="M30">
        <f t="shared" si="3"/>
        <v>1.625</v>
      </c>
      <c r="N30">
        <f t="shared" si="3"/>
        <v>1.625</v>
      </c>
    </row>
    <row r="31" spans="2:14" ht="13.8">
      <c r="C31" s="24" t="s">
        <v>16</v>
      </c>
      <c r="G31" s="31">
        <v>21.7</v>
      </c>
      <c r="H31" s="31">
        <v>22.3</v>
      </c>
      <c r="I31" s="31">
        <v>24.2</v>
      </c>
      <c r="J31" s="105">
        <f ca="1">SUM(J29:J30)</f>
        <v>23.01515584678787</v>
      </c>
      <c r="K31" s="105">
        <f t="shared" ref="K31:N31" ca="1" si="4">SUM(K29:K30)</f>
        <v>29.352880261462523</v>
      </c>
      <c r="L31" s="105">
        <f t="shared" ca="1" si="4"/>
        <v>36.908282418925019</v>
      </c>
      <c r="M31" s="105">
        <f t="shared" ca="1" si="4"/>
        <v>44.460211829582974</v>
      </c>
      <c r="N31" s="105">
        <f t="shared" ca="1" si="4"/>
        <v>47.703982476558863</v>
      </c>
    </row>
    <row r="32" spans="2:14" ht="13.8">
      <c r="G32" s="36"/>
      <c r="H32" s="36"/>
      <c r="I32" s="36"/>
    </row>
    <row r="33" spans="2:14" ht="13.8">
      <c r="C33" s="37" t="s">
        <v>17</v>
      </c>
      <c r="D33" s="24"/>
      <c r="E33" s="24"/>
      <c r="G33" s="38">
        <v>48.099999999999994</v>
      </c>
      <c r="H33" s="38">
        <v>45.500000000000014</v>
      </c>
      <c r="I33" s="38">
        <v>43.100000000000009</v>
      </c>
      <c r="J33" s="74">
        <f ca="1">J27-J31</f>
        <v>47.800708297174801</v>
      </c>
      <c r="K33" s="74">
        <f t="shared" ref="K33:N33" ca="1" si="5">K27-K31</f>
        <v>60.963674389191389</v>
      </c>
      <c r="L33" s="74">
        <f t="shared" ca="1" si="5"/>
        <v>76.655663485459655</v>
      </c>
      <c r="M33" s="74">
        <f t="shared" ca="1" si="5"/>
        <v>92.340439953749254</v>
      </c>
      <c r="N33" s="74">
        <f t="shared" ca="1" si="5"/>
        <v>99.077502066699466</v>
      </c>
    </row>
    <row r="34" spans="2:14" ht="13.8">
      <c r="C34" s="37"/>
      <c r="D34" s="24"/>
      <c r="E34" s="24"/>
      <c r="G34" s="30"/>
      <c r="H34" s="30"/>
      <c r="I34" s="30"/>
    </row>
    <row r="35" spans="2:14" ht="13.8">
      <c r="C35" s="39" t="s">
        <v>18</v>
      </c>
      <c r="D35" s="24"/>
      <c r="E35" s="24"/>
      <c r="G35" s="32">
        <v>0</v>
      </c>
      <c r="H35" s="32">
        <v>0</v>
      </c>
      <c r="I35" s="32">
        <v>0</v>
      </c>
      <c r="J35">
        <f>J261</f>
        <v>0</v>
      </c>
      <c r="K35">
        <f t="shared" ref="K35:N35" si="6">K261</f>
        <v>32</v>
      </c>
      <c r="L35">
        <f t="shared" si="6"/>
        <v>64</v>
      </c>
      <c r="M35">
        <f t="shared" si="6"/>
        <v>64</v>
      </c>
      <c r="N35">
        <f t="shared" si="6"/>
        <v>64</v>
      </c>
    </row>
    <row r="36" spans="2:14" ht="14.4" thickBot="1">
      <c r="C36" s="37" t="s">
        <v>19</v>
      </c>
      <c r="D36" s="24"/>
      <c r="E36" s="24"/>
      <c r="G36" s="40">
        <v>48.099999999999994</v>
      </c>
      <c r="H36" s="40">
        <v>45.500000000000014</v>
      </c>
      <c r="I36" s="40">
        <v>43.100000000000009</v>
      </c>
      <c r="J36" s="112">
        <f ca="1">J33-J35</f>
        <v>47.800708297174801</v>
      </c>
      <c r="K36" s="112">
        <f t="shared" ref="K36:N36" ca="1" si="7">K33-K35</f>
        <v>28.963674389191389</v>
      </c>
      <c r="L36" s="112">
        <f t="shared" ca="1" si="7"/>
        <v>12.655663485459655</v>
      </c>
      <c r="M36" s="112">
        <f t="shared" ca="1" si="7"/>
        <v>28.340439953749254</v>
      </c>
      <c r="N36" s="112">
        <f t="shared" ca="1" si="7"/>
        <v>35.077502066699466</v>
      </c>
    </row>
    <row r="37" spans="2:14" ht="14.4" thickTop="1">
      <c r="B37" s="41"/>
      <c r="C37" s="41"/>
      <c r="D37" s="41"/>
      <c r="E37" s="41"/>
      <c r="F37" s="41"/>
      <c r="G37" s="42"/>
      <c r="H37" s="42"/>
      <c r="I37" s="42"/>
      <c r="J37" s="42"/>
      <c r="K37" s="42"/>
      <c r="L37" s="42"/>
      <c r="M37" s="42"/>
      <c r="N37" s="42"/>
    </row>
    <row r="38" spans="2:14" ht="13.8">
      <c r="C38" s="43"/>
      <c r="G38" s="44"/>
      <c r="H38" s="44"/>
      <c r="I38" s="44"/>
    </row>
    <row r="39" spans="2:14" ht="13.8">
      <c r="B39" s="24"/>
      <c r="G39" s="45"/>
      <c r="H39" s="45"/>
      <c r="I39" s="45"/>
    </row>
    <row r="40" spans="2:14" ht="23.4">
      <c r="B40" s="1" t="s">
        <v>70</v>
      </c>
      <c r="C40" s="46"/>
      <c r="D40" s="46"/>
      <c r="E40" s="46"/>
      <c r="F40" s="46"/>
      <c r="G40" s="46"/>
      <c r="H40" s="46"/>
      <c r="I40" s="46"/>
      <c r="J40" s="78"/>
      <c r="K40" s="78"/>
      <c r="L40" s="78"/>
      <c r="M40" s="78"/>
      <c r="N40" s="78"/>
    </row>
    <row r="41" spans="2:14" ht="18">
      <c r="B41" s="3" t="s">
        <v>20</v>
      </c>
      <c r="C41" s="46"/>
      <c r="D41" s="46"/>
      <c r="E41" s="46"/>
      <c r="F41" s="46"/>
      <c r="G41" s="46"/>
      <c r="H41" s="46"/>
      <c r="I41" s="46"/>
      <c r="J41" s="78"/>
      <c r="K41" s="78"/>
      <c r="L41" s="78"/>
      <c r="M41" s="78"/>
      <c r="N41" s="78"/>
    </row>
    <row r="42" spans="2:14" ht="18.600000000000001" thickBot="1">
      <c r="B42" s="4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</row>
    <row r="43" spans="2:14" ht="13.8">
      <c r="B43" s="5" t="s">
        <v>0</v>
      </c>
    </row>
    <row r="45" spans="2:14" ht="14.4" thickBot="1">
      <c r="B45" s="48"/>
      <c r="F45" s="49"/>
      <c r="G45" s="8">
        <v>2020</v>
      </c>
      <c r="H45" s="8">
        <v>2021</v>
      </c>
      <c r="I45" s="8">
        <v>2022</v>
      </c>
      <c r="J45" s="72">
        <f>I45+1</f>
        <v>2023</v>
      </c>
      <c r="K45" s="72">
        <f>J45+1</f>
        <v>2024</v>
      </c>
      <c r="L45" s="72">
        <f>K45+1</f>
        <v>2025</v>
      </c>
      <c r="M45" s="72">
        <f>L45+1</f>
        <v>2026</v>
      </c>
      <c r="N45" s="72">
        <f>M45+1</f>
        <v>2027</v>
      </c>
    </row>
    <row r="46" spans="2:14" ht="13.8">
      <c r="B46" s="48"/>
      <c r="F46" s="49"/>
      <c r="G46" s="49"/>
      <c r="H46" s="49"/>
      <c r="I46" s="49"/>
    </row>
    <row r="47" spans="2:14" ht="13.8">
      <c r="B47" s="24" t="s">
        <v>21</v>
      </c>
    </row>
    <row r="48" spans="2:14" ht="13.8">
      <c r="C48" s="2" t="s">
        <v>17</v>
      </c>
      <c r="F48" s="50"/>
      <c r="G48" s="51">
        <v>48.099999999999994</v>
      </c>
      <c r="H48" s="51">
        <v>45.500000000000014</v>
      </c>
      <c r="I48" s="51">
        <v>43.100000000000009</v>
      </c>
      <c r="J48">
        <f ca="1">J33</f>
        <v>47.800708297174801</v>
      </c>
      <c r="K48">
        <f t="shared" ref="K48:N48" ca="1" si="8">K33</f>
        <v>60.963674389191389</v>
      </c>
      <c r="L48">
        <f t="shared" ca="1" si="8"/>
        <v>76.655663485459655</v>
      </c>
      <c r="M48">
        <f t="shared" ca="1" si="8"/>
        <v>92.340439953749254</v>
      </c>
      <c r="N48">
        <f t="shared" ca="1" si="8"/>
        <v>99.077502066699466</v>
      </c>
    </row>
    <row r="49" spans="2:14" ht="13.8">
      <c r="C49" s="2" t="s">
        <v>10</v>
      </c>
      <c r="F49" s="50"/>
      <c r="G49" s="51">
        <v>41.7</v>
      </c>
      <c r="H49" s="51">
        <v>46.2</v>
      </c>
      <c r="I49" s="51">
        <v>54.6</v>
      </c>
      <c r="J49">
        <f>J22</f>
        <v>57.843999999999994</v>
      </c>
      <c r="K49">
        <f t="shared" ref="K49:N49" si="9">K22</f>
        <v>70.127119999999991</v>
      </c>
      <c r="L49">
        <f t="shared" si="9"/>
        <v>81.600577600000008</v>
      </c>
      <c r="M49">
        <f t="shared" si="9"/>
        <v>92.346966047999999</v>
      </c>
      <c r="N49">
        <f t="shared" si="9"/>
        <v>101.94058672704</v>
      </c>
    </row>
    <row r="50" spans="2:14" ht="13.8">
      <c r="C50" s="2" t="s">
        <v>15</v>
      </c>
      <c r="F50" s="50"/>
      <c r="G50" s="51">
        <v>10.399999999999999</v>
      </c>
      <c r="H50" s="51">
        <v>11.8</v>
      </c>
      <c r="I50" s="51">
        <v>8.3999999999999986</v>
      </c>
      <c r="J50">
        <f>J30</f>
        <v>1.625</v>
      </c>
      <c r="K50">
        <f t="shared" ref="K50:N50" si="10">K30</f>
        <v>1.625</v>
      </c>
      <c r="L50">
        <f t="shared" si="10"/>
        <v>1.625</v>
      </c>
      <c r="M50">
        <f t="shared" si="10"/>
        <v>1.625</v>
      </c>
      <c r="N50">
        <f t="shared" si="10"/>
        <v>1.625</v>
      </c>
    </row>
    <row r="51" spans="2:14" ht="13.8">
      <c r="C51" s="2" t="s">
        <v>22</v>
      </c>
      <c r="F51" s="52"/>
      <c r="G51" s="51">
        <v>2.4</v>
      </c>
      <c r="H51" s="51">
        <v>6.7000000000000011</v>
      </c>
      <c r="I51" s="51">
        <v>-3.3000000000000007</v>
      </c>
      <c r="J51">
        <f>J230</f>
        <v>1.4039198061116913</v>
      </c>
      <c r="K51">
        <f t="shared" ref="K51:N51" si="11">K230</f>
        <v>-6.7905472189874416E-2</v>
      </c>
      <c r="L51">
        <f t="shared" si="11"/>
        <v>-4.5778973475872675E-2</v>
      </c>
      <c r="M51">
        <f t="shared" si="11"/>
        <v>-6.959896754347028E-2</v>
      </c>
      <c r="N51">
        <f t="shared" si="11"/>
        <v>8.2174022051226814E-2</v>
      </c>
    </row>
    <row r="52" spans="2:14" ht="13.8">
      <c r="C52" s="2" t="s">
        <v>23</v>
      </c>
      <c r="F52" s="52"/>
      <c r="G52" s="53">
        <v>0.4</v>
      </c>
      <c r="H52" s="53">
        <v>-0.4</v>
      </c>
      <c r="I52" s="28">
        <v>-0.3</v>
      </c>
      <c r="J52">
        <f>Inputs!J110</f>
        <v>0</v>
      </c>
      <c r="K52">
        <f>Inputs!K110</f>
        <v>0</v>
      </c>
      <c r="L52">
        <f>Inputs!L110</f>
        <v>0</v>
      </c>
      <c r="M52">
        <f>Inputs!M110</f>
        <v>0</v>
      </c>
      <c r="N52">
        <f>Inputs!N110</f>
        <v>0</v>
      </c>
    </row>
    <row r="53" spans="2:14" ht="13.8">
      <c r="C53" s="29" t="s">
        <v>24</v>
      </c>
      <c r="F53" s="54"/>
      <c r="G53" s="55">
        <v>103</v>
      </c>
      <c r="H53" s="55">
        <v>109.80000000000001</v>
      </c>
      <c r="I53" s="55">
        <v>102.50000000000003</v>
      </c>
      <c r="J53" s="105">
        <f t="shared" ref="J53:N53" ca="1" si="12">SUM(J48:J52)</f>
        <v>108.67362810328648</v>
      </c>
      <c r="K53" s="105">
        <f t="shared" ca="1" si="12"/>
        <v>132.64788891700152</v>
      </c>
      <c r="L53" s="105">
        <f t="shared" ca="1" si="12"/>
        <v>159.83546211198379</v>
      </c>
      <c r="M53" s="105">
        <f t="shared" ca="1" si="12"/>
        <v>186.24280703420578</v>
      </c>
      <c r="N53" s="105">
        <f t="shared" ca="1" si="12"/>
        <v>202.7252628157907</v>
      </c>
    </row>
    <row r="54" spans="2:14" ht="13.8">
      <c r="B54" s="27"/>
    </row>
    <row r="55" spans="2:14" ht="13.8">
      <c r="B55" s="27"/>
    </row>
    <row r="56" spans="2:14" ht="13.8">
      <c r="B56" s="24" t="s">
        <v>25</v>
      </c>
    </row>
    <row r="57" spans="2:14" ht="13.8">
      <c r="C57" s="2" t="s">
        <v>26</v>
      </c>
      <c r="G57" s="33">
        <v>-121.1</v>
      </c>
      <c r="H57" s="33">
        <v>-159.69999999999999</v>
      </c>
      <c r="I57" s="33">
        <v>-151.19999999999999</v>
      </c>
      <c r="J57">
        <f>-J187</f>
        <v>-140</v>
      </c>
      <c r="K57">
        <f t="shared" ref="K57:N57" si="13">-K187</f>
        <v>-140</v>
      </c>
      <c r="L57">
        <f t="shared" si="13"/>
        <v>-150</v>
      </c>
      <c r="M57">
        <f t="shared" si="13"/>
        <v>-150</v>
      </c>
      <c r="N57">
        <f t="shared" si="13"/>
        <v>-150</v>
      </c>
    </row>
    <row r="58" spans="2:14" ht="13.8">
      <c r="C58" s="2" t="s">
        <v>27</v>
      </c>
      <c r="G58" s="33">
        <v>23.4</v>
      </c>
      <c r="H58" s="33">
        <v>13.8</v>
      </c>
      <c r="I58" s="33">
        <v>5.8</v>
      </c>
      <c r="J58">
        <f>Inputs!J111</f>
        <v>0</v>
      </c>
      <c r="K58">
        <f>Inputs!K111</f>
        <v>0</v>
      </c>
      <c r="L58">
        <f>Inputs!L111</f>
        <v>0</v>
      </c>
      <c r="M58">
        <f>Inputs!M111</f>
        <v>0</v>
      </c>
      <c r="N58">
        <f>Inputs!N111</f>
        <v>0</v>
      </c>
    </row>
    <row r="59" spans="2:14" ht="13.8">
      <c r="C59" s="2" t="s">
        <v>23</v>
      </c>
      <c r="G59" s="32">
        <v>2.5</v>
      </c>
      <c r="H59" s="32">
        <v>2.6</v>
      </c>
      <c r="I59" s="32">
        <v>0.8</v>
      </c>
      <c r="J59">
        <f>Inputs!J112</f>
        <v>0</v>
      </c>
      <c r="K59">
        <f>Inputs!K112</f>
        <v>0</v>
      </c>
      <c r="L59">
        <f>Inputs!L112</f>
        <v>0</v>
      </c>
      <c r="M59">
        <f>Inputs!M112</f>
        <v>0</v>
      </c>
      <c r="N59">
        <f>Inputs!N112</f>
        <v>0</v>
      </c>
    </row>
    <row r="60" spans="2:14" ht="13.8">
      <c r="C60" s="24" t="s">
        <v>28</v>
      </c>
      <c r="F60" s="54"/>
      <c r="G60" s="55">
        <v>-95.199999999999989</v>
      </c>
      <c r="H60" s="55">
        <v>-143.29999999999998</v>
      </c>
      <c r="I60" s="55">
        <v>-144.59999999999997</v>
      </c>
      <c r="J60" s="105">
        <f t="shared" ref="J60:N60" si="14">SUM(J57:J59)</f>
        <v>-140</v>
      </c>
      <c r="K60" s="105">
        <f t="shared" si="14"/>
        <v>-140</v>
      </c>
      <c r="L60" s="105">
        <f t="shared" si="14"/>
        <v>-150</v>
      </c>
      <c r="M60" s="105">
        <f t="shared" si="14"/>
        <v>-150</v>
      </c>
      <c r="N60" s="105">
        <f t="shared" si="14"/>
        <v>-150</v>
      </c>
    </row>
    <row r="61" spans="2:14" ht="13.8">
      <c r="B61" s="35"/>
      <c r="F61" s="50"/>
      <c r="G61" s="50"/>
      <c r="H61" s="50"/>
      <c r="I61" s="50"/>
    </row>
    <row r="62" spans="2:14" ht="13.8">
      <c r="B62" s="35"/>
      <c r="F62" s="50"/>
      <c r="G62" s="56"/>
      <c r="H62" s="56"/>
      <c r="I62" s="56"/>
    </row>
    <row r="63" spans="2:14" ht="13.8">
      <c r="B63" s="35" t="s">
        <v>29</v>
      </c>
      <c r="F63" s="50"/>
      <c r="G63" s="50"/>
      <c r="H63" s="50"/>
      <c r="I63" s="50"/>
    </row>
    <row r="64" spans="2:14" ht="13.8">
      <c r="B64" s="35"/>
      <c r="C64" s="2" t="s">
        <v>30</v>
      </c>
      <c r="F64" s="54"/>
      <c r="G64" s="33">
        <v>0</v>
      </c>
      <c r="H64" s="33">
        <v>0</v>
      </c>
      <c r="I64" s="33">
        <v>0</v>
      </c>
      <c r="J64">
        <f ca="1">J322</f>
        <v>17.364520639120144</v>
      </c>
      <c r="K64">
        <f t="shared" ref="K64:N64" ca="1" si="15">K322</f>
        <v>-17.364520639120144</v>
      </c>
      <c r="L64">
        <f t="shared" ca="1" si="15"/>
        <v>0</v>
      </c>
      <c r="M64">
        <f t="shared" ca="1" si="15"/>
        <v>0</v>
      </c>
      <c r="N64">
        <f t="shared" ca="1" si="15"/>
        <v>24.270928538109615</v>
      </c>
    </row>
    <row r="65" spans="2:14" ht="13.8">
      <c r="B65" s="35"/>
      <c r="C65" s="34" t="s">
        <v>31</v>
      </c>
      <c r="F65" s="54"/>
      <c r="G65" s="33">
        <v>-26</v>
      </c>
      <c r="H65" s="33">
        <v>20</v>
      </c>
      <c r="I65" s="33">
        <v>25</v>
      </c>
      <c r="J65">
        <f>-J296</f>
        <v>-135</v>
      </c>
      <c r="K65">
        <f t="shared" ref="K65:N65" si="16">-K296</f>
        <v>-135</v>
      </c>
      <c r="L65">
        <f t="shared" si="16"/>
        <v>-135</v>
      </c>
      <c r="M65">
        <f t="shared" si="16"/>
        <v>-135</v>
      </c>
      <c r="N65">
        <f t="shared" si="16"/>
        <v>-82.700000000000045</v>
      </c>
    </row>
    <row r="66" spans="2:14" ht="13.8">
      <c r="B66" s="35"/>
      <c r="C66" s="34" t="s">
        <v>32</v>
      </c>
      <c r="F66" s="54"/>
      <c r="G66" s="33">
        <v>5</v>
      </c>
      <c r="H66" s="33">
        <v>25</v>
      </c>
      <c r="I66" s="33">
        <v>25</v>
      </c>
      <c r="J66">
        <f>-J289</f>
        <v>-50</v>
      </c>
      <c r="K66">
        <f t="shared" ref="K66:N66" si="17">-K289</f>
        <v>-50</v>
      </c>
      <c r="L66">
        <f t="shared" si="17"/>
        <v>-50</v>
      </c>
      <c r="M66">
        <f t="shared" si="17"/>
        <v>-50</v>
      </c>
      <c r="N66">
        <f t="shared" si="17"/>
        <v>-24.599999999999994</v>
      </c>
    </row>
    <row r="67" spans="2:14" ht="13.8">
      <c r="C67" s="2" t="s">
        <v>33</v>
      </c>
      <c r="G67" s="33">
        <v>0</v>
      </c>
      <c r="H67" s="33">
        <v>0</v>
      </c>
      <c r="I67" s="33">
        <v>0</v>
      </c>
      <c r="J67">
        <f>J257</f>
        <v>0</v>
      </c>
      <c r="K67">
        <f t="shared" ref="K67:N67" si="18">K257</f>
        <v>400</v>
      </c>
      <c r="L67">
        <f t="shared" si="18"/>
        <v>400</v>
      </c>
      <c r="M67">
        <f t="shared" si="18"/>
        <v>0</v>
      </c>
      <c r="N67">
        <f t="shared" si="18"/>
        <v>0</v>
      </c>
    </row>
    <row r="68" spans="2:14" ht="13.8">
      <c r="C68" s="2" t="s">
        <v>34</v>
      </c>
      <c r="G68" s="33">
        <v>-5</v>
      </c>
      <c r="H68" s="33">
        <v>-4</v>
      </c>
      <c r="I68" s="33">
        <v>-6</v>
      </c>
      <c r="J68">
        <f>J265</f>
        <v>10</v>
      </c>
      <c r="K68">
        <f t="shared" ref="K68:N68" si="19">K265</f>
        <v>10</v>
      </c>
      <c r="L68">
        <f t="shared" si="19"/>
        <v>0</v>
      </c>
      <c r="M68">
        <f t="shared" si="19"/>
        <v>0</v>
      </c>
      <c r="N68">
        <f t="shared" si="19"/>
        <v>0</v>
      </c>
    </row>
    <row r="69" spans="2:14" ht="13.8">
      <c r="C69" s="2" t="s">
        <v>35</v>
      </c>
      <c r="G69" s="33">
        <v>0</v>
      </c>
      <c r="H69" s="33">
        <v>0</v>
      </c>
      <c r="I69" s="33">
        <v>0</v>
      </c>
      <c r="J69">
        <f>-J261</f>
        <v>0</v>
      </c>
      <c r="K69">
        <f t="shared" ref="K69:N69" si="20">-K261</f>
        <v>-32</v>
      </c>
      <c r="L69">
        <f t="shared" si="20"/>
        <v>-64</v>
      </c>
      <c r="M69">
        <f t="shared" si="20"/>
        <v>-64</v>
      </c>
      <c r="N69">
        <f t="shared" si="20"/>
        <v>-64</v>
      </c>
    </row>
    <row r="70" spans="2:14" ht="13.8">
      <c r="B70" s="35"/>
      <c r="C70" s="2" t="s">
        <v>36</v>
      </c>
      <c r="F70" s="54"/>
      <c r="G70" s="33">
        <v>-7.2</v>
      </c>
      <c r="H70" s="33">
        <v>-9.6</v>
      </c>
      <c r="I70" s="33">
        <v>-9.1</v>
      </c>
      <c r="J70">
        <f ca="1">-J273</f>
        <v>-10.038148742406708</v>
      </c>
      <c r="K70">
        <f t="shared" ref="K70:N70" ca="1" si="21">-K273</f>
        <v>-6.082371621730192</v>
      </c>
      <c r="L70">
        <f t="shared" ca="1" si="21"/>
        <v>-2.6576893319465276</v>
      </c>
      <c r="M70">
        <f t="shared" ca="1" si="21"/>
        <v>-5.9514923902873429</v>
      </c>
      <c r="N70">
        <f t="shared" ca="1" si="21"/>
        <v>-7.3662754340067655</v>
      </c>
    </row>
    <row r="71" spans="2:14" ht="13.8">
      <c r="B71" s="35"/>
      <c r="C71" s="2" t="s">
        <v>23</v>
      </c>
      <c r="F71" s="54"/>
      <c r="G71" s="32">
        <v>0.8</v>
      </c>
      <c r="H71" s="32">
        <v>0.6</v>
      </c>
      <c r="I71" s="32">
        <v>-0.5</v>
      </c>
      <c r="J71">
        <f>Inputs!J113</f>
        <v>0</v>
      </c>
      <c r="K71">
        <f>Inputs!K113</f>
        <v>0</v>
      </c>
      <c r="L71">
        <f>Inputs!L113</f>
        <v>0</v>
      </c>
      <c r="M71">
        <f>Inputs!M113</f>
        <v>0</v>
      </c>
      <c r="N71">
        <f>Inputs!N113</f>
        <v>0</v>
      </c>
    </row>
    <row r="72" spans="2:14" ht="13.8">
      <c r="B72" s="35"/>
      <c r="C72" s="24" t="s">
        <v>37</v>
      </c>
      <c r="F72" s="54"/>
      <c r="G72" s="55">
        <f t="shared" ref="G72:H72" si="22">SUM(G64:G71)</f>
        <v>-32.400000000000006</v>
      </c>
      <c r="H72" s="55">
        <f t="shared" si="22"/>
        <v>32</v>
      </c>
      <c r="I72" s="55">
        <f>SUM(I64:I71)</f>
        <v>34.4</v>
      </c>
      <c r="J72" s="113">
        <f t="shared" ref="J72:N72" ca="1" si="23">SUM(J64:J71)</f>
        <v>-167.67362810328657</v>
      </c>
      <c r="K72" s="113">
        <f t="shared" ca="1" si="23"/>
        <v>169.55310773914965</v>
      </c>
      <c r="L72" s="113">
        <f t="shared" ca="1" si="23"/>
        <v>148.34231066805347</v>
      </c>
      <c r="M72" s="113">
        <f t="shared" ca="1" si="23"/>
        <v>-254.95149239028734</v>
      </c>
      <c r="N72" s="113">
        <f t="shared" ca="1" si="23"/>
        <v>-154.39534689589718</v>
      </c>
    </row>
    <row r="73" spans="2:14" ht="13.8">
      <c r="B73" s="35"/>
      <c r="C73" s="24"/>
      <c r="F73" s="54"/>
    </row>
    <row r="74" spans="2:14" ht="13.8">
      <c r="C74" s="27" t="s">
        <v>38</v>
      </c>
      <c r="F74" s="54"/>
      <c r="G74" s="57">
        <v>-24.599999999999994</v>
      </c>
      <c r="H74" s="57">
        <v>-1.4999999999999716</v>
      </c>
      <c r="I74" s="57">
        <v>-7.6999999999999318</v>
      </c>
      <c r="J74">
        <f ca="1">J53+J60+J72</f>
        <v>-199.00000000000011</v>
      </c>
      <c r="K74">
        <f t="shared" ref="K74:N74" ca="1" si="24">K53+K60+K72</f>
        <v>162.20099665615118</v>
      </c>
      <c r="L74">
        <f t="shared" ca="1" si="24"/>
        <v>158.17777278003726</v>
      </c>
      <c r="M74">
        <f t="shared" ca="1" si="24"/>
        <v>-218.70868535608156</v>
      </c>
      <c r="N74">
        <f t="shared" ca="1" si="24"/>
        <v>-101.67008408010648</v>
      </c>
    </row>
    <row r="75" spans="2:14" ht="13.8">
      <c r="C75" s="27" t="s">
        <v>39</v>
      </c>
      <c r="F75" s="54"/>
      <c r="G75" s="32">
        <v>232.79999999999998</v>
      </c>
      <c r="H75" s="58">
        <v>208.2</v>
      </c>
      <c r="I75" s="58">
        <v>206.70000000000002</v>
      </c>
      <c r="J75">
        <f>I76</f>
        <v>199.00000000000009</v>
      </c>
      <c r="K75">
        <f t="shared" ref="K75:N75" ca="1" si="25">J76</f>
        <v>0</v>
      </c>
      <c r="L75">
        <f t="shared" ca="1" si="25"/>
        <v>162.20099665615118</v>
      </c>
      <c r="M75">
        <f t="shared" ca="1" si="25"/>
        <v>320.37876943618846</v>
      </c>
      <c r="N75">
        <f t="shared" ca="1" si="25"/>
        <v>101.6700840801069</v>
      </c>
    </row>
    <row r="76" spans="2:14" ht="13.8">
      <c r="C76" s="29" t="s">
        <v>40</v>
      </c>
      <c r="F76" s="54"/>
      <c r="G76" s="31">
        <v>208.2</v>
      </c>
      <c r="H76" s="31">
        <v>206.70000000000002</v>
      </c>
      <c r="I76" s="31">
        <f>SUM(I74:I75)</f>
        <v>199.00000000000009</v>
      </c>
      <c r="J76" s="114">
        <f t="shared" ref="J76:N76" ca="1" si="26">SUM(J74:J75)</f>
        <v>0</v>
      </c>
      <c r="K76" s="114">
        <f t="shared" ca="1" si="26"/>
        <v>162.20099665615118</v>
      </c>
      <c r="L76" s="114">
        <f t="shared" ca="1" si="26"/>
        <v>320.37876943618846</v>
      </c>
      <c r="M76" s="114">
        <f t="shared" ca="1" si="26"/>
        <v>101.6700840801069</v>
      </c>
      <c r="N76" s="114">
        <f t="shared" ca="1" si="26"/>
        <v>4.2632564145606011E-13</v>
      </c>
    </row>
    <row r="77" spans="2:14" ht="13.8"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</row>
    <row r="80" spans="2:14" ht="23.4">
      <c r="B80" s="1" t="s">
        <v>70</v>
      </c>
      <c r="C80" s="46"/>
      <c r="D80" s="46"/>
      <c r="E80" s="46"/>
      <c r="F80" s="46"/>
      <c r="G80" s="46"/>
      <c r="H80" s="46"/>
      <c r="I80" s="46"/>
      <c r="J80" s="78"/>
      <c r="K80" s="78"/>
      <c r="L80" s="78"/>
      <c r="M80" s="78"/>
      <c r="N80" s="78"/>
    </row>
    <row r="81" spans="2:14" ht="18">
      <c r="B81" s="3" t="s">
        <v>41</v>
      </c>
      <c r="C81" s="46"/>
      <c r="D81" s="46"/>
      <c r="E81" s="46"/>
      <c r="F81" s="46"/>
      <c r="G81" s="46"/>
      <c r="H81" s="46"/>
      <c r="I81" s="46"/>
      <c r="J81" s="78"/>
      <c r="K81" s="78"/>
      <c r="L81" s="78"/>
      <c r="M81" s="78"/>
      <c r="N81" s="78"/>
    </row>
    <row r="82" spans="2:14" ht="18.600000000000001" thickBot="1">
      <c r="B82" s="4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</row>
    <row r="83" spans="2:14" ht="13.8">
      <c r="B83" s="5" t="s">
        <v>0</v>
      </c>
      <c r="D83" s="24"/>
      <c r="E83" s="24"/>
      <c r="G83" s="59"/>
      <c r="H83" s="59"/>
      <c r="I83" s="59"/>
    </row>
    <row r="84" spans="2:14" ht="14.4" thickBot="1">
      <c r="B84" s="60"/>
      <c r="F84" s="49"/>
      <c r="G84" s="8">
        <v>2020</v>
      </c>
      <c r="H84" s="8">
        <v>2021</v>
      </c>
      <c r="I84" s="8">
        <v>2022</v>
      </c>
      <c r="J84" s="72">
        <f>J45</f>
        <v>2023</v>
      </c>
      <c r="K84" s="72">
        <f t="shared" ref="K84:N84" si="27">K45</f>
        <v>2024</v>
      </c>
      <c r="L84" s="72">
        <f t="shared" si="27"/>
        <v>2025</v>
      </c>
      <c r="M84" s="72">
        <f t="shared" si="27"/>
        <v>2026</v>
      </c>
      <c r="N84" s="72">
        <f t="shared" si="27"/>
        <v>2027</v>
      </c>
    </row>
    <row r="85" spans="2:14" ht="13.8">
      <c r="B85" s="24" t="s">
        <v>42</v>
      </c>
    </row>
    <row r="86" spans="2:14" ht="13.8">
      <c r="C86" s="2" t="s">
        <v>43</v>
      </c>
      <c r="F86" s="52"/>
      <c r="G86" s="61">
        <v>208.2</v>
      </c>
      <c r="H86" s="61">
        <v>206.70000000000002</v>
      </c>
      <c r="I86" s="61">
        <v>199.00000000000009</v>
      </c>
      <c r="J86">
        <f ca="1">J76</f>
        <v>0</v>
      </c>
      <c r="K86">
        <f t="shared" ref="K86:N86" ca="1" si="28">K76</f>
        <v>162.20099665615118</v>
      </c>
      <c r="L86">
        <f t="shared" ca="1" si="28"/>
        <v>320.37876943618846</v>
      </c>
      <c r="M86">
        <f t="shared" ca="1" si="28"/>
        <v>101.6700840801069</v>
      </c>
      <c r="N86">
        <f t="shared" ca="1" si="28"/>
        <v>4.2632564145606011E-13</v>
      </c>
    </row>
    <row r="87" spans="2:14" ht="13.8">
      <c r="C87" s="2" t="s">
        <v>44</v>
      </c>
      <c r="F87" s="52"/>
      <c r="G87" s="33">
        <v>16</v>
      </c>
      <c r="H87" s="33">
        <v>15.1</v>
      </c>
      <c r="I87" s="33">
        <v>20.2</v>
      </c>
      <c r="J87">
        <f>J222</f>
        <v>20.490548661749212</v>
      </c>
      <c r="K87">
        <f t="shared" ref="K87:N87" si="29">K222</f>
        <v>22.450376491172761</v>
      </c>
      <c r="L87">
        <f t="shared" si="29"/>
        <v>24.636058731009484</v>
      </c>
      <c r="M87">
        <f t="shared" si="29"/>
        <v>26.867422855656038</v>
      </c>
      <c r="N87">
        <f t="shared" si="29"/>
        <v>28.18579581919164</v>
      </c>
    </row>
    <row r="88" spans="2:14" ht="13.8">
      <c r="C88" s="2" t="s">
        <v>45</v>
      </c>
      <c r="F88" s="52"/>
      <c r="G88" s="33">
        <v>2.8</v>
      </c>
      <c r="H88" s="33">
        <v>3.6</v>
      </c>
      <c r="I88" s="33">
        <v>4.2</v>
      </c>
      <c r="J88">
        <f t="shared" ref="J88:N89" si="30">J223</f>
        <v>4.3440151232876714</v>
      </c>
      <c r="K88">
        <f t="shared" si="30"/>
        <v>4.6589684377049192</v>
      </c>
      <c r="L88">
        <f t="shared" si="30"/>
        <v>5.0152037893808226</v>
      </c>
      <c r="M88">
        <f t="shared" si="30"/>
        <v>5.375078547780987</v>
      </c>
      <c r="N88">
        <f t="shared" si="30"/>
        <v>5.608231305567851</v>
      </c>
    </row>
    <row r="89" spans="2:14" ht="13.8">
      <c r="C89" s="34" t="s">
        <v>46</v>
      </c>
      <c r="F89" s="52"/>
      <c r="G89" s="32">
        <v>0.3</v>
      </c>
      <c r="H89" s="32">
        <v>0.2</v>
      </c>
      <c r="I89" s="32">
        <v>0.2</v>
      </c>
      <c r="J89">
        <f t="shared" si="30"/>
        <v>0.30377728134878823</v>
      </c>
      <c r="K89">
        <f t="shared" si="30"/>
        <v>0.32580198865069365</v>
      </c>
      <c r="L89">
        <f t="shared" si="30"/>
        <v>0.35071355170495266</v>
      </c>
      <c r="M89">
        <f t="shared" si="30"/>
        <v>0.37587961872594317</v>
      </c>
      <c r="N89">
        <f t="shared" si="30"/>
        <v>0.39218400738236719</v>
      </c>
    </row>
    <row r="90" spans="2:14" ht="13.8">
      <c r="C90" s="29" t="s">
        <v>47</v>
      </c>
      <c r="F90" s="50"/>
      <c r="G90" s="57">
        <v>227.3</v>
      </c>
      <c r="H90" s="57">
        <v>225.6</v>
      </c>
      <c r="I90" s="57">
        <v>223.60000000000005</v>
      </c>
      <c r="J90" s="98">
        <f ca="1">SUM(J86:J89)</f>
        <v>25.138341066385674</v>
      </c>
      <c r="K90" s="98">
        <f t="shared" ref="K90:N90" ca="1" si="31">SUM(K86:K89)</f>
        <v>189.63614357367953</v>
      </c>
      <c r="L90" s="98">
        <f t="shared" ca="1" si="31"/>
        <v>350.38074550828372</v>
      </c>
      <c r="M90" s="98">
        <f t="shared" ca="1" si="31"/>
        <v>134.28846510226987</v>
      </c>
      <c r="N90" s="98">
        <f t="shared" ca="1" si="31"/>
        <v>34.186211132142283</v>
      </c>
    </row>
    <row r="91" spans="2:14" ht="13.8">
      <c r="F91" s="50"/>
      <c r="G91" s="33"/>
      <c r="H91" s="33"/>
      <c r="I91" s="33"/>
    </row>
    <row r="92" spans="2:14" ht="13.8">
      <c r="C92" s="2" t="s">
        <v>48</v>
      </c>
      <c r="F92" s="52"/>
      <c r="G92" s="33">
        <v>2332.1</v>
      </c>
      <c r="H92" s="33">
        <v>2445.6</v>
      </c>
      <c r="I92" s="33">
        <v>2542.1999999999998</v>
      </c>
      <c r="J92">
        <f>J189</f>
        <v>2624.3559999999998</v>
      </c>
      <c r="K92">
        <f t="shared" ref="K92:N92" si="32">K189</f>
        <v>2694.2288799999997</v>
      </c>
      <c r="L92">
        <f t="shared" si="32"/>
        <v>2762.6283023999995</v>
      </c>
      <c r="M92">
        <f t="shared" si="32"/>
        <v>2820.2813363519995</v>
      </c>
      <c r="N92">
        <f t="shared" si="32"/>
        <v>2868.3407496249592</v>
      </c>
    </row>
    <row r="93" spans="2:14" ht="13.8">
      <c r="C93" s="2" t="s">
        <v>49</v>
      </c>
      <c r="F93" s="52"/>
      <c r="G93" s="33">
        <v>46.6</v>
      </c>
      <c r="H93" s="33">
        <v>34.700000000000003</v>
      </c>
      <c r="I93" s="33">
        <v>31</v>
      </c>
      <c r="J93">
        <f>I93+Inputs!J114</f>
        <v>31</v>
      </c>
      <c r="K93">
        <f>J93+Inputs!K114</f>
        <v>31</v>
      </c>
      <c r="L93">
        <f>K93+Inputs!L114</f>
        <v>31</v>
      </c>
      <c r="M93">
        <f>L93+Inputs!M114</f>
        <v>31</v>
      </c>
      <c r="N93">
        <f>M93+Inputs!N114</f>
        <v>31</v>
      </c>
    </row>
    <row r="94" spans="2:14" ht="13.8">
      <c r="C94" s="2" t="s">
        <v>50</v>
      </c>
      <c r="F94" s="52"/>
      <c r="G94" s="33">
        <v>15.5</v>
      </c>
      <c r="H94" s="33">
        <v>14.7</v>
      </c>
      <c r="I94" s="33">
        <v>13.1</v>
      </c>
      <c r="J94">
        <f>I94+Inputs!J115</f>
        <v>13.1</v>
      </c>
      <c r="K94">
        <f>J94+Inputs!K115</f>
        <v>13.1</v>
      </c>
      <c r="L94">
        <f>K94+Inputs!L115</f>
        <v>13.1</v>
      </c>
      <c r="M94">
        <f>L94+Inputs!M115</f>
        <v>13.1</v>
      </c>
      <c r="N94">
        <f>M94+Inputs!N115</f>
        <v>13.1</v>
      </c>
    </row>
    <row r="95" spans="2:14" ht="13.8">
      <c r="C95" s="34" t="s">
        <v>51</v>
      </c>
      <c r="F95" s="52"/>
      <c r="G95" s="33">
        <v>4.2</v>
      </c>
      <c r="H95" s="33">
        <v>3.5</v>
      </c>
      <c r="I95" s="33">
        <v>2.1</v>
      </c>
      <c r="J95">
        <f>I95+Inputs!J116</f>
        <v>2.1</v>
      </c>
      <c r="K95">
        <f>J95+Inputs!K116</f>
        <v>2.1</v>
      </c>
      <c r="L95">
        <f>K95+Inputs!L116</f>
        <v>2.1</v>
      </c>
      <c r="M95">
        <f>L95+Inputs!M116</f>
        <v>2.1</v>
      </c>
      <c r="N95">
        <f>M95+Inputs!N116</f>
        <v>2.1</v>
      </c>
    </row>
    <row r="96" spans="2:14" ht="13.8">
      <c r="C96" s="35" t="s">
        <v>52</v>
      </c>
      <c r="F96" s="52"/>
      <c r="G96" s="62">
        <v>2398.3999999999996</v>
      </c>
      <c r="H96" s="62">
        <v>2498.4999999999995</v>
      </c>
      <c r="I96" s="62">
        <v>2588.3999999999996</v>
      </c>
      <c r="J96" s="98">
        <f>SUM(J92:J95)</f>
        <v>2670.5559999999996</v>
      </c>
      <c r="K96" s="98">
        <f t="shared" ref="K96:N96" si="33">SUM(K92:K95)</f>
        <v>2740.4288799999995</v>
      </c>
      <c r="L96" s="98">
        <f t="shared" si="33"/>
        <v>2808.8283023999993</v>
      </c>
      <c r="M96" s="98">
        <f t="shared" si="33"/>
        <v>2866.4813363519993</v>
      </c>
      <c r="N96" s="98">
        <f t="shared" si="33"/>
        <v>2914.5407496249591</v>
      </c>
    </row>
    <row r="97" spans="2:14" ht="13.8">
      <c r="C97" s="34"/>
      <c r="F97" s="50"/>
      <c r="G97" s="63"/>
      <c r="H97" s="63"/>
      <c r="I97" s="63"/>
    </row>
    <row r="98" spans="2:14" ht="14.4" thickBot="1">
      <c r="C98" s="24" t="s">
        <v>53</v>
      </c>
      <c r="F98" s="54"/>
      <c r="G98" s="64">
        <v>2625.7</v>
      </c>
      <c r="H98" s="64">
        <v>2724.0999999999995</v>
      </c>
      <c r="I98" s="64">
        <v>2811.9999999999995</v>
      </c>
      <c r="J98" s="112">
        <f ca="1">J90+J96</f>
        <v>2695.6943410663853</v>
      </c>
      <c r="K98" s="112">
        <f t="shared" ref="K98:N98" ca="1" si="34">K90+K96</f>
        <v>2930.0650235736789</v>
      </c>
      <c r="L98" s="112">
        <f t="shared" ca="1" si="34"/>
        <v>3159.2090479082831</v>
      </c>
      <c r="M98" s="112">
        <f t="shared" ca="1" si="34"/>
        <v>3000.7698014542693</v>
      </c>
      <c r="N98" s="112">
        <f t="shared" ca="1" si="34"/>
        <v>2948.7269607571016</v>
      </c>
    </row>
    <row r="99" spans="2:14" ht="14.4" thickTop="1">
      <c r="F99" s="50"/>
      <c r="G99" s="50"/>
      <c r="H99" s="50"/>
      <c r="I99" s="50"/>
    </row>
    <row r="100" spans="2:14" ht="13.8">
      <c r="F100" s="50"/>
      <c r="G100" s="50"/>
      <c r="H100" s="50"/>
      <c r="I100" s="50"/>
    </row>
    <row r="101" spans="2:14" ht="13.8">
      <c r="B101" s="29" t="s">
        <v>54</v>
      </c>
      <c r="F101" s="50"/>
      <c r="G101" s="50"/>
      <c r="H101" s="50"/>
      <c r="I101" s="50"/>
    </row>
    <row r="102" spans="2:14" ht="13.8">
      <c r="C102" s="34" t="s">
        <v>55</v>
      </c>
      <c r="F102" s="52"/>
      <c r="G102" s="33">
        <v>0</v>
      </c>
      <c r="H102" s="33">
        <v>0</v>
      </c>
      <c r="I102" s="33">
        <v>0</v>
      </c>
      <c r="J102">
        <f ca="1">J323</f>
        <v>17.364520639120144</v>
      </c>
      <c r="K102">
        <f t="shared" ref="K102:N102" ca="1" si="35">K323</f>
        <v>0</v>
      </c>
      <c r="L102">
        <f t="shared" ca="1" si="35"/>
        <v>0</v>
      </c>
      <c r="M102">
        <f t="shared" ca="1" si="35"/>
        <v>0</v>
      </c>
      <c r="N102">
        <f t="shared" ca="1" si="35"/>
        <v>24.270928538109615</v>
      </c>
    </row>
    <row r="103" spans="2:14" ht="13.8">
      <c r="C103" s="34" t="s">
        <v>56</v>
      </c>
      <c r="F103" s="52"/>
      <c r="G103" s="51">
        <v>14.9</v>
      </c>
      <c r="H103" s="51">
        <v>21.5</v>
      </c>
      <c r="I103" s="51">
        <v>23.9</v>
      </c>
      <c r="J103">
        <f>J226</f>
        <v>24.636337517386721</v>
      </c>
      <c r="K103">
        <f t="shared" ref="K103:N103" si="36">K226</f>
        <v>26.422541279571249</v>
      </c>
      <c r="L103">
        <f t="shared" si="36"/>
        <v>28.442869043271656</v>
      </c>
      <c r="M103">
        <f t="shared" si="36"/>
        <v>30.483837078673986</v>
      </c>
      <c r="N103">
        <f t="shared" si="36"/>
        <v>31.806122998709977</v>
      </c>
    </row>
    <row r="104" spans="2:14" ht="13.8">
      <c r="C104" s="34" t="s">
        <v>57</v>
      </c>
      <c r="F104" s="52"/>
      <c r="G104" s="32">
        <v>4.5999999999999996</v>
      </c>
      <c r="H104" s="32">
        <v>5.0999999999999996</v>
      </c>
      <c r="I104" s="32">
        <v>4.9000000000000004</v>
      </c>
      <c r="J104">
        <f>J227</f>
        <v>6.1059233551106438</v>
      </c>
      <c r="K104">
        <f t="shared" ref="K104:N104" si="37">K227</f>
        <v>6.5486199718789422</v>
      </c>
      <c r="L104">
        <f t="shared" si="37"/>
        <v>7.0493423892695484</v>
      </c>
      <c r="M104">
        <f t="shared" si="37"/>
        <v>7.5551803363914569</v>
      </c>
      <c r="N104">
        <f t="shared" si="37"/>
        <v>7.8828985483855813</v>
      </c>
    </row>
    <row r="105" spans="2:14" ht="13.8">
      <c r="C105" s="29" t="s">
        <v>58</v>
      </c>
      <c r="F105" s="50"/>
      <c r="G105" s="57">
        <v>19.5</v>
      </c>
      <c r="H105" s="57">
        <v>26.6</v>
      </c>
      <c r="I105" s="57">
        <v>28.799999999999997</v>
      </c>
      <c r="J105" s="98">
        <f ca="1">SUM(J102:J104)</f>
        <v>48.106781511617513</v>
      </c>
      <c r="K105" s="98">
        <f t="shared" ref="K105:N105" ca="1" si="38">SUM(K102:K104)</f>
        <v>32.971161251450191</v>
      </c>
      <c r="L105" s="98">
        <f t="shared" ca="1" si="38"/>
        <v>35.492211432541204</v>
      </c>
      <c r="M105" s="98">
        <f t="shared" ca="1" si="38"/>
        <v>38.039017415065445</v>
      </c>
      <c r="N105" s="98">
        <f t="shared" ca="1" si="38"/>
        <v>63.959950085205179</v>
      </c>
    </row>
    <row r="106" spans="2:14" ht="13.8">
      <c r="F106" s="50"/>
      <c r="G106" s="50"/>
      <c r="H106" s="50"/>
      <c r="I106" s="50"/>
    </row>
    <row r="107" spans="2:14" ht="13.8">
      <c r="C107" s="34" t="s">
        <v>59</v>
      </c>
      <c r="F107" s="65"/>
      <c r="G107" s="33">
        <v>577.70000000000005</v>
      </c>
      <c r="H107" s="33">
        <v>597.70000000000005</v>
      </c>
      <c r="I107" s="33">
        <v>622.70000000000005</v>
      </c>
      <c r="J107">
        <f>J297</f>
        <v>487.70000000000005</v>
      </c>
      <c r="K107">
        <f t="shared" ref="K107:N107" si="39">K297</f>
        <v>352.70000000000005</v>
      </c>
      <c r="L107">
        <f t="shared" si="39"/>
        <v>217.70000000000005</v>
      </c>
      <c r="M107">
        <f t="shared" si="39"/>
        <v>82.700000000000045</v>
      </c>
      <c r="N107">
        <f t="shared" si="39"/>
        <v>0</v>
      </c>
    </row>
    <row r="108" spans="2:14" ht="13.8">
      <c r="C108" s="34" t="s">
        <v>60</v>
      </c>
      <c r="F108" s="65"/>
      <c r="G108" s="33">
        <v>174.6</v>
      </c>
      <c r="H108" s="33">
        <v>199.6</v>
      </c>
      <c r="I108" s="33">
        <v>224.6</v>
      </c>
      <c r="J108">
        <f>J290</f>
        <v>174.6</v>
      </c>
      <c r="K108">
        <f t="shared" ref="K108:N108" si="40">K290</f>
        <v>124.6</v>
      </c>
      <c r="L108">
        <f t="shared" si="40"/>
        <v>74.599999999999994</v>
      </c>
      <c r="M108">
        <f t="shared" si="40"/>
        <v>24.599999999999994</v>
      </c>
      <c r="N108">
        <f t="shared" si="40"/>
        <v>0</v>
      </c>
    </row>
    <row r="109" spans="2:14" ht="13.8">
      <c r="C109" s="2" t="s">
        <v>15</v>
      </c>
      <c r="F109" s="65"/>
      <c r="G109" s="33">
        <v>10.4</v>
      </c>
      <c r="H109" s="33">
        <v>22.200000000000003</v>
      </c>
      <c r="I109" s="33">
        <v>30.6</v>
      </c>
      <c r="J109">
        <f>I109+J250</f>
        <v>32.225000000000001</v>
      </c>
      <c r="K109">
        <f>J109+K250</f>
        <v>33.85</v>
      </c>
      <c r="L109">
        <f>K109+L250</f>
        <v>35.475000000000001</v>
      </c>
      <c r="M109">
        <f>L109+M250</f>
        <v>37.1</v>
      </c>
      <c r="N109">
        <f>M109+N250</f>
        <v>38.725000000000001</v>
      </c>
    </row>
    <row r="110" spans="2:14" ht="13.8">
      <c r="C110" s="34" t="s">
        <v>61</v>
      </c>
      <c r="F110" s="65"/>
      <c r="G110" s="32">
        <v>2.4</v>
      </c>
      <c r="H110" s="32">
        <v>3.6</v>
      </c>
      <c r="I110" s="32">
        <v>3.2</v>
      </c>
      <c r="J110">
        <f>I110+Inputs!J117</f>
        <v>3.2</v>
      </c>
      <c r="K110">
        <f>J110+Inputs!K117</f>
        <v>3.2</v>
      </c>
      <c r="L110">
        <f>K110+Inputs!L117</f>
        <v>3.2</v>
      </c>
      <c r="M110">
        <f>L110+Inputs!M117</f>
        <v>3.2</v>
      </c>
      <c r="N110">
        <f>M110+Inputs!N117</f>
        <v>3.2</v>
      </c>
    </row>
    <row r="111" spans="2:14" ht="13.8">
      <c r="C111" s="35" t="s">
        <v>62</v>
      </c>
      <c r="F111" s="52"/>
      <c r="G111" s="57">
        <v>765.1</v>
      </c>
      <c r="H111" s="57">
        <v>823.10000000000014</v>
      </c>
      <c r="I111" s="57">
        <v>881.10000000000014</v>
      </c>
      <c r="J111" s="98">
        <f>SUM(J107:J110)</f>
        <v>697.72500000000014</v>
      </c>
      <c r="K111" s="98">
        <f t="shared" ref="K111:N111" si="41">SUM(K107:K110)</f>
        <v>514.35000000000014</v>
      </c>
      <c r="L111" s="98">
        <f t="shared" si="41"/>
        <v>330.97500000000008</v>
      </c>
      <c r="M111" s="98">
        <f t="shared" si="41"/>
        <v>147.60000000000002</v>
      </c>
      <c r="N111" s="98">
        <f t="shared" si="41"/>
        <v>41.925000000000004</v>
      </c>
    </row>
    <row r="112" spans="2:14" ht="13.8">
      <c r="C112" s="29"/>
      <c r="F112" s="50"/>
      <c r="G112" s="63"/>
      <c r="H112" s="63"/>
      <c r="I112" s="63"/>
    </row>
    <row r="113" spans="2:14" ht="13.8">
      <c r="C113" s="35" t="s">
        <v>63</v>
      </c>
      <c r="F113" s="54"/>
      <c r="G113" s="31">
        <v>784.6</v>
      </c>
      <c r="H113" s="31">
        <v>849.70000000000016</v>
      </c>
      <c r="I113" s="31">
        <v>909.90000000000009</v>
      </c>
      <c r="J113">
        <f ca="1">J105+J111</f>
        <v>745.83178151161769</v>
      </c>
      <c r="K113">
        <f t="shared" ref="K113:N113" ca="1" si="42">K105+K111</f>
        <v>547.32116125145035</v>
      </c>
      <c r="L113">
        <f t="shared" ca="1" si="42"/>
        <v>366.46721143254126</v>
      </c>
      <c r="M113">
        <f t="shared" ca="1" si="42"/>
        <v>185.63901741506547</v>
      </c>
      <c r="N113">
        <f t="shared" ca="1" si="42"/>
        <v>105.88495008520519</v>
      </c>
    </row>
    <row r="114" spans="2:14" ht="13.8">
      <c r="F114" s="50"/>
      <c r="G114" s="50"/>
      <c r="H114" s="50"/>
      <c r="I114" s="50"/>
    </row>
    <row r="115" spans="2:14" ht="13.8">
      <c r="C115" s="2" t="s">
        <v>64</v>
      </c>
      <c r="F115" s="50"/>
      <c r="G115" s="33">
        <v>0</v>
      </c>
      <c r="H115" s="33">
        <v>0</v>
      </c>
      <c r="I115" s="33">
        <v>0</v>
      </c>
      <c r="J115">
        <f>J258</f>
        <v>0</v>
      </c>
      <c r="K115">
        <f t="shared" ref="K115:N115" si="43">K258</f>
        <v>400</v>
      </c>
      <c r="L115">
        <f t="shared" si="43"/>
        <v>800</v>
      </c>
      <c r="M115">
        <f t="shared" si="43"/>
        <v>800</v>
      </c>
      <c r="N115">
        <f t="shared" si="43"/>
        <v>800</v>
      </c>
    </row>
    <row r="116" spans="2:14" ht="13.8">
      <c r="C116" s="2" t="s">
        <v>65</v>
      </c>
      <c r="F116" s="50"/>
      <c r="G116" s="33">
        <v>1653.2</v>
      </c>
      <c r="H116" s="33">
        <v>1649.2</v>
      </c>
      <c r="I116" s="33">
        <v>1643.2</v>
      </c>
      <c r="J116">
        <f>J266</f>
        <v>1653.2</v>
      </c>
      <c r="K116">
        <f t="shared" ref="K116:N116" si="44">K266</f>
        <v>1663.2</v>
      </c>
      <c r="L116">
        <f t="shared" si="44"/>
        <v>1663.2</v>
      </c>
      <c r="M116">
        <f t="shared" si="44"/>
        <v>1663.2</v>
      </c>
      <c r="N116">
        <f t="shared" si="44"/>
        <v>1663.2</v>
      </c>
    </row>
    <row r="117" spans="2:14" ht="13.8">
      <c r="C117" s="2" t="s">
        <v>66</v>
      </c>
      <c r="F117" s="50"/>
      <c r="G117" s="33">
        <v>175.1</v>
      </c>
      <c r="H117" s="33">
        <v>211.00000000000003</v>
      </c>
      <c r="I117" s="33">
        <v>245.00000000000003</v>
      </c>
      <c r="J117">
        <f ca="1">J274</f>
        <v>282.76255955476813</v>
      </c>
      <c r="K117">
        <f t="shared" ref="K117:N117" ca="1" si="45">K274</f>
        <v>305.64386232222932</v>
      </c>
      <c r="L117">
        <f t="shared" ca="1" si="45"/>
        <v>315.64183647574242</v>
      </c>
      <c r="M117">
        <f t="shared" ca="1" si="45"/>
        <v>338.03078403920432</v>
      </c>
      <c r="N117">
        <f t="shared" ca="1" si="45"/>
        <v>365.74201067189642</v>
      </c>
    </row>
    <row r="118" spans="2:14" ht="13.8">
      <c r="C118" s="2" t="s">
        <v>67</v>
      </c>
      <c r="F118" s="50"/>
      <c r="G118" s="32">
        <v>12.8</v>
      </c>
      <c r="H118" s="32">
        <v>14.2</v>
      </c>
      <c r="I118" s="32">
        <v>13.9</v>
      </c>
      <c r="J118">
        <f>I118+Inputs!J118</f>
        <v>13.9</v>
      </c>
      <c r="K118">
        <f>J118+Inputs!K118</f>
        <v>13.9</v>
      </c>
      <c r="L118">
        <f>K118+Inputs!L118</f>
        <v>13.9</v>
      </c>
      <c r="M118">
        <f>L118+Inputs!M118</f>
        <v>13.9</v>
      </c>
      <c r="N118">
        <f>M118+Inputs!N118</f>
        <v>13.9</v>
      </c>
    </row>
    <row r="119" spans="2:14" ht="13.8">
      <c r="C119" s="29" t="s">
        <v>68</v>
      </c>
      <c r="F119" s="52"/>
      <c r="G119" s="31">
        <v>1841.1</v>
      </c>
      <c r="H119" s="31">
        <v>1874.4</v>
      </c>
      <c r="I119" s="31">
        <v>1902.1000000000001</v>
      </c>
      <c r="J119" s="105">
        <f t="shared" ref="J119:N119" ca="1" si="46">SUM(J115:J118)</f>
        <v>1949.8625595547683</v>
      </c>
      <c r="K119" s="105">
        <f t="shared" ca="1" si="46"/>
        <v>2382.7438623222292</v>
      </c>
      <c r="L119" s="105">
        <f t="shared" ca="1" si="46"/>
        <v>2792.7418364757423</v>
      </c>
      <c r="M119" s="105">
        <f t="shared" ca="1" si="46"/>
        <v>2815.1307840392042</v>
      </c>
      <c r="N119" s="105">
        <f t="shared" ca="1" si="46"/>
        <v>2842.8420106718963</v>
      </c>
    </row>
    <row r="120" spans="2:14" ht="13.8">
      <c r="F120" s="50"/>
      <c r="G120" s="50"/>
      <c r="H120" s="50"/>
      <c r="I120" s="50"/>
    </row>
    <row r="121" spans="2:14" ht="14.4" thickBot="1">
      <c r="B121" s="29" t="s">
        <v>69</v>
      </c>
      <c r="F121" s="54"/>
      <c r="G121" s="64">
        <v>2625.7</v>
      </c>
      <c r="H121" s="64">
        <v>2724.1000000000004</v>
      </c>
      <c r="I121" s="64">
        <v>2812</v>
      </c>
      <c r="J121" s="112">
        <f ca="1">J113+J119</f>
        <v>2695.6943410663862</v>
      </c>
      <c r="K121" s="112">
        <f t="shared" ref="K121:N121" ca="1" si="47">K113+K119</f>
        <v>2930.0650235736794</v>
      </c>
      <c r="L121" s="112">
        <f t="shared" ca="1" si="47"/>
        <v>3159.2090479082835</v>
      </c>
      <c r="M121" s="112">
        <f t="shared" ca="1" si="47"/>
        <v>3000.7698014542698</v>
      </c>
      <c r="N121" s="112">
        <f t="shared" ca="1" si="47"/>
        <v>2948.7269607571016</v>
      </c>
    </row>
    <row r="122" spans="2:14" ht="14.4" thickTop="1">
      <c r="F122" s="66"/>
      <c r="G122" s="66"/>
      <c r="H122" s="66"/>
      <c r="I122" s="66"/>
    </row>
    <row r="123" spans="2:14" ht="13.8">
      <c r="B123" s="67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</row>
    <row r="124" spans="2:14" ht="13.8">
      <c r="B124" s="48"/>
    </row>
    <row r="125" spans="2:14" ht="13.8">
      <c r="D125" t="s">
        <v>201</v>
      </c>
      <c r="E125">
        <f ca="1">ROUND(SUM(G125:N125),1)</f>
        <v>0</v>
      </c>
      <c r="G125" s="68">
        <v>0</v>
      </c>
      <c r="H125" s="68">
        <v>0</v>
      </c>
      <c r="I125" s="68">
        <v>0</v>
      </c>
      <c r="J125">
        <f ca="1">J98-J121</f>
        <v>0</v>
      </c>
      <c r="K125">
        <f t="shared" ref="K125:N125" ca="1" si="48">K98-K121</f>
        <v>0</v>
      </c>
      <c r="L125">
        <f t="shared" ca="1" si="48"/>
        <v>0</v>
      </c>
      <c r="M125">
        <f t="shared" ca="1" si="48"/>
        <v>0</v>
      </c>
      <c r="N125">
        <f t="shared" ca="1" si="48"/>
        <v>0</v>
      </c>
    </row>
    <row r="128" spans="2:14" ht="23.4">
      <c r="B128" s="1" t="s">
        <v>70</v>
      </c>
      <c r="C128" s="1"/>
      <c r="D128" s="1"/>
      <c r="E128" s="1"/>
      <c r="F128" s="1"/>
      <c r="G128" s="1"/>
      <c r="H128" s="1"/>
      <c r="I128" s="1"/>
      <c r="J128" s="78"/>
      <c r="K128" s="78"/>
      <c r="L128" s="78"/>
      <c r="M128" s="78"/>
      <c r="N128" s="78"/>
    </row>
    <row r="129" spans="2:14" ht="18">
      <c r="B129" s="3" t="s">
        <v>137</v>
      </c>
      <c r="C129" s="3"/>
      <c r="D129" s="3"/>
      <c r="E129" s="3"/>
      <c r="F129" s="3"/>
      <c r="G129" s="3"/>
      <c r="H129" s="3"/>
      <c r="I129" s="3"/>
      <c r="J129" s="78"/>
      <c r="K129" s="78"/>
      <c r="L129" s="78"/>
      <c r="M129" s="78"/>
      <c r="N129" s="78"/>
    </row>
    <row r="130" spans="2:14" ht="18.600000000000001" thickBot="1">
      <c r="B130" s="4"/>
      <c r="C130" s="4"/>
      <c r="D130" s="4"/>
      <c r="E130" s="4"/>
      <c r="F130" s="4"/>
      <c r="G130" s="4"/>
      <c r="H130" s="4"/>
      <c r="I130" s="4"/>
      <c r="J130" s="4" t="s">
        <v>103</v>
      </c>
      <c r="K130" s="4"/>
      <c r="L130" s="4"/>
      <c r="M130" s="4"/>
      <c r="N130" s="4"/>
    </row>
    <row r="131" spans="2:14" ht="13.8">
      <c r="B131" s="5" t="s">
        <v>0</v>
      </c>
    </row>
    <row r="132" spans="2:14" ht="13.8">
      <c r="F132" s="6"/>
    </row>
    <row r="133" spans="2:14" ht="14.4" thickBot="1">
      <c r="F133" s="7"/>
      <c r="G133" s="8">
        <v>2020</v>
      </c>
      <c r="H133" s="8">
        <v>2021</v>
      </c>
      <c r="I133" s="8">
        <v>2022</v>
      </c>
      <c r="J133" s="72">
        <f>I133+1</f>
        <v>2023</v>
      </c>
      <c r="K133" s="72">
        <f>J133+1</f>
        <v>2024</v>
      </c>
      <c r="L133" s="72">
        <f>K133+1</f>
        <v>2025</v>
      </c>
      <c r="M133" s="72">
        <f>L133+1</f>
        <v>2026</v>
      </c>
      <c r="N133" s="72">
        <f>M133+1</f>
        <v>2027</v>
      </c>
    </row>
    <row r="135" spans="2:14" ht="13.8" thickBot="1"/>
    <row r="136" spans="2:14" ht="13.8" thickBot="1">
      <c r="B136" s="75" t="s">
        <v>138</v>
      </c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7"/>
    </row>
    <row r="138" spans="2:14">
      <c r="C138" s="69" t="str">
        <f>Inputs!C20</f>
        <v>Core Revenue</v>
      </c>
    </row>
    <row r="139" spans="2:14">
      <c r="C139" s="69"/>
      <c r="D139" t="s">
        <v>141</v>
      </c>
      <c r="I139">
        <f>I13</f>
        <v>278.89999999999998</v>
      </c>
    </row>
    <row r="140" spans="2:14">
      <c r="C140" s="69"/>
      <c r="D140" t="s">
        <v>142</v>
      </c>
      <c r="I140">
        <f>Inputs!I27</f>
        <v>20</v>
      </c>
    </row>
    <row r="141" spans="2:14">
      <c r="C141" s="69"/>
      <c r="D141" t="s">
        <v>143</v>
      </c>
      <c r="I141" s="97">
        <f>I139-I140</f>
        <v>258.89999999999998</v>
      </c>
    </row>
    <row r="142" spans="2:14">
      <c r="D142" t="str">
        <f>Inputs!D21</f>
        <v>Properties</v>
      </c>
      <c r="I142" s="93">
        <f>Inputs!I21</f>
        <v>390</v>
      </c>
      <c r="J142">
        <f>I142+J156</f>
        <v>420</v>
      </c>
      <c r="K142">
        <f>J142+K156</f>
        <v>450</v>
      </c>
      <c r="L142">
        <f>K142+L156</f>
        <v>480</v>
      </c>
      <c r="M142">
        <f>L142+M156</f>
        <v>510</v>
      </c>
      <c r="N142">
        <f>M142+N156</f>
        <v>520</v>
      </c>
    </row>
    <row r="143" spans="2:14">
      <c r="D143" t="str">
        <f>Inputs!D23</f>
        <v>Land mass</v>
      </c>
      <c r="F143">
        <v>0.6</v>
      </c>
      <c r="I143" s="93">
        <f>Inputs!I23</f>
        <v>1560000</v>
      </c>
    </row>
    <row r="144" spans="2:14">
      <c r="D144" t="s">
        <v>139</v>
      </c>
      <c r="E144" t="s">
        <v>140</v>
      </c>
      <c r="I144">
        <f>I141*Million/I142</f>
        <v>663846.15384615376</v>
      </c>
      <c r="J144">
        <f>I144*(1+J145)</f>
        <v>683761.53846153838</v>
      </c>
      <c r="K144">
        <f t="shared" ref="K144:N144" si="49">J144*(1+K145)</f>
        <v>704274.38461538451</v>
      </c>
      <c r="L144">
        <f t="shared" si="49"/>
        <v>725402.61615384603</v>
      </c>
      <c r="M144">
        <f t="shared" si="49"/>
        <v>747164.69463846146</v>
      </c>
      <c r="N144">
        <f t="shared" si="49"/>
        <v>769579.63547761529</v>
      </c>
    </row>
    <row r="145" spans="3:14">
      <c r="D145" t="s">
        <v>202</v>
      </c>
      <c r="J145" s="96">
        <f>Scenarios!J16</f>
        <v>0.03</v>
      </c>
      <c r="K145" s="96">
        <f>Scenarios!K16</f>
        <v>0.03</v>
      </c>
      <c r="L145" s="96">
        <f>Scenarios!L16</f>
        <v>0.03</v>
      </c>
      <c r="M145" s="96">
        <f>Scenarios!M16</f>
        <v>0.03</v>
      </c>
      <c r="N145" s="96">
        <f>Scenarios!N16</f>
        <v>0.03</v>
      </c>
    </row>
    <row r="146" spans="3:14">
      <c r="D146" t="s">
        <v>91</v>
      </c>
      <c r="J146">
        <f>J144*J142/Million</f>
        <v>287.17984615384614</v>
      </c>
      <c r="K146">
        <f>K144*K142/Million</f>
        <v>316.92347307692302</v>
      </c>
      <c r="L146">
        <f>L144*L142/Million</f>
        <v>348.19325575384613</v>
      </c>
      <c r="M146">
        <f>M144*M142/Million</f>
        <v>381.05399426561536</v>
      </c>
      <c r="N146">
        <f>N144*N142/Million</f>
        <v>400.18141044835994</v>
      </c>
    </row>
    <row r="148" spans="3:14">
      <c r="D148" s="81" t="s">
        <v>207</v>
      </c>
    </row>
    <row r="149" spans="3:14">
      <c r="D149" t="s">
        <v>203</v>
      </c>
      <c r="I149">
        <f>I143/F143</f>
        <v>2600000</v>
      </c>
    </row>
    <row r="150" spans="3:14">
      <c r="D150" t="s">
        <v>204</v>
      </c>
      <c r="E150" t="s">
        <v>98</v>
      </c>
      <c r="F150" s="90">
        <v>0.2</v>
      </c>
      <c r="I150">
        <f>F150*I149</f>
        <v>520000</v>
      </c>
    </row>
    <row r="151" spans="3:14">
      <c r="D151" t="s">
        <v>206</v>
      </c>
      <c r="E151" t="s">
        <v>94</v>
      </c>
      <c r="F151" s="90"/>
      <c r="I151">
        <f>I143/I142</f>
        <v>4000</v>
      </c>
    </row>
    <row r="152" spans="3:14">
      <c r="D152" t="s">
        <v>205</v>
      </c>
      <c r="E152" t="s">
        <v>105</v>
      </c>
      <c r="F152" s="90"/>
      <c r="I152">
        <f>I150/I151</f>
        <v>130</v>
      </c>
    </row>
    <row r="153" spans="3:14">
      <c r="D153" s="81" t="s">
        <v>210</v>
      </c>
      <c r="F153" s="90"/>
    </row>
    <row r="154" spans="3:14">
      <c r="D154" t="s">
        <v>208</v>
      </c>
      <c r="F154" s="90"/>
      <c r="J154" s="93">
        <f>Scenarios!J31</f>
        <v>30</v>
      </c>
      <c r="K154" s="93">
        <f>Scenarios!K31</f>
        <v>30</v>
      </c>
      <c r="L154" s="93">
        <f>Scenarios!L31</f>
        <v>30</v>
      </c>
      <c r="M154" s="93">
        <f>Scenarios!M31</f>
        <v>30</v>
      </c>
      <c r="N154" s="93">
        <f>Scenarios!N31</f>
        <v>30</v>
      </c>
    </row>
    <row r="155" spans="3:14">
      <c r="D155" t="s">
        <v>172</v>
      </c>
      <c r="E155" t="s">
        <v>105</v>
      </c>
      <c r="J155">
        <f>I157</f>
        <v>130</v>
      </c>
      <c r="K155">
        <f t="shared" ref="K155:N155" si="50">J157</f>
        <v>100</v>
      </c>
      <c r="L155">
        <f t="shared" si="50"/>
        <v>70</v>
      </c>
      <c r="M155">
        <f t="shared" si="50"/>
        <v>40</v>
      </c>
      <c r="N155">
        <f t="shared" si="50"/>
        <v>10</v>
      </c>
    </row>
    <row r="156" spans="3:14">
      <c r="D156" t="s">
        <v>211</v>
      </c>
      <c r="E156" t="s">
        <v>105</v>
      </c>
      <c r="J156">
        <f>MIN(J154,J155)</f>
        <v>30</v>
      </c>
      <c r="K156">
        <f t="shared" ref="K156:N156" si="51">MIN(K154,K155)</f>
        <v>30</v>
      </c>
      <c r="L156">
        <f t="shared" si="51"/>
        <v>30</v>
      </c>
      <c r="M156">
        <f t="shared" si="51"/>
        <v>30</v>
      </c>
      <c r="N156">
        <f t="shared" si="51"/>
        <v>10</v>
      </c>
    </row>
    <row r="157" spans="3:14">
      <c r="D157" t="s">
        <v>152</v>
      </c>
      <c r="E157" t="s">
        <v>105</v>
      </c>
      <c r="I157" s="93">
        <f>I152</f>
        <v>130</v>
      </c>
      <c r="J157" s="120">
        <f>J155-J156</f>
        <v>100</v>
      </c>
      <c r="K157" s="105">
        <f t="shared" ref="K157:N157" si="52">K155-K156</f>
        <v>70</v>
      </c>
      <c r="L157" s="105">
        <f t="shared" si="52"/>
        <v>40</v>
      </c>
      <c r="M157" s="105">
        <f t="shared" si="52"/>
        <v>10</v>
      </c>
      <c r="N157" s="105">
        <f t="shared" si="52"/>
        <v>0</v>
      </c>
    </row>
    <row r="159" spans="3:14">
      <c r="C159" t="str">
        <f>Inputs!C26</f>
        <v>Rental Revenue</v>
      </c>
    </row>
    <row r="160" spans="3:14">
      <c r="D160" t="str">
        <f>Inputs!D27</f>
        <v>Renting of Grounds</v>
      </c>
      <c r="I160" s="93">
        <f>Inputs!I27</f>
        <v>20</v>
      </c>
      <c r="J160">
        <f>I160*(1+J161)</f>
        <v>20.6</v>
      </c>
      <c r="K160">
        <f>J160*(1+K161)</f>
        <v>21.218000000000004</v>
      </c>
      <c r="L160">
        <f>K160*(1+L161)</f>
        <v>21.854540000000004</v>
      </c>
      <c r="M160">
        <f>L160*(1+M161)</f>
        <v>22.510176200000004</v>
      </c>
      <c r="N160">
        <f>M160*(1+N161)</f>
        <v>23.185481486000004</v>
      </c>
    </row>
    <row r="161" spans="2:14">
      <c r="D161" t="str">
        <f>Inputs!D28</f>
        <v>Growth in Rental Revenue</v>
      </c>
      <c r="J161" s="96">
        <f>Inputs!J28</f>
        <v>0.03</v>
      </c>
      <c r="K161" s="96">
        <f>Inputs!K28</f>
        <v>0.03</v>
      </c>
      <c r="L161" s="96">
        <f>Inputs!L28</f>
        <v>0.03</v>
      </c>
      <c r="M161" s="96">
        <f>Inputs!M28</f>
        <v>0.03</v>
      </c>
      <c r="N161" s="96">
        <f>Inputs!N28</f>
        <v>0.03</v>
      </c>
    </row>
    <row r="163" spans="2:14">
      <c r="D163" s="99" t="s">
        <v>141</v>
      </c>
      <c r="E163" s="73"/>
      <c r="F163" s="73"/>
      <c r="G163" s="73"/>
      <c r="H163" s="73"/>
      <c r="I163" s="73"/>
      <c r="J163" s="73">
        <f>J146+J160</f>
        <v>307.77984615384617</v>
      </c>
      <c r="K163" s="73">
        <f>K146+K160</f>
        <v>338.14147307692303</v>
      </c>
      <c r="L163" s="73">
        <f>L146+L160</f>
        <v>370.04779575384612</v>
      </c>
      <c r="M163" s="73">
        <f>M146+M160</f>
        <v>403.56417046561535</v>
      </c>
      <c r="N163" s="100">
        <f>N146+N160</f>
        <v>423.36689193435996</v>
      </c>
    </row>
    <row r="165" spans="2:14" ht="13.8" thickBot="1"/>
    <row r="166" spans="2:14" ht="13.8" thickBot="1">
      <c r="B166" s="75" t="s">
        <v>144</v>
      </c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7"/>
    </row>
    <row r="168" spans="2:14">
      <c r="D168" t="str">
        <f>Inputs!D32</f>
        <v>Cost of Sale</v>
      </c>
      <c r="E168" t="str">
        <f>Inputs!E32</f>
        <v>$'MM</v>
      </c>
      <c r="I168" s="93">
        <f>Inputs!I32</f>
        <v>102.9</v>
      </c>
    </row>
    <row r="169" spans="2:14">
      <c r="D169" t="str">
        <f>Inputs!D33</f>
        <v>Variable Costs</v>
      </c>
      <c r="E169" t="str">
        <f>Inputs!E33</f>
        <v>$'MM</v>
      </c>
      <c r="I169" s="93">
        <f>Inputs!I33</f>
        <v>61.74</v>
      </c>
    </row>
    <row r="170" spans="2:14">
      <c r="D170" t="str">
        <f>D142</f>
        <v>Properties</v>
      </c>
      <c r="I170">
        <f t="shared" ref="I170:N170" si="53">I142</f>
        <v>390</v>
      </c>
      <c r="J170">
        <f t="shared" si="53"/>
        <v>420</v>
      </c>
      <c r="K170">
        <f t="shared" si="53"/>
        <v>450</v>
      </c>
      <c r="L170">
        <f t="shared" si="53"/>
        <v>480</v>
      </c>
      <c r="M170">
        <f t="shared" si="53"/>
        <v>510</v>
      </c>
      <c r="N170">
        <f t="shared" si="53"/>
        <v>520</v>
      </c>
    </row>
    <row r="171" spans="2:14">
      <c r="D171" t="s">
        <v>145</v>
      </c>
      <c r="E171" t="s">
        <v>140</v>
      </c>
      <c r="I171">
        <f>I169/I170</f>
        <v>0.15830769230769232</v>
      </c>
      <c r="J171">
        <f>I171*(1+J172)</f>
        <v>0.1630569230769231</v>
      </c>
      <c r="K171">
        <f>J171*(1+K172)</f>
        <v>0.16794863076923081</v>
      </c>
      <c r="L171">
        <f>K171*(1+L172)</f>
        <v>0.17298708969230772</v>
      </c>
      <c r="M171">
        <f>L171*(1+M172)</f>
        <v>0.17817670238307695</v>
      </c>
      <c r="N171">
        <f>M171*(1+N172)</f>
        <v>0.18352200345456926</v>
      </c>
    </row>
    <row r="172" spans="2:14">
      <c r="D172" t="str">
        <f>Inputs!D36</f>
        <v>Growth  Rate</v>
      </c>
      <c r="J172" s="96">
        <f>Inputs!J36</f>
        <v>0.03</v>
      </c>
      <c r="K172" s="96">
        <f>Inputs!K36</f>
        <v>0.03</v>
      </c>
      <c r="L172" s="96">
        <f>Inputs!L36</f>
        <v>0.03</v>
      </c>
      <c r="M172" s="96">
        <f>Inputs!M36</f>
        <v>0.03</v>
      </c>
      <c r="N172" s="96">
        <f>Inputs!N36</f>
        <v>0.03</v>
      </c>
    </row>
    <row r="173" spans="2:14">
      <c r="D173" t="s">
        <v>107</v>
      </c>
      <c r="J173">
        <f>J171*J170</f>
        <v>68.483907692307696</v>
      </c>
      <c r="K173">
        <f>K171*K170</f>
        <v>75.576883846153862</v>
      </c>
      <c r="L173">
        <f>L171*L170</f>
        <v>83.033803052307704</v>
      </c>
      <c r="M173">
        <f>M171*M170</f>
        <v>90.870118215369246</v>
      </c>
      <c r="N173">
        <f>N171*N170</f>
        <v>95.431441796376021</v>
      </c>
    </row>
    <row r="174" spans="2:14">
      <c r="D174" t="str">
        <f>Inputs!D34</f>
        <v>Fixed Cost</v>
      </c>
      <c r="E174" t="str">
        <f>Inputs!E34</f>
        <v>$'MM</v>
      </c>
      <c r="I174" s="93">
        <f>Inputs!I34</f>
        <v>41.160000000000004</v>
      </c>
      <c r="J174">
        <f>I174*(1+J172)</f>
        <v>42.394800000000004</v>
      </c>
      <c r="K174">
        <f>J174*(1+K172)</f>
        <v>43.666644000000005</v>
      </c>
      <c r="L174">
        <f>K174*(1+L172)</f>
        <v>44.976643320000008</v>
      </c>
      <c r="M174">
        <f>L174*(1+M172)</f>
        <v>46.325942619600006</v>
      </c>
      <c r="N174">
        <f>M174*(1+N172)</f>
        <v>47.71572089818801</v>
      </c>
    </row>
    <row r="176" spans="2:14">
      <c r="D176" s="99" t="s">
        <v>146</v>
      </c>
      <c r="E176" s="73"/>
      <c r="F176" s="73"/>
      <c r="G176" s="73"/>
      <c r="H176" s="73"/>
      <c r="I176" s="73"/>
      <c r="J176" s="73">
        <f>J173+J174</f>
        <v>110.8787076923077</v>
      </c>
      <c r="K176" s="73">
        <f>K173+K174</f>
        <v>119.24352784615387</v>
      </c>
      <c r="L176" s="73">
        <f>L173+L174</f>
        <v>128.01044637230771</v>
      </c>
      <c r="M176" s="73">
        <f>M173+M174</f>
        <v>137.19606083496924</v>
      </c>
      <c r="N176" s="100">
        <f>N173+N174</f>
        <v>143.14716269456403</v>
      </c>
    </row>
    <row r="178" spans="2:14">
      <c r="D178" t="str">
        <f>Inputs!D38</f>
        <v>SG&amp;A</v>
      </c>
      <c r="I178">
        <f>Inputs!I38</f>
        <v>0</v>
      </c>
      <c r="J178" s="93">
        <f>Inputs!J38</f>
        <v>25</v>
      </c>
      <c r="K178">
        <f>J178*(1+K179)</f>
        <v>25.75</v>
      </c>
      <c r="L178">
        <f>K178*(1+L179)</f>
        <v>26.522500000000001</v>
      </c>
      <c r="M178">
        <f>L178*(1+M179)</f>
        <v>27.318175</v>
      </c>
      <c r="N178">
        <f>M178*(1+N179)</f>
        <v>28.137720250000001</v>
      </c>
    </row>
    <row r="179" spans="2:14">
      <c r="D179" t="str">
        <f>Inputs!D39</f>
        <v>Growth  Rate</v>
      </c>
      <c r="K179" s="94">
        <f>Inputs!K39</f>
        <v>0.03</v>
      </c>
      <c r="L179" s="94">
        <f>Inputs!L39</f>
        <v>0.03</v>
      </c>
      <c r="M179" s="94">
        <f>Inputs!M39</f>
        <v>0.03</v>
      </c>
      <c r="N179" s="94">
        <f>Inputs!N39</f>
        <v>0.03</v>
      </c>
    </row>
    <row r="180" spans="2:14" ht="13.8" thickBot="1"/>
    <row r="181" spans="2:14" ht="13.8" thickBot="1">
      <c r="B181" s="75" t="s">
        <v>147</v>
      </c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7"/>
    </row>
    <row r="183" spans="2:14">
      <c r="D183" t="str">
        <f>Inputs!D43</f>
        <v>Capex Additions</v>
      </c>
      <c r="J183" s="93">
        <f>Inputs!J43</f>
        <v>140</v>
      </c>
      <c r="K183" s="93">
        <f>Inputs!K43</f>
        <v>140</v>
      </c>
      <c r="L183" s="93">
        <f>Inputs!L43</f>
        <v>150</v>
      </c>
      <c r="M183" s="93">
        <f>Inputs!M43</f>
        <v>150</v>
      </c>
      <c r="N183" s="93">
        <f>Inputs!N43</f>
        <v>150</v>
      </c>
    </row>
    <row r="185" spans="2:14">
      <c r="C185" s="81" t="s">
        <v>148</v>
      </c>
    </row>
    <row r="186" spans="2:14">
      <c r="D186" t="s">
        <v>149</v>
      </c>
      <c r="J186">
        <f>I189</f>
        <v>2542.1999999999998</v>
      </c>
      <c r="K186">
        <f>J189</f>
        <v>2624.3559999999998</v>
      </c>
      <c r="L186">
        <f>K189</f>
        <v>2694.2288799999997</v>
      </c>
      <c r="M186">
        <f>L189</f>
        <v>2762.6283023999995</v>
      </c>
      <c r="N186">
        <f>M189</f>
        <v>2820.2813363519995</v>
      </c>
    </row>
    <row r="187" spans="2:14">
      <c r="D187" t="s">
        <v>150</v>
      </c>
      <c r="J187">
        <f>J183</f>
        <v>140</v>
      </c>
      <c r="K187">
        <f>K183</f>
        <v>140</v>
      </c>
      <c r="L187">
        <f>L183</f>
        <v>150</v>
      </c>
      <c r="M187">
        <f>M183</f>
        <v>150</v>
      </c>
      <c r="N187">
        <f>N183</f>
        <v>150</v>
      </c>
    </row>
    <row r="188" spans="2:14">
      <c r="D188" t="s">
        <v>151</v>
      </c>
      <c r="J188">
        <f>J212</f>
        <v>57.843999999999994</v>
      </c>
      <c r="K188">
        <f>K212</f>
        <v>70.127119999999991</v>
      </c>
      <c r="L188">
        <f>L212</f>
        <v>81.600577600000008</v>
      </c>
      <c r="M188">
        <f>M212</f>
        <v>92.346966047999999</v>
      </c>
      <c r="N188">
        <f>N212</f>
        <v>101.94058672704</v>
      </c>
    </row>
    <row r="189" spans="2:14" s="69" customFormat="1">
      <c r="D189" s="101" t="s">
        <v>152</v>
      </c>
      <c r="E189" s="74"/>
      <c r="F189" s="74"/>
      <c r="G189" s="74"/>
      <c r="H189" s="74"/>
      <c r="I189" s="107">
        <f>I92</f>
        <v>2542.1999999999998</v>
      </c>
      <c r="J189" s="74">
        <f>J186+J187-J188</f>
        <v>2624.3559999999998</v>
      </c>
      <c r="K189" s="74">
        <f>K186+K187-K188</f>
        <v>2694.2288799999997</v>
      </c>
      <c r="L189" s="74">
        <f>L186+L187-L188</f>
        <v>2762.6283023999995</v>
      </c>
      <c r="M189" s="74">
        <f>M186+M187-M188</f>
        <v>2820.2813363519995</v>
      </c>
      <c r="N189" s="102">
        <f>N186+N187-N188</f>
        <v>2868.3407496249592</v>
      </c>
    </row>
    <row r="192" spans="2:14">
      <c r="C192" s="81" t="s">
        <v>10</v>
      </c>
    </row>
    <row r="194" spans="3:14">
      <c r="C194" s="69" t="s">
        <v>115</v>
      </c>
    </row>
    <row r="195" spans="3:14">
      <c r="D195" t="str">
        <f>Inputs!D49</f>
        <v>Exiting</v>
      </c>
      <c r="E195" t="str">
        <f>Inputs!E49</f>
        <v>%</v>
      </c>
      <c r="F195" s="96">
        <f>Inputs!F49</f>
        <v>0.02</v>
      </c>
    </row>
    <row r="196" spans="3:14">
      <c r="D196" t="str">
        <f>Inputs!D50</f>
        <v>New</v>
      </c>
      <c r="E196" t="str">
        <f>Inputs!E50</f>
        <v>%</v>
      </c>
      <c r="F196" s="96">
        <f>Inputs!F50</f>
        <v>0.1</v>
      </c>
    </row>
    <row r="198" spans="3:14">
      <c r="D198" s="81" t="s">
        <v>153</v>
      </c>
    </row>
    <row r="199" spans="3:14">
      <c r="D199" t="str">
        <f>Model!C92</f>
        <v>Net PP&amp;E</v>
      </c>
      <c r="I199" s="93">
        <f>I92</f>
        <v>2542.1999999999998</v>
      </c>
    </row>
    <row r="200" spans="3:14">
      <c r="D200" s="101" t="s">
        <v>10</v>
      </c>
      <c r="E200" s="74"/>
      <c r="F200" s="74"/>
      <c r="G200" s="74"/>
      <c r="H200" s="74"/>
      <c r="I200" s="74"/>
      <c r="J200" s="74">
        <f>($I$199-SUM($I200:I200))*$F$195</f>
        <v>50.843999999999994</v>
      </c>
      <c r="K200" s="74">
        <f>($I$199-SUM($I200:J200))*$F$195</f>
        <v>49.827119999999994</v>
      </c>
      <c r="L200" s="74">
        <f>($I$199-SUM($I200:K200))*$F$195</f>
        <v>48.830577599999998</v>
      </c>
      <c r="M200" s="74">
        <f>($I$199-SUM($I200:L200))*$F$195</f>
        <v>47.853966047999997</v>
      </c>
      <c r="N200" s="102">
        <f>($I$199-SUM($I200:M200))*$F$195</f>
        <v>46.896886727039998</v>
      </c>
    </row>
    <row r="202" spans="3:14">
      <c r="D202" s="81" t="s">
        <v>154</v>
      </c>
    </row>
    <row r="203" spans="3:14">
      <c r="G203" s="103" t="s">
        <v>155</v>
      </c>
      <c r="H203" s="103" t="s">
        <v>156</v>
      </c>
      <c r="J203" s="79">
        <f>J133</f>
        <v>2023</v>
      </c>
      <c r="K203" s="79">
        <f>K133</f>
        <v>2024</v>
      </c>
      <c r="L203" s="79">
        <f>L133</f>
        <v>2025</v>
      </c>
      <c r="M203" s="79">
        <f>M133</f>
        <v>2026</v>
      </c>
      <c r="N203" s="79">
        <f>N133</f>
        <v>2027</v>
      </c>
    </row>
    <row r="204" spans="3:14">
      <c r="G204" s="79">
        <f t="array" ref="G204:G208">TRANSPOSE(J203:N203)</f>
        <v>2023</v>
      </c>
      <c r="H204">
        <f t="array" ref="H204:H208">TRANSPOSE(J183:N183)</f>
        <v>140</v>
      </c>
      <c r="J204">
        <f>IF(J$203=$G204,$H204*$F$196/2,($H204-SUM($I204:I204))*$F$196)</f>
        <v>7</v>
      </c>
      <c r="K204">
        <f>IF(K$203=$G204,$H204*$F$196/2,($H204-SUM($I204:J204))*$F$196)</f>
        <v>13.3</v>
      </c>
      <c r="L204">
        <f>IF(L$203=$G204,$H204*$F$196/2,($H204-SUM($I204:K204))*$F$196)</f>
        <v>11.97</v>
      </c>
      <c r="M204">
        <f>IF(M$203=$G204,$H204*$F$196/2,($H204-SUM($I204:L204))*$F$196)</f>
        <v>10.773</v>
      </c>
      <c r="N204">
        <f>IF(N$203=$G204,$H204*$F$196/2,($H204-SUM($I204:M204))*$F$196)</f>
        <v>9.6957000000000004</v>
      </c>
    </row>
    <row r="205" spans="3:14">
      <c r="G205" s="79">
        <v>2024</v>
      </c>
      <c r="H205">
        <v>140</v>
      </c>
      <c r="K205">
        <f>IF(K$203=$G205,$H205*$F$196/2,($H205-SUM($I205:J205))*$F$196)</f>
        <v>7</v>
      </c>
      <c r="L205">
        <f>IF(L$203=$G205,$H205*$F$196/2,($H205-SUM($I205:K205))*$F$196)</f>
        <v>13.3</v>
      </c>
      <c r="M205">
        <f>IF(M$203=$G205,$H205*$F$196/2,($H205-SUM($I205:L205))*$F$196)</f>
        <v>11.97</v>
      </c>
      <c r="N205">
        <f>IF(N$203=$G205,$H205*$F$196/2,($H205-SUM($I205:M205))*$F$196)</f>
        <v>10.773</v>
      </c>
    </row>
    <row r="206" spans="3:14">
      <c r="G206" s="79">
        <v>2025</v>
      </c>
      <c r="H206">
        <v>150</v>
      </c>
      <c r="L206">
        <f>IF(L$203=$G206,$H206*$F$196/2,($H206-SUM($I206:K206))*$F$196)</f>
        <v>7.5</v>
      </c>
      <c r="M206">
        <f>IF(M$203=$G206,$H206*$F$196/2,($H206-SUM($I206:L206))*$F$196)</f>
        <v>14.25</v>
      </c>
      <c r="N206">
        <f>IF(N$203=$G206,$H206*$F$196/2,($H206-SUM($I206:M206))*$F$196)</f>
        <v>12.825000000000001</v>
      </c>
    </row>
    <row r="207" spans="3:14">
      <c r="G207" s="79">
        <v>2026</v>
      </c>
      <c r="H207">
        <v>150</v>
      </c>
      <c r="M207">
        <f>IF(M$203=$G207,$H207*$F$196/2,($H207-SUM($I207:L207))*$F$196)</f>
        <v>7.5</v>
      </c>
      <c r="N207">
        <f>IF(N$203=$G207,$H207*$F$196/2,($H207-SUM($I207:M207))*$F$196)</f>
        <v>14.25</v>
      </c>
    </row>
    <row r="208" spans="3:14">
      <c r="G208" s="79">
        <v>2027</v>
      </c>
      <c r="H208">
        <v>150</v>
      </c>
      <c r="N208">
        <f>IF(N$203=$G208,$H208*$F$196/2,($H208-SUM($I208:M208))*$F$196)</f>
        <v>7.5</v>
      </c>
    </row>
    <row r="209" spans="2:14">
      <c r="D209" s="101" t="s">
        <v>10</v>
      </c>
      <c r="E209" s="74"/>
      <c r="F209" s="74"/>
      <c r="G209" s="74"/>
      <c r="H209" s="74"/>
      <c r="I209" s="74"/>
      <c r="J209" s="74">
        <f>SUM(J204:J208)</f>
        <v>7</v>
      </c>
      <c r="K209" s="74">
        <f>SUM(K204:K208)</f>
        <v>20.3</v>
      </c>
      <c r="L209" s="74">
        <f>SUM(L204:L208)</f>
        <v>32.770000000000003</v>
      </c>
      <c r="M209" s="74">
        <f>SUM(M204:M208)</f>
        <v>44.493000000000002</v>
      </c>
      <c r="N209" s="102">
        <f>SUM(N204:N208)</f>
        <v>55.043700000000001</v>
      </c>
    </row>
    <row r="212" spans="2:14">
      <c r="D212" s="101" t="s">
        <v>157</v>
      </c>
      <c r="E212" s="74"/>
      <c r="F212" s="74"/>
      <c r="G212" s="74"/>
      <c r="H212" s="74"/>
      <c r="I212" s="74"/>
      <c r="J212" s="74">
        <f>J209+J200</f>
        <v>57.843999999999994</v>
      </c>
      <c r="K212" s="74">
        <f>K209+K200</f>
        <v>70.127119999999991</v>
      </c>
      <c r="L212" s="74">
        <f>L209+L200</f>
        <v>81.600577600000008</v>
      </c>
      <c r="M212" s="74">
        <f>M209+M200</f>
        <v>92.346966047999999</v>
      </c>
      <c r="N212" s="102">
        <f>N209+N200</f>
        <v>101.94058672704</v>
      </c>
    </row>
    <row r="214" spans="2:14" ht="13.8" thickBot="1"/>
    <row r="215" spans="2:14" ht="13.8" thickBot="1">
      <c r="B215" s="75" t="s">
        <v>158</v>
      </c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7"/>
    </row>
    <row r="217" spans="2:14">
      <c r="D217" t="str">
        <f>Inputs!D55</f>
        <v>Days in the year</v>
      </c>
      <c r="G217" s="93">
        <f>Inputs!G55</f>
        <v>366</v>
      </c>
      <c r="H217" s="93">
        <f>Inputs!H55</f>
        <v>365</v>
      </c>
      <c r="I217" s="93">
        <f>Inputs!I55</f>
        <v>365</v>
      </c>
      <c r="J217" s="93">
        <f>Inputs!J55</f>
        <v>365</v>
      </c>
      <c r="K217" s="93">
        <f>Inputs!K55</f>
        <v>366</v>
      </c>
      <c r="L217" s="93">
        <f>Inputs!L55</f>
        <v>365</v>
      </c>
      <c r="M217" s="93">
        <f>Inputs!M55</f>
        <v>365</v>
      </c>
      <c r="N217" s="93">
        <f>Inputs!N55</f>
        <v>365</v>
      </c>
    </row>
    <row r="218" spans="2:14">
      <c r="C218" t="str">
        <f>Inputs!C56</f>
        <v>Extracts from Financials</v>
      </c>
    </row>
    <row r="219" spans="2:14">
      <c r="D219" t="str">
        <f>Inputs!D57</f>
        <v>Revenue</v>
      </c>
      <c r="G219" s="93">
        <f>Inputs!G57</f>
        <v>234.1</v>
      </c>
      <c r="H219" s="93">
        <f>Inputs!H57</f>
        <v>258.7</v>
      </c>
      <c r="I219" s="93">
        <f>Inputs!I57</f>
        <v>278.89999999999998</v>
      </c>
      <c r="J219" s="93">
        <f>J13</f>
        <v>307.77984615384617</v>
      </c>
      <c r="K219" s="93">
        <f>K13</f>
        <v>338.14147307692303</v>
      </c>
      <c r="L219" s="93">
        <f>L13</f>
        <v>370.04779575384612</v>
      </c>
      <c r="M219" s="93">
        <f>M13</f>
        <v>403.56417046561535</v>
      </c>
      <c r="N219" s="93">
        <f>N13</f>
        <v>423.36689193435996</v>
      </c>
    </row>
    <row r="220" spans="2:14">
      <c r="D220" t="str">
        <f>Inputs!D58</f>
        <v>Operating Costs</v>
      </c>
      <c r="G220" s="93">
        <f>Inputs!G58</f>
        <v>74.599999999999994</v>
      </c>
      <c r="H220" s="93">
        <f>Inputs!H58</f>
        <v>91.8</v>
      </c>
      <c r="I220" s="93">
        <f>Inputs!I58</f>
        <v>102.9</v>
      </c>
      <c r="J220" s="93">
        <f>J15</f>
        <v>110.8787076923077</v>
      </c>
      <c r="K220" s="93">
        <f>K15</f>
        <v>119.24352784615387</v>
      </c>
      <c r="L220" s="93">
        <f>L15</f>
        <v>128.01044637230771</v>
      </c>
      <c r="M220" s="93">
        <f>M15</f>
        <v>137.19606083496924</v>
      </c>
      <c r="N220" s="93">
        <f>N15</f>
        <v>143.14716269456403</v>
      </c>
    </row>
    <row r="222" spans="2:14">
      <c r="D222" t="str">
        <f>Inputs!D60</f>
        <v>Accounts Receivable</v>
      </c>
      <c r="G222" s="93">
        <f>Inputs!G60</f>
        <v>16</v>
      </c>
      <c r="H222" s="93">
        <f>Inputs!H60</f>
        <v>15.1</v>
      </c>
      <c r="I222" s="93">
        <f>Inputs!I60</f>
        <v>20.2</v>
      </c>
      <c r="J222">
        <f>J233/J217*J219</f>
        <v>20.490548661749212</v>
      </c>
      <c r="K222">
        <f>K233/K217*K219</f>
        <v>22.450376491172761</v>
      </c>
      <c r="L222">
        <f>L233/L217*L219</f>
        <v>24.636058731009484</v>
      </c>
      <c r="M222">
        <f>M233/M217*M219</f>
        <v>26.867422855656038</v>
      </c>
      <c r="N222">
        <f>N233/N217*N219</f>
        <v>28.18579581919164</v>
      </c>
    </row>
    <row r="223" spans="2:14">
      <c r="D223" t="str">
        <f>Inputs!D61</f>
        <v>Inventory</v>
      </c>
      <c r="G223" s="93">
        <f>Inputs!G61</f>
        <v>2.8</v>
      </c>
      <c r="H223" s="93">
        <f>Inputs!H61</f>
        <v>3.6</v>
      </c>
      <c r="I223" s="93">
        <f>Inputs!I61</f>
        <v>4.2</v>
      </c>
      <c r="J223">
        <f t="shared" ref="J223:N224" si="54">J234/J$217*J$220</f>
        <v>4.3440151232876714</v>
      </c>
      <c r="K223">
        <f t="shared" si="54"/>
        <v>4.6589684377049192</v>
      </c>
      <c r="L223">
        <f t="shared" si="54"/>
        <v>5.0152037893808226</v>
      </c>
      <c r="M223">
        <f t="shared" si="54"/>
        <v>5.375078547780987</v>
      </c>
      <c r="N223">
        <f t="shared" si="54"/>
        <v>5.608231305567851</v>
      </c>
    </row>
    <row r="224" spans="2:14">
      <c r="D224" t="str">
        <f>Inputs!D62</f>
        <v>Other Current Assets</v>
      </c>
      <c r="G224" s="93">
        <f>Inputs!G62</f>
        <v>0.3</v>
      </c>
      <c r="H224" s="93">
        <f>Inputs!H62</f>
        <v>0.2</v>
      </c>
      <c r="I224" s="93">
        <f>Inputs!I62</f>
        <v>0.2</v>
      </c>
      <c r="J224">
        <f t="shared" si="54"/>
        <v>0.30377728134878823</v>
      </c>
      <c r="K224">
        <f t="shared" si="54"/>
        <v>0.32580198865069365</v>
      </c>
      <c r="L224">
        <f t="shared" si="54"/>
        <v>0.35071355170495266</v>
      </c>
      <c r="M224">
        <f t="shared" si="54"/>
        <v>0.37587961872594317</v>
      </c>
      <c r="N224">
        <f t="shared" si="54"/>
        <v>0.39218400738236719</v>
      </c>
    </row>
    <row r="225" spans="2:14" s="69" customFormat="1">
      <c r="D225" s="69" t="s">
        <v>160</v>
      </c>
      <c r="G225" s="106">
        <f t="shared" ref="G225:N225" si="55">SUM(G222:G224)</f>
        <v>19.100000000000001</v>
      </c>
      <c r="H225" s="106">
        <f t="shared" si="55"/>
        <v>18.899999999999999</v>
      </c>
      <c r="I225" s="106">
        <f t="shared" si="55"/>
        <v>24.599999999999998</v>
      </c>
      <c r="J225" s="69">
        <f t="shared" si="55"/>
        <v>25.138341066385674</v>
      </c>
      <c r="K225" s="69">
        <f t="shared" si="55"/>
        <v>27.435146917528375</v>
      </c>
      <c r="L225" s="69">
        <f t="shared" si="55"/>
        <v>30.00197607209526</v>
      </c>
      <c r="M225" s="69">
        <f t="shared" si="55"/>
        <v>32.618381022162971</v>
      </c>
      <c r="N225" s="69">
        <f t="shared" si="55"/>
        <v>34.186211132141857</v>
      </c>
    </row>
    <row r="226" spans="2:14">
      <c r="D226" t="str">
        <f>Inputs!D63</f>
        <v>Accounts Payable</v>
      </c>
      <c r="G226" s="93">
        <f>Inputs!G63</f>
        <v>14.9</v>
      </c>
      <c r="H226" s="93">
        <f>Inputs!H63</f>
        <v>21.5</v>
      </c>
      <c r="I226" s="93">
        <f>Inputs!I63</f>
        <v>23.9</v>
      </c>
      <c r="J226">
        <f t="shared" ref="J226:N227" si="56">J236/J$217*J$220</f>
        <v>24.636337517386721</v>
      </c>
      <c r="K226">
        <f t="shared" si="56"/>
        <v>26.422541279571249</v>
      </c>
      <c r="L226">
        <f t="shared" si="56"/>
        <v>28.442869043271656</v>
      </c>
      <c r="M226">
        <f t="shared" si="56"/>
        <v>30.483837078673986</v>
      </c>
      <c r="N226">
        <f t="shared" si="56"/>
        <v>31.806122998709977</v>
      </c>
    </row>
    <row r="227" spans="2:14">
      <c r="D227" t="str">
        <f>Inputs!D64</f>
        <v>Other Current Liabilities</v>
      </c>
      <c r="G227" s="93">
        <f>Inputs!G64</f>
        <v>4.5999999999999996</v>
      </c>
      <c r="H227" s="93">
        <f>Inputs!H64</f>
        <v>5.0999999999999996</v>
      </c>
      <c r="I227" s="93">
        <f>Inputs!I64</f>
        <v>4.9000000000000004</v>
      </c>
      <c r="J227">
        <f t="shared" si="56"/>
        <v>6.1059233551106438</v>
      </c>
      <c r="K227">
        <f t="shared" si="56"/>
        <v>6.5486199718789422</v>
      </c>
      <c r="L227">
        <f t="shared" si="56"/>
        <v>7.0493423892695484</v>
      </c>
      <c r="M227">
        <f t="shared" si="56"/>
        <v>7.5551803363914569</v>
      </c>
      <c r="N227">
        <f t="shared" si="56"/>
        <v>7.8828985483855813</v>
      </c>
    </row>
    <row r="228" spans="2:14" s="69" customFormat="1">
      <c r="D228" s="69" t="s">
        <v>161</v>
      </c>
      <c r="G228" s="69">
        <f t="shared" ref="G228:N228" si="57">SUM(G226:G227)</f>
        <v>19.5</v>
      </c>
      <c r="H228" s="69">
        <f t="shared" si="57"/>
        <v>26.6</v>
      </c>
      <c r="I228" s="69">
        <f t="shared" si="57"/>
        <v>28.799999999999997</v>
      </c>
      <c r="J228" s="69">
        <f t="shared" si="57"/>
        <v>30.742260872497365</v>
      </c>
      <c r="K228" s="69">
        <f t="shared" si="57"/>
        <v>32.971161251450191</v>
      </c>
      <c r="L228" s="69">
        <f t="shared" si="57"/>
        <v>35.492211432541204</v>
      </c>
      <c r="M228" s="69">
        <f t="shared" si="57"/>
        <v>38.039017415065445</v>
      </c>
      <c r="N228" s="69">
        <f t="shared" si="57"/>
        <v>39.689021547095557</v>
      </c>
    </row>
    <row r="229" spans="2:14">
      <c r="D229" t="s">
        <v>162</v>
      </c>
      <c r="G229">
        <f>G225-G228</f>
        <v>-0.39999999999999858</v>
      </c>
      <c r="H229">
        <f t="shared" ref="H229:N229" si="58">H225-H228</f>
        <v>-7.7000000000000028</v>
      </c>
      <c r="I229">
        <f t="shared" si="58"/>
        <v>-4.1999999999999993</v>
      </c>
      <c r="J229">
        <f t="shared" si="58"/>
        <v>-5.6039198061116906</v>
      </c>
      <c r="K229">
        <f t="shared" si="58"/>
        <v>-5.5360143339218162</v>
      </c>
      <c r="L229">
        <f t="shared" si="58"/>
        <v>-5.4902353604459435</v>
      </c>
      <c r="M229">
        <f t="shared" si="58"/>
        <v>-5.4206363929024732</v>
      </c>
      <c r="N229">
        <f t="shared" si="58"/>
        <v>-5.5028104149537</v>
      </c>
    </row>
    <row r="230" spans="2:14" s="69" customFormat="1">
      <c r="D230" s="69" t="s">
        <v>163</v>
      </c>
      <c r="H230" s="69">
        <f>G229-H229</f>
        <v>7.3000000000000043</v>
      </c>
      <c r="I230" s="69">
        <f t="shared" ref="I230:N230" si="59">H229-I229</f>
        <v>-3.5000000000000036</v>
      </c>
      <c r="J230" s="69">
        <f t="shared" si="59"/>
        <v>1.4039198061116913</v>
      </c>
      <c r="K230" s="69">
        <f t="shared" si="59"/>
        <v>-6.7905472189874416E-2</v>
      </c>
      <c r="L230" s="69">
        <f t="shared" si="59"/>
        <v>-4.5778973475872675E-2</v>
      </c>
      <c r="M230" s="69">
        <f t="shared" si="59"/>
        <v>-6.959896754347028E-2</v>
      </c>
      <c r="N230" s="69">
        <f t="shared" si="59"/>
        <v>8.2174022051226814E-2</v>
      </c>
    </row>
    <row r="232" spans="2:14">
      <c r="C232" t="str">
        <f>Inputs!C66</f>
        <v>Days</v>
      </c>
    </row>
    <row r="233" spans="2:14">
      <c r="D233" t="str">
        <f>Inputs!D67</f>
        <v>Accounts Receivable</v>
      </c>
      <c r="G233" s="93">
        <f>Inputs!G67</f>
        <v>25.014950875694151</v>
      </c>
      <c r="H233" s="93">
        <f>Inputs!H67</f>
        <v>21.304599922690375</v>
      </c>
      <c r="I233" s="93">
        <f>Inputs!I67</f>
        <v>26.43599856579419</v>
      </c>
      <c r="J233" s="93">
        <f>Inputs!J67</f>
        <v>24.3</v>
      </c>
      <c r="K233" s="93">
        <f>Inputs!K67</f>
        <v>24.3</v>
      </c>
      <c r="L233" s="93">
        <f>Inputs!L67</f>
        <v>24.3</v>
      </c>
      <c r="M233" s="93">
        <f>Inputs!M67</f>
        <v>24.3</v>
      </c>
      <c r="N233" s="93">
        <f>Inputs!N67</f>
        <v>24.3</v>
      </c>
    </row>
    <row r="234" spans="2:14">
      <c r="D234" t="str">
        <f>Inputs!D68</f>
        <v>Inventory</v>
      </c>
      <c r="G234" s="93">
        <f>Inputs!G68</f>
        <v>13.737265415549597</v>
      </c>
      <c r="H234" s="93">
        <f>Inputs!H68</f>
        <v>14.313725490196079</v>
      </c>
      <c r="I234" s="93">
        <f>Inputs!I68</f>
        <v>14.897959183673468</v>
      </c>
      <c r="J234" s="93">
        <f>Inputs!J68</f>
        <v>14.3</v>
      </c>
      <c r="K234" s="93">
        <f>Inputs!K68</f>
        <v>14.3</v>
      </c>
      <c r="L234" s="93">
        <f>Inputs!L68</f>
        <v>14.3</v>
      </c>
      <c r="M234" s="93">
        <f>Inputs!M68</f>
        <v>14.3</v>
      </c>
      <c r="N234" s="93">
        <f>Inputs!N68</f>
        <v>14.3</v>
      </c>
    </row>
    <row r="235" spans="2:14">
      <c r="D235" t="str">
        <f>Inputs!D69</f>
        <v>Other Current Assets</v>
      </c>
      <c r="G235" s="93">
        <f>Inputs!G69</f>
        <v>1.4718498659517427</v>
      </c>
      <c r="H235" s="93">
        <f>Inputs!H69</f>
        <v>0.79520697167755994</v>
      </c>
      <c r="I235" s="93">
        <f>Inputs!I69</f>
        <v>0.7094266277939747</v>
      </c>
      <c r="J235" s="93">
        <f>Inputs!J69</f>
        <v>1</v>
      </c>
      <c r="K235" s="93">
        <f>Inputs!K69</f>
        <v>1</v>
      </c>
      <c r="L235" s="93">
        <f>Inputs!L69</f>
        <v>1</v>
      </c>
      <c r="M235" s="93">
        <f>Inputs!M69</f>
        <v>1</v>
      </c>
      <c r="N235" s="93">
        <f>Inputs!N69</f>
        <v>1</v>
      </c>
    </row>
    <row r="236" spans="2:14">
      <c r="D236" t="str">
        <f>Inputs!D70</f>
        <v>Accounts Payable</v>
      </c>
      <c r="G236" s="93">
        <f>Inputs!G70</f>
        <v>73.101876675603222</v>
      </c>
      <c r="H236" s="93">
        <f>Inputs!H70</f>
        <v>85.484749455337692</v>
      </c>
      <c r="I236" s="93">
        <f>Inputs!I70</f>
        <v>84.776482021379977</v>
      </c>
      <c r="J236" s="93">
        <f>Inputs!J70</f>
        <v>81.099999999999994</v>
      </c>
      <c r="K236" s="93">
        <f>Inputs!K70</f>
        <v>81.099999999999994</v>
      </c>
      <c r="L236" s="93">
        <f>Inputs!L70</f>
        <v>81.099999999999994</v>
      </c>
      <c r="M236" s="93">
        <f>Inputs!M70</f>
        <v>81.099999999999994</v>
      </c>
      <c r="N236" s="93">
        <f>Inputs!N70</f>
        <v>81.099999999999994</v>
      </c>
    </row>
    <row r="237" spans="2:14">
      <c r="D237" t="str">
        <f>Inputs!D71</f>
        <v>Other Current Liabilities</v>
      </c>
      <c r="G237" s="93">
        <f>Inputs!G71</f>
        <v>22.568364611260055</v>
      </c>
      <c r="H237" s="93">
        <f>Inputs!H71</f>
        <v>20.277777777777775</v>
      </c>
      <c r="I237" s="93">
        <f>Inputs!I71</f>
        <v>17.38095238095238</v>
      </c>
      <c r="J237" s="93">
        <f>Inputs!J71</f>
        <v>20.100000000000001</v>
      </c>
      <c r="K237" s="93">
        <f>Inputs!K71</f>
        <v>20.100000000000001</v>
      </c>
      <c r="L237" s="93">
        <f>Inputs!L71</f>
        <v>20.100000000000001</v>
      </c>
      <c r="M237" s="93">
        <f>Inputs!M71</f>
        <v>20.100000000000001</v>
      </c>
      <c r="N237" s="93">
        <f>Inputs!N71</f>
        <v>20.100000000000001</v>
      </c>
    </row>
    <row r="239" spans="2:14" ht="13.8" thickBot="1"/>
    <row r="240" spans="2:14" ht="13.8" thickBot="1">
      <c r="B240" s="75" t="s">
        <v>164</v>
      </c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7"/>
    </row>
    <row r="242" spans="2:14">
      <c r="D242" t="str">
        <f>Inputs!D78</f>
        <v>Company Tax Rate</v>
      </c>
      <c r="E242" t="s">
        <v>98</v>
      </c>
      <c r="J242" s="96">
        <f>Inputs!J78</f>
        <v>0.32500000000000001</v>
      </c>
      <c r="K242" s="96">
        <f>Inputs!K78</f>
        <v>0.32500000000000001</v>
      </c>
      <c r="L242" s="96">
        <f>Inputs!L78</f>
        <v>0.32500000000000001</v>
      </c>
      <c r="M242" s="96">
        <f>Inputs!M78</f>
        <v>0.32500000000000001</v>
      </c>
      <c r="N242" s="96">
        <f>Inputs!N78</f>
        <v>0.32500000000000001</v>
      </c>
    </row>
    <row r="243" spans="2:14">
      <c r="D243" t="str">
        <f>D246</f>
        <v>Temporary Difference</v>
      </c>
      <c r="E243" t="str">
        <f>Currency</f>
        <v>$'MM</v>
      </c>
      <c r="J243" s="93">
        <f>Inputs!J79</f>
        <v>5</v>
      </c>
      <c r="K243" s="93">
        <f>Inputs!K79</f>
        <v>5</v>
      </c>
      <c r="L243" s="93">
        <f>Inputs!L79</f>
        <v>5</v>
      </c>
      <c r="M243" s="93">
        <f>Inputs!M79</f>
        <v>5</v>
      </c>
      <c r="N243" s="93">
        <f>Inputs!N79</f>
        <v>5</v>
      </c>
    </row>
    <row r="245" spans="2:14">
      <c r="D245" t="s">
        <v>165</v>
      </c>
      <c r="E245" t="str">
        <f>Currency</f>
        <v>$'MM</v>
      </c>
      <c r="J245" s="93">
        <f ca="1">J27</f>
        <v>70.815864143962671</v>
      </c>
      <c r="K245" s="93">
        <f ca="1">K27</f>
        <v>90.316554650653913</v>
      </c>
      <c r="L245" s="93">
        <f ca="1">L27</f>
        <v>113.56394590438467</v>
      </c>
      <c r="M245" s="93">
        <f ca="1">M27</f>
        <v>136.80065178333223</v>
      </c>
      <c r="N245" s="93">
        <f ca="1">N27</f>
        <v>146.78148454325833</v>
      </c>
    </row>
    <row r="246" spans="2:14">
      <c r="D246" t="s">
        <v>168</v>
      </c>
      <c r="E246" t="str">
        <f>Currency</f>
        <v>$'MM</v>
      </c>
      <c r="J246">
        <f>J243</f>
        <v>5</v>
      </c>
      <c r="K246">
        <f>K243</f>
        <v>5</v>
      </c>
      <c r="L246">
        <f>L243</f>
        <v>5</v>
      </c>
      <c r="M246">
        <f>M243</f>
        <v>5</v>
      </c>
      <c r="N246">
        <f>N243</f>
        <v>5</v>
      </c>
    </row>
    <row r="247" spans="2:14">
      <c r="D247" t="s">
        <v>166</v>
      </c>
      <c r="E247" t="str">
        <f>Currency</f>
        <v>$'MM</v>
      </c>
      <c r="J247">
        <f ca="1">J245-J246</f>
        <v>65.815864143962671</v>
      </c>
      <c r="K247">
        <f ca="1">K245-K246</f>
        <v>85.316554650653913</v>
      </c>
      <c r="L247">
        <f ca="1">L245-L246</f>
        <v>108.56394590438467</v>
      </c>
      <c r="M247">
        <f ca="1">M245-M246</f>
        <v>131.80065178333223</v>
      </c>
      <c r="N247">
        <f ca="1">N245-N246</f>
        <v>141.78148454325833</v>
      </c>
    </row>
    <row r="249" spans="2:14">
      <c r="D249" s="84" t="s">
        <v>167</v>
      </c>
      <c r="E249" s="98" t="str">
        <f>Currency</f>
        <v>$'MM</v>
      </c>
      <c r="F249" s="98"/>
      <c r="G249" s="98"/>
      <c r="H249" s="98"/>
      <c r="I249" s="98"/>
      <c r="J249" s="98">
        <f ca="1">J247*J242</f>
        <v>21.39015584678787</v>
      </c>
      <c r="K249" s="98">
        <f ca="1">K247*K242</f>
        <v>27.727880261462523</v>
      </c>
      <c r="L249" s="98">
        <f ca="1">L247*L242</f>
        <v>35.283282418925019</v>
      </c>
      <c r="M249" s="98">
        <f ca="1">M247*M242</f>
        <v>42.835211829582974</v>
      </c>
      <c r="N249" s="108">
        <f ca="1">N247*N242</f>
        <v>46.078982476558956</v>
      </c>
    </row>
    <row r="250" spans="2:14">
      <c r="D250" s="88" t="s">
        <v>169</v>
      </c>
      <c r="E250" s="109" t="str">
        <f>Currency</f>
        <v>$'MM</v>
      </c>
      <c r="F250" s="109"/>
      <c r="G250" s="109"/>
      <c r="H250" s="109"/>
      <c r="I250" s="109"/>
      <c r="J250" s="109">
        <f>J246*J242</f>
        <v>1.625</v>
      </c>
      <c r="K250" s="109">
        <f>K246*K242</f>
        <v>1.625</v>
      </c>
      <c r="L250" s="109">
        <f>L246*L242</f>
        <v>1.625</v>
      </c>
      <c r="M250" s="109">
        <f>M246*M242</f>
        <v>1.625</v>
      </c>
      <c r="N250" s="89">
        <f>N246*N242</f>
        <v>1.625</v>
      </c>
    </row>
    <row r="252" spans="2:14" ht="13.8" thickBot="1"/>
    <row r="253" spans="2:14" ht="13.8" thickBot="1">
      <c r="B253" s="75" t="s">
        <v>170</v>
      </c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7"/>
    </row>
    <row r="255" spans="2:14">
      <c r="C255" s="81" t="s">
        <v>171</v>
      </c>
    </row>
    <row r="256" spans="2:14">
      <c r="D256" t="s">
        <v>172</v>
      </c>
      <c r="E256" t="str">
        <f>Currency</f>
        <v>$'MM</v>
      </c>
      <c r="J256">
        <f>I258</f>
        <v>0</v>
      </c>
      <c r="K256">
        <f>J258</f>
        <v>0</v>
      </c>
      <c r="L256">
        <f>K258</f>
        <v>400</v>
      </c>
      <c r="M256">
        <f>L258</f>
        <v>800</v>
      </c>
      <c r="N256">
        <f>M258</f>
        <v>800</v>
      </c>
    </row>
    <row r="257" spans="3:14">
      <c r="D257" t="s">
        <v>173</v>
      </c>
      <c r="E257" t="str">
        <f>Currency</f>
        <v>$'MM</v>
      </c>
      <c r="J257" s="110">
        <f>Inputs!J102</f>
        <v>0</v>
      </c>
      <c r="K257" s="110">
        <f>Inputs!K102</f>
        <v>400</v>
      </c>
      <c r="L257" s="110">
        <f>Inputs!L102</f>
        <v>400</v>
      </c>
      <c r="M257" s="110">
        <f>Inputs!M102</f>
        <v>0</v>
      </c>
      <c r="N257" s="110">
        <f>Inputs!N102</f>
        <v>0</v>
      </c>
    </row>
    <row r="258" spans="3:14">
      <c r="D258" s="69" t="s">
        <v>152</v>
      </c>
      <c r="E258" t="str">
        <f>Currency</f>
        <v>$'MM</v>
      </c>
      <c r="I258">
        <f>I115</f>
        <v>0</v>
      </c>
      <c r="J258" s="105">
        <f>SUM(J256:J257)</f>
        <v>0</v>
      </c>
      <c r="K258" s="105">
        <f>SUM(K256:K257)</f>
        <v>400</v>
      </c>
      <c r="L258" s="105">
        <f>SUM(L256:L257)</f>
        <v>800</v>
      </c>
      <c r="M258" s="105">
        <f>SUM(M256:M257)</f>
        <v>800</v>
      </c>
      <c r="N258" s="105">
        <f>SUM(N256:N257)</f>
        <v>800</v>
      </c>
    </row>
    <row r="260" spans="3:14">
      <c r="D260" t="s">
        <v>174</v>
      </c>
      <c r="J260" s="94">
        <f>Inputs!J103</f>
        <v>0.08</v>
      </c>
      <c r="K260" s="94">
        <f>Inputs!K103</f>
        <v>0.08</v>
      </c>
      <c r="L260" s="94">
        <f>Inputs!L103</f>
        <v>0.08</v>
      </c>
      <c r="M260" s="94">
        <f>Inputs!M103</f>
        <v>0.08</v>
      </c>
      <c r="N260" s="94">
        <f>Inputs!N103</f>
        <v>0.08</v>
      </c>
    </row>
    <row r="261" spans="3:14">
      <c r="D261" s="99" t="s">
        <v>18</v>
      </c>
      <c r="E261" s="73"/>
      <c r="F261" s="73"/>
      <c r="G261" s="73"/>
      <c r="H261" s="73"/>
      <c r="I261" s="73"/>
      <c r="J261" s="73">
        <f>J260*J258</f>
        <v>0</v>
      </c>
      <c r="K261" s="73">
        <f>K260*K258</f>
        <v>32</v>
      </c>
      <c r="L261" s="73">
        <f>L260*L258</f>
        <v>64</v>
      </c>
      <c r="M261" s="73">
        <f>M260*M258</f>
        <v>64</v>
      </c>
      <c r="N261" s="100">
        <f>N260*N258</f>
        <v>64</v>
      </c>
    </row>
    <row r="263" spans="3:14">
      <c r="C263" s="81" t="s">
        <v>65</v>
      </c>
    </row>
    <row r="264" spans="3:14">
      <c r="D264" t="str">
        <f>D256</f>
        <v>Beginning Balance</v>
      </c>
      <c r="E264" t="str">
        <f>Currency</f>
        <v>$'MM</v>
      </c>
      <c r="J264">
        <f>I266</f>
        <v>1643.2</v>
      </c>
      <c r="K264">
        <f>J266</f>
        <v>1653.2</v>
      </c>
      <c r="L264">
        <f>K266</f>
        <v>1663.2</v>
      </c>
      <c r="M264">
        <f>L266</f>
        <v>1663.2</v>
      </c>
      <c r="N264">
        <f>M266</f>
        <v>1663.2</v>
      </c>
    </row>
    <row r="265" spans="3:14">
      <c r="D265" t="str">
        <f>D257</f>
        <v>Issuance/ Buy-Back</v>
      </c>
      <c r="E265" t="str">
        <f>Currency</f>
        <v>$'MM</v>
      </c>
      <c r="J265" s="93">
        <f>Inputs!J98</f>
        <v>10</v>
      </c>
      <c r="K265" s="93">
        <f>Inputs!K98</f>
        <v>10</v>
      </c>
      <c r="L265" s="93">
        <f>Inputs!L98</f>
        <v>0</v>
      </c>
      <c r="M265" s="93">
        <f>Inputs!M98</f>
        <v>0</v>
      </c>
      <c r="N265" s="93">
        <f>Inputs!N98</f>
        <v>0</v>
      </c>
    </row>
    <row r="266" spans="3:14">
      <c r="D266" t="str">
        <f>D258</f>
        <v>Ending Balance</v>
      </c>
      <c r="E266" t="str">
        <f>Currency</f>
        <v>$'MM</v>
      </c>
      <c r="I266">
        <f>I116</f>
        <v>1643.2</v>
      </c>
      <c r="J266">
        <f>J264+J265</f>
        <v>1653.2</v>
      </c>
      <c r="K266">
        <f>K264+K265</f>
        <v>1663.2</v>
      </c>
      <c r="L266">
        <f>L264+L265</f>
        <v>1663.2</v>
      </c>
      <c r="M266">
        <f>M264+M265</f>
        <v>1663.2</v>
      </c>
      <c r="N266">
        <f>N264+N265</f>
        <v>1663.2</v>
      </c>
    </row>
    <row r="268" spans="3:14">
      <c r="D268" t="str">
        <f>Inputs!D99</f>
        <v>Dividends Rate</v>
      </c>
      <c r="E268" t="str">
        <f>Inputs!E99</f>
        <v>%</v>
      </c>
      <c r="F268" s="90"/>
      <c r="J268" s="94">
        <f>Inputs!J99</f>
        <v>0.21</v>
      </c>
      <c r="K268" s="94">
        <f>Inputs!K99</f>
        <v>0.21</v>
      </c>
      <c r="L268" s="94">
        <f>Inputs!L99</f>
        <v>0.21</v>
      </c>
      <c r="M268" s="94">
        <f>Inputs!M99</f>
        <v>0.21</v>
      </c>
      <c r="N268" s="94">
        <f>Inputs!N99</f>
        <v>0.21</v>
      </c>
    </row>
    <row r="270" spans="3:14">
      <c r="C270" s="81" t="s">
        <v>66</v>
      </c>
    </row>
    <row r="271" spans="3:14">
      <c r="D271" t="str">
        <f>D264</f>
        <v>Beginning Balance</v>
      </c>
      <c r="E271" t="str">
        <f>E264</f>
        <v>$'MM</v>
      </c>
      <c r="J271">
        <f>I274</f>
        <v>245.00000000000003</v>
      </c>
      <c r="K271">
        <f ca="1">J274</f>
        <v>282.76255955476813</v>
      </c>
      <c r="L271">
        <f ca="1">K274</f>
        <v>305.64386232222932</v>
      </c>
      <c r="M271">
        <f ca="1">L274</f>
        <v>315.64183647574242</v>
      </c>
      <c r="N271">
        <f ca="1">M274</f>
        <v>338.03078403920432</v>
      </c>
    </row>
    <row r="272" spans="3:14">
      <c r="D272" t="s">
        <v>175</v>
      </c>
      <c r="E272" t="str">
        <f>E265</f>
        <v>$'MM</v>
      </c>
      <c r="J272">
        <f ca="1">J36</f>
        <v>47.800708297174801</v>
      </c>
      <c r="K272">
        <f t="shared" ref="K272:N272" ca="1" si="60">K36</f>
        <v>28.963674389191389</v>
      </c>
      <c r="L272">
        <f t="shared" ca="1" si="60"/>
        <v>12.655663485459655</v>
      </c>
      <c r="M272">
        <f t="shared" ca="1" si="60"/>
        <v>28.340439953749254</v>
      </c>
      <c r="N272">
        <f t="shared" ca="1" si="60"/>
        <v>35.077502066699466</v>
      </c>
    </row>
    <row r="273" spans="2:14">
      <c r="D273" t="s">
        <v>176</v>
      </c>
      <c r="E273" t="str">
        <f>E266</f>
        <v>$'MM</v>
      </c>
      <c r="J273">
        <f ca="1">J268*J272</f>
        <v>10.038148742406708</v>
      </c>
      <c r="K273">
        <f ca="1">K268*K272</f>
        <v>6.082371621730192</v>
      </c>
      <c r="L273">
        <f ca="1">L268*L272</f>
        <v>2.6576893319465276</v>
      </c>
      <c r="M273">
        <f ca="1">M268*M272</f>
        <v>5.9514923902873429</v>
      </c>
      <c r="N273">
        <f ca="1">N268*N272</f>
        <v>7.3662754340068872</v>
      </c>
    </row>
    <row r="274" spans="2:14">
      <c r="D274" t="str">
        <f>D266</f>
        <v>Ending Balance</v>
      </c>
      <c r="E274" t="str">
        <f>E266</f>
        <v>$'MM</v>
      </c>
      <c r="I274">
        <f>I117</f>
        <v>245.00000000000003</v>
      </c>
      <c r="J274">
        <f ca="1">J271+J272-J273</f>
        <v>282.76255955476813</v>
      </c>
      <c r="K274">
        <f ca="1">K271+K272-K273</f>
        <v>305.64386232222932</v>
      </c>
      <c r="L274">
        <f ca="1">L271+L272-L273</f>
        <v>315.64183647574242</v>
      </c>
      <c r="M274">
        <f ca="1">M271+M272-M273</f>
        <v>338.03078403920432</v>
      </c>
      <c r="N274">
        <f ca="1">N271+N272-N273</f>
        <v>365.74201067189694</v>
      </c>
    </row>
    <row r="276" spans="2:14" ht="13.8" thickBot="1"/>
    <row r="277" spans="2:14" ht="13.8" thickBot="1">
      <c r="B277" s="75" t="s">
        <v>177</v>
      </c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7"/>
    </row>
    <row r="279" spans="2:14">
      <c r="C279" t="str">
        <f>Inputs!C83</f>
        <v>Interest</v>
      </c>
    </row>
    <row r="280" spans="2:14">
      <c r="D280" t="str">
        <f>Inputs!D84</f>
        <v>Fixed Long Term debt</v>
      </c>
      <c r="E280" t="str">
        <f>Inputs!E84</f>
        <v>%</v>
      </c>
      <c r="J280" s="94">
        <f>Inputs!J84</f>
        <v>6.5000000000000002E-2</v>
      </c>
      <c r="K280" s="94">
        <f>Inputs!K84</f>
        <v>6.5000000000000002E-2</v>
      </c>
      <c r="L280" s="94">
        <f>Inputs!L84</f>
        <v>6.5000000000000002E-2</v>
      </c>
      <c r="M280" s="94">
        <f>Inputs!M84</f>
        <v>6.5000000000000002E-2</v>
      </c>
      <c r="N280" s="94">
        <f>Inputs!N84</f>
        <v>6.5000000000000002E-2</v>
      </c>
    </row>
    <row r="281" spans="2:14">
      <c r="D281" t="str">
        <f>Inputs!D85</f>
        <v>Revolver</v>
      </c>
      <c r="E281" t="str">
        <f>Inputs!E85</f>
        <v>%</v>
      </c>
      <c r="J281" s="94">
        <f>Inputs!J85</f>
        <v>5.5E-2</v>
      </c>
      <c r="K281" s="94">
        <f>Inputs!K85</f>
        <v>5.5E-2</v>
      </c>
      <c r="L281" s="94">
        <f>Inputs!L85</f>
        <v>5.5E-2</v>
      </c>
      <c r="M281" s="94">
        <f>Inputs!M85</f>
        <v>5.5E-2</v>
      </c>
      <c r="N281" s="94">
        <f>Inputs!N85</f>
        <v>5.5E-2</v>
      </c>
    </row>
    <row r="282" spans="2:14">
      <c r="D282" t="str">
        <f>Inputs!D86</f>
        <v>Spread</v>
      </c>
      <c r="E282" t="str">
        <f>Inputs!E86</f>
        <v>%</v>
      </c>
      <c r="J282" s="94">
        <f>Inputs!J86</f>
        <v>2.5000000000000001E-2</v>
      </c>
      <c r="K282" s="94">
        <f>Inputs!K86</f>
        <v>2.5000000000000001E-2</v>
      </c>
      <c r="L282" s="94">
        <f>Inputs!L86</f>
        <v>2.5000000000000001E-2</v>
      </c>
      <c r="M282" s="94">
        <f>Inputs!M86</f>
        <v>2.5000000000000001E-2</v>
      </c>
      <c r="N282" s="94">
        <f>Inputs!N86</f>
        <v>2.5000000000000001E-2</v>
      </c>
    </row>
    <row r="283" spans="2:14">
      <c r="D283" t="str">
        <f>Inputs!D87</f>
        <v>SOFR</v>
      </c>
      <c r="E283" t="str">
        <f>Inputs!E87</f>
        <v>%</v>
      </c>
      <c r="J283" s="94">
        <f>Inputs!J87</f>
        <v>0.03</v>
      </c>
      <c r="K283" s="94">
        <f>Inputs!K87</f>
        <v>0.03</v>
      </c>
      <c r="L283" s="94">
        <f>Inputs!L87</f>
        <v>0.03</v>
      </c>
      <c r="M283" s="94">
        <f>Inputs!M87</f>
        <v>0.03</v>
      </c>
      <c r="N283" s="94">
        <f>Inputs!N87</f>
        <v>0.03</v>
      </c>
    </row>
    <row r="284" spans="2:14">
      <c r="D284" t="str">
        <f>Inputs!D88</f>
        <v>Variable Rate Term Debt</v>
      </c>
      <c r="E284" t="str">
        <f>Inputs!E88</f>
        <v>%</v>
      </c>
      <c r="J284" s="94">
        <f>Inputs!J88</f>
        <v>5.5E-2</v>
      </c>
      <c r="K284" s="94">
        <f>Inputs!K88</f>
        <v>5.5E-2</v>
      </c>
      <c r="L284" s="94">
        <f>Inputs!L88</f>
        <v>5.5E-2</v>
      </c>
      <c r="M284" s="94">
        <f>Inputs!M88</f>
        <v>5.5E-2</v>
      </c>
      <c r="N284" s="94">
        <f>Inputs!N88</f>
        <v>5.5E-2</v>
      </c>
    </row>
    <row r="285" spans="2:14">
      <c r="D285" t="str">
        <f>Inputs!D89</f>
        <v>Excess Cash</v>
      </c>
      <c r="E285" t="str">
        <f>Inputs!E89</f>
        <v>%</v>
      </c>
      <c r="J285" s="94">
        <f>Inputs!J89</f>
        <v>7.4999999999999997E-3</v>
      </c>
      <c r="K285" s="94">
        <f>Inputs!K89</f>
        <v>7.4999999999999997E-3</v>
      </c>
      <c r="L285" s="94">
        <f>Inputs!L89</f>
        <v>7.4999999999999997E-3</v>
      </c>
      <c r="M285" s="94">
        <f>Inputs!M89</f>
        <v>7.4999999999999997E-3</v>
      </c>
      <c r="N285" s="94">
        <f>Inputs!N89</f>
        <v>7.4999999999999997E-3</v>
      </c>
    </row>
    <row r="287" spans="2:14">
      <c r="C287" s="69" t="s">
        <v>178</v>
      </c>
    </row>
    <row r="288" spans="2:14">
      <c r="D288" t="s">
        <v>172</v>
      </c>
      <c r="J288">
        <f>I290</f>
        <v>224.6</v>
      </c>
      <c r="K288">
        <f>J290</f>
        <v>174.6</v>
      </c>
      <c r="L288">
        <f>K290</f>
        <v>124.6</v>
      </c>
      <c r="M288">
        <f>L290</f>
        <v>74.599999999999994</v>
      </c>
      <c r="N288">
        <f>M290</f>
        <v>24.599999999999994</v>
      </c>
    </row>
    <row r="289" spans="3:14">
      <c r="D289" t="s">
        <v>179</v>
      </c>
      <c r="J289" s="93">
        <f>MIN(Inputs!J92,J288)</f>
        <v>50</v>
      </c>
      <c r="K289" s="93">
        <f>MIN(Inputs!K92,K288)</f>
        <v>50</v>
      </c>
      <c r="L289" s="93">
        <f>MIN(Inputs!L92,L288)</f>
        <v>50</v>
      </c>
      <c r="M289" s="93">
        <f>MIN(Inputs!M92,M288)</f>
        <v>50</v>
      </c>
      <c r="N289" s="93">
        <f>MIN(Inputs!N92,N288)</f>
        <v>24.599999999999994</v>
      </c>
    </row>
    <row r="290" spans="3:14">
      <c r="D290" t="s">
        <v>152</v>
      </c>
      <c r="I290" s="93">
        <f>I108</f>
        <v>224.6</v>
      </c>
      <c r="J290" s="69">
        <f>J288-J289</f>
        <v>174.6</v>
      </c>
      <c r="K290" s="69">
        <f t="shared" ref="K290:N290" si="61">K288-K289</f>
        <v>124.6</v>
      </c>
      <c r="L290" s="69">
        <f t="shared" si="61"/>
        <v>74.599999999999994</v>
      </c>
      <c r="M290" s="69">
        <f t="shared" si="61"/>
        <v>24.599999999999994</v>
      </c>
      <c r="N290" s="69">
        <f t="shared" si="61"/>
        <v>0</v>
      </c>
    </row>
    <row r="292" spans="3:14">
      <c r="D292" s="99" t="s">
        <v>180</v>
      </c>
      <c r="E292" s="73"/>
      <c r="F292" s="73"/>
      <c r="G292" s="73"/>
      <c r="H292" s="73"/>
      <c r="I292" s="73"/>
      <c r="J292" s="73">
        <f>AVERAGE(I290:J290)*J280</f>
        <v>12.974</v>
      </c>
      <c r="K292" s="73">
        <f t="shared" ref="K292:N292" si="62">AVERAGE(J290:K290)*K280</f>
        <v>9.7240000000000002</v>
      </c>
      <c r="L292" s="73">
        <f t="shared" si="62"/>
        <v>6.4740000000000002</v>
      </c>
      <c r="M292" s="73">
        <f t="shared" si="62"/>
        <v>3.2239999999999998</v>
      </c>
      <c r="N292" s="100">
        <f t="shared" si="62"/>
        <v>0.79949999999999988</v>
      </c>
    </row>
    <row r="294" spans="3:14">
      <c r="C294" s="81" t="s">
        <v>181</v>
      </c>
    </row>
    <row r="295" spans="3:14">
      <c r="D295" t="str">
        <f>D288</f>
        <v>Beginning Balance</v>
      </c>
      <c r="J295">
        <f>I297</f>
        <v>622.70000000000005</v>
      </c>
      <c r="K295">
        <f t="shared" ref="K295:N295" si="63">J297</f>
        <v>487.70000000000005</v>
      </c>
      <c r="L295">
        <f t="shared" si="63"/>
        <v>352.70000000000005</v>
      </c>
      <c r="M295">
        <f t="shared" si="63"/>
        <v>217.70000000000005</v>
      </c>
      <c r="N295">
        <f t="shared" si="63"/>
        <v>82.700000000000045</v>
      </c>
    </row>
    <row r="296" spans="3:14">
      <c r="D296" t="str">
        <f t="shared" ref="D296:D297" si="64">D289</f>
        <v>Less: Repayment</v>
      </c>
      <c r="J296" s="93">
        <f>MIN(Inputs!J93,J295)</f>
        <v>135</v>
      </c>
      <c r="K296" s="93">
        <f>MIN(Inputs!K93,K295)</f>
        <v>135</v>
      </c>
      <c r="L296" s="93">
        <f>MIN(Inputs!L93,L295)</f>
        <v>135</v>
      </c>
      <c r="M296" s="93">
        <f>MIN(Inputs!M93,M295)</f>
        <v>135</v>
      </c>
      <c r="N296" s="93">
        <f>MIN(Inputs!N93,N295)</f>
        <v>82.700000000000045</v>
      </c>
    </row>
    <row r="297" spans="3:14">
      <c r="D297" t="str">
        <f t="shared" si="64"/>
        <v>Ending Balance</v>
      </c>
      <c r="I297" s="93">
        <f>I107</f>
        <v>622.70000000000005</v>
      </c>
      <c r="J297" s="69">
        <f>J295-J296</f>
        <v>487.70000000000005</v>
      </c>
      <c r="K297" s="69">
        <f t="shared" ref="K297:N297" si="65">K295-K296</f>
        <v>352.70000000000005</v>
      </c>
      <c r="L297" s="69">
        <f t="shared" si="65"/>
        <v>217.70000000000005</v>
      </c>
      <c r="M297" s="69">
        <f t="shared" si="65"/>
        <v>82.700000000000045</v>
      </c>
      <c r="N297" s="69">
        <f t="shared" si="65"/>
        <v>0</v>
      </c>
    </row>
    <row r="299" spans="3:14">
      <c r="D299" s="99" t="s">
        <v>182</v>
      </c>
      <c r="E299" s="73"/>
      <c r="F299" s="73"/>
      <c r="G299" s="73"/>
      <c r="H299" s="73"/>
      <c r="I299" s="73"/>
      <c r="J299" s="73">
        <f>AVERAGE(I297:J297)*J284</f>
        <v>30.536000000000001</v>
      </c>
      <c r="K299" s="73">
        <f t="shared" ref="K299:N299" si="66">AVERAGE(J297:K297)*K284</f>
        <v>23.111000000000004</v>
      </c>
      <c r="L299" s="73">
        <f t="shared" si="66"/>
        <v>15.686000000000002</v>
      </c>
      <c r="M299" s="73">
        <f t="shared" si="66"/>
        <v>8.2610000000000028</v>
      </c>
      <c r="N299" s="100">
        <f t="shared" si="66"/>
        <v>2.2742500000000012</v>
      </c>
    </row>
    <row r="301" spans="3:14">
      <c r="C301" s="81" t="s">
        <v>131</v>
      </c>
    </row>
    <row r="302" spans="3:14">
      <c r="D302" t="s">
        <v>172</v>
      </c>
      <c r="J302">
        <f>I304</f>
        <v>199.00000000000009</v>
      </c>
      <c r="K302">
        <f t="shared" ref="K302:N302" ca="1" si="67">J304</f>
        <v>0</v>
      </c>
      <c r="L302">
        <f t="shared" ca="1" si="67"/>
        <v>162.20099665615118</v>
      </c>
      <c r="M302">
        <f t="shared" ca="1" si="67"/>
        <v>320.37876943618846</v>
      </c>
      <c r="N302">
        <f t="shared" ca="1" si="67"/>
        <v>101.6700840801069</v>
      </c>
    </row>
    <row r="303" spans="3:14">
      <c r="D303" t="s">
        <v>183</v>
      </c>
      <c r="J303" s="93">
        <f ca="1">J74</f>
        <v>-199.00000000000011</v>
      </c>
      <c r="K303" s="93">
        <f ca="1">K74</f>
        <v>162.20099665615118</v>
      </c>
      <c r="L303" s="93">
        <f ca="1">L74</f>
        <v>158.17777278003726</v>
      </c>
      <c r="M303" s="93">
        <f ca="1">M74</f>
        <v>-218.70868535608156</v>
      </c>
      <c r="N303" s="93">
        <f ca="1">N74</f>
        <v>-101.67008408010648</v>
      </c>
    </row>
    <row r="304" spans="3:14">
      <c r="D304" t="s">
        <v>152</v>
      </c>
      <c r="I304" s="93">
        <f>I86</f>
        <v>199.00000000000009</v>
      </c>
      <c r="J304" s="111">
        <f ca="1">SUM(J302:J303)</f>
        <v>0</v>
      </c>
      <c r="K304" s="98">
        <f t="shared" ref="K304:N304" ca="1" si="68">SUM(K302:K303)</f>
        <v>162.20099665615118</v>
      </c>
      <c r="L304" s="98">
        <f t="shared" ca="1" si="68"/>
        <v>320.37876943618846</v>
      </c>
      <c r="M304" s="98">
        <f t="shared" ca="1" si="68"/>
        <v>101.6700840801069</v>
      </c>
      <c r="N304" s="98">
        <f t="shared" ca="1" si="68"/>
        <v>4.2632564145606011E-13</v>
      </c>
    </row>
    <row r="306" spans="3:14">
      <c r="D306" s="99" t="s">
        <v>184</v>
      </c>
      <c r="E306" s="73"/>
      <c r="F306" s="73"/>
      <c r="G306" s="73"/>
      <c r="H306" s="73"/>
      <c r="I306" s="73"/>
      <c r="J306" s="73">
        <f ca="1">AVERAGE(I304:J304)*J285</f>
        <v>0.7462500000000003</v>
      </c>
      <c r="K306" s="73">
        <f t="shared" ref="K306:N306" ca="1" si="69">AVERAGE(J304:K304)*K285</f>
        <v>0.60825373746056688</v>
      </c>
      <c r="L306" s="73">
        <f t="shared" ca="1" si="69"/>
        <v>1.8096741228462736</v>
      </c>
      <c r="M306" s="73">
        <f t="shared" ca="1" si="69"/>
        <v>1.5826832006861076</v>
      </c>
      <c r="N306" s="100">
        <f t="shared" ca="1" si="69"/>
        <v>0.38126281530040246</v>
      </c>
    </row>
    <row r="309" spans="3:14">
      <c r="C309" s="81" t="s">
        <v>127</v>
      </c>
    </row>
    <row r="310" spans="3:14">
      <c r="D310" t="str">
        <f>C53</f>
        <v>Operating Cash Flow</v>
      </c>
      <c r="G310">
        <f t="shared" ref="G310:N310" si="70">G53</f>
        <v>103</v>
      </c>
      <c r="H310">
        <f t="shared" si="70"/>
        <v>109.80000000000001</v>
      </c>
      <c r="I310">
        <f t="shared" si="70"/>
        <v>102.50000000000003</v>
      </c>
      <c r="J310">
        <f t="shared" ca="1" si="70"/>
        <v>108.67362810328648</v>
      </c>
      <c r="K310">
        <f t="shared" ca="1" si="70"/>
        <v>132.64788891700152</v>
      </c>
      <c r="L310">
        <f t="shared" ca="1" si="70"/>
        <v>159.83546211198379</v>
      </c>
      <c r="M310">
        <f t="shared" ca="1" si="70"/>
        <v>186.24280703420578</v>
      </c>
      <c r="N310">
        <f t="shared" ca="1" si="70"/>
        <v>202.7252628157907</v>
      </c>
    </row>
    <row r="311" spans="3:14">
      <c r="D311" t="str">
        <f>C60</f>
        <v>Investing Cash Flow</v>
      </c>
      <c r="G311">
        <f t="shared" ref="G311:N311" si="71">G60</f>
        <v>-95.199999999999989</v>
      </c>
      <c r="H311">
        <f t="shared" si="71"/>
        <v>-143.29999999999998</v>
      </c>
      <c r="I311">
        <f t="shared" si="71"/>
        <v>-144.59999999999997</v>
      </c>
      <c r="J311">
        <f t="shared" si="71"/>
        <v>-140</v>
      </c>
      <c r="K311">
        <f t="shared" si="71"/>
        <v>-140</v>
      </c>
      <c r="L311">
        <f t="shared" si="71"/>
        <v>-150</v>
      </c>
      <c r="M311">
        <f t="shared" si="71"/>
        <v>-150</v>
      </c>
      <c r="N311">
        <f t="shared" si="71"/>
        <v>-150</v>
      </c>
    </row>
    <row r="312" spans="3:14">
      <c r="D312" t="str">
        <f t="shared" ref="D312:D318" si="72">C65</f>
        <v>Variable Rate Long Term Debt Issuance / (Repayment)</v>
      </c>
      <c r="G312">
        <f t="shared" ref="G312:N318" si="73">G65</f>
        <v>-26</v>
      </c>
      <c r="H312">
        <f t="shared" si="73"/>
        <v>20</v>
      </c>
      <c r="I312">
        <f t="shared" si="73"/>
        <v>25</v>
      </c>
      <c r="J312">
        <f t="shared" si="73"/>
        <v>-135</v>
      </c>
      <c r="K312">
        <f t="shared" si="73"/>
        <v>-135</v>
      </c>
      <c r="L312">
        <f t="shared" si="73"/>
        <v>-135</v>
      </c>
      <c r="M312">
        <f t="shared" si="73"/>
        <v>-135</v>
      </c>
      <c r="N312">
        <f t="shared" si="73"/>
        <v>-82.700000000000045</v>
      </c>
    </row>
    <row r="313" spans="3:14">
      <c r="D313" t="str">
        <f t="shared" si="72"/>
        <v>Fixed Rate Long Term Debt Issuance / (Repayment)</v>
      </c>
      <c r="G313">
        <f t="shared" si="73"/>
        <v>5</v>
      </c>
      <c r="H313">
        <f t="shared" si="73"/>
        <v>25</v>
      </c>
      <c r="I313">
        <f t="shared" si="73"/>
        <v>25</v>
      </c>
      <c r="J313">
        <f t="shared" si="73"/>
        <v>-50</v>
      </c>
      <c r="K313">
        <f t="shared" si="73"/>
        <v>-50</v>
      </c>
      <c r="L313">
        <f t="shared" si="73"/>
        <v>-50</v>
      </c>
      <c r="M313">
        <f t="shared" si="73"/>
        <v>-50</v>
      </c>
      <c r="N313">
        <f t="shared" si="73"/>
        <v>-24.599999999999994</v>
      </c>
    </row>
    <row r="314" spans="3:14">
      <c r="D314" t="str">
        <f t="shared" si="72"/>
        <v>Preferred Share Issuance / (Buy-Back)</v>
      </c>
      <c r="G314">
        <f t="shared" si="73"/>
        <v>0</v>
      </c>
      <c r="H314">
        <f t="shared" si="73"/>
        <v>0</v>
      </c>
      <c r="I314">
        <f t="shared" si="73"/>
        <v>0</v>
      </c>
      <c r="J314">
        <f t="shared" si="73"/>
        <v>0</v>
      </c>
      <c r="K314">
        <f t="shared" si="73"/>
        <v>400</v>
      </c>
      <c r="L314">
        <f t="shared" si="73"/>
        <v>400</v>
      </c>
      <c r="M314">
        <f t="shared" si="73"/>
        <v>0</v>
      </c>
      <c r="N314">
        <f t="shared" si="73"/>
        <v>0</v>
      </c>
    </row>
    <row r="315" spans="3:14">
      <c r="D315" t="str">
        <f t="shared" si="72"/>
        <v>Common Share Issuance / (Buy-Back)</v>
      </c>
      <c r="G315">
        <f t="shared" si="73"/>
        <v>-5</v>
      </c>
      <c r="H315">
        <f t="shared" si="73"/>
        <v>-4</v>
      </c>
      <c r="I315">
        <f t="shared" si="73"/>
        <v>-6</v>
      </c>
      <c r="J315">
        <f t="shared" si="73"/>
        <v>10</v>
      </c>
      <c r="K315">
        <f t="shared" si="73"/>
        <v>10</v>
      </c>
      <c r="L315">
        <f t="shared" si="73"/>
        <v>0</v>
      </c>
      <c r="M315">
        <f t="shared" si="73"/>
        <v>0</v>
      </c>
      <c r="N315">
        <f t="shared" si="73"/>
        <v>0</v>
      </c>
    </row>
    <row r="316" spans="3:14">
      <c r="D316" t="str">
        <f t="shared" si="72"/>
        <v>Preferred Share Dividends</v>
      </c>
      <c r="G316">
        <f t="shared" si="73"/>
        <v>0</v>
      </c>
      <c r="H316">
        <f t="shared" si="73"/>
        <v>0</v>
      </c>
      <c r="I316">
        <f t="shared" si="73"/>
        <v>0</v>
      </c>
      <c r="J316">
        <f t="shared" si="73"/>
        <v>0</v>
      </c>
      <c r="K316">
        <f t="shared" si="73"/>
        <v>-32</v>
      </c>
      <c r="L316">
        <f t="shared" si="73"/>
        <v>-64</v>
      </c>
      <c r="M316">
        <f t="shared" si="73"/>
        <v>-64</v>
      </c>
      <c r="N316">
        <f t="shared" si="73"/>
        <v>-64</v>
      </c>
    </row>
    <row r="317" spans="3:14">
      <c r="D317" t="str">
        <f t="shared" si="72"/>
        <v>Common Share Dividends</v>
      </c>
      <c r="G317">
        <f t="shared" si="73"/>
        <v>-7.2</v>
      </c>
      <c r="H317">
        <f t="shared" si="73"/>
        <v>-9.6</v>
      </c>
      <c r="I317">
        <f t="shared" si="73"/>
        <v>-9.1</v>
      </c>
      <c r="J317">
        <f t="shared" ca="1" si="73"/>
        <v>-10.038148742406708</v>
      </c>
      <c r="K317">
        <f t="shared" ca="1" si="73"/>
        <v>-6.082371621730192</v>
      </c>
      <c r="L317">
        <f t="shared" ca="1" si="73"/>
        <v>-2.6576893319465276</v>
      </c>
      <c r="M317">
        <f t="shared" ca="1" si="73"/>
        <v>-5.9514923902873429</v>
      </c>
      <c r="N317">
        <f t="shared" ca="1" si="73"/>
        <v>-7.3662754340067655</v>
      </c>
    </row>
    <row r="318" spans="3:14">
      <c r="D318" t="str">
        <f t="shared" si="72"/>
        <v>Other</v>
      </c>
      <c r="G318">
        <f t="shared" si="73"/>
        <v>0.8</v>
      </c>
      <c r="H318">
        <f t="shared" si="73"/>
        <v>0.6</v>
      </c>
      <c r="I318">
        <f t="shared" si="73"/>
        <v>-0.5</v>
      </c>
      <c r="J318">
        <f t="shared" si="73"/>
        <v>0</v>
      </c>
      <c r="K318">
        <f t="shared" si="73"/>
        <v>0</v>
      </c>
      <c r="L318">
        <f t="shared" si="73"/>
        <v>0</v>
      </c>
      <c r="M318">
        <f t="shared" si="73"/>
        <v>0</v>
      </c>
      <c r="N318">
        <f t="shared" si="73"/>
        <v>0</v>
      </c>
    </row>
    <row r="319" spans="3:14" s="69" customFormat="1">
      <c r="D319" s="69" t="s">
        <v>185</v>
      </c>
      <c r="G319" s="69">
        <f t="shared" ref="G319:N319" si="74">SUM(G310:G318)</f>
        <v>-24.599999999999987</v>
      </c>
      <c r="H319" s="69">
        <f t="shared" si="74"/>
        <v>-1.4999999999999711</v>
      </c>
      <c r="I319" s="69">
        <f t="shared" si="74"/>
        <v>-7.6999999999999371</v>
      </c>
      <c r="J319" s="69">
        <f t="shared" ca="1" si="74"/>
        <v>-216.36452063912023</v>
      </c>
      <c r="K319" s="69">
        <f t="shared" ca="1" si="74"/>
        <v>179.56551729527132</v>
      </c>
      <c r="L319" s="69">
        <f t="shared" ca="1" si="74"/>
        <v>158.17777278003726</v>
      </c>
      <c r="M319" s="69">
        <f t="shared" ca="1" si="74"/>
        <v>-218.70868535608156</v>
      </c>
      <c r="N319" s="69">
        <f t="shared" ca="1" si="74"/>
        <v>-125.94101261821611</v>
      </c>
    </row>
    <row r="321" spans="3:14">
      <c r="D321" t="s">
        <v>172</v>
      </c>
      <c r="J321">
        <f>I323</f>
        <v>0</v>
      </c>
      <c r="K321">
        <f t="shared" ref="K321:N321" ca="1" si="75">J323</f>
        <v>17.364520639120144</v>
      </c>
      <c r="L321">
        <f t="shared" ca="1" si="75"/>
        <v>0</v>
      </c>
      <c r="M321">
        <f t="shared" ca="1" si="75"/>
        <v>0</v>
      </c>
      <c r="N321">
        <f t="shared" ca="1" si="75"/>
        <v>0</v>
      </c>
    </row>
    <row r="322" spans="3:14">
      <c r="D322" t="s">
        <v>186</v>
      </c>
      <c r="J322">
        <f ca="1">-MIN(J321,J302+J319)</f>
        <v>17.364520639120144</v>
      </c>
      <c r="K322">
        <f t="shared" ref="K322:N322" ca="1" si="76">-MIN(K321,K302+K319)</f>
        <v>-17.364520639120144</v>
      </c>
      <c r="L322">
        <f t="shared" ca="1" si="76"/>
        <v>0</v>
      </c>
      <c r="M322">
        <f t="shared" ca="1" si="76"/>
        <v>0</v>
      </c>
      <c r="N322">
        <f t="shared" ca="1" si="76"/>
        <v>24.270928538109203</v>
      </c>
    </row>
    <row r="323" spans="3:14">
      <c r="D323" t="s">
        <v>152</v>
      </c>
      <c r="I323" s="93">
        <f>I102</f>
        <v>0</v>
      </c>
      <c r="J323">
        <f ca="1">SUM(J321:J322)</f>
        <v>17.364520639120144</v>
      </c>
      <c r="K323">
        <f t="shared" ref="K323:N323" ca="1" si="77">SUM(K321:K322)</f>
        <v>0</v>
      </c>
      <c r="L323">
        <f t="shared" ca="1" si="77"/>
        <v>0</v>
      </c>
      <c r="M323">
        <f t="shared" ca="1" si="77"/>
        <v>0</v>
      </c>
      <c r="N323">
        <f t="shared" ca="1" si="77"/>
        <v>24.270928538109203</v>
      </c>
    </row>
    <row r="325" spans="3:14">
      <c r="D325" s="99" t="s">
        <v>189</v>
      </c>
      <c r="E325" s="73"/>
      <c r="F325" s="73"/>
      <c r="G325" s="73"/>
      <c r="H325" s="73"/>
      <c r="I325" s="73"/>
      <c r="J325" s="73">
        <f ca="1">AVERAGE(I323:J323)*J281</f>
        <v>0.47752431757580399</v>
      </c>
      <c r="K325" s="73">
        <f t="shared" ref="K325:N325" ca="1" si="78">AVERAGE(J323:K323)*K281</f>
        <v>0.47752431757580399</v>
      </c>
      <c r="L325" s="73">
        <f t="shared" ca="1" si="78"/>
        <v>0</v>
      </c>
      <c r="M325" s="73">
        <f t="shared" ca="1" si="78"/>
        <v>0</v>
      </c>
      <c r="N325" s="100">
        <f t="shared" ca="1" si="78"/>
        <v>0.66745053479800309</v>
      </c>
    </row>
    <row r="327" spans="3:14">
      <c r="C327" s="81" t="s">
        <v>190</v>
      </c>
    </row>
    <row r="328" spans="3:14">
      <c r="D328" t="str">
        <f>D292</f>
        <v>Interest on Fixed term debt</v>
      </c>
      <c r="J328">
        <f t="shared" ref="J328:N328" si="79">J292</f>
        <v>12.974</v>
      </c>
      <c r="K328">
        <f t="shared" si="79"/>
        <v>9.7240000000000002</v>
      </c>
      <c r="L328">
        <f t="shared" si="79"/>
        <v>6.4740000000000002</v>
      </c>
      <c r="M328">
        <f t="shared" si="79"/>
        <v>3.2239999999999998</v>
      </c>
      <c r="N328">
        <f t="shared" si="79"/>
        <v>0.79949999999999988</v>
      </c>
    </row>
    <row r="329" spans="3:14">
      <c r="D329" t="str">
        <f>D299</f>
        <v>Interest Expense on Variable rate term debt</v>
      </c>
      <c r="J329">
        <f t="shared" ref="J329:N329" si="80">J299</f>
        <v>30.536000000000001</v>
      </c>
      <c r="K329">
        <f t="shared" si="80"/>
        <v>23.111000000000004</v>
      </c>
      <c r="L329">
        <f t="shared" si="80"/>
        <v>15.686000000000002</v>
      </c>
      <c r="M329">
        <f t="shared" si="80"/>
        <v>8.2610000000000028</v>
      </c>
      <c r="N329">
        <f t="shared" si="80"/>
        <v>2.2742500000000012</v>
      </c>
    </row>
    <row r="330" spans="3:14">
      <c r="D330" t="str">
        <f>D306</f>
        <v>Interest Income in from Excess Cash</v>
      </c>
      <c r="J330">
        <f t="shared" ref="J330:N330" ca="1" si="81">J306</f>
        <v>0.7462500000000003</v>
      </c>
      <c r="K330">
        <f t="shared" ca="1" si="81"/>
        <v>0.60825373746056688</v>
      </c>
      <c r="L330">
        <f t="shared" ca="1" si="81"/>
        <v>1.8096741228462736</v>
      </c>
      <c r="M330">
        <f t="shared" ca="1" si="81"/>
        <v>1.5826832006861076</v>
      </c>
      <c r="N330">
        <f t="shared" ca="1" si="81"/>
        <v>0.38126281530040246</v>
      </c>
    </row>
    <row r="331" spans="3:14">
      <c r="D331" t="str">
        <f>D325</f>
        <v>Interest Expense on Revolver</v>
      </c>
      <c r="J331">
        <f t="shared" ref="J331:N331" ca="1" si="82">J325</f>
        <v>0.47752431757580399</v>
      </c>
      <c r="K331">
        <f t="shared" ca="1" si="82"/>
        <v>0.47752431757580399</v>
      </c>
      <c r="L331">
        <f t="shared" ca="1" si="82"/>
        <v>0</v>
      </c>
      <c r="M331">
        <f t="shared" ca="1" si="82"/>
        <v>0</v>
      </c>
      <c r="N331">
        <f t="shared" ca="1" si="82"/>
        <v>0.66745053479800309</v>
      </c>
    </row>
    <row r="332" spans="3:14">
      <c r="D332" s="101" t="s">
        <v>12</v>
      </c>
      <c r="E332" s="74"/>
      <c r="F332" s="74"/>
      <c r="G332" s="74"/>
      <c r="H332" s="74"/>
      <c r="I332" s="74"/>
      <c r="J332" s="74">
        <f ca="1">J328+J329-J330+J331</f>
        <v>43.241274317575808</v>
      </c>
      <c r="K332" s="74">
        <f t="shared" ref="K332:N332" ca="1" si="83">K328+K329-K330+K331</f>
        <v>32.704270580115249</v>
      </c>
      <c r="L332" s="74">
        <f t="shared" ca="1" si="83"/>
        <v>20.350325877153729</v>
      </c>
      <c r="M332" s="74">
        <f t="shared" ca="1" si="83"/>
        <v>9.9023167993138959</v>
      </c>
      <c r="N332" s="102">
        <f t="shared" ca="1" si="83"/>
        <v>3.3599377194976023</v>
      </c>
    </row>
  </sheetData>
  <pageMargins left="0.7" right="0.7" top="0.75" bottom="0.75" header="0.3" footer="0.3"/>
  <pageSetup scale="64" fitToHeight="0" orientation="portrait" verticalDpi="0" r:id="rId1"/>
  <headerFooter>
    <oddFooter>&amp;LXcel Stores Properties
Financial Model from 2023 - 2027&amp;CPage &amp;P of &amp;N&amp;R&amp;D &amp;T
Sheet: 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10</xdr:col>
                    <xdr:colOff>457200</xdr:colOff>
                    <xdr:row>2</xdr:row>
                    <xdr:rowOff>7620</xdr:rowOff>
                  </from>
                  <to>
                    <xdr:col>12</xdr:col>
                    <xdr:colOff>426720</xdr:colOff>
                    <xdr:row>3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b3514-57f3-43d7-8a04-2a0a52bb0f40">
      <Terms xmlns="http://schemas.microsoft.com/office/infopath/2007/PartnerControls"/>
    </lcf76f155ced4ddcb4097134ff3c332f>
    <TaxCatchAll xmlns="0e11384c-db64-4a7f-b983-5ea50ecd490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972A69AB9064D95049B970FA150B6" ma:contentTypeVersion="17" ma:contentTypeDescription="Create a new document." ma:contentTypeScope="" ma:versionID="6fff2d11003570a2730a3ed3d767a9c4">
  <xsd:schema xmlns:xsd="http://www.w3.org/2001/XMLSchema" xmlns:xs="http://www.w3.org/2001/XMLSchema" xmlns:p="http://schemas.microsoft.com/office/2006/metadata/properties" xmlns:ns2="30fb3514-57f3-43d7-8a04-2a0a52bb0f40" xmlns:ns3="0e11384c-db64-4a7f-b983-5ea50ecd490d" targetNamespace="http://schemas.microsoft.com/office/2006/metadata/properties" ma:root="true" ma:fieldsID="673d17013765225982b8c08c4d033437" ns2:_="" ns3:_="">
    <xsd:import namespace="30fb3514-57f3-43d7-8a04-2a0a52bb0f40"/>
    <xsd:import namespace="0e11384c-db64-4a7f-b983-5ea50ecd49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b3514-57f3-43d7-8a04-2a0a52bb0f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a95febbe-8800-4c16-a6d5-fe9535d6c59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1384c-db64-4a7f-b983-5ea50ecd490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0b2d40c2-0fae-40a6-8be7-1aa6524c18c3}" ma:internalName="TaxCatchAll" ma:showField="CatchAllData" ma:web="0e11384c-db64-4a7f-b983-5ea50ecd49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8A4C15-149C-4382-A18D-0CEA9FFF8A9F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purl.org/dc/dcmitype/"/>
    <ds:schemaRef ds:uri="0e11384c-db64-4a7f-b983-5ea50ecd490d"/>
    <ds:schemaRef ds:uri="30fb3514-57f3-43d7-8a04-2a0a52bb0f4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8D76002-846B-4D82-82CF-26B5C289E3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E97AB1-261D-48D1-B0AD-3741E420D4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b3514-57f3-43d7-8a04-2a0a52bb0f40"/>
    <ds:schemaRef ds:uri="0e11384c-db64-4a7f-b983-5ea50ecd49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Cover</vt:lpstr>
      <vt:lpstr>Summary</vt:lpstr>
      <vt:lpstr>Inputs</vt:lpstr>
      <vt:lpstr>Scenarios</vt:lpstr>
      <vt:lpstr>Model</vt:lpstr>
      <vt:lpstr>BSCheck</vt:lpstr>
      <vt:lpstr>Currency</vt:lpstr>
      <vt:lpstr>L_Scenarios</vt:lpstr>
      <vt:lpstr>Million</vt:lpstr>
      <vt:lpstr>S_Switch</vt:lpstr>
      <vt:lpstr>UsedScenario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Dbrown</dc:creator>
  <cp:lastModifiedBy>Tochukwu Collins</cp:lastModifiedBy>
  <dcterms:created xsi:type="dcterms:W3CDTF">2023-06-13T12:41:08Z</dcterms:created>
  <dcterms:modified xsi:type="dcterms:W3CDTF">2025-03-20T16:05:19Z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0x010100005972A69AB9064D95049B970FA150B6</vt:lpwstr>
  </property>
  <property fmtid="{D5CDD505-2E9C-101B-9397-08002B2CF9AE}" pid="3" name="MediaServiceImageTags">
    <vt:lpwstr/>
  </property>
</Properties>
</file>