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2"/>
  </bookViews>
  <sheets>
    <sheet name="Data Training" sheetId="1" r:id="rId1"/>
    <sheet name="Perhitungan Manual" sheetId="2" r:id="rId2"/>
    <sheet name="RULE" sheetId="3" r:id="rId3"/>
  </sheets>
  <definedNames>
    <definedName name="_xlnm._FilterDatabase" localSheetId="0" hidden="1">'Data Training'!$B$4:$H$123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4" i="2" l="1"/>
  <c r="F374" i="2"/>
  <c r="I55" i="2"/>
  <c r="H57" i="2"/>
  <c r="I353" i="2"/>
  <c r="H353" i="2"/>
  <c r="G353" i="2"/>
  <c r="I352" i="2"/>
  <c r="H352" i="2"/>
  <c r="G352" i="2"/>
  <c r="I350" i="2"/>
  <c r="H350" i="2"/>
  <c r="G350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1" i="2"/>
  <c r="G361" i="2"/>
  <c r="F361" i="2"/>
  <c r="H360" i="2"/>
  <c r="G360" i="2"/>
  <c r="F360" i="2"/>
  <c r="H358" i="2"/>
  <c r="G358" i="2"/>
  <c r="F358" i="2"/>
  <c r="H346" i="2"/>
  <c r="G346" i="2"/>
  <c r="F346" i="2"/>
  <c r="H345" i="2"/>
  <c r="G345" i="2"/>
  <c r="F345" i="2"/>
  <c r="H344" i="2"/>
  <c r="G344" i="2"/>
  <c r="F344" i="2"/>
  <c r="G343" i="2"/>
  <c r="H343" i="2"/>
  <c r="F343" i="2"/>
  <c r="F341" i="2"/>
  <c r="H341" i="2"/>
  <c r="G341" i="2"/>
  <c r="H340" i="2"/>
  <c r="G340" i="2"/>
  <c r="F340" i="2"/>
  <c r="H338" i="2"/>
  <c r="G338" i="2"/>
  <c r="F338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E374" i="2"/>
  <c r="G373" i="2"/>
  <c r="F373" i="2"/>
  <c r="E373" i="2"/>
  <c r="G371" i="2"/>
  <c r="F371" i="2"/>
  <c r="E371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E329" i="2"/>
  <c r="G329" i="2"/>
  <c r="F329" i="2"/>
  <c r="G328" i="2"/>
  <c r="F328" i="2"/>
  <c r="E328" i="2"/>
  <c r="G327" i="2"/>
  <c r="F327" i="2"/>
  <c r="E327" i="2"/>
  <c r="G326" i="2"/>
  <c r="F326" i="2"/>
  <c r="E326" i="2"/>
  <c r="E324" i="2"/>
  <c r="G323" i="2"/>
  <c r="F323" i="2"/>
  <c r="E323" i="2"/>
  <c r="E321" i="2"/>
  <c r="G321" i="2"/>
  <c r="G324" i="2" s="1"/>
  <c r="F321" i="2"/>
  <c r="F324" i="2" s="1"/>
  <c r="D314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4" i="2"/>
  <c r="G284" i="2"/>
  <c r="F284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4" i="2"/>
  <c r="H274" i="2"/>
  <c r="G274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F260" i="2"/>
  <c r="H260" i="2"/>
  <c r="G260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7" i="2"/>
  <c r="G227" i="2"/>
  <c r="F227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7" i="2"/>
  <c r="H217" i="2"/>
  <c r="G217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G208" i="2"/>
  <c r="I208" i="2"/>
  <c r="H208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F185" i="2"/>
  <c r="H185" i="2"/>
  <c r="G185" i="2"/>
  <c r="H184" i="2"/>
  <c r="G184" i="2"/>
  <c r="F184" i="2"/>
  <c r="H183" i="2"/>
  <c r="G183" i="2"/>
  <c r="F183" i="2"/>
  <c r="H182" i="2"/>
  <c r="G182" i="2"/>
  <c r="F182" i="2"/>
  <c r="F180" i="2"/>
  <c r="F201" i="2"/>
  <c r="H204" i="2"/>
  <c r="G204" i="2"/>
  <c r="F204" i="2"/>
  <c r="H203" i="2"/>
  <c r="G203" i="2"/>
  <c r="F203" i="2"/>
  <c r="H202" i="2"/>
  <c r="G202" i="2"/>
  <c r="F202" i="2"/>
  <c r="H201" i="2"/>
  <c r="G201" i="2"/>
  <c r="H194" i="2"/>
  <c r="G194" i="2"/>
  <c r="F194" i="2"/>
  <c r="H180" i="2"/>
  <c r="G180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E163" i="2"/>
  <c r="G165" i="2"/>
  <c r="F165" i="2"/>
  <c r="E165" i="2"/>
  <c r="G164" i="2"/>
  <c r="F164" i="2"/>
  <c r="E164" i="2"/>
  <c r="G163" i="2"/>
  <c r="F163" i="2"/>
  <c r="G162" i="2"/>
  <c r="F162" i="2"/>
  <c r="E162" i="2"/>
  <c r="G160" i="2"/>
  <c r="F160" i="2"/>
  <c r="E160" i="2"/>
  <c r="E249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E123" i="2"/>
  <c r="G122" i="2"/>
  <c r="F122" i="2"/>
  <c r="E122" i="2"/>
  <c r="G120" i="2"/>
  <c r="G123" i="2" s="1"/>
  <c r="F120" i="2"/>
  <c r="F123" i="2" s="1"/>
  <c r="E120" i="2"/>
  <c r="G133" i="2"/>
  <c r="G132" i="2"/>
  <c r="G131" i="2"/>
  <c r="G130" i="2"/>
  <c r="G128" i="2"/>
  <c r="G127" i="2"/>
  <c r="G126" i="2"/>
  <c r="G125" i="2"/>
  <c r="F116" i="2"/>
  <c r="E116" i="2"/>
  <c r="F115" i="2"/>
  <c r="E115" i="2"/>
  <c r="F114" i="2"/>
  <c r="E114" i="2"/>
  <c r="F113" i="2"/>
  <c r="E113" i="2"/>
  <c r="F111" i="2"/>
  <c r="E111" i="2"/>
  <c r="F110" i="2"/>
  <c r="E110" i="2"/>
  <c r="F109" i="2"/>
  <c r="E109" i="2"/>
  <c r="F108" i="2"/>
  <c r="E108" i="2"/>
  <c r="E106" i="2"/>
  <c r="G105" i="2"/>
  <c r="F105" i="2"/>
  <c r="E105" i="2"/>
  <c r="G103" i="2"/>
  <c r="G106" i="2" s="1"/>
  <c r="F103" i="2"/>
  <c r="F106" i="2" s="1"/>
  <c r="E103" i="2"/>
  <c r="G116" i="2"/>
  <c r="G115" i="2"/>
  <c r="G114" i="2"/>
  <c r="G113" i="2"/>
  <c r="G111" i="2"/>
  <c r="G110" i="2"/>
  <c r="G109" i="2"/>
  <c r="G108" i="2"/>
  <c r="E95" i="2"/>
  <c r="G98" i="2"/>
  <c r="F98" i="2"/>
  <c r="E98" i="2"/>
  <c r="G97" i="2"/>
  <c r="F97" i="2"/>
  <c r="E97" i="2"/>
  <c r="G96" i="2"/>
  <c r="F96" i="2"/>
  <c r="E96" i="2"/>
  <c r="G95" i="2"/>
  <c r="F95" i="2"/>
  <c r="G93" i="2"/>
  <c r="F93" i="2"/>
  <c r="E93" i="2"/>
  <c r="G92" i="2"/>
  <c r="F92" i="2"/>
  <c r="E92" i="2"/>
  <c r="G91" i="2"/>
  <c r="F91" i="2"/>
  <c r="E91" i="2"/>
  <c r="G90" i="2"/>
  <c r="F90" i="2"/>
  <c r="E90" i="2"/>
  <c r="E88" i="2"/>
  <c r="G87" i="2"/>
  <c r="F87" i="2"/>
  <c r="E87" i="2"/>
  <c r="E56" i="2"/>
  <c r="G85" i="2"/>
  <c r="G88" i="2" s="1"/>
  <c r="F85" i="2"/>
  <c r="F88" i="2" s="1"/>
  <c r="E85" i="2"/>
  <c r="G73" i="2"/>
  <c r="H81" i="2"/>
  <c r="G81" i="2"/>
  <c r="F81" i="2"/>
  <c r="H80" i="2"/>
  <c r="G80" i="2"/>
  <c r="F80" i="2"/>
  <c r="H79" i="2"/>
  <c r="G79" i="2"/>
  <c r="F79" i="2"/>
  <c r="H78" i="2"/>
  <c r="G78" i="2"/>
  <c r="F78" i="2"/>
  <c r="H76" i="2"/>
  <c r="G76" i="2"/>
  <c r="F76" i="2"/>
  <c r="H75" i="2"/>
  <c r="G75" i="2"/>
  <c r="F75" i="2"/>
  <c r="H74" i="2"/>
  <c r="G74" i="2"/>
  <c r="F74" i="2"/>
  <c r="H73" i="2"/>
  <c r="F73" i="2"/>
  <c r="H71" i="2"/>
  <c r="G71" i="2"/>
  <c r="F71" i="2"/>
  <c r="B3" i="1"/>
  <c r="E40" i="2"/>
  <c r="E39" i="2"/>
  <c r="E35" i="2"/>
  <c r="D5" i="2"/>
  <c r="E20" i="2"/>
  <c r="D20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3" i="2"/>
  <c r="E393" i="2"/>
  <c r="D393" i="2"/>
  <c r="F392" i="2"/>
  <c r="E392" i="2"/>
  <c r="D392" i="2"/>
  <c r="F390" i="2"/>
  <c r="E390" i="2"/>
  <c r="D390" i="2"/>
  <c r="G390" i="2" s="1"/>
  <c r="F317" i="2"/>
  <c r="E317" i="2"/>
  <c r="D317" i="2"/>
  <c r="F316" i="2"/>
  <c r="E316" i="2"/>
  <c r="D316" i="2"/>
  <c r="F315" i="2"/>
  <c r="E315" i="2"/>
  <c r="D315" i="2"/>
  <c r="F314" i="2"/>
  <c r="E314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2" i="2"/>
  <c r="E302" i="2"/>
  <c r="D302" i="2"/>
  <c r="F301" i="2"/>
  <c r="E301" i="2"/>
  <c r="D301" i="2"/>
  <c r="F299" i="2"/>
  <c r="E299" i="2"/>
  <c r="D299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1" i="2"/>
  <c r="F251" i="2"/>
  <c r="E251" i="2"/>
  <c r="G250" i="2"/>
  <c r="F250" i="2"/>
  <c r="E250" i="2"/>
  <c r="G249" i="2"/>
  <c r="F249" i="2"/>
  <c r="G248" i="2"/>
  <c r="F248" i="2"/>
  <c r="E248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1" i="2"/>
  <c r="F241" i="2"/>
  <c r="E241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1" i="2"/>
  <c r="E141" i="2"/>
  <c r="D141" i="2"/>
  <c r="F140" i="2"/>
  <c r="E140" i="2"/>
  <c r="D140" i="2"/>
  <c r="F138" i="2"/>
  <c r="E138" i="2"/>
  <c r="D138" i="2"/>
  <c r="G67" i="2"/>
  <c r="F67" i="2"/>
  <c r="E67" i="2"/>
  <c r="G66" i="2"/>
  <c r="F66" i="2"/>
  <c r="E66" i="2"/>
  <c r="G65" i="2"/>
  <c r="F65" i="2"/>
  <c r="E65" i="2"/>
  <c r="G64" i="2"/>
  <c r="F64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7" i="2"/>
  <c r="F57" i="2"/>
  <c r="E57" i="2"/>
  <c r="G56" i="2"/>
  <c r="F56" i="2"/>
  <c r="G54" i="2"/>
  <c r="F54" i="2"/>
  <c r="E54" i="2"/>
  <c r="F50" i="2"/>
  <c r="E50" i="2"/>
  <c r="D50" i="2"/>
  <c r="F49" i="2"/>
  <c r="E49" i="2"/>
  <c r="D49" i="2"/>
  <c r="F48" i="2"/>
  <c r="E48" i="2"/>
  <c r="D48" i="2"/>
  <c r="F47" i="2"/>
  <c r="E47" i="2"/>
  <c r="D47" i="2"/>
  <c r="F45" i="2"/>
  <c r="E45" i="2"/>
  <c r="D45" i="2"/>
  <c r="F44" i="2"/>
  <c r="E44" i="2"/>
  <c r="D44" i="2"/>
  <c r="F43" i="2"/>
  <c r="E43" i="2"/>
  <c r="D43" i="2"/>
  <c r="F42" i="2"/>
  <c r="E42" i="2"/>
  <c r="D42" i="2"/>
  <c r="F40" i="2"/>
  <c r="D40" i="2"/>
  <c r="F39" i="2"/>
  <c r="D39" i="2"/>
  <c r="F38" i="2"/>
  <c r="E38" i="2"/>
  <c r="D38" i="2"/>
  <c r="F37" i="2"/>
  <c r="E37" i="2"/>
  <c r="D37" i="2"/>
  <c r="F35" i="2"/>
  <c r="D35" i="2"/>
  <c r="F34" i="2"/>
  <c r="E34" i="2"/>
  <c r="D34" i="2"/>
  <c r="F32" i="2"/>
  <c r="E32" i="2"/>
  <c r="D32" i="2"/>
  <c r="E28" i="2"/>
  <c r="D28" i="2"/>
  <c r="C28" i="2"/>
  <c r="E27" i="2"/>
  <c r="D27" i="2"/>
  <c r="C27" i="2"/>
  <c r="E26" i="2"/>
  <c r="D26" i="2"/>
  <c r="C26" i="2"/>
  <c r="E25" i="2"/>
  <c r="D25" i="2"/>
  <c r="C25" i="2"/>
  <c r="E23" i="2"/>
  <c r="D23" i="2"/>
  <c r="C23" i="2"/>
  <c r="E22" i="2"/>
  <c r="D22" i="2"/>
  <c r="C22" i="2"/>
  <c r="E21" i="2"/>
  <c r="D21" i="2"/>
  <c r="C21" i="2"/>
  <c r="C20" i="2"/>
  <c r="E18" i="2"/>
  <c r="D18" i="2"/>
  <c r="C18" i="2"/>
  <c r="E17" i="2"/>
  <c r="D17" i="2"/>
  <c r="C17" i="2"/>
  <c r="E16" i="2"/>
  <c r="D16" i="2"/>
  <c r="C16" i="2"/>
  <c r="E15" i="2"/>
  <c r="D15" i="2"/>
  <c r="C15" i="2"/>
  <c r="E13" i="2"/>
  <c r="D13" i="2"/>
  <c r="C13" i="2"/>
  <c r="E12" i="2"/>
  <c r="D12" i="2"/>
  <c r="C12" i="2"/>
  <c r="E11" i="2"/>
  <c r="D11" i="2"/>
  <c r="C11" i="2"/>
  <c r="E10" i="2"/>
  <c r="D10" i="2"/>
  <c r="C10" i="2"/>
  <c r="E8" i="2"/>
  <c r="D8" i="2"/>
  <c r="C8" i="2"/>
  <c r="E7" i="2"/>
  <c r="D7" i="2"/>
  <c r="C7" i="2"/>
  <c r="E5" i="2"/>
  <c r="C5" i="2"/>
  <c r="J352" i="2" l="1"/>
  <c r="J350" i="2"/>
  <c r="I360" i="2"/>
  <c r="I358" i="2"/>
  <c r="I338" i="2"/>
  <c r="I345" i="2"/>
  <c r="I340" i="2"/>
  <c r="H332" i="2"/>
  <c r="H333" i="2"/>
  <c r="H384" i="2"/>
  <c r="H371" i="2"/>
  <c r="H373" i="2"/>
  <c r="H328" i="2"/>
  <c r="H378" i="2"/>
  <c r="H329" i="2"/>
  <c r="H323" i="2"/>
  <c r="H321" i="2"/>
  <c r="J362" i="2" s="1"/>
  <c r="J277" i="2"/>
  <c r="J274" i="2"/>
  <c r="I264" i="2"/>
  <c r="I268" i="2"/>
  <c r="I230" i="2"/>
  <c r="I235" i="2"/>
  <c r="I199" i="2"/>
  <c r="I234" i="2"/>
  <c r="I197" i="2"/>
  <c r="I236" i="2"/>
  <c r="J211" i="2"/>
  <c r="I194" i="2"/>
  <c r="I196" i="2"/>
  <c r="J210" i="2"/>
  <c r="J208" i="2"/>
  <c r="H163" i="2"/>
  <c r="I184" i="2"/>
  <c r="I188" i="2"/>
  <c r="H164" i="2"/>
  <c r="H168" i="2"/>
  <c r="H173" i="2"/>
  <c r="H162" i="2"/>
  <c r="H167" i="2"/>
  <c r="H172" i="2"/>
  <c r="H170" i="2"/>
  <c r="H175" i="2"/>
  <c r="H169" i="2"/>
  <c r="H174" i="2"/>
  <c r="H160" i="2"/>
  <c r="I78" i="2"/>
  <c r="I71" i="2"/>
  <c r="H87" i="2"/>
  <c r="I73" i="2"/>
  <c r="H85" i="2"/>
  <c r="H250" i="2"/>
  <c r="G312" i="2"/>
  <c r="G317" i="2"/>
  <c r="G144" i="2"/>
  <c r="I284" i="2"/>
  <c r="J285" i="2" s="1"/>
  <c r="G302" i="2"/>
  <c r="G307" i="2"/>
  <c r="F13" i="2"/>
  <c r="G149" i="2"/>
  <c r="G154" i="2"/>
  <c r="I180" i="2"/>
  <c r="H245" i="2"/>
  <c r="G32" i="2"/>
  <c r="G37" i="2"/>
  <c r="G42" i="2"/>
  <c r="G48" i="2"/>
  <c r="G143" i="2"/>
  <c r="G148" i="2"/>
  <c r="G153" i="2"/>
  <c r="I202" i="2"/>
  <c r="J217" i="2"/>
  <c r="J220" i="2"/>
  <c r="I227" i="2"/>
  <c r="H241" i="2"/>
  <c r="H243" i="2"/>
  <c r="H248" i="2"/>
  <c r="H254" i="2"/>
  <c r="I260" i="2"/>
  <c r="I292" i="2"/>
  <c r="G299" i="2"/>
  <c r="G301" i="2"/>
  <c r="G305" i="2"/>
  <c r="G306" i="2"/>
  <c r="G309" i="2"/>
  <c r="G310" i="2"/>
  <c r="G311" i="2"/>
  <c r="G315" i="2"/>
  <c r="H59" i="2"/>
  <c r="H120" i="2"/>
  <c r="I129" i="2" s="1"/>
  <c r="F7" i="2"/>
  <c r="F8" i="2"/>
  <c r="F12" i="2"/>
  <c r="F17" i="2"/>
  <c r="F25" i="2"/>
  <c r="F11" i="2"/>
  <c r="F15" i="2"/>
  <c r="F21" i="2"/>
  <c r="F22" i="2"/>
  <c r="F23" i="2"/>
  <c r="F26" i="2"/>
  <c r="F27" i="2"/>
  <c r="F28" i="2"/>
  <c r="G34" i="2"/>
  <c r="G38" i="2"/>
  <c r="G43" i="2"/>
  <c r="G45" i="2"/>
  <c r="G47" i="2"/>
  <c r="H54" i="2"/>
  <c r="H64" i="2"/>
  <c r="H122" i="2"/>
  <c r="G138" i="2"/>
  <c r="G140" i="2"/>
  <c r="G141" i="2"/>
  <c r="G145" i="2"/>
  <c r="G150" i="2"/>
  <c r="G151" i="2"/>
  <c r="G155" i="2"/>
  <c r="G156" i="2"/>
  <c r="I201" i="2"/>
  <c r="F16" i="2"/>
  <c r="F10" i="2"/>
  <c r="G35" i="2"/>
  <c r="F20" i="2"/>
  <c r="F5" i="2"/>
  <c r="J342" i="2" l="1"/>
  <c r="J339" i="2"/>
  <c r="K351" i="2"/>
  <c r="J359" i="2"/>
  <c r="I372" i="2"/>
  <c r="I322" i="2"/>
  <c r="I325" i="2"/>
  <c r="I330" i="2"/>
  <c r="I375" i="2"/>
  <c r="I380" i="2"/>
  <c r="K275" i="2"/>
  <c r="H303" i="2"/>
  <c r="H300" i="2"/>
  <c r="J261" i="2"/>
  <c r="J290" i="2"/>
  <c r="J266" i="2"/>
  <c r="K209" i="2"/>
  <c r="J195" i="2"/>
  <c r="I166" i="2"/>
  <c r="I161" i="2"/>
  <c r="I171" i="2"/>
  <c r="J186" i="2"/>
  <c r="J181" i="2"/>
  <c r="J77" i="2"/>
  <c r="J72" i="2"/>
  <c r="H404" i="2"/>
  <c r="I104" i="2"/>
  <c r="J233" i="2"/>
  <c r="I112" i="2"/>
  <c r="H399" i="2"/>
  <c r="J200" i="2"/>
  <c r="H41" i="2"/>
  <c r="G9" i="2"/>
  <c r="H152" i="2"/>
  <c r="H394" i="2"/>
  <c r="I63" i="2"/>
  <c r="H36" i="2"/>
  <c r="H308" i="2"/>
  <c r="I89" i="2"/>
  <c r="H313" i="2"/>
  <c r="I247" i="2"/>
  <c r="I242" i="2"/>
  <c r="J228" i="2"/>
  <c r="I86" i="2"/>
  <c r="I252" i="2"/>
  <c r="K218" i="2"/>
  <c r="H46" i="2"/>
  <c r="H33" i="2"/>
  <c r="I121" i="2"/>
  <c r="I124" i="2"/>
  <c r="H147" i="2"/>
  <c r="I107" i="2"/>
  <c r="I94" i="2"/>
  <c r="I58" i="2"/>
  <c r="H139" i="2"/>
  <c r="G24" i="2"/>
  <c r="H142" i="2"/>
  <c r="G14" i="2"/>
  <c r="G6" i="2"/>
  <c r="G19" i="2"/>
</calcChain>
</file>

<file path=xl/sharedStrings.xml><?xml version="1.0" encoding="utf-8"?>
<sst xmlns="http://schemas.openxmlformats.org/spreadsheetml/2006/main" count="1373" uniqueCount="198">
  <si>
    <t>NAMA</t>
  </si>
  <si>
    <t>NPM</t>
  </si>
  <si>
    <t>JENIS KELAMIN</t>
  </si>
  <si>
    <t>NENENG</t>
  </si>
  <si>
    <t>IPS 1</t>
  </si>
  <si>
    <t>IPS 2</t>
  </si>
  <si>
    <t>IPS 3</t>
  </si>
  <si>
    <t>IPS 4</t>
  </si>
  <si>
    <t>AMELIA</t>
  </si>
  <si>
    <t>AHMAD</t>
  </si>
  <si>
    <t>NURUL</t>
  </si>
  <si>
    <t>AGUSTINUS</t>
  </si>
  <si>
    <t>SEPTYAN</t>
  </si>
  <si>
    <t>PASKALIS</t>
  </si>
  <si>
    <t>SUPERIAMARTHA</t>
  </si>
  <si>
    <t>ADY</t>
  </si>
  <si>
    <t>ANGGA</t>
  </si>
  <si>
    <t>RISKYTA</t>
  </si>
  <si>
    <t>BAMBANG</t>
  </si>
  <si>
    <t>RIAN</t>
  </si>
  <si>
    <t>OKTA</t>
  </si>
  <si>
    <t>JUNIA</t>
  </si>
  <si>
    <t>NURIYAH</t>
  </si>
  <si>
    <t>INDRA</t>
  </si>
  <si>
    <t>EKA</t>
  </si>
  <si>
    <t>MELI</t>
  </si>
  <si>
    <t>ARA</t>
  </si>
  <si>
    <t>NURARIFIN</t>
  </si>
  <si>
    <t>NURWULAN</t>
  </si>
  <si>
    <t>ALDI</t>
  </si>
  <si>
    <t>VIKA</t>
  </si>
  <si>
    <t>ALFIAN</t>
  </si>
  <si>
    <t>DICKI</t>
  </si>
  <si>
    <t>RUFIK</t>
  </si>
  <si>
    <t>NURHALIMAH</t>
  </si>
  <si>
    <t>DENI</t>
  </si>
  <si>
    <t>M.</t>
  </si>
  <si>
    <t>AJI</t>
  </si>
  <si>
    <t>WAHYU</t>
  </si>
  <si>
    <t>EMONG</t>
  </si>
  <si>
    <t>ATIKA</t>
  </si>
  <si>
    <t>DIANAH</t>
  </si>
  <si>
    <t>MENTARI</t>
  </si>
  <si>
    <t>RISNA</t>
  </si>
  <si>
    <t>RIKY</t>
  </si>
  <si>
    <t>TRIO</t>
  </si>
  <si>
    <t>APRILIA</t>
  </si>
  <si>
    <t>LEGA</t>
  </si>
  <si>
    <t>PRIYO</t>
  </si>
  <si>
    <t>JONI</t>
  </si>
  <si>
    <t>MUHAMAD</t>
  </si>
  <si>
    <t>DERA</t>
  </si>
  <si>
    <t>NOFI</t>
  </si>
  <si>
    <t>MATHORI</t>
  </si>
  <si>
    <t>ARIF</t>
  </si>
  <si>
    <t>ALFAN</t>
  </si>
  <si>
    <t>AFANDI</t>
  </si>
  <si>
    <t>FAKHRI</t>
  </si>
  <si>
    <t>NUR</t>
  </si>
  <si>
    <t>REZA</t>
  </si>
  <si>
    <t>HERDIANSYAH</t>
  </si>
  <si>
    <t>YUNIYAR</t>
  </si>
  <si>
    <t>ERNI</t>
  </si>
  <si>
    <t>MUHAMMAD</t>
  </si>
  <si>
    <t>BAGUS</t>
  </si>
  <si>
    <t>ROBY</t>
  </si>
  <si>
    <t>CHRISTIAN</t>
  </si>
  <si>
    <t>ABDAN</t>
  </si>
  <si>
    <t>EVA</t>
  </si>
  <si>
    <t>DIKY</t>
  </si>
  <si>
    <t>DEWI</t>
  </si>
  <si>
    <t>FIKRI</t>
  </si>
  <si>
    <t>HUMARAYASARI</t>
  </si>
  <si>
    <t>SYAWKANI</t>
  </si>
  <si>
    <t>AKHMAD</t>
  </si>
  <si>
    <t>HARDIKA</t>
  </si>
  <si>
    <t>SHALIKA</t>
  </si>
  <si>
    <t>NARATAMA</t>
  </si>
  <si>
    <t>YUSUF</t>
  </si>
  <si>
    <t>RIZWAN</t>
  </si>
  <si>
    <t>DIKKY</t>
  </si>
  <si>
    <t>HARTONO</t>
  </si>
  <si>
    <t>IRWAN</t>
  </si>
  <si>
    <t>ALGI</t>
  </si>
  <si>
    <t>LILIS</t>
  </si>
  <si>
    <t>NENG</t>
  </si>
  <si>
    <t>MONICA</t>
  </si>
  <si>
    <t>SITI</t>
  </si>
  <si>
    <t>IRVANI</t>
  </si>
  <si>
    <t>NABILA</t>
  </si>
  <si>
    <t>INTAN</t>
  </si>
  <si>
    <t>GILANG</t>
  </si>
  <si>
    <t>NOVAN</t>
  </si>
  <si>
    <t>ANTON</t>
  </si>
  <si>
    <t>YULIYANTI</t>
  </si>
  <si>
    <t>AGNES</t>
  </si>
  <si>
    <t>GATOT</t>
  </si>
  <si>
    <t>RULIYANA</t>
  </si>
  <si>
    <t>DIAH</t>
  </si>
  <si>
    <t>UJANG</t>
  </si>
  <si>
    <t>TIARA</t>
  </si>
  <si>
    <t>RONIE</t>
  </si>
  <si>
    <t>ELSA</t>
  </si>
  <si>
    <t>ANDRIANA</t>
  </si>
  <si>
    <t>NOVA</t>
  </si>
  <si>
    <t>GALIH</t>
  </si>
  <si>
    <t>KHOLIL</t>
  </si>
  <si>
    <t>MOCHAMAD</t>
  </si>
  <si>
    <t>FIRMAN</t>
  </si>
  <si>
    <t>CUKUP</t>
  </si>
  <si>
    <t>BAIK</t>
  </si>
  <si>
    <t>TERLAMBAT</t>
  </si>
  <si>
    <t>SANGAT BAIK</t>
  </si>
  <si>
    <t>KURANG</t>
  </si>
  <si>
    <t>TEPAT WAKTU</t>
  </si>
  <si>
    <t>Keterangan</t>
  </si>
  <si>
    <t>Varibel Prediktor / Atribut</t>
  </si>
  <si>
    <t>Variabel Target</t>
  </si>
  <si>
    <t>Total Data :</t>
  </si>
  <si>
    <t>Data Training</t>
  </si>
  <si>
    <t>LAKI-LAKI</t>
  </si>
  <si>
    <t>PEREMPUAN</t>
  </si>
  <si>
    <t>KELULUSAN</t>
  </si>
  <si>
    <t>AKAR</t>
  </si>
  <si>
    <t>Jumlah(S)</t>
  </si>
  <si>
    <t>Enthropy</t>
  </si>
  <si>
    <t>Gain</t>
  </si>
  <si>
    <t>Total</t>
  </si>
  <si>
    <t>IPS1</t>
  </si>
  <si>
    <t>IPS2</t>
  </si>
  <si>
    <t>IPS3</t>
  </si>
  <si>
    <t>IPS4</t>
  </si>
  <si>
    <t>2.1 IPS2 SANGAT BAIK</t>
  </si>
  <si>
    <t>3.1.1 IPS 2 SANGAT BAIK IPS3 CUKUP</t>
  </si>
  <si>
    <t>3.1.1 IPS 2 SANGAT BAIK IPS3 KURANG</t>
  </si>
  <si>
    <t>2.2 IPS2 BAIK</t>
  </si>
  <si>
    <t>2.2 IPS2 BAIK JK PEREMPUAN</t>
  </si>
  <si>
    <t>2.3 IPS2 CUKUP</t>
  </si>
  <si>
    <t>2.4 IPS2 KURANG</t>
  </si>
  <si>
    <t>GAIN TERTINGGI DI JADIKAN SEBAGAI AKAR</t>
  </si>
  <si>
    <t>2.1.1 IPS 2 SANGAT BAIK &amp; IPS3 SANGAT BAIK</t>
  </si>
  <si>
    <t>2.1.1 IPS 2 SANGAT BAIK &amp; IPS3 SANGAT BAIK &amp; JK PEREMPUAN</t>
  </si>
  <si>
    <t>3.1.1 IPS 2 SANGAT BAIK &amp; IPS3 BAIK</t>
  </si>
  <si>
    <t>2.2 IPS2 BAIK &amp; JK LAKI LAKI</t>
  </si>
  <si>
    <t>2.2 IPS2 BAIK JK LAKI-LAKI IPS1 SANGAT BAIK</t>
  </si>
  <si>
    <t>2.2 IPS2 BAIK JK LAKI-LAKI IPS1 BAIK</t>
  </si>
  <si>
    <t>2.2 IPS2 BAIK JK LAKI-LAKI IPS1 BAIK IPS4 SANGAT BAIK</t>
  </si>
  <si>
    <t>2.2 IPS2 BAIK JK LAKI-LAKI IPS1 BAIK IPS4 BAIK</t>
  </si>
  <si>
    <t>2.2 IPS2 BAIK JK LAKI-LAKI IPS1 CUKUP</t>
  </si>
  <si>
    <t>2.2 IPS2 BAIK JK PEREMPUAN IPS3 SANGAT BAIK</t>
  </si>
  <si>
    <t>2.2 IPS2 BAIK JK PEREMPUAN IPS3 CUKUP BAIK</t>
  </si>
  <si>
    <t>2.2 IPS2 BAIK JK PEREMPUAN IPS3 SANGAT BAIK IPS1 CUKUP</t>
  </si>
  <si>
    <t>2.3 IPS2 CUKUP &amp; IPS4 BAIK</t>
  </si>
  <si>
    <t>2.3 IPS2 CUKUP &amp; IPS4 KURANG</t>
  </si>
  <si>
    <t>2.3 IPS2 CUKUP &amp; IPS4 BAIK &amp; IPS3 BAIK</t>
  </si>
  <si>
    <t>2.3 IPS2 CUKUP &amp; IPS4 BAIK &amp; IPS3 CUKUP</t>
  </si>
  <si>
    <t>2.3 IPS2 CUKUP &amp; IPS4 BAIK &amp; IPS3 BAIK IPS1 CUKUP</t>
  </si>
  <si>
    <t>DATA TRAINING (70% dari Data All)</t>
  </si>
  <si>
    <r>
      <t xml:space="preserve">Atribut </t>
    </r>
    <r>
      <rPr>
        <b/>
        <sz val="11"/>
        <color rgb="FFFF0000"/>
        <rFont val="Aptos Narrow"/>
        <family val="2"/>
        <scheme val="minor"/>
      </rPr>
      <t>JK</t>
    </r>
    <r>
      <rPr>
        <sz val="11"/>
        <color rgb="FFFF0000"/>
        <rFont val="Aptos Narrow"/>
        <family val="2"/>
        <scheme val="minor"/>
      </rPr>
      <t xml:space="preserve"> tidak akan dipilih untuk percabangan karena tidak memberikan gain informasi tambahan dalam kondisi tersebut.</t>
    </r>
  </si>
  <si>
    <r>
      <t xml:space="preserve">IF (IPS 2 SANGAT BAIK &amp; IPS3 SANGAT BAIK) THEN </t>
    </r>
    <r>
      <rPr>
        <b/>
        <sz val="11"/>
        <color theme="1"/>
        <rFont val="Aptos Narrow"/>
        <family val="2"/>
        <scheme val="minor"/>
      </rPr>
      <t>TEPAT WAKTU"</t>
    </r>
  </si>
  <si>
    <t>3.1.1 IPS 2 SANGAT BAIK &amp; IPS3 BAIK THEN TEPAT WAKTU</t>
  </si>
  <si>
    <t>3.1.1 IPS 2 SANGAT BAIK IPS3 CUKUP &amp; IPS1 SANGAT BAIK THEN TEPAT WAKTU</t>
  </si>
  <si>
    <t>3.1.1 IPS 2 SANGAT BAIK IPS3 KURANG THEN TEPAT WAKTU</t>
  </si>
  <si>
    <t>2.2 IPS2 BAIK &amp; JK LAKI-LAKI IPS1 BAIK &amp; IPS4 SANGAT BAIK &amp; IPS 3 SANGAT BAIK THEN TERLAMBAT</t>
  </si>
  <si>
    <t>2.2 IPS2 BAIK &amp; JK LAKI-LAKI IPS1 BAIK &amp; IPS4 SANGAT BAIK &amp; IPS 3 BAIK THEN TEPAT WAKTU</t>
  </si>
  <si>
    <t>2.2 IPS2 BAIK &amp; JK LAKI-LAKI IPS1 BAIK &amp; IPS4 BAIK &amp; IPS3 SANGAT BAIK THEN TEPAT WAKTU</t>
  </si>
  <si>
    <t>2.2 IPS2 BAIK &amp; JK LAKI-LAKI IPS1 BAIK &amp; IPS4 BAIK &amp; IPS3 BAIK THEN TEPAT WAKTU</t>
  </si>
  <si>
    <t>2.2 IPS2 BAIK &amp; JK LAKI-LAKI IPS1 BAIK &amp; IPS4 BAIK &amp; IPS3 CUKUP THEN TEPAT WAKTU</t>
  </si>
  <si>
    <t>2.2 IPS2 BAIK &amp; JK LAKI-LAKI IPS1 BAIK &amp; IPS4 BAIK &amp; IPS3 KURANG THEN TERLAMBAT</t>
  </si>
  <si>
    <t>2.2 IPS2 BAIK JK LAKI-LAKI IPS1 CUKUP IPS3 SANGAT BAIK THEN TERLAMBAT</t>
  </si>
  <si>
    <t>2.2 IPS2 BAIK JK LAKI-LAKI IPS1 CUKUP IPS3 BAIK THEN TERLAMBAT</t>
  </si>
  <si>
    <t>2.2 IPS2 BAIK JK LAKI-LAKI IPS1 CUKUP IPS3 CUKUP THEN TEPAT WAKTU</t>
  </si>
  <si>
    <t>2.2 IPS2 BAIK JK LAKI-LAKI IPS1 CUKUP IPS3 KURANG THEN TERLAMBAT</t>
  </si>
  <si>
    <t>2.2 IPS2 BAIK JK PEREMPUAN IPS3 SANGAT BAIK IPS1 SANGAT BAIK THEN TEPAT WAKTU</t>
  </si>
  <si>
    <t>2.2 IPS2 BAIK JK PEREMPUAN IPS3 SANGAT BAIK IPS1 BAIK THEN TEPAT WAKTU</t>
  </si>
  <si>
    <t>2.2 IPS2 BAIK JK PEREMPUAN IPS3 SANGAT BAIK IPS1 CUKUP THEN TEPAT WAKTU</t>
  </si>
  <si>
    <t>2.2 IPS2 BAIK JK PEREMPUAN IPS3 CUKUP BAIK IPS1 SANGAT BAIK THEN TEPAT WAKTU</t>
  </si>
  <si>
    <t>2.2 IPS2 BAIK JK PEREMPUAN IPS3 CUKUP BAIK IPS1 BAIK THEN TEPAT WAKTU</t>
  </si>
  <si>
    <t>2.2 IPS2 BAIK JK PEREMPUAN IPS3 CUKUP BAIK IPS1 CUKUP THEN TERLAMABT</t>
  </si>
  <si>
    <t>2.3 IPS2 CUKUP &amp; IPS4 BAIK &amp; IPS3 BAIK IPS1 CUKUP THEN TERLAMBAT</t>
  </si>
  <si>
    <t>2.3 IPS2 CUKUP &amp; IPS4 BAIK &amp; IPS3 BAIK IPS1 KURANG THEN TEPAT WAKTU</t>
  </si>
  <si>
    <t>2.3 IPS2 CUKUP &amp; IPS4 BAIK &amp; IPS3 CUKUP IPS1 CUKUP THEN TERLAMBAT</t>
  </si>
  <si>
    <t>2.3 IPS2 CUKUP &amp; IPS4 BAIK &amp; IPS3 CUKUP IPS1 KURANG THEN TERLAMBAT</t>
  </si>
  <si>
    <t>2.3 IPS2 CUKUP &amp; IPS4 KURANG THEN TERLAMBAT</t>
  </si>
  <si>
    <t>2.4 IPS2 KURANG THEN TERLAMBAT</t>
  </si>
  <si>
    <t>no</t>
  </si>
  <si>
    <t>npm</t>
  </si>
  <si>
    <t>nama</t>
  </si>
  <si>
    <t>jk</t>
  </si>
  <si>
    <t>ips1</t>
  </si>
  <si>
    <t>ips2</t>
  </si>
  <si>
    <t>ips3</t>
  </si>
  <si>
    <t>ips4</t>
  </si>
  <si>
    <t>REZHA</t>
  </si>
  <si>
    <t>VIKRI</t>
  </si>
  <si>
    <t>SEPTI</t>
  </si>
  <si>
    <t>EFI</t>
  </si>
  <si>
    <t>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</si>
</sst>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00_);_(* \(#,##0.000\);_(* &quot;-&quot;_);_(@_)"/>
    <numFmt numFmtId="165" formatCode="_(* #,##0.000_);_(* \(#,##0.000\);_(* &quot;-&quot;???_);_(@_)"/>
    <numFmt numFmtId="166" formatCode="_(* #,##0.0000_);_(* \(#,##0.0000\);_(* &quot;-&quot;???_);_(@_)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0"/>
      <color theme="1"/>
      <name val="Arial Unicode MS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1" xfId="0" applyFont="1" applyBorder="1"/>
    <xf numFmtId="164" fontId="7" fillId="0" borderId="1" xfId="1" applyNumberFormat="1" applyFont="1" applyBorder="1" applyAlignment="1"/>
    <xf numFmtId="165" fontId="7" fillId="0" borderId="1" xfId="0" applyNumberFormat="1" applyFont="1" applyBorder="1"/>
    <xf numFmtId="165" fontId="7" fillId="2" borderId="1" xfId="0" applyNumberFormat="1" applyFont="1" applyFill="1" applyBorder="1"/>
    <xf numFmtId="0" fontId="7" fillId="2" borderId="0" xfId="0" applyFont="1" applyFill="1"/>
    <xf numFmtId="165" fontId="0" fillId="0" borderId="0" xfId="0" applyNumberFormat="1"/>
    <xf numFmtId="166" fontId="7" fillId="0" borderId="1" xfId="0" applyNumberFormat="1" applyFont="1" applyBorder="1"/>
    <xf numFmtId="0" fontId="7" fillId="0" borderId="0" xfId="0" applyFont="1"/>
    <xf numFmtId="164" fontId="7" fillId="0" borderId="0" xfId="1" applyNumberFormat="1" applyFont="1" applyBorder="1" applyAlignment="1"/>
    <xf numFmtId="0" fontId="8" fillId="0" borderId="0" xfId="0" applyFont="1" applyAlignment="1">
      <alignment vertical="center"/>
    </xf>
    <xf numFmtId="166" fontId="7" fillId="2" borderId="1" xfId="0" applyNumberFormat="1" applyFont="1" applyFill="1" applyBorder="1"/>
    <xf numFmtId="0" fontId="7" fillId="0" borderId="0" xfId="0" applyFont="1" applyBorder="1"/>
    <xf numFmtId="0" fontId="9" fillId="0" borderId="0" xfId="0" applyFont="1"/>
    <xf numFmtId="0" fontId="7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28</xdr:col>
      <xdr:colOff>352425</xdr:colOff>
      <xdr:row>27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6C4FF36-8148-0784-02D0-C24DAB88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8600" y="234950"/>
          <a:ext cx="8277225" cy="493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zoomScale="85" zoomScaleNormal="85" workbookViewId="0">
      <selection activeCell="O13" sqref="O13"/>
    </sheetView>
  </sheetViews>
  <sheetFormatPr defaultRowHeight="14.25"/>
  <cols>
    <col min="1" max="1" width="11.625" bestFit="1" customWidth="1"/>
    <col min="2" max="2" width="14.875" bestFit="1" customWidth="1"/>
    <col min="3" max="3" width="13.125" bestFit="1" customWidth="1"/>
    <col min="4" max="7" width="11.5" bestFit="1" customWidth="1"/>
    <col min="8" max="8" width="12.125" bestFit="1" customWidth="1"/>
    <col min="9" max="9" width="1.875" bestFit="1" customWidth="1"/>
    <col min="15" max="15" width="77.625" bestFit="1" customWidth="1"/>
  </cols>
  <sheetData>
    <row r="1" spans="1:15" ht="18">
      <c r="A1" s="3" t="s">
        <v>157</v>
      </c>
      <c r="B1" s="3"/>
      <c r="C1" s="3"/>
      <c r="D1" s="10" t="s">
        <v>115</v>
      </c>
      <c r="E1" s="11" t="s">
        <v>116</v>
      </c>
      <c r="F1" s="3"/>
      <c r="G1" s="3"/>
      <c r="N1" s="25"/>
    </row>
    <row r="2" spans="1:15" s="14" customFormat="1" ht="15">
      <c r="A2" s="13" t="s">
        <v>118</v>
      </c>
      <c r="B2" s="13">
        <v>170</v>
      </c>
      <c r="C2" s="13"/>
      <c r="D2" s="13"/>
      <c r="E2" s="12" t="s">
        <v>117</v>
      </c>
      <c r="F2" s="13"/>
      <c r="G2" s="13"/>
      <c r="N2" s="25"/>
    </row>
    <row r="3" spans="1:15" s="14" customFormat="1" ht="15">
      <c r="A3" s="13" t="s">
        <v>119</v>
      </c>
      <c r="B3" s="13">
        <f>70%*B2</f>
        <v>118.99999999999999</v>
      </c>
      <c r="C3" s="13"/>
      <c r="D3" s="13"/>
      <c r="E3" s="13"/>
      <c r="F3" s="13"/>
      <c r="G3" s="13"/>
      <c r="N3" s="25"/>
    </row>
    <row r="4" spans="1:15" ht="15">
      <c r="A4" s="6" t="s">
        <v>1</v>
      </c>
      <c r="B4" s="6" t="s">
        <v>0</v>
      </c>
      <c r="C4" s="7" t="s">
        <v>2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122</v>
      </c>
      <c r="O4" s="25"/>
    </row>
    <row r="5" spans="1:15">
      <c r="A5" s="1">
        <v>2020804040</v>
      </c>
      <c r="B5" s="2" t="s">
        <v>31</v>
      </c>
      <c r="C5" s="5" t="s">
        <v>120</v>
      </c>
      <c r="D5" s="4" t="s">
        <v>110</v>
      </c>
      <c r="E5" s="4" t="s">
        <v>110</v>
      </c>
      <c r="F5" s="4" t="s">
        <v>110</v>
      </c>
      <c r="G5" s="4" t="s">
        <v>110</v>
      </c>
      <c r="H5" s="9" t="s">
        <v>114</v>
      </c>
    </row>
    <row r="6" spans="1:15">
      <c r="A6" s="1">
        <v>2020804059</v>
      </c>
      <c r="B6" s="2" t="s">
        <v>18</v>
      </c>
      <c r="C6" s="5" t="s">
        <v>120</v>
      </c>
      <c r="D6" s="4" t="s">
        <v>110</v>
      </c>
      <c r="E6" s="4" t="s">
        <v>110</v>
      </c>
      <c r="F6" s="4" t="s">
        <v>110</v>
      </c>
      <c r="G6" s="4" t="s">
        <v>110</v>
      </c>
      <c r="H6" s="9" t="s">
        <v>114</v>
      </c>
    </row>
    <row r="7" spans="1:15">
      <c r="A7" s="1">
        <v>2020804099</v>
      </c>
      <c r="B7" s="2" t="s">
        <v>69</v>
      </c>
      <c r="C7" s="5" t="s">
        <v>120</v>
      </c>
      <c r="D7" s="4" t="s">
        <v>110</v>
      </c>
      <c r="E7" s="4" t="s">
        <v>110</v>
      </c>
      <c r="F7" s="4" t="s">
        <v>110</v>
      </c>
      <c r="G7" s="4" t="s">
        <v>110</v>
      </c>
      <c r="H7" s="9" t="s">
        <v>111</v>
      </c>
    </row>
    <row r="8" spans="1:15">
      <c r="A8" s="1">
        <v>2020804170</v>
      </c>
      <c r="B8" s="2" t="s">
        <v>108</v>
      </c>
      <c r="C8" s="5" t="s">
        <v>120</v>
      </c>
      <c r="D8" s="4" t="s">
        <v>110</v>
      </c>
      <c r="E8" s="4" t="s">
        <v>110</v>
      </c>
      <c r="F8" s="4" t="s">
        <v>110</v>
      </c>
      <c r="G8" s="4" t="s">
        <v>112</v>
      </c>
      <c r="H8" s="9" t="s">
        <v>114</v>
      </c>
    </row>
    <row r="9" spans="1:15">
      <c r="A9" s="1">
        <v>2020804096</v>
      </c>
      <c r="B9" s="2" t="s">
        <v>67</v>
      </c>
      <c r="C9" s="5" t="s">
        <v>120</v>
      </c>
      <c r="D9" s="4" t="s">
        <v>110</v>
      </c>
      <c r="E9" s="4" t="s">
        <v>110</v>
      </c>
      <c r="F9" s="4" t="s">
        <v>110</v>
      </c>
      <c r="G9" s="4" t="s">
        <v>112</v>
      </c>
      <c r="H9" s="9" t="s">
        <v>111</v>
      </c>
    </row>
    <row r="10" spans="1:15">
      <c r="A10" s="1">
        <v>2020804057</v>
      </c>
      <c r="B10" s="2" t="s">
        <v>35</v>
      </c>
      <c r="C10" s="5" t="s">
        <v>120</v>
      </c>
      <c r="D10" s="4" t="s">
        <v>110</v>
      </c>
      <c r="E10" s="4" t="s">
        <v>110</v>
      </c>
      <c r="F10" s="4" t="s">
        <v>109</v>
      </c>
      <c r="G10" s="4" t="s">
        <v>110</v>
      </c>
      <c r="H10" s="9" t="s">
        <v>114</v>
      </c>
    </row>
    <row r="11" spans="1:15" ht="15">
      <c r="A11" s="1">
        <v>2020804012</v>
      </c>
      <c r="B11" s="2" t="s">
        <v>13</v>
      </c>
      <c r="C11" s="5" t="s">
        <v>120</v>
      </c>
      <c r="D11" s="4" t="s">
        <v>110</v>
      </c>
      <c r="E11" s="4" t="s">
        <v>110</v>
      </c>
      <c r="F11" s="4" t="s">
        <v>113</v>
      </c>
      <c r="G11" s="4" t="s">
        <v>110</v>
      </c>
      <c r="H11" s="9" t="s">
        <v>111</v>
      </c>
      <c r="O11" s="25"/>
    </row>
    <row r="12" spans="1:15">
      <c r="A12" s="1">
        <v>2020804049</v>
      </c>
      <c r="B12" s="2" t="s">
        <v>38</v>
      </c>
      <c r="C12" s="5" t="s">
        <v>120</v>
      </c>
      <c r="D12" s="4" t="s">
        <v>110</v>
      </c>
      <c r="E12" s="4" t="s">
        <v>110</v>
      </c>
      <c r="F12" s="4" t="s">
        <v>113</v>
      </c>
      <c r="G12" s="4" t="s">
        <v>109</v>
      </c>
      <c r="H12" s="9" t="s">
        <v>114</v>
      </c>
    </row>
    <row r="13" spans="1:15">
      <c r="A13" s="1">
        <v>2020804151</v>
      </c>
      <c r="B13" s="2" t="s">
        <v>9</v>
      </c>
      <c r="C13" s="5" t="s">
        <v>120</v>
      </c>
      <c r="D13" s="4" t="s">
        <v>110</v>
      </c>
      <c r="E13" s="4" t="s">
        <v>110</v>
      </c>
      <c r="F13" s="4" t="s">
        <v>112</v>
      </c>
      <c r="G13" s="4" t="s">
        <v>110</v>
      </c>
      <c r="H13" s="9" t="s">
        <v>114</v>
      </c>
    </row>
    <row r="14" spans="1:15">
      <c r="A14" s="1">
        <v>2020804163</v>
      </c>
      <c r="B14" s="2" t="s">
        <v>104</v>
      </c>
      <c r="C14" s="5" t="s">
        <v>120</v>
      </c>
      <c r="D14" s="4" t="s">
        <v>110</v>
      </c>
      <c r="E14" s="4" t="s">
        <v>110</v>
      </c>
      <c r="F14" s="4" t="s">
        <v>112</v>
      </c>
      <c r="G14" s="4" t="s">
        <v>110</v>
      </c>
      <c r="H14" s="9" t="s">
        <v>114</v>
      </c>
    </row>
    <row r="15" spans="1:15">
      <c r="A15" s="1">
        <v>2020804158</v>
      </c>
      <c r="B15" s="2" t="s">
        <v>9</v>
      </c>
      <c r="C15" s="5" t="s">
        <v>120</v>
      </c>
      <c r="D15" s="4" t="s">
        <v>110</v>
      </c>
      <c r="E15" s="4" t="s">
        <v>110</v>
      </c>
      <c r="F15" s="4" t="s">
        <v>112</v>
      </c>
      <c r="G15" s="4" t="s">
        <v>112</v>
      </c>
      <c r="H15" s="9" t="s">
        <v>114</v>
      </c>
    </row>
    <row r="16" spans="1:15">
      <c r="A16" s="1">
        <v>2020804093</v>
      </c>
      <c r="B16" s="2" t="s">
        <v>65</v>
      </c>
      <c r="C16" s="5" t="s">
        <v>120</v>
      </c>
      <c r="D16" s="4" t="s">
        <v>110</v>
      </c>
      <c r="E16" s="4" t="s">
        <v>110</v>
      </c>
      <c r="F16" s="4" t="s">
        <v>112</v>
      </c>
      <c r="G16" s="4" t="s">
        <v>112</v>
      </c>
      <c r="H16" s="9" t="s">
        <v>111</v>
      </c>
    </row>
    <row r="17" spans="1:15">
      <c r="A17" s="1">
        <v>2020804102</v>
      </c>
      <c r="B17" s="2" t="s">
        <v>36</v>
      </c>
      <c r="C17" s="5" t="s">
        <v>120</v>
      </c>
      <c r="D17" s="4" t="s">
        <v>110</v>
      </c>
      <c r="E17" s="4" t="s">
        <v>110</v>
      </c>
      <c r="F17" s="4" t="s">
        <v>112</v>
      </c>
      <c r="G17" s="4" t="s">
        <v>112</v>
      </c>
      <c r="H17" s="9" t="s">
        <v>111</v>
      </c>
    </row>
    <row r="18" spans="1:15">
      <c r="A18" s="1">
        <v>2020804125</v>
      </c>
      <c r="B18" s="2" t="s">
        <v>83</v>
      </c>
      <c r="C18" s="5" t="s">
        <v>120</v>
      </c>
      <c r="D18" s="4" t="s">
        <v>110</v>
      </c>
      <c r="E18" s="4" t="s">
        <v>110</v>
      </c>
      <c r="F18" s="4" t="s">
        <v>112</v>
      </c>
      <c r="G18" s="4" t="s">
        <v>112</v>
      </c>
      <c r="H18" s="9" t="s">
        <v>111</v>
      </c>
    </row>
    <row r="19" spans="1:15">
      <c r="A19" s="1">
        <v>2020804111</v>
      </c>
      <c r="B19" s="2" t="s">
        <v>63</v>
      </c>
      <c r="C19" s="5" t="s">
        <v>120</v>
      </c>
      <c r="D19" s="4" t="s">
        <v>110</v>
      </c>
      <c r="E19" s="4" t="s">
        <v>109</v>
      </c>
      <c r="F19" s="4" t="s">
        <v>110</v>
      </c>
      <c r="G19" s="4" t="s">
        <v>112</v>
      </c>
      <c r="H19" s="9" t="s">
        <v>111</v>
      </c>
    </row>
    <row r="20" spans="1:15">
      <c r="A20" s="1">
        <v>2020804025</v>
      </c>
      <c r="B20" s="2" t="s">
        <v>23</v>
      </c>
      <c r="C20" s="5" t="s">
        <v>120</v>
      </c>
      <c r="D20" s="4" t="s">
        <v>110</v>
      </c>
      <c r="E20" s="4" t="s">
        <v>109</v>
      </c>
      <c r="F20" s="4" t="s">
        <v>112</v>
      </c>
      <c r="G20" s="4" t="s">
        <v>110</v>
      </c>
      <c r="H20" s="9" t="s">
        <v>114</v>
      </c>
    </row>
    <row r="21" spans="1:15">
      <c r="A21" s="1">
        <v>2020804165</v>
      </c>
      <c r="B21" s="2" t="s">
        <v>106</v>
      </c>
      <c r="C21" s="5" t="s">
        <v>120</v>
      </c>
      <c r="D21" s="4" t="s">
        <v>110</v>
      </c>
      <c r="E21" s="4" t="s">
        <v>109</v>
      </c>
      <c r="F21" s="4" t="s">
        <v>112</v>
      </c>
      <c r="G21" s="4" t="s">
        <v>110</v>
      </c>
      <c r="H21" s="9" t="s">
        <v>114</v>
      </c>
    </row>
    <row r="22" spans="1:15">
      <c r="A22" s="1">
        <v>2020804090</v>
      </c>
      <c r="B22" s="2" t="s">
        <v>63</v>
      </c>
      <c r="C22" s="5" t="s">
        <v>120</v>
      </c>
      <c r="D22" s="4" t="s">
        <v>110</v>
      </c>
      <c r="E22" s="4" t="s">
        <v>112</v>
      </c>
      <c r="F22" s="4" t="s">
        <v>110</v>
      </c>
      <c r="G22" s="4" t="s">
        <v>110</v>
      </c>
      <c r="H22" s="9" t="s">
        <v>111</v>
      </c>
    </row>
    <row r="23" spans="1:15">
      <c r="A23" s="1">
        <v>2020804048</v>
      </c>
      <c r="B23" s="2" t="s">
        <v>37</v>
      </c>
      <c r="C23" s="5" t="s">
        <v>120</v>
      </c>
      <c r="D23" s="4" t="s">
        <v>110</v>
      </c>
      <c r="E23" s="4" t="s">
        <v>112</v>
      </c>
      <c r="F23" s="4" t="s">
        <v>110</v>
      </c>
      <c r="G23" s="4" t="s">
        <v>109</v>
      </c>
      <c r="H23" s="9" t="s">
        <v>114</v>
      </c>
    </row>
    <row r="24" spans="1:15">
      <c r="A24" s="1">
        <v>2020804164</v>
      </c>
      <c r="B24" s="2" t="s">
        <v>105</v>
      </c>
      <c r="C24" s="5" t="s">
        <v>120</v>
      </c>
      <c r="D24" s="4" t="s">
        <v>110</v>
      </c>
      <c r="E24" s="4" t="s">
        <v>112</v>
      </c>
      <c r="F24" s="4" t="s">
        <v>110</v>
      </c>
      <c r="G24" s="4" t="s">
        <v>112</v>
      </c>
      <c r="H24" s="9" t="s">
        <v>114</v>
      </c>
    </row>
    <row r="25" spans="1:15">
      <c r="A25" s="1">
        <v>2020804086</v>
      </c>
      <c r="B25" s="2" t="s">
        <v>60</v>
      </c>
      <c r="C25" s="5" t="s">
        <v>120</v>
      </c>
      <c r="D25" s="4" t="s">
        <v>110</v>
      </c>
      <c r="E25" s="4" t="s">
        <v>112</v>
      </c>
      <c r="F25" s="4" t="s">
        <v>110</v>
      </c>
      <c r="G25" s="4" t="s">
        <v>112</v>
      </c>
      <c r="H25" s="9" t="s">
        <v>111</v>
      </c>
    </row>
    <row r="26" spans="1:15">
      <c r="A26" s="1">
        <v>2020804037</v>
      </c>
      <c r="B26" s="2" t="s">
        <v>29</v>
      </c>
      <c r="C26" s="5" t="s">
        <v>120</v>
      </c>
      <c r="D26" s="4" t="s">
        <v>110</v>
      </c>
      <c r="E26" s="4" t="s">
        <v>112</v>
      </c>
      <c r="F26" s="4" t="s">
        <v>113</v>
      </c>
      <c r="G26" s="4" t="s">
        <v>110</v>
      </c>
      <c r="H26" s="9" t="s">
        <v>114</v>
      </c>
    </row>
    <row r="27" spans="1:15">
      <c r="A27" s="1">
        <v>2020804150</v>
      </c>
      <c r="B27" s="2" t="s">
        <v>96</v>
      </c>
      <c r="C27" s="5" t="s">
        <v>120</v>
      </c>
      <c r="D27" s="4" t="s">
        <v>110</v>
      </c>
      <c r="E27" s="4" t="s">
        <v>112</v>
      </c>
      <c r="F27" s="4" t="s">
        <v>112</v>
      </c>
      <c r="G27" s="4" t="s">
        <v>110</v>
      </c>
      <c r="H27" s="9" t="s">
        <v>114</v>
      </c>
    </row>
    <row r="28" spans="1:15">
      <c r="A28" s="1">
        <v>2020804155</v>
      </c>
      <c r="B28" s="2" t="s">
        <v>36</v>
      </c>
      <c r="C28" s="5" t="s">
        <v>120</v>
      </c>
      <c r="D28" s="4" t="s">
        <v>110</v>
      </c>
      <c r="E28" s="4" t="s">
        <v>112</v>
      </c>
      <c r="F28" s="4" t="s">
        <v>112</v>
      </c>
      <c r="G28" s="4" t="s">
        <v>110</v>
      </c>
      <c r="H28" s="9" t="s">
        <v>114</v>
      </c>
    </row>
    <row r="29" spans="1:15" ht="15">
      <c r="A29" s="1">
        <v>2020804017</v>
      </c>
      <c r="B29" s="2" t="s">
        <v>16</v>
      </c>
      <c r="C29" s="5" t="s">
        <v>120</v>
      </c>
      <c r="D29" s="4" t="s">
        <v>110</v>
      </c>
      <c r="E29" s="4" t="s">
        <v>112</v>
      </c>
      <c r="F29" s="4" t="s">
        <v>112</v>
      </c>
      <c r="G29" s="4" t="s">
        <v>112</v>
      </c>
      <c r="H29" s="9" t="s">
        <v>114</v>
      </c>
      <c r="O29" s="25"/>
    </row>
    <row r="30" spans="1:15">
      <c r="A30" s="1">
        <v>2020804032</v>
      </c>
      <c r="B30" s="2" t="s">
        <v>27</v>
      </c>
      <c r="C30" s="5" t="s">
        <v>120</v>
      </c>
      <c r="D30" s="4" t="s">
        <v>110</v>
      </c>
      <c r="E30" s="4" t="s">
        <v>112</v>
      </c>
      <c r="F30" s="4" t="s">
        <v>112</v>
      </c>
      <c r="G30" s="4" t="s">
        <v>112</v>
      </c>
      <c r="H30" s="9" t="s">
        <v>114</v>
      </c>
    </row>
    <row r="31" spans="1:15">
      <c r="A31" s="1">
        <v>2020804140</v>
      </c>
      <c r="B31" s="2" t="s">
        <v>91</v>
      </c>
      <c r="C31" s="5" t="s">
        <v>120</v>
      </c>
      <c r="D31" s="4" t="s">
        <v>110</v>
      </c>
      <c r="E31" s="4" t="s">
        <v>112</v>
      </c>
      <c r="F31" s="4" t="s">
        <v>112</v>
      </c>
      <c r="G31" s="4" t="s">
        <v>112</v>
      </c>
      <c r="H31" s="9" t="s">
        <v>114</v>
      </c>
    </row>
    <row r="32" spans="1:15">
      <c r="A32" s="1">
        <v>2020804144</v>
      </c>
      <c r="B32" s="2" t="s">
        <v>93</v>
      </c>
      <c r="C32" s="5" t="s">
        <v>120</v>
      </c>
      <c r="D32" s="4" t="s">
        <v>109</v>
      </c>
      <c r="E32" s="4" t="s">
        <v>110</v>
      </c>
      <c r="F32" s="4" t="s">
        <v>110</v>
      </c>
      <c r="G32" s="4" t="s">
        <v>110</v>
      </c>
      <c r="H32" s="9" t="s">
        <v>114</v>
      </c>
    </row>
    <row r="33" spans="1:15">
      <c r="A33" s="1">
        <v>2020804087</v>
      </c>
      <c r="B33" s="2" t="s">
        <v>50</v>
      </c>
      <c r="C33" s="5" t="s">
        <v>120</v>
      </c>
      <c r="D33" s="4" t="s">
        <v>109</v>
      </c>
      <c r="E33" s="4" t="s">
        <v>110</v>
      </c>
      <c r="F33" s="4" t="s">
        <v>110</v>
      </c>
      <c r="G33" s="4" t="s">
        <v>110</v>
      </c>
      <c r="H33" s="9" t="s">
        <v>111</v>
      </c>
    </row>
    <row r="34" spans="1:15" ht="15">
      <c r="A34" s="1">
        <v>2020804006</v>
      </c>
      <c r="B34" s="2" t="s">
        <v>10</v>
      </c>
      <c r="C34" s="5" t="s">
        <v>120</v>
      </c>
      <c r="D34" s="4" t="s">
        <v>109</v>
      </c>
      <c r="E34" s="4" t="s">
        <v>110</v>
      </c>
      <c r="F34" s="4" t="s">
        <v>110</v>
      </c>
      <c r="G34" s="4" t="s">
        <v>109</v>
      </c>
      <c r="H34" s="9" t="s">
        <v>111</v>
      </c>
      <c r="O34" s="25"/>
    </row>
    <row r="35" spans="1:15">
      <c r="A35" s="1">
        <v>2020804077</v>
      </c>
      <c r="B35" s="2" t="s">
        <v>56</v>
      </c>
      <c r="C35" s="5" t="s">
        <v>120</v>
      </c>
      <c r="D35" s="4" t="s">
        <v>109</v>
      </c>
      <c r="E35" s="4" t="s">
        <v>110</v>
      </c>
      <c r="F35" s="4" t="s">
        <v>110</v>
      </c>
      <c r="G35" s="4" t="s">
        <v>109</v>
      </c>
      <c r="H35" s="9" t="s">
        <v>111</v>
      </c>
    </row>
    <row r="36" spans="1:15">
      <c r="A36" s="1">
        <v>2020804157</v>
      </c>
      <c r="B36" s="2" t="s">
        <v>54</v>
      </c>
      <c r="C36" s="5" t="s">
        <v>120</v>
      </c>
      <c r="D36" s="4" t="s">
        <v>109</v>
      </c>
      <c r="E36" s="4" t="s">
        <v>110</v>
      </c>
      <c r="F36" s="4" t="s">
        <v>110</v>
      </c>
      <c r="G36" s="4" t="s">
        <v>112</v>
      </c>
      <c r="H36" s="9" t="s">
        <v>114</v>
      </c>
    </row>
    <row r="37" spans="1:15">
      <c r="A37" s="1">
        <v>2020804109</v>
      </c>
      <c r="B37" s="2" t="s">
        <v>9</v>
      </c>
      <c r="C37" s="5" t="s">
        <v>120</v>
      </c>
      <c r="D37" s="4" t="s">
        <v>109</v>
      </c>
      <c r="E37" s="4" t="s">
        <v>110</v>
      </c>
      <c r="F37" s="4" t="s">
        <v>110</v>
      </c>
      <c r="G37" s="4" t="s">
        <v>112</v>
      </c>
      <c r="H37" s="9" t="s">
        <v>111</v>
      </c>
    </row>
    <row r="38" spans="1:15">
      <c r="A38" s="1">
        <v>2020804064</v>
      </c>
      <c r="B38" s="2" t="s">
        <v>47</v>
      </c>
      <c r="C38" s="5" t="s">
        <v>120</v>
      </c>
      <c r="D38" s="4" t="s">
        <v>109</v>
      </c>
      <c r="E38" s="4" t="s">
        <v>110</v>
      </c>
      <c r="F38" s="4" t="s">
        <v>109</v>
      </c>
      <c r="G38" s="4" t="s">
        <v>109</v>
      </c>
      <c r="H38" s="9" t="s">
        <v>114</v>
      </c>
    </row>
    <row r="39" spans="1:15">
      <c r="A39" s="1">
        <v>2020804104</v>
      </c>
      <c r="B39" s="2" t="s">
        <v>71</v>
      </c>
      <c r="C39" s="5" t="s">
        <v>120</v>
      </c>
      <c r="D39" s="4" t="s">
        <v>109</v>
      </c>
      <c r="E39" s="4" t="s">
        <v>110</v>
      </c>
      <c r="F39" s="4" t="s">
        <v>113</v>
      </c>
      <c r="G39" s="4" t="s">
        <v>110</v>
      </c>
      <c r="H39" s="9" t="s">
        <v>111</v>
      </c>
    </row>
    <row r="40" spans="1:15" ht="15">
      <c r="A40" s="1">
        <v>2020804004</v>
      </c>
      <c r="B40" s="2" t="s">
        <v>9</v>
      </c>
      <c r="C40" s="5" t="s">
        <v>120</v>
      </c>
      <c r="D40" s="4" t="s">
        <v>109</v>
      </c>
      <c r="E40" s="4" t="s">
        <v>110</v>
      </c>
      <c r="F40" s="4" t="s">
        <v>113</v>
      </c>
      <c r="G40" s="4" t="s">
        <v>113</v>
      </c>
      <c r="H40" s="9" t="s">
        <v>111</v>
      </c>
      <c r="O40" s="25"/>
    </row>
    <row r="41" spans="1:15">
      <c r="A41" s="1">
        <v>2020804124</v>
      </c>
      <c r="B41" s="2" t="s">
        <v>82</v>
      </c>
      <c r="C41" s="5" t="s">
        <v>120</v>
      </c>
      <c r="D41" s="4" t="s">
        <v>109</v>
      </c>
      <c r="E41" s="4" t="s">
        <v>110</v>
      </c>
      <c r="F41" s="4" t="s">
        <v>112</v>
      </c>
      <c r="G41" s="4" t="s">
        <v>112</v>
      </c>
      <c r="H41" s="9" t="s">
        <v>111</v>
      </c>
    </row>
    <row r="42" spans="1:15" ht="15">
      <c r="A42" s="1">
        <v>2020804014</v>
      </c>
      <c r="B42" s="2" t="s">
        <v>15</v>
      </c>
      <c r="C42" s="5" t="s">
        <v>120</v>
      </c>
      <c r="D42" s="4" t="s">
        <v>109</v>
      </c>
      <c r="E42" s="4" t="s">
        <v>109</v>
      </c>
      <c r="F42" s="4" t="s">
        <v>110</v>
      </c>
      <c r="G42" s="4" t="s">
        <v>110</v>
      </c>
      <c r="H42" s="9" t="s">
        <v>114</v>
      </c>
      <c r="O42" s="25"/>
    </row>
    <row r="43" spans="1:15" ht="15">
      <c r="A43" s="1">
        <v>2020804011</v>
      </c>
      <c r="B43" s="2" t="s">
        <v>12</v>
      </c>
      <c r="C43" s="5" t="s">
        <v>120</v>
      </c>
      <c r="D43" s="4" t="s">
        <v>109</v>
      </c>
      <c r="E43" s="4" t="s">
        <v>109</v>
      </c>
      <c r="F43" s="4" t="s">
        <v>110</v>
      </c>
      <c r="G43" s="4" t="s">
        <v>110</v>
      </c>
      <c r="H43" s="9" t="s">
        <v>111</v>
      </c>
      <c r="O43" s="25"/>
    </row>
    <row r="44" spans="1:15">
      <c r="A44" s="1">
        <v>2020804115</v>
      </c>
      <c r="B44" s="2" t="s">
        <v>74</v>
      </c>
      <c r="C44" s="5" t="s">
        <v>120</v>
      </c>
      <c r="D44" s="4" t="s">
        <v>109</v>
      </c>
      <c r="E44" s="4" t="s">
        <v>109</v>
      </c>
      <c r="F44" s="4" t="s">
        <v>110</v>
      </c>
      <c r="G44" s="4" t="s">
        <v>110</v>
      </c>
      <c r="H44" s="9" t="s">
        <v>111</v>
      </c>
    </row>
    <row r="45" spans="1:15">
      <c r="A45" s="1">
        <v>2020804116</v>
      </c>
      <c r="B45" s="2" t="s">
        <v>75</v>
      </c>
      <c r="C45" s="5" t="s">
        <v>120</v>
      </c>
      <c r="D45" s="4" t="s">
        <v>109</v>
      </c>
      <c r="E45" s="4" t="s">
        <v>109</v>
      </c>
      <c r="F45" s="4" t="s">
        <v>110</v>
      </c>
      <c r="G45" s="4" t="s">
        <v>110</v>
      </c>
      <c r="H45" s="9" t="s">
        <v>111</v>
      </c>
    </row>
    <row r="46" spans="1:15">
      <c r="A46" s="1">
        <v>2020804122</v>
      </c>
      <c r="B46" s="2" t="s">
        <v>80</v>
      </c>
      <c r="C46" s="5" t="s">
        <v>120</v>
      </c>
      <c r="D46" s="4" t="s">
        <v>109</v>
      </c>
      <c r="E46" s="4" t="s">
        <v>109</v>
      </c>
      <c r="F46" s="4" t="s">
        <v>110</v>
      </c>
      <c r="G46" s="4" t="s">
        <v>110</v>
      </c>
      <c r="H46" s="9" t="s">
        <v>111</v>
      </c>
    </row>
    <row r="47" spans="1:15">
      <c r="A47" s="1">
        <v>2020804108</v>
      </c>
      <c r="B47" s="2" t="s">
        <v>73</v>
      </c>
      <c r="C47" s="5" t="s">
        <v>120</v>
      </c>
      <c r="D47" s="4" t="s">
        <v>109</v>
      </c>
      <c r="E47" s="4" t="s">
        <v>109</v>
      </c>
      <c r="F47" s="4" t="s">
        <v>110</v>
      </c>
      <c r="G47" s="4" t="s">
        <v>112</v>
      </c>
      <c r="H47" s="9" t="s">
        <v>111</v>
      </c>
    </row>
    <row r="48" spans="1:15">
      <c r="A48" s="1">
        <v>2020804110</v>
      </c>
      <c r="B48" s="2" t="s">
        <v>23</v>
      </c>
      <c r="C48" s="5" t="s">
        <v>120</v>
      </c>
      <c r="D48" s="4" t="s">
        <v>109</v>
      </c>
      <c r="E48" s="4" t="s">
        <v>109</v>
      </c>
      <c r="F48" s="4" t="s">
        <v>110</v>
      </c>
      <c r="G48" s="4" t="s">
        <v>112</v>
      </c>
      <c r="H48" s="9" t="s">
        <v>111</v>
      </c>
    </row>
    <row r="49" spans="1:15">
      <c r="A49" s="1">
        <v>2020804095</v>
      </c>
      <c r="B49" s="2" t="s">
        <v>66</v>
      </c>
      <c r="C49" s="5" t="s">
        <v>120</v>
      </c>
      <c r="D49" s="4" t="s">
        <v>109</v>
      </c>
      <c r="E49" s="4" t="s">
        <v>109</v>
      </c>
      <c r="F49" s="4" t="s">
        <v>109</v>
      </c>
      <c r="G49" s="4" t="s">
        <v>110</v>
      </c>
      <c r="H49" s="9" t="s">
        <v>111</v>
      </c>
    </row>
    <row r="50" spans="1:15">
      <c r="A50" s="1">
        <v>2020804123</v>
      </c>
      <c r="B50" s="2" t="s">
        <v>81</v>
      </c>
      <c r="C50" s="5" t="s">
        <v>120</v>
      </c>
      <c r="D50" s="4" t="s">
        <v>109</v>
      </c>
      <c r="E50" s="4" t="s">
        <v>109</v>
      </c>
      <c r="F50" s="4" t="s">
        <v>109</v>
      </c>
      <c r="G50" s="4" t="s">
        <v>110</v>
      </c>
      <c r="H50" s="9" t="s">
        <v>111</v>
      </c>
    </row>
    <row r="51" spans="1:15">
      <c r="A51" s="1">
        <v>2020804119</v>
      </c>
      <c r="B51" s="2" t="s">
        <v>77</v>
      </c>
      <c r="C51" s="5" t="s">
        <v>120</v>
      </c>
      <c r="D51" s="4" t="s">
        <v>109</v>
      </c>
      <c r="E51" s="4" t="s">
        <v>109</v>
      </c>
      <c r="F51" s="4" t="s">
        <v>113</v>
      </c>
      <c r="G51" s="4" t="s">
        <v>110</v>
      </c>
      <c r="H51" s="9" t="s">
        <v>111</v>
      </c>
    </row>
    <row r="52" spans="1:15" ht="15">
      <c r="A52" s="1">
        <v>2020804008</v>
      </c>
      <c r="B52" s="2" t="s">
        <v>11</v>
      </c>
      <c r="C52" s="5" t="s">
        <v>120</v>
      </c>
      <c r="D52" s="4" t="s">
        <v>109</v>
      </c>
      <c r="E52" s="4" t="s">
        <v>109</v>
      </c>
      <c r="F52" s="4" t="s">
        <v>113</v>
      </c>
      <c r="G52" s="4" t="s">
        <v>109</v>
      </c>
      <c r="H52" s="9" t="s">
        <v>111</v>
      </c>
      <c r="O52" s="25"/>
    </row>
    <row r="53" spans="1:15">
      <c r="A53" s="1">
        <v>2020804061</v>
      </c>
      <c r="B53" s="2" t="s">
        <v>45</v>
      </c>
      <c r="C53" s="5" t="s">
        <v>120</v>
      </c>
      <c r="D53" s="4" t="s">
        <v>109</v>
      </c>
      <c r="E53" s="4" t="s">
        <v>109</v>
      </c>
      <c r="F53" s="4" t="s">
        <v>113</v>
      </c>
      <c r="G53" s="4" t="s">
        <v>113</v>
      </c>
      <c r="H53" s="9" t="s">
        <v>114</v>
      </c>
    </row>
    <row r="54" spans="1:15">
      <c r="A54" s="1">
        <v>2020804076</v>
      </c>
      <c r="B54" s="2" t="s">
        <v>55</v>
      </c>
      <c r="C54" s="5" t="s">
        <v>120</v>
      </c>
      <c r="D54" s="4" t="s">
        <v>109</v>
      </c>
      <c r="E54" s="4" t="s">
        <v>109</v>
      </c>
      <c r="F54" s="4" t="s">
        <v>113</v>
      </c>
      <c r="G54" s="4" t="s">
        <v>113</v>
      </c>
      <c r="H54" s="9" t="s">
        <v>111</v>
      </c>
    </row>
    <row r="55" spans="1:15">
      <c r="A55" s="1">
        <v>2020804079</v>
      </c>
      <c r="B55" s="2" t="s">
        <v>57</v>
      </c>
      <c r="C55" s="5" t="s">
        <v>120</v>
      </c>
      <c r="D55" s="4" t="s">
        <v>109</v>
      </c>
      <c r="E55" s="4" t="s">
        <v>113</v>
      </c>
      <c r="F55" s="4" t="s">
        <v>110</v>
      </c>
      <c r="G55" s="4" t="s">
        <v>109</v>
      </c>
      <c r="H55" s="9" t="s">
        <v>111</v>
      </c>
    </row>
    <row r="56" spans="1:15">
      <c r="A56" s="1">
        <v>2020804118</v>
      </c>
      <c r="B56" s="2" t="s">
        <v>29</v>
      </c>
      <c r="C56" s="5" t="s">
        <v>120</v>
      </c>
      <c r="D56" s="4" t="s">
        <v>109</v>
      </c>
      <c r="E56" s="4" t="s">
        <v>113</v>
      </c>
      <c r="F56" s="4" t="s">
        <v>110</v>
      </c>
      <c r="G56" s="4" t="s">
        <v>112</v>
      </c>
      <c r="H56" s="9" t="s">
        <v>111</v>
      </c>
    </row>
    <row r="57" spans="1:15">
      <c r="A57" s="1">
        <v>2020804101</v>
      </c>
      <c r="B57" s="2" t="s">
        <v>9</v>
      </c>
      <c r="C57" s="5" t="s">
        <v>120</v>
      </c>
      <c r="D57" s="4" t="s">
        <v>109</v>
      </c>
      <c r="E57" s="4" t="s">
        <v>113</v>
      </c>
      <c r="F57" s="4" t="s">
        <v>109</v>
      </c>
      <c r="G57" s="4" t="s">
        <v>112</v>
      </c>
      <c r="H57" s="9" t="s">
        <v>111</v>
      </c>
    </row>
    <row r="58" spans="1:15">
      <c r="A58" s="1">
        <v>2020804065</v>
      </c>
      <c r="B58" s="2" t="s">
        <v>48</v>
      </c>
      <c r="C58" s="5" t="s">
        <v>120</v>
      </c>
      <c r="D58" s="4" t="s">
        <v>109</v>
      </c>
      <c r="E58" s="4" t="s">
        <v>112</v>
      </c>
      <c r="F58" s="4" t="s">
        <v>113</v>
      </c>
      <c r="G58" s="4" t="s">
        <v>109</v>
      </c>
      <c r="H58" s="9" t="s">
        <v>114</v>
      </c>
    </row>
    <row r="59" spans="1:15">
      <c r="A59" s="1">
        <v>2020804051</v>
      </c>
      <c r="B59" s="2" t="s">
        <v>39</v>
      </c>
      <c r="C59" s="5" t="s">
        <v>120</v>
      </c>
      <c r="D59" s="4" t="s">
        <v>113</v>
      </c>
      <c r="E59" s="4" t="s">
        <v>110</v>
      </c>
      <c r="F59" s="4" t="s">
        <v>109</v>
      </c>
      <c r="G59" s="4" t="s">
        <v>110</v>
      </c>
      <c r="H59" s="9" t="s">
        <v>114</v>
      </c>
    </row>
    <row r="60" spans="1:15">
      <c r="A60" s="1">
        <v>2020804045</v>
      </c>
      <c r="B60" s="2" t="s">
        <v>35</v>
      </c>
      <c r="C60" s="5" t="s">
        <v>120</v>
      </c>
      <c r="D60" s="4" t="s">
        <v>113</v>
      </c>
      <c r="E60" s="4" t="s">
        <v>109</v>
      </c>
      <c r="F60" s="4" t="s">
        <v>110</v>
      </c>
      <c r="G60" s="4" t="s">
        <v>110</v>
      </c>
      <c r="H60" s="9" t="s">
        <v>114</v>
      </c>
    </row>
    <row r="61" spans="1:15">
      <c r="A61" s="1">
        <v>2020804066</v>
      </c>
      <c r="B61" s="2" t="s">
        <v>49</v>
      </c>
      <c r="C61" s="5" t="s">
        <v>120</v>
      </c>
      <c r="D61" s="4" t="s">
        <v>113</v>
      </c>
      <c r="E61" s="4" t="s">
        <v>109</v>
      </c>
      <c r="F61" s="4" t="s">
        <v>109</v>
      </c>
      <c r="G61" s="4" t="s">
        <v>110</v>
      </c>
      <c r="H61" s="9" t="s">
        <v>114</v>
      </c>
    </row>
    <row r="62" spans="1:15">
      <c r="A62" s="1">
        <v>2020804121</v>
      </c>
      <c r="B62" s="2" t="s">
        <v>79</v>
      </c>
      <c r="C62" s="5" t="s">
        <v>120</v>
      </c>
      <c r="D62" s="4" t="s">
        <v>113</v>
      </c>
      <c r="E62" s="4" t="s">
        <v>109</v>
      </c>
      <c r="F62" s="4" t="s">
        <v>109</v>
      </c>
      <c r="G62" s="4" t="s">
        <v>110</v>
      </c>
      <c r="H62" s="9" t="s">
        <v>111</v>
      </c>
    </row>
    <row r="63" spans="1:15">
      <c r="A63" s="1">
        <v>2020804103</v>
      </c>
      <c r="B63" s="2" t="s">
        <v>59</v>
      </c>
      <c r="C63" s="5" t="s">
        <v>120</v>
      </c>
      <c r="D63" s="4" t="s">
        <v>113</v>
      </c>
      <c r="E63" s="4" t="s">
        <v>109</v>
      </c>
      <c r="F63" s="4" t="s">
        <v>109</v>
      </c>
      <c r="G63" s="4" t="s">
        <v>109</v>
      </c>
      <c r="H63" s="9" t="s">
        <v>111</v>
      </c>
    </row>
    <row r="64" spans="1:15">
      <c r="A64" s="1">
        <v>2020804120</v>
      </c>
      <c r="B64" s="2" t="s">
        <v>78</v>
      </c>
      <c r="C64" s="5" t="s">
        <v>120</v>
      </c>
      <c r="D64" s="4" t="s">
        <v>113</v>
      </c>
      <c r="E64" s="4" t="s">
        <v>109</v>
      </c>
      <c r="F64" s="4" t="s">
        <v>113</v>
      </c>
      <c r="G64" s="4" t="s">
        <v>112</v>
      </c>
      <c r="H64" s="9" t="s">
        <v>111</v>
      </c>
    </row>
    <row r="65" spans="1:15">
      <c r="A65" s="1">
        <v>2020804069</v>
      </c>
      <c r="B65" s="2" t="s">
        <v>51</v>
      </c>
      <c r="C65" s="5" t="s">
        <v>120</v>
      </c>
      <c r="D65" s="4" t="s">
        <v>113</v>
      </c>
      <c r="E65" s="4" t="s">
        <v>113</v>
      </c>
      <c r="F65" s="4" t="s">
        <v>113</v>
      </c>
      <c r="G65" s="4" t="s">
        <v>113</v>
      </c>
      <c r="H65" s="9" t="s">
        <v>111</v>
      </c>
    </row>
    <row r="66" spans="1:15">
      <c r="A66" s="1">
        <v>2020804081</v>
      </c>
      <c r="B66" s="2" t="s">
        <v>59</v>
      </c>
      <c r="C66" s="5" t="s">
        <v>120</v>
      </c>
      <c r="D66" s="4" t="s">
        <v>113</v>
      </c>
      <c r="E66" s="4" t="s">
        <v>112</v>
      </c>
      <c r="F66" s="4" t="s">
        <v>110</v>
      </c>
      <c r="G66" s="4" t="s">
        <v>112</v>
      </c>
      <c r="H66" s="9" t="s">
        <v>111</v>
      </c>
    </row>
    <row r="67" spans="1:15">
      <c r="A67" s="1">
        <v>2020804060</v>
      </c>
      <c r="B67" s="2" t="s">
        <v>44</v>
      </c>
      <c r="C67" s="5" t="s">
        <v>120</v>
      </c>
      <c r="D67" s="4" t="s">
        <v>112</v>
      </c>
      <c r="E67" s="4" t="s">
        <v>110</v>
      </c>
      <c r="F67" s="4" t="s">
        <v>109</v>
      </c>
      <c r="G67" s="4" t="s">
        <v>110</v>
      </c>
      <c r="H67" s="9" t="s">
        <v>114</v>
      </c>
    </row>
    <row r="68" spans="1:15">
      <c r="A68" s="1">
        <v>2020804075</v>
      </c>
      <c r="B68" s="2" t="s">
        <v>54</v>
      </c>
      <c r="C68" s="5" t="s">
        <v>120</v>
      </c>
      <c r="D68" s="4" t="s">
        <v>112</v>
      </c>
      <c r="E68" s="4" t="s">
        <v>110</v>
      </c>
      <c r="F68" s="4" t="s">
        <v>109</v>
      </c>
      <c r="G68" s="4" t="s">
        <v>110</v>
      </c>
      <c r="H68" s="9" t="s">
        <v>111</v>
      </c>
    </row>
    <row r="69" spans="1:15">
      <c r="A69" s="1">
        <v>2020804042</v>
      </c>
      <c r="B69" s="2" t="s">
        <v>32</v>
      </c>
      <c r="C69" s="5" t="s">
        <v>120</v>
      </c>
      <c r="D69" s="4" t="s">
        <v>112</v>
      </c>
      <c r="E69" s="4" t="s">
        <v>110</v>
      </c>
      <c r="F69" s="4" t="s">
        <v>113</v>
      </c>
      <c r="G69" s="4" t="s">
        <v>113</v>
      </c>
      <c r="H69" s="9" t="s">
        <v>114</v>
      </c>
    </row>
    <row r="70" spans="1:15">
      <c r="A70" s="1">
        <v>2020804091</v>
      </c>
      <c r="B70" s="2" t="s">
        <v>64</v>
      </c>
      <c r="C70" s="5" t="s">
        <v>120</v>
      </c>
      <c r="D70" s="4" t="s">
        <v>112</v>
      </c>
      <c r="E70" s="4" t="s">
        <v>110</v>
      </c>
      <c r="F70" s="4" t="s">
        <v>112</v>
      </c>
      <c r="G70" s="4" t="s">
        <v>112</v>
      </c>
      <c r="H70" s="9" t="s">
        <v>111</v>
      </c>
    </row>
    <row r="71" spans="1:15" ht="15">
      <c r="A71" s="1">
        <v>2020804019</v>
      </c>
      <c r="B71" s="2" t="s">
        <v>18</v>
      </c>
      <c r="C71" s="5" t="s">
        <v>120</v>
      </c>
      <c r="D71" s="4" t="s">
        <v>112</v>
      </c>
      <c r="E71" s="4" t="s">
        <v>112</v>
      </c>
      <c r="F71" s="4" t="s">
        <v>110</v>
      </c>
      <c r="G71" s="4" t="s">
        <v>112</v>
      </c>
      <c r="H71" s="9" t="s">
        <v>114</v>
      </c>
      <c r="O71" s="25"/>
    </row>
    <row r="72" spans="1:15">
      <c r="A72" s="1">
        <v>2020804073</v>
      </c>
      <c r="B72" s="2" t="s">
        <v>53</v>
      </c>
      <c r="C72" s="5" t="s">
        <v>120</v>
      </c>
      <c r="D72" s="4" t="s">
        <v>112</v>
      </c>
      <c r="E72" s="4" t="s">
        <v>112</v>
      </c>
      <c r="F72" s="4" t="s">
        <v>113</v>
      </c>
      <c r="G72" s="4" t="s">
        <v>110</v>
      </c>
      <c r="H72" s="9" t="s">
        <v>111</v>
      </c>
    </row>
    <row r="73" spans="1:15">
      <c r="A73" s="1">
        <v>2020804029</v>
      </c>
      <c r="B73" s="2" t="s">
        <v>26</v>
      </c>
      <c r="C73" s="5" t="s">
        <v>120</v>
      </c>
      <c r="D73" s="4" t="s">
        <v>112</v>
      </c>
      <c r="E73" s="4" t="s">
        <v>112</v>
      </c>
      <c r="F73" s="4" t="s">
        <v>112</v>
      </c>
      <c r="G73" s="4" t="s">
        <v>112</v>
      </c>
      <c r="H73" s="9" t="s">
        <v>114</v>
      </c>
    </row>
    <row r="74" spans="1:15">
      <c r="A74" s="1">
        <v>2020804130</v>
      </c>
      <c r="B74" s="2" t="s">
        <v>50</v>
      </c>
      <c r="C74" s="5" t="s">
        <v>120</v>
      </c>
      <c r="D74" s="4" t="s">
        <v>112</v>
      </c>
      <c r="E74" s="4" t="s">
        <v>112</v>
      </c>
      <c r="F74" s="4" t="s">
        <v>112</v>
      </c>
      <c r="G74" s="4" t="s">
        <v>112</v>
      </c>
      <c r="H74" s="9" t="s">
        <v>114</v>
      </c>
    </row>
    <row r="75" spans="1:15">
      <c r="A75" s="1">
        <v>2020804143</v>
      </c>
      <c r="B75" s="2" t="s">
        <v>92</v>
      </c>
      <c r="C75" s="5" t="s">
        <v>120</v>
      </c>
      <c r="D75" s="4" t="s">
        <v>112</v>
      </c>
      <c r="E75" s="4" t="s">
        <v>112</v>
      </c>
      <c r="F75" s="4" t="s">
        <v>112</v>
      </c>
      <c r="G75" s="4" t="s">
        <v>112</v>
      </c>
      <c r="H75" s="9" t="s">
        <v>114</v>
      </c>
    </row>
    <row r="76" spans="1:15">
      <c r="A76" s="1">
        <v>2020804154</v>
      </c>
      <c r="B76" s="2" t="s">
        <v>99</v>
      </c>
      <c r="C76" s="5" t="s">
        <v>120</v>
      </c>
      <c r="D76" s="4" t="s">
        <v>112</v>
      </c>
      <c r="E76" s="4" t="s">
        <v>112</v>
      </c>
      <c r="F76" s="4" t="s">
        <v>112</v>
      </c>
      <c r="G76" s="4" t="s">
        <v>112</v>
      </c>
      <c r="H76" s="9" t="s">
        <v>114</v>
      </c>
    </row>
    <row r="77" spans="1:15">
      <c r="A77" s="1">
        <v>2020804166</v>
      </c>
      <c r="B77" s="2" t="s">
        <v>107</v>
      </c>
      <c r="C77" s="5" t="s">
        <v>120</v>
      </c>
      <c r="D77" s="4" t="s">
        <v>112</v>
      </c>
      <c r="E77" s="4" t="s">
        <v>112</v>
      </c>
      <c r="F77" s="4" t="s">
        <v>112</v>
      </c>
      <c r="G77" s="4" t="s">
        <v>112</v>
      </c>
      <c r="H77" s="9" t="s">
        <v>114</v>
      </c>
    </row>
    <row r="78" spans="1:15">
      <c r="A78" s="1">
        <v>2020804168</v>
      </c>
      <c r="B78" s="2" t="s">
        <v>50</v>
      </c>
      <c r="C78" s="5" t="s">
        <v>120</v>
      </c>
      <c r="D78" s="4" t="s">
        <v>112</v>
      </c>
      <c r="E78" s="4" t="s">
        <v>112</v>
      </c>
      <c r="F78" s="4" t="s">
        <v>112</v>
      </c>
      <c r="G78" s="4" t="s">
        <v>112</v>
      </c>
      <c r="H78" s="9" t="s">
        <v>114</v>
      </c>
    </row>
    <row r="79" spans="1:15">
      <c r="A79" s="1">
        <v>2020804044</v>
      </c>
      <c r="B79" s="2" t="s">
        <v>34</v>
      </c>
      <c r="C79" s="5" t="s">
        <v>121</v>
      </c>
      <c r="D79" s="4" t="s">
        <v>110</v>
      </c>
      <c r="E79" s="4" t="s">
        <v>110</v>
      </c>
      <c r="F79" s="4" t="s">
        <v>110</v>
      </c>
      <c r="G79" s="4" t="s">
        <v>110</v>
      </c>
      <c r="H79" s="9" t="s">
        <v>114</v>
      </c>
    </row>
    <row r="80" spans="1:15">
      <c r="A80" s="1">
        <v>2020804135</v>
      </c>
      <c r="B80" s="2" t="s">
        <v>88</v>
      </c>
      <c r="C80" s="5" t="s">
        <v>121</v>
      </c>
      <c r="D80" s="4" t="s">
        <v>110</v>
      </c>
      <c r="E80" s="4" t="s">
        <v>110</v>
      </c>
      <c r="F80" s="4" t="s">
        <v>110</v>
      </c>
      <c r="G80" s="4" t="s">
        <v>110</v>
      </c>
      <c r="H80" s="9" t="s">
        <v>114</v>
      </c>
    </row>
    <row r="81" spans="1:15" ht="15">
      <c r="A81" s="1">
        <v>2020804020</v>
      </c>
      <c r="B81" s="2" t="s">
        <v>19</v>
      </c>
      <c r="C81" s="5" t="s">
        <v>121</v>
      </c>
      <c r="D81" s="4" t="s">
        <v>110</v>
      </c>
      <c r="E81" s="4" t="s">
        <v>110</v>
      </c>
      <c r="F81" s="4" t="s">
        <v>110</v>
      </c>
      <c r="G81" s="4" t="s">
        <v>109</v>
      </c>
      <c r="H81" s="9" t="s">
        <v>114</v>
      </c>
      <c r="O81" s="25"/>
    </row>
    <row r="82" spans="1:15">
      <c r="A82" s="1">
        <v>2020804058</v>
      </c>
      <c r="B82" s="2" t="s">
        <v>43</v>
      </c>
      <c r="C82" s="5" t="s">
        <v>121</v>
      </c>
      <c r="D82" s="4" t="s">
        <v>110</v>
      </c>
      <c r="E82" s="4" t="s">
        <v>110</v>
      </c>
      <c r="F82" s="4" t="s">
        <v>110</v>
      </c>
      <c r="G82" s="4" t="s">
        <v>109</v>
      </c>
      <c r="H82" s="9" t="s">
        <v>114</v>
      </c>
    </row>
    <row r="83" spans="1:15">
      <c r="A83" s="1">
        <v>2020804039</v>
      </c>
      <c r="B83" s="2" t="s">
        <v>30</v>
      </c>
      <c r="C83" s="5" t="s">
        <v>121</v>
      </c>
      <c r="D83" s="4" t="s">
        <v>110</v>
      </c>
      <c r="E83" s="4" t="s">
        <v>110</v>
      </c>
      <c r="F83" s="4" t="s">
        <v>109</v>
      </c>
      <c r="G83" s="4" t="s">
        <v>110</v>
      </c>
      <c r="H83" s="9" t="s">
        <v>114</v>
      </c>
    </row>
    <row r="84" spans="1:15">
      <c r="A84" s="1">
        <v>2020804129</v>
      </c>
      <c r="B84" s="2" t="s">
        <v>86</v>
      </c>
      <c r="C84" s="5" t="s">
        <v>121</v>
      </c>
      <c r="D84" s="4" t="s">
        <v>110</v>
      </c>
      <c r="E84" s="4" t="s">
        <v>110</v>
      </c>
      <c r="F84" s="4" t="s">
        <v>112</v>
      </c>
      <c r="G84" s="4" t="s">
        <v>110</v>
      </c>
      <c r="H84" s="9" t="s">
        <v>114</v>
      </c>
    </row>
    <row r="85" spans="1:15">
      <c r="A85" s="1">
        <v>2020804136</v>
      </c>
      <c r="B85" s="2" t="s">
        <v>89</v>
      </c>
      <c r="C85" s="5" t="s">
        <v>121</v>
      </c>
      <c r="D85" s="4" t="s">
        <v>110</v>
      </c>
      <c r="E85" s="4" t="s">
        <v>110</v>
      </c>
      <c r="F85" s="4" t="s">
        <v>112</v>
      </c>
      <c r="G85" s="4" t="s">
        <v>110</v>
      </c>
      <c r="H85" s="9" t="s">
        <v>114</v>
      </c>
    </row>
    <row r="86" spans="1:15">
      <c r="A86" s="1">
        <v>2020804127</v>
      </c>
      <c r="B86" s="2" t="s">
        <v>84</v>
      </c>
      <c r="C86" s="5" t="s">
        <v>121</v>
      </c>
      <c r="D86" s="4" t="s">
        <v>110</v>
      </c>
      <c r="E86" s="4" t="s">
        <v>110</v>
      </c>
      <c r="F86" s="4" t="s">
        <v>112</v>
      </c>
      <c r="G86" s="4" t="s">
        <v>109</v>
      </c>
      <c r="H86" s="9" t="s">
        <v>114</v>
      </c>
    </row>
    <row r="87" spans="1:15">
      <c r="A87" s="1">
        <v>2020804055</v>
      </c>
      <c r="B87" s="2" t="s">
        <v>41</v>
      </c>
      <c r="C87" s="5" t="s">
        <v>121</v>
      </c>
      <c r="D87" s="4" t="s">
        <v>110</v>
      </c>
      <c r="E87" s="4" t="s">
        <v>112</v>
      </c>
      <c r="F87" s="4" t="s">
        <v>110</v>
      </c>
      <c r="G87" s="4" t="s">
        <v>110</v>
      </c>
      <c r="H87" s="9" t="s">
        <v>114</v>
      </c>
    </row>
    <row r="88" spans="1:15">
      <c r="A88" s="1">
        <v>2020804024</v>
      </c>
      <c r="B88" s="2" t="s">
        <v>22</v>
      </c>
      <c r="C88" s="5" t="s">
        <v>121</v>
      </c>
      <c r="D88" s="4" t="s">
        <v>110</v>
      </c>
      <c r="E88" s="4" t="s">
        <v>112</v>
      </c>
      <c r="F88" s="4" t="s">
        <v>110</v>
      </c>
      <c r="G88" s="4" t="s">
        <v>109</v>
      </c>
      <c r="H88" s="9" t="s">
        <v>114</v>
      </c>
    </row>
    <row r="89" spans="1:15">
      <c r="A89" s="1">
        <v>2020804156</v>
      </c>
      <c r="B89" s="2" t="s">
        <v>100</v>
      </c>
      <c r="C89" s="5" t="s">
        <v>121</v>
      </c>
      <c r="D89" s="4" t="s">
        <v>110</v>
      </c>
      <c r="E89" s="4" t="s">
        <v>112</v>
      </c>
      <c r="F89" s="4" t="s">
        <v>112</v>
      </c>
      <c r="G89" s="4" t="s">
        <v>110</v>
      </c>
      <c r="H89" s="9" t="s">
        <v>114</v>
      </c>
    </row>
    <row r="90" spans="1:15">
      <c r="A90" s="1">
        <v>2020804145</v>
      </c>
      <c r="B90" s="2" t="s">
        <v>94</v>
      </c>
      <c r="C90" s="5" t="s">
        <v>121</v>
      </c>
      <c r="D90" s="4" t="s">
        <v>110</v>
      </c>
      <c r="E90" s="4" t="s">
        <v>112</v>
      </c>
      <c r="F90" s="4" t="s">
        <v>112</v>
      </c>
      <c r="G90" s="4" t="s">
        <v>112</v>
      </c>
      <c r="H90" s="9" t="s">
        <v>114</v>
      </c>
    </row>
    <row r="91" spans="1:15">
      <c r="A91" s="1">
        <v>2020804152</v>
      </c>
      <c r="B91" s="2" t="s">
        <v>97</v>
      </c>
      <c r="C91" s="5" t="s">
        <v>121</v>
      </c>
      <c r="D91" s="4" t="s">
        <v>110</v>
      </c>
      <c r="E91" s="4" t="s">
        <v>112</v>
      </c>
      <c r="F91" s="4" t="s">
        <v>112</v>
      </c>
      <c r="G91" s="4" t="s">
        <v>112</v>
      </c>
      <c r="H91" s="9" t="s">
        <v>114</v>
      </c>
    </row>
    <row r="92" spans="1:15">
      <c r="A92" s="1">
        <v>2020804160</v>
      </c>
      <c r="B92" s="2" t="s">
        <v>102</v>
      </c>
      <c r="C92" s="5" t="s">
        <v>121</v>
      </c>
      <c r="D92" s="4" t="s">
        <v>110</v>
      </c>
      <c r="E92" s="4" t="s">
        <v>112</v>
      </c>
      <c r="F92" s="4" t="s">
        <v>112</v>
      </c>
      <c r="G92" s="4" t="s">
        <v>112</v>
      </c>
      <c r="H92" s="9" t="s">
        <v>114</v>
      </c>
    </row>
    <row r="93" spans="1:15" ht="15">
      <c r="A93" s="1">
        <v>2020804018</v>
      </c>
      <c r="B93" s="2" t="s">
        <v>17</v>
      </c>
      <c r="C93" s="5" t="s">
        <v>121</v>
      </c>
      <c r="D93" s="4" t="s">
        <v>109</v>
      </c>
      <c r="E93" s="4" t="s">
        <v>110</v>
      </c>
      <c r="F93" s="4" t="s">
        <v>110</v>
      </c>
      <c r="G93" s="4" t="s">
        <v>110</v>
      </c>
      <c r="H93" s="9" t="s">
        <v>114</v>
      </c>
      <c r="O93" s="25"/>
    </row>
    <row r="94" spans="1:15">
      <c r="A94" s="1">
        <v>2020804052</v>
      </c>
      <c r="B94" s="2" t="s">
        <v>40</v>
      </c>
      <c r="C94" s="5" t="s">
        <v>121</v>
      </c>
      <c r="D94" s="4" t="s">
        <v>109</v>
      </c>
      <c r="E94" s="4" t="s">
        <v>110</v>
      </c>
      <c r="F94" s="4" t="s">
        <v>110</v>
      </c>
      <c r="G94" s="4" t="s">
        <v>110</v>
      </c>
      <c r="H94" s="9" t="s">
        <v>114</v>
      </c>
    </row>
    <row r="95" spans="1:15">
      <c r="A95" s="1">
        <v>2020804128</v>
      </c>
      <c r="B95" s="2" t="s">
        <v>85</v>
      </c>
      <c r="C95" s="5" t="s">
        <v>121</v>
      </c>
      <c r="D95" s="4" t="s">
        <v>109</v>
      </c>
      <c r="E95" s="4" t="s">
        <v>110</v>
      </c>
      <c r="F95" s="4" t="s">
        <v>110</v>
      </c>
      <c r="G95" s="4" t="s">
        <v>110</v>
      </c>
      <c r="H95" s="9" t="s">
        <v>114</v>
      </c>
    </row>
    <row r="96" spans="1:15">
      <c r="A96" s="1">
        <v>2020804089</v>
      </c>
      <c r="B96" s="2" t="s">
        <v>62</v>
      </c>
      <c r="C96" s="5" t="s">
        <v>121</v>
      </c>
      <c r="D96" s="4" t="s">
        <v>109</v>
      </c>
      <c r="E96" s="4" t="s">
        <v>110</v>
      </c>
      <c r="F96" s="4" t="s">
        <v>109</v>
      </c>
      <c r="G96" s="4" t="s">
        <v>110</v>
      </c>
      <c r="H96" s="9" t="s">
        <v>111</v>
      </c>
    </row>
    <row r="97" spans="1:15">
      <c r="A97" s="1">
        <v>2020804105</v>
      </c>
      <c r="B97" s="2" t="s">
        <v>72</v>
      </c>
      <c r="C97" s="5" t="s">
        <v>121</v>
      </c>
      <c r="D97" s="4" t="s">
        <v>109</v>
      </c>
      <c r="E97" s="4" t="s">
        <v>110</v>
      </c>
      <c r="F97" s="4" t="s">
        <v>109</v>
      </c>
      <c r="G97" s="4" t="s">
        <v>110</v>
      </c>
      <c r="H97" s="9" t="s">
        <v>111</v>
      </c>
    </row>
    <row r="98" spans="1:15">
      <c r="A98" s="1">
        <v>2020804147</v>
      </c>
      <c r="B98" s="2" t="s">
        <v>25</v>
      </c>
      <c r="C98" s="5" t="s">
        <v>121</v>
      </c>
      <c r="D98" s="4" t="s">
        <v>109</v>
      </c>
      <c r="E98" s="4" t="s">
        <v>110</v>
      </c>
      <c r="F98" s="4" t="s">
        <v>112</v>
      </c>
      <c r="G98" s="4" t="s">
        <v>110</v>
      </c>
      <c r="H98" s="9" t="s">
        <v>114</v>
      </c>
    </row>
    <row r="99" spans="1:15">
      <c r="A99" s="1">
        <v>2020804162</v>
      </c>
      <c r="B99" s="2" t="s">
        <v>103</v>
      </c>
      <c r="C99" s="5" t="s">
        <v>121</v>
      </c>
      <c r="D99" s="4" t="s">
        <v>109</v>
      </c>
      <c r="E99" s="4" t="s">
        <v>110</v>
      </c>
      <c r="F99" s="4" t="s">
        <v>112</v>
      </c>
      <c r="G99" s="4" t="s">
        <v>110</v>
      </c>
      <c r="H99" s="9" t="s">
        <v>114</v>
      </c>
    </row>
    <row r="100" spans="1:15">
      <c r="A100" s="1">
        <v>2020804080</v>
      </c>
      <c r="B100" s="2" t="s">
        <v>58</v>
      </c>
      <c r="C100" s="5" t="s">
        <v>121</v>
      </c>
      <c r="D100" s="4" t="s">
        <v>109</v>
      </c>
      <c r="E100" s="4" t="s">
        <v>110</v>
      </c>
      <c r="F100" s="4" t="s">
        <v>112</v>
      </c>
      <c r="G100" s="4" t="s">
        <v>110</v>
      </c>
      <c r="H100" s="9" t="s">
        <v>111</v>
      </c>
    </row>
    <row r="101" spans="1:15">
      <c r="A101" s="1">
        <v>2020804117</v>
      </c>
      <c r="B101" s="2" t="s">
        <v>76</v>
      </c>
      <c r="C101" s="5" t="s">
        <v>121</v>
      </c>
      <c r="D101" s="4" t="s">
        <v>109</v>
      </c>
      <c r="E101" s="4" t="s">
        <v>109</v>
      </c>
      <c r="F101" s="4" t="s">
        <v>110</v>
      </c>
      <c r="G101" s="4" t="s">
        <v>110</v>
      </c>
      <c r="H101" s="9" t="s">
        <v>111</v>
      </c>
    </row>
    <row r="102" spans="1:15">
      <c r="A102" s="1">
        <v>2020804098</v>
      </c>
      <c r="B102" s="2" t="s">
        <v>68</v>
      </c>
      <c r="C102" s="5" t="s">
        <v>121</v>
      </c>
      <c r="D102" s="4" t="s">
        <v>109</v>
      </c>
      <c r="E102" s="4" t="s">
        <v>109</v>
      </c>
      <c r="F102" s="4" t="s">
        <v>110</v>
      </c>
      <c r="G102" s="4" t="s">
        <v>112</v>
      </c>
      <c r="H102" s="9" t="s">
        <v>111</v>
      </c>
    </row>
    <row r="103" spans="1:15" ht="15">
      <c r="A103" s="1">
        <v>2020804003</v>
      </c>
      <c r="B103" s="2" t="s">
        <v>8</v>
      </c>
      <c r="C103" s="5" t="s">
        <v>121</v>
      </c>
      <c r="D103" s="4" t="s">
        <v>109</v>
      </c>
      <c r="E103" s="4" t="s">
        <v>109</v>
      </c>
      <c r="F103" s="4" t="s">
        <v>113</v>
      </c>
      <c r="G103" s="4" t="s">
        <v>113</v>
      </c>
      <c r="H103" s="9" t="s">
        <v>111</v>
      </c>
      <c r="O103" s="25"/>
    </row>
    <row r="104" spans="1:15">
      <c r="A104" s="1">
        <v>2020804131</v>
      </c>
      <c r="B104" s="2" t="s">
        <v>87</v>
      </c>
      <c r="C104" s="5" t="s">
        <v>121</v>
      </c>
      <c r="D104" s="4" t="s">
        <v>109</v>
      </c>
      <c r="E104" s="4" t="s">
        <v>109</v>
      </c>
      <c r="F104" s="4" t="s">
        <v>112</v>
      </c>
      <c r="G104" s="4" t="s">
        <v>110</v>
      </c>
      <c r="H104" s="9" t="s">
        <v>114</v>
      </c>
    </row>
    <row r="105" spans="1:15">
      <c r="A105" s="1">
        <v>2020804100</v>
      </c>
      <c r="B105" s="2" t="s">
        <v>70</v>
      </c>
      <c r="C105" s="5" t="s">
        <v>121</v>
      </c>
      <c r="D105" s="4" t="s">
        <v>109</v>
      </c>
      <c r="E105" s="4" t="s">
        <v>113</v>
      </c>
      <c r="F105" s="4" t="s">
        <v>109</v>
      </c>
      <c r="G105" s="4" t="s">
        <v>109</v>
      </c>
      <c r="H105" s="9" t="s">
        <v>111</v>
      </c>
    </row>
    <row r="106" spans="1:15">
      <c r="A106" s="1">
        <v>2020804033</v>
      </c>
      <c r="B106" s="2" t="s">
        <v>28</v>
      </c>
      <c r="C106" s="5" t="s">
        <v>121</v>
      </c>
      <c r="D106" s="4" t="s">
        <v>112</v>
      </c>
      <c r="E106" s="4" t="s">
        <v>110</v>
      </c>
      <c r="F106" s="4" t="s">
        <v>109</v>
      </c>
      <c r="G106" s="4" t="s">
        <v>112</v>
      </c>
      <c r="H106" s="9" t="s">
        <v>114</v>
      </c>
    </row>
    <row r="107" spans="1:15" ht="15">
      <c r="A107" s="1">
        <v>2020804013</v>
      </c>
      <c r="B107" s="2" t="s">
        <v>14</v>
      </c>
      <c r="C107" s="5" t="s">
        <v>121</v>
      </c>
      <c r="D107" s="4" t="s">
        <v>112</v>
      </c>
      <c r="E107" s="4" t="s">
        <v>110</v>
      </c>
      <c r="F107" s="4" t="s">
        <v>113</v>
      </c>
      <c r="G107" s="4" t="s">
        <v>110</v>
      </c>
      <c r="H107" s="9" t="s">
        <v>111</v>
      </c>
      <c r="O107" s="25"/>
    </row>
    <row r="108" spans="1:15">
      <c r="A108" s="1">
        <v>2020804153</v>
      </c>
      <c r="B108" s="2" t="s">
        <v>98</v>
      </c>
      <c r="C108" s="5" t="s">
        <v>121</v>
      </c>
      <c r="D108" s="4" t="s">
        <v>112</v>
      </c>
      <c r="E108" s="4" t="s">
        <v>110</v>
      </c>
      <c r="F108" s="4" t="s">
        <v>112</v>
      </c>
      <c r="G108" s="4" t="s">
        <v>112</v>
      </c>
      <c r="H108" s="9" t="s">
        <v>114</v>
      </c>
    </row>
    <row r="109" spans="1:15">
      <c r="A109" s="1">
        <v>2020804088</v>
      </c>
      <c r="B109" s="2" t="s">
        <v>61</v>
      </c>
      <c r="C109" s="5" t="s">
        <v>121</v>
      </c>
      <c r="D109" s="4" t="s">
        <v>112</v>
      </c>
      <c r="E109" s="4" t="s">
        <v>109</v>
      </c>
      <c r="F109" s="4" t="s">
        <v>112</v>
      </c>
      <c r="G109" s="4" t="s">
        <v>112</v>
      </c>
      <c r="H109" s="9" t="s">
        <v>111</v>
      </c>
    </row>
    <row r="110" spans="1:15" ht="15">
      <c r="A110" s="1">
        <v>2020804021</v>
      </c>
      <c r="B110" s="2" t="s">
        <v>20</v>
      </c>
      <c r="C110" s="5" t="s">
        <v>121</v>
      </c>
      <c r="D110" s="4" t="s">
        <v>112</v>
      </c>
      <c r="E110" s="4" t="s">
        <v>112</v>
      </c>
      <c r="F110" s="4" t="s">
        <v>110</v>
      </c>
      <c r="G110" s="4" t="s">
        <v>112</v>
      </c>
      <c r="H110" s="9" t="s">
        <v>114</v>
      </c>
      <c r="O110" s="25"/>
    </row>
    <row r="111" spans="1:15" ht="15">
      <c r="A111" s="1">
        <v>2020804002</v>
      </c>
      <c r="B111" s="2" t="s">
        <v>3</v>
      </c>
      <c r="C111" s="5" t="s">
        <v>121</v>
      </c>
      <c r="D111" s="4" t="s">
        <v>112</v>
      </c>
      <c r="E111" s="4" t="s">
        <v>112</v>
      </c>
      <c r="F111" s="4" t="s">
        <v>110</v>
      </c>
      <c r="G111" s="4" t="s">
        <v>112</v>
      </c>
      <c r="H111" s="9" t="s">
        <v>111</v>
      </c>
      <c r="O111" s="25"/>
    </row>
    <row r="112" spans="1:15">
      <c r="A112" s="1">
        <v>2020804022</v>
      </c>
      <c r="B112" s="2" t="s">
        <v>21</v>
      </c>
      <c r="C112" s="5" t="s">
        <v>121</v>
      </c>
      <c r="D112" s="4" t="s">
        <v>112</v>
      </c>
      <c r="E112" s="4" t="s">
        <v>112</v>
      </c>
      <c r="F112" s="4" t="s">
        <v>109</v>
      </c>
      <c r="G112" s="4" t="s">
        <v>110</v>
      </c>
      <c r="H112" s="9" t="s">
        <v>114</v>
      </c>
    </row>
    <row r="113" spans="1:8">
      <c r="A113" s="1">
        <v>2020804054</v>
      </c>
      <c r="B113" s="2" t="s">
        <v>22</v>
      </c>
      <c r="C113" s="5" t="s">
        <v>121</v>
      </c>
      <c r="D113" s="4" t="s">
        <v>112</v>
      </c>
      <c r="E113" s="4" t="s">
        <v>112</v>
      </c>
      <c r="F113" s="4" t="s">
        <v>109</v>
      </c>
      <c r="G113" s="4" t="s">
        <v>112</v>
      </c>
      <c r="H113" s="9" t="s">
        <v>114</v>
      </c>
    </row>
    <row r="114" spans="1:8">
      <c r="A114" s="1">
        <v>2020804026</v>
      </c>
      <c r="B114" s="2" t="s">
        <v>24</v>
      </c>
      <c r="C114" s="5" t="s">
        <v>121</v>
      </c>
      <c r="D114" s="4" t="s">
        <v>112</v>
      </c>
      <c r="E114" s="4" t="s">
        <v>112</v>
      </c>
      <c r="F114" s="4" t="s">
        <v>112</v>
      </c>
      <c r="G114" s="4" t="s">
        <v>110</v>
      </c>
      <c r="H114" s="9" t="s">
        <v>114</v>
      </c>
    </row>
    <row r="115" spans="1:8">
      <c r="A115" s="1">
        <v>2020804043</v>
      </c>
      <c r="B115" s="2" t="s">
        <v>33</v>
      </c>
      <c r="C115" s="5" t="s">
        <v>121</v>
      </c>
      <c r="D115" s="4" t="s">
        <v>112</v>
      </c>
      <c r="E115" s="4" t="s">
        <v>112</v>
      </c>
      <c r="F115" s="4" t="s">
        <v>112</v>
      </c>
      <c r="G115" s="4" t="s">
        <v>110</v>
      </c>
      <c r="H115" s="9" t="s">
        <v>114</v>
      </c>
    </row>
    <row r="116" spans="1:8">
      <c r="A116" s="1">
        <v>2020804138</v>
      </c>
      <c r="B116" s="2" t="s">
        <v>90</v>
      </c>
      <c r="C116" s="5" t="s">
        <v>121</v>
      </c>
      <c r="D116" s="4" t="s">
        <v>112</v>
      </c>
      <c r="E116" s="4" t="s">
        <v>112</v>
      </c>
      <c r="F116" s="4" t="s">
        <v>112</v>
      </c>
      <c r="G116" s="4" t="s">
        <v>110</v>
      </c>
      <c r="H116" s="9" t="s">
        <v>114</v>
      </c>
    </row>
    <row r="117" spans="1:8">
      <c r="A117" s="1">
        <v>2020804056</v>
      </c>
      <c r="B117" s="2" t="s">
        <v>42</v>
      </c>
      <c r="C117" s="5" t="s">
        <v>121</v>
      </c>
      <c r="D117" s="4" t="s">
        <v>112</v>
      </c>
      <c r="E117" s="4" t="s">
        <v>112</v>
      </c>
      <c r="F117" s="4" t="s">
        <v>112</v>
      </c>
      <c r="G117" s="4" t="s">
        <v>112</v>
      </c>
      <c r="H117" s="9" t="s">
        <v>114</v>
      </c>
    </row>
    <row r="118" spans="1:8">
      <c r="A118" s="1">
        <v>2020804062</v>
      </c>
      <c r="B118" s="2" t="s">
        <v>46</v>
      </c>
      <c r="C118" s="5" t="s">
        <v>121</v>
      </c>
      <c r="D118" s="4" t="s">
        <v>112</v>
      </c>
      <c r="E118" s="4" t="s">
        <v>112</v>
      </c>
      <c r="F118" s="4" t="s">
        <v>112</v>
      </c>
      <c r="G118" s="4" t="s">
        <v>112</v>
      </c>
      <c r="H118" s="9" t="s">
        <v>114</v>
      </c>
    </row>
    <row r="119" spans="1:8">
      <c r="A119" s="1">
        <v>2020804146</v>
      </c>
      <c r="B119" s="2" t="s">
        <v>95</v>
      </c>
      <c r="C119" s="5" t="s">
        <v>121</v>
      </c>
      <c r="D119" s="4" t="s">
        <v>112</v>
      </c>
      <c r="E119" s="4" t="s">
        <v>112</v>
      </c>
      <c r="F119" s="4" t="s">
        <v>112</v>
      </c>
      <c r="G119" s="4" t="s">
        <v>112</v>
      </c>
      <c r="H119" s="9" t="s">
        <v>114</v>
      </c>
    </row>
    <row r="120" spans="1:8">
      <c r="A120" s="1">
        <v>2020804169</v>
      </c>
      <c r="B120" s="2" t="s">
        <v>68</v>
      </c>
      <c r="C120" s="5" t="s">
        <v>121</v>
      </c>
      <c r="D120" s="4" t="s">
        <v>112</v>
      </c>
      <c r="E120" s="4" t="s">
        <v>112</v>
      </c>
      <c r="F120" s="4" t="s">
        <v>112</v>
      </c>
      <c r="G120" s="4" t="s">
        <v>112</v>
      </c>
      <c r="H120" s="9" t="s">
        <v>114</v>
      </c>
    </row>
    <row r="121" spans="1:8">
      <c r="A121" s="1">
        <v>2020804072</v>
      </c>
      <c r="B121" s="2" t="s">
        <v>52</v>
      </c>
      <c r="C121" s="5" t="s">
        <v>121</v>
      </c>
      <c r="D121" s="4" t="s">
        <v>112</v>
      </c>
      <c r="E121" s="4" t="s">
        <v>112</v>
      </c>
      <c r="F121" s="4" t="s">
        <v>112</v>
      </c>
      <c r="G121" s="4" t="s">
        <v>112</v>
      </c>
      <c r="H121" s="9" t="s">
        <v>111</v>
      </c>
    </row>
    <row r="122" spans="1:8">
      <c r="A122" s="1">
        <v>2020804085</v>
      </c>
      <c r="B122" s="2" t="s">
        <v>23</v>
      </c>
      <c r="C122" s="5" t="s">
        <v>120</v>
      </c>
      <c r="D122" s="4" t="s">
        <v>110</v>
      </c>
      <c r="E122" s="4" t="s">
        <v>110</v>
      </c>
      <c r="F122" s="4" t="s">
        <v>110</v>
      </c>
      <c r="G122" s="4" t="s">
        <v>110</v>
      </c>
      <c r="H122" s="9" t="s">
        <v>111</v>
      </c>
    </row>
    <row r="123" spans="1:8">
      <c r="A123" s="1">
        <v>2020804159</v>
      </c>
      <c r="B123" s="2" t="s">
        <v>101</v>
      </c>
      <c r="C123" s="5" t="s">
        <v>120</v>
      </c>
      <c r="D123" s="4" t="s">
        <v>110</v>
      </c>
      <c r="E123" s="4" t="s">
        <v>110</v>
      </c>
      <c r="F123" s="4" t="s">
        <v>110</v>
      </c>
      <c r="G123" s="4" t="s">
        <v>112</v>
      </c>
      <c r="H123" s="9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8"/>
  <sheetViews>
    <sheetView topLeftCell="A145" zoomScale="85" zoomScaleNormal="85" workbookViewId="0">
      <selection activeCell="D41" sqref="D41"/>
    </sheetView>
  </sheetViews>
  <sheetFormatPr defaultRowHeight="14.25"/>
  <cols>
    <col min="1" max="2" width="20.25" bestFit="1" customWidth="1"/>
    <col min="3" max="3" width="20.5" bestFit="1" customWidth="1"/>
    <col min="4" max="4" width="25.875" customWidth="1"/>
    <col min="5" max="5" width="18.25" customWidth="1"/>
    <col min="6" max="6" width="19.875" customWidth="1"/>
    <col min="7" max="7" width="19.5" bestFit="1" customWidth="1"/>
    <col min="8" max="8" width="16.5" bestFit="1" customWidth="1"/>
    <col min="9" max="10" width="12.875" bestFit="1" customWidth="1"/>
    <col min="11" max="11" width="9.75" bestFit="1" customWidth="1"/>
    <col min="13" max="13" width="89.625" bestFit="1" customWidth="1"/>
  </cols>
  <sheetData>
    <row r="2" spans="1:8">
      <c r="A2" s="15" t="s">
        <v>123</v>
      </c>
    </row>
    <row r="4" spans="1:8" ht="15.75">
      <c r="A4" s="16"/>
      <c r="B4" s="16"/>
      <c r="C4" s="16" t="s">
        <v>124</v>
      </c>
      <c r="D4" s="16" t="s">
        <v>114</v>
      </c>
      <c r="E4" s="16" t="s">
        <v>111</v>
      </c>
      <c r="F4" s="17" t="s">
        <v>125</v>
      </c>
      <c r="G4" s="16" t="s">
        <v>126</v>
      </c>
    </row>
    <row r="5" spans="1:8" ht="15.75">
      <c r="A5" s="16" t="s">
        <v>127</v>
      </c>
      <c r="B5" s="16"/>
      <c r="C5" s="16">
        <f>COUNTA('Data Training'!$C$5:$C$123)</f>
        <v>119</v>
      </c>
      <c r="D5" s="16">
        <f>COUNTIF('Data Training'!$H$5:$H$123,D4)</f>
        <v>69</v>
      </c>
      <c r="E5" s="16">
        <f>COUNTIF('Data Training'!$H$5:H$123,E4)</f>
        <v>50</v>
      </c>
      <c r="F5" s="17">
        <f>((-D5/C5)*IMLOG2(D5/C5))+((-E5/C5)*IMLOG2(E5/C5))</f>
        <v>0.98153207417828081</v>
      </c>
      <c r="G5" s="16"/>
    </row>
    <row r="6" spans="1:8" ht="15.75">
      <c r="A6" s="16" t="s">
        <v>2</v>
      </c>
      <c r="B6" s="16"/>
      <c r="C6" s="16"/>
      <c r="D6" s="16"/>
      <c r="E6" s="16"/>
      <c r="F6" s="17"/>
      <c r="G6" s="18">
        <f>($F$5)-((C7/$C$5)*F7+((C8/$C$5)*F8))</f>
        <v>4.676176657329123E-2</v>
      </c>
    </row>
    <row r="7" spans="1:8" ht="15.75">
      <c r="A7" s="16"/>
      <c r="B7" s="16" t="s">
        <v>120</v>
      </c>
      <c r="C7" s="16">
        <f>COUNTIF('Data Training'!$C$5:$C$123,B7)</f>
        <v>76</v>
      </c>
      <c r="D7" s="16">
        <f>COUNTIFS('Data Training'!$C$5:$C$123,B7,'Data Training'!$H$5:$H$123,$D$4)</f>
        <v>37</v>
      </c>
      <c r="E7" s="16">
        <f>COUNTIFS('Data Training'!$C$5:$C$123,B7,'Data Training'!$H$5:$H$123,$E$4)</f>
        <v>39</v>
      </c>
      <c r="F7" s="17">
        <f>((-D7/C7)*IMLOG2(D7/C7))+((-E7/C7)*IMLOG2(E7/C7))</f>
        <v>0.99950039418176084</v>
      </c>
      <c r="G7" s="16"/>
    </row>
    <row r="8" spans="1:8" ht="15.75">
      <c r="A8" s="16"/>
      <c r="B8" s="16" t="s">
        <v>121</v>
      </c>
      <c r="C8" s="16">
        <f>COUNTIF('Data Training'!$C$5:$C$123,B8)</f>
        <v>43</v>
      </c>
      <c r="D8" s="16">
        <f>COUNTIFS('Data Training'!$C$5:$C$123,B8,'Data Training'!$H$5:$H$123,$D$4)</f>
        <v>32</v>
      </c>
      <c r="E8" s="16">
        <f>COUNTIFS('Data Training'!$C$5:$C$123,B8,'Data Training'!$H$5:$H$123,$E$4)</f>
        <v>11</v>
      </c>
      <c r="F8" s="17">
        <f>((-D8/C8)*IMLOG2(D8/C8))+((-E8/C8)*IMLOG2(E8/C8))</f>
        <v>0.82036364295767294</v>
      </c>
      <c r="G8" s="16"/>
    </row>
    <row r="9" spans="1:8" ht="15.75">
      <c r="A9" s="16" t="s">
        <v>128</v>
      </c>
      <c r="B9" s="16"/>
      <c r="C9" s="16"/>
      <c r="D9" s="16"/>
      <c r="E9" s="16"/>
      <c r="F9" s="17"/>
      <c r="G9" s="18">
        <f>($F$5)-((C10/$C$5)*F10+((C11/$C$5)*F11)+((C12/$C$5)*F12)+((C13/$C$5)*F13))</f>
        <v>0.1475153259264248</v>
      </c>
    </row>
    <row r="10" spans="1:8" ht="15.75">
      <c r="A10" s="16"/>
      <c r="B10" s="16" t="s">
        <v>112</v>
      </c>
      <c r="C10" s="16">
        <f>COUNTIF('Data Training'!$D$5:$D$123,B10)</f>
        <v>28</v>
      </c>
      <c r="D10" s="16">
        <f>COUNTIFS('Data Training'!$D$5:$D$123,B10,'Data Training'!$H$5:$H$123,$D$4)</f>
        <v>21</v>
      </c>
      <c r="E10" s="16">
        <f>COUNTIFS('Data Training'!$D$5:$D$123,B10,'Data Training'!$H$5:$H$123,$E$4)</f>
        <v>7</v>
      </c>
      <c r="F10" s="17">
        <f t="shared" ref="F10:F13" si="0">((-D10/C10)*IMLOG2(D10/C10))+((-E10/C10)*IMLOG2(E10/C10))</f>
        <v>0.81127812445913294</v>
      </c>
      <c r="G10" s="16"/>
    </row>
    <row r="11" spans="1:8" ht="15.75">
      <c r="A11" s="16"/>
      <c r="B11" s="16" t="s">
        <v>110</v>
      </c>
      <c r="C11" s="16">
        <f>COUNTIF('Data Training'!$D$5:$D$123,B11)</f>
        <v>43</v>
      </c>
      <c r="D11" s="16">
        <f>COUNTIFS('Data Training'!$D$5:$D$123,B11,'Data Training'!$H$5:$H$123,$D$4)</f>
        <v>33</v>
      </c>
      <c r="E11" s="16">
        <f>COUNTIFS('Data Training'!$D$5:$D$123,B11,'Data Training'!$H$5:$H$123,$E$4)</f>
        <v>10</v>
      </c>
      <c r="F11" s="17">
        <f t="shared" si="0"/>
        <v>0.78244412940669039</v>
      </c>
      <c r="G11" s="16"/>
    </row>
    <row r="12" spans="1:8" ht="15.75">
      <c r="A12" s="16"/>
      <c r="B12" s="16" t="s">
        <v>109</v>
      </c>
      <c r="C12" s="16">
        <f>COUNTIF('Data Training'!$D$5:$D$123,B12)</f>
        <v>40</v>
      </c>
      <c r="D12" s="16">
        <f>COUNTIFS('Data Training'!$D$5:$D$123,B12,'Data Training'!$H$5:$H$123,$D$4)</f>
        <v>12</v>
      </c>
      <c r="E12" s="16">
        <f>COUNTIFS('Data Training'!$D$5:$D$123,B12,'Data Training'!$H$5:$H$123,$E$4)</f>
        <v>28</v>
      </c>
      <c r="F12" s="17">
        <f t="shared" si="0"/>
        <v>0.88129089923069359</v>
      </c>
      <c r="G12" s="16"/>
    </row>
    <row r="13" spans="1:8" ht="15.75">
      <c r="A13" s="16"/>
      <c r="B13" s="16" t="s">
        <v>113</v>
      </c>
      <c r="C13" s="16">
        <f>COUNTIF('Data Training'!$D$5:$D$123,B13)</f>
        <v>8</v>
      </c>
      <c r="D13" s="16">
        <f>COUNTIFS('Data Training'!$D$5:$D$123,B13,'Data Training'!$H$5:$H$123,$D$4)</f>
        <v>3</v>
      </c>
      <c r="E13" s="16">
        <f>COUNTIFS('Data Training'!$D$5:$D$123,B13,'Data Training'!$H$5:$H$123,$E$4)</f>
        <v>5</v>
      </c>
      <c r="F13" s="17">
        <f t="shared" si="0"/>
        <v>0.95443400292496372</v>
      </c>
      <c r="G13" s="16"/>
    </row>
    <row r="14" spans="1:8" ht="15.75">
      <c r="A14" s="16" t="s">
        <v>129</v>
      </c>
      <c r="B14" s="16"/>
      <c r="C14" s="16"/>
      <c r="D14" s="16"/>
      <c r="E14" s="16"/>
      <c r="F14" s="17"/>
      <c r="G14" s="19">
        <f>($F$5)-((C15/$C$5)*F15+((C16/$C$5)*F16)+((C17/$C$5)*F17)+((C18/$C$5)*F18))</f>
        <v>0.18902513559761047</v>
      </c>
      <c r="H14" t="s">
        <v>139</v>
      </c>
    </row>
    <row r="15" spans="1:8" ht="15.75">
      <c r="A15" s="16"/>
      <c r="B15" s="16" t="s">
        <v>112</v>
      </c>
      <c r="C15" s="16">
        <f>COUNTIF('Data Training'!$E$5:$E$123,B15)</f>
        <v>38</v>
      </c>
      <c r="D15" s="16">
        <f>COUNTIFS('Data Training'!$E$5:$E$123,B15,'Data Training'!$H$5:$H$123,$D$4)</f>
        <v>32</v>
      </c>
      <c r="E15" s="16">
        <f>COUNTIFS('Data Training'!$E$5:$E$123,B15,'Data Training'!$H$5:$H$123,$E$4)</f>
        <v>6</v>
      </c>
      <c r="F15" s="17">
        <f>((-D15/C15)*IMLOG2(D15/C15))+((-E15/C15)*IMLOG2(E15/C15))</f>
        <v>0.62924922385603499</v>
      </c>
      <c r="G15" s="16"/>
    </row>
    <row r="16" spans="1:8" ht="15.75">
      <c r="A16" s="16"/>
      <c r="B16" s="16" t="s">
        <v>110</v>
      </c>
      <c r="C16" s="16">
        <f>COUNTIF('Data Training'!$E$5:$E$123,B16)</f>
        <v>50</v>
      </c>
      <c r="D16" s="16">
        <f>COUNTIFS('Data Training'!$E$5:$E$123,B16,'Data Training'!$H$5:$H$123,$D$4)</f>
        <v>30</v>
      </c>
      <c r="E16" s="16">
        <f>COUNTIFS('Data Training'!$E$5:$E$123,B16,'Data Training'!$H$5:$H$123,$E$4)</f>
        <v>20</v>
      </c>
      <c r="F16" s="17">
        <f t="shared" ref="F16:F17" si="1">((-D16/C16)*IMLOG2(D16/C16))+((-E16/C16)*IMLOG2(E16/C16))</f>
        <v>0.97095059445466747</v>
      </c>
      <c r="G16" s="16"/>
    </row>
    <row r="17" spans="1:8" ht="15.75">
      <c r="A17" s="16"/>
      <c r="B17" s="16" t="s">
        <v>109</v>
      </c>
      <c r="C17" s="16">
        <f>COUNTIF('Data Training'!$E$5:$E$123,B17)</f>
        <v>26</v>
      </c>
      <c r="D17" s="16">
        <f>COUNTIFS('Data Training'!$E$5:$E$123,B17,'Data Training'!$H$5:$H$123,$D$4)</f>
        <v>7</v>
      </c>
      <c r="E17" s="16">
        <f>COUNTIFS('Data Training'!$E$5:$E$123,B17,'Data Training'!$H$5:$H$123,$E$4)</f>
        <v>19</v>
      </c>
      <c r="F17" s="17">
        <f t="shared" si="1"/>
        <v>0.84035867160911781</v>
      </c>
      <c r="G17" s="16"/>
    </row>
    <row r="18" spans="1:8" ht="15.75">
      <c r="A18" s="16"/>
      <c r="B18" s="16" t="s">
        <v>113</v>
      </c>
      <c r="C18" s="16">
        <f>COUNTIF('Data Training'!$E$5:$E$123,B18)</f>
        <v>5</v>
      </c>
      <c r="D18" s="16">
        <f>COUNTIFS('Data Training'!$E$5:$E$123,B18,'Data Training'!$H$5:$H$123,$D$4)</f>
        <v>0</v>
      </c>
      <c r="E18" s="16">
        <f>COUNTIFS('Data Training'!$E$5:$E$123,B18,'Data Training'!$H$5:$H$123,$E$4)</f>
        <v>5</v>
      </c>
      <c r="F18" s="17">
        <v>0</v>
      </c>
      <c r="G18" s="16"/>
    </row>
    <row r="19" spans="1:8" ht="15.75">
      <c r="A19" s="16" t="s">
        <v>130</v>
      </c>
      <c r="B19" s="16"/>
      <c r="C19" s="16"/>
      <c r="D19" s="16"/>
      <c r="E19" s="16"/>
      <c r="F19" s="17"/>
      <c r="G19" s="18">
        <f>($F$5)-((C20/$C$5)*F20+((C21/$C$5)*F21)+((C22/$C$5)*F22)+((C23/$C$5)*F23))</f>
        <v>0.10066291587101117</v>
      </c>
    </row>
    <row r="20" spans="1:8" ht="15.75">
      <c r="A20" s="16"/>
      <c r="B20" s="16" t="s">
        <v>112</v>
      </c>
      <c r="C20" s="16">
        <f>COUNTIF('Data Training'!$F$5:$F$123,B20)</f>
        <v>42</v>
      </c>
      <c r="D20" s="16">
        <f>COUNTIFS('Data Training'!$F$5:$F$123,B20,'Data Training'!$H$5:$H$123,$D$4)</f>
        <v>34</v>
      </c>
      <c r="E20" s="16">
        <f>COUNTIFS('Data Training'!$F$5:$F$123,B20,'Data Training'!$H$5:$H$123,$E$4)</f>
        <v>8</v>
      </c>
      <c r="F20" s="17">
        <f t="shared" ref="F20:F23" si="2">((-D20/C20)*IMLOG2(D20/C20))+((-E20/C20)*IMLOG2(E20/C20))</f>
        <v>0.70246655129039026</v>
      </c>
      <c r="G20" s="16"/>
    </row>
    <row r="21" spans="1:8" ht="15.75">
      <c r="A21" s="16"/>
      <c r="B21" s="16" t="s">
        <v>110</v>
      </c>
      <c r="C21" s="16">
        <f>COUNTIF('Data Training'!$F$5:$F$123,B21)</f>
        <v>43</v>
      </c>
      <c r="D21" s="16">
        <f>COUNTIFS('Data Training'!$F$5:$F$123,B21,'Data Training'!$H$5:$H$123,$D$4)</f>
        <v>21</v>
      </c>
      <c r="E21" s="16">
        <f>COUNTIFS('Data Training'!$F$5:$F$123,B21,'Data Training'!$H$5:$H$123,$E$4)</f>
        <v>22</v>
      </c>
      <c r="F21" s="17">
        <f t="shared" si="2"/>
        <v>0.99960983636780854</v>
      </c>
      <c r="G21" s="16"/>
    </row>
    <row r="22" spans="1:8" ht="15.75">
      <c r="A22" s="16"/>
      <c r="B22" s="16" t="s">
        <v>109</v>
      </c>
      <c r="C22" s="16">
        <f>COUNTIF('Data Training'!$F$5:$F$123,B22)</f>
        <v>18</v>
      </c>
      <c r="D22" s="16">
        <f>COUNTIFS('Data Training'!$F$5:$F$123,B22,'Data Training'!$H$5:$H$123,$D$4)</f>
        <v>9</v>
      </c>
      <c r="E22" s="16">
        <f>COUNTIFS('Data Training'!$F$5:$F$123,B22,'Data Training'!$H$5:$H$123,$E$4)</f>
        <v>9</v>
      </c>
      <c r="F22" s="17">
        <f t="shared" si="2"/>
        <v>1</v>
      </c>
      <c r="G22" s="16"/>
    </row>
    <row r="23" spans="1:8" ht="15.75">
      <c r="A23" s="16"/>
      <c r="B23" s="16" t="s">
        <v>113</v>
      </c>
      <c r="C23" s="16">
        <f>COUNTIF('Data Training'!$F$5:$F$123,B23)</f>
        <v>16</v>
      </c>
      <c r="D23" s="16">
        <f>COUNTIFS('Data Training'!$F$5:$F$123,B23,'Data Training'!$H$5:$H$123,$D$4)</f>
        <v>5</v>
      </c>
      <c r="E23" s="16">
        <f>COUNTIFS('Data Training'!$F$5:$F$123,B23,'Data Training'!$H$5:$H$123,$E$4)</f>
        <v>11</v>
      </c>
      <c r="F23" s="17">
        <f t="shared" si="2"/>
        <v>0.89603823253455839</v>
      </c>
      <c r="G23" s="16"/>
    </row>
    <row r="24" spans="1:8" ht="15.75">
      <c r="A24" s="16" t="s">
        <v>131</v>
      </c>
      <c r="B24" s="16"/>
      <c r="C24" s="16"/>
      <c r="D24" s="16"/>
      <c r="E24" s="16"/>
      <c r="F24" s="17"/>
      <c r="G24" s="18">
        <f>($F$5)-((C25/$C$5)*F25+((C26/$C$5)*F26)+((C27/$C$5)*F27)+((C28/$C$5)*F28))</f>
        <v>1.0317316899375206E-2</v>
      </c>
    </row>
    <row r="25" spans="1:8" ht="15.75">
      <c r="A25" s="16"/>
      <c r="B25" s="16" t="s">
        <v>112</v>
      </c>
      <c r="C25" s="16">
        <f>COUNTIF('Data Training'!$G$5:$G$123,B25)</f>
        <v>45</v>
      </c>
      <c r="D25" s="16">
        <f>COUNTIFS('Data Training'!$G$5:$G$123,B25,'Data Training'!$H$5:$H$123,$D$4)</f>
        <v>26</v>
      </c>
      <c r="E25" s="16">
        <f>COUNTIFS('Data Training'!$G$5:$G$123,B25,'Data Training'!$H$5:$H$123,$E$4)</f>
        <v>19</v>
      </c>
      <c r="F25" s="17">
        <f t="shared" ref="F25:F28" si="3">((-D25/C25)*IMLOG2(D25/C25))+((-E25/C25)*IMLOG2(E25/C25))</f>
        <v>0.98247408683864146</v>
      </c>
      <c r="G25" s="16"/>
    </row>
    <row r="26" spans="1:8" ht="15.75">
      <c r="A26" s="16"/>
      <c r="B26" s="16" t="s">
        <v>110</v>
      </c>
      <c r="C26" s="16">
        <f>COUNTIF('Data Training'!$G$5:$G$123,B26)</f>
        <v>54</v>
      </c>
      <c r="D26" s="16">
        <f>COUNTIFS('Data Training'!$G$5:$G$123,B26,'Data Training'!$H$5:$H$123,$D$4)</f>
        <v>33</v>
      </c>
      <c r="E26" s="16">
        <f>COUNTIFS('Data Training'!$G$5:$G$123,B26,'Data Training'!$H$5:$H$123,$E$4)</f>
        <v>21</v>
      </c>
      <c r="F26" s="17">
        <f t="shared" si="3"/>
        <v>0.96407876480822985</v>
      </c>
      <c r="G26" s="16"/>
    </row>
    <row r="27" spans="1:8" ht="15.75">
      <c r="A27" s="16"/>
      <c r="B27" s="16" t="s">
        <v>109</v>
      </c>
      <c r="C27" s="16">
        <f>COUNTIF('Data Training'!$G$5:$G$123,B27)</f>
        <v>14</v>
      </c>
      <c r="D27" s="16">
        <f>COUNTIFS('Data Training'!$G$5:$G$123,B27,'Data Training'!$H$5:$H$123,$D$4)</f>
        <v>8</v>
      </c>
      <c r="E27" s="16">
        <f>COUNTIFS('Data Training'!$G$5:$G$123,B27,'Data Training'!$H$5:$H$123,$E$4)</f>
        <v>6</v>
      </c>
      <c r="F27" s="17">
        <f t="shared" si="3"/>
        <v>0.9852281360342523</v>
      </c>
      <c r="G27" s="16"/>
    </row>
    <row r="28" spans="1:8" ht="15.75">
      <c r="A28" s="16"/>
      <c r="B28" s="16" t="s">
        <v>113</v>
      </c>
      <c r="C28" s="16">
        <f>COUNTIF('Data Training'!$G$5:$G$123,B28)</f>
        <v>6</v>
      </c>
      <c r="D28" s="16">
        <f>COUNTIFS('Data Training'!$G$5:$G$123,B28,'Data Training'!$H$5:$H$123,$D$4)</f>
        <v>2</v>
      </c>
      <c r="E28" s="16">
        <f>COUNTIFS('Data Training'!$G$5:$G$123,B28,'Data Training'!$H$5:$H$123,$E$4)</f>
        <v>4</v>
      </c>
      <c r="F28" s="17">
        <f t="shared" si="3"/>
        <v>0.91829583405449056</v>
      </c>
      <c r="G28" s="16"/>
    </row>
    <row r="30" spans="1:8">
      <c r="B30" s="15" t="s">
        <v>132</v>
      </c>
    </row>
    <row r="31" spans="1:8" ht="15.75">
      <c r="B31" s="16"/>
      <c r="C31" s="16"/>
      <c r="D31" s="16" t="s">
        <v>124</v>
      </c>
      <c r="E31" s="16" t="s">
        <v>114</v>
      </c>
      <c r="F31" s="16" t="s">
        <v>111</v>
      </c>
      <c r="G31" s="17" t="s">
        <v>125</v>
      </c>
      <c r="H31" s="16" t="s">
        <v>126</v>
      </c>
    </row>
    <row r="32" spans="1:8" ht="15.75">
      <c r="B32" s="16" t="s">
        <v>127</v>
      </c>
      <c r="C32" s="16"/>
      <c r="D32" s="16">
        <f>COUNTIF('Data Training'!$E$5:$E$123,"SANGAT BAIK")</f>
        <v>38</v>
      </c>
      <c r="E32" s="16">
        <f>COUNTIFS('Data Training'!$H$5:$H$123,E31,'Data Training'!$E$5:$E$123,"SANGAT BAIK")</f>
        <v>32</v>
      </c>
      <c r="F32" s="16">
        <f>COUNTIFS('Data Training'!$H$5:$H$123,F31,'Data Training'!$E$5:$E$123,"SANGAT BAIK")</f>
        <v>6</v>
      </c>
      <c r="G32" s="17">
        <f>((-E32/D32)*IMLOG2(E32/D32))+((-F32/D32)*IMLOG2(F32/D32))</f>
        <v>0.62924922385603499</v>
      </c>
      <c r="H32" s="16"/>
    </row>
    <row r="33" spans="2:8" ht="15.75">
      <c r="B33" s="16" t="s">
        <v>2</v>
      </c>
      <c r="C33" s="16"/>
      <c r="D33" s="16"/>
      <c r="E33" s="16"/>
      <c r="F33" s="16"/>
      <c r="G33" s="17"/>
      <c r="H33" s="18">
        <f>($G$32)-((D34/$D$32)*G34+((D35/$D$32)*G35))</f>
        <v>1.0901541653170699E-2</v>
      </c>
    </row>
    <row r="34" spans="2:8" ht="15.75">
      <c r="B34" s="16"/>
      <c r="C34" s="16" t="s">
        <v>120</v>
      </c>
      <c r="D34" s="16">
        <f>COUNTIFS('Data Training'!$C$5:$C$123,C34,'Data Training'!$E$5:$E$123,"SANGAT BAIK")</f>
        <v>20</v>
      </c>
      <c r="E34" s="16">
        <f>COUNTIFS('Data Training'!$C$5:$C$123,C34,'Data Training'!$H$5:$H$123,E31,'Data Training'!$E$5:$E$123,"SANGAT BAIK")</f>
        <v>16</v>
      </c>
      <c r="F34" s="16">
        <f>COUNTIFS('Data Training'!$C$5:$C$123,C34,'Data Training'!$H$5:$H$123,F31,'Data Training'!$E$5:$E$123,"SANGAT BAIK")</f>
        <v>4</v>
      </c>
      <c r="G34" s="17">
        <f>((-E34/D34)*IMLOG2(E34/D34))+((-F34/D34)*IMLOG2(F34/D34))</f>
        <v>0.72192809488736165</v>
      </c>
      <c r="H34" s="16"/>
    </row>
    <row r="35" spans="2:8" ht="15.75">
      <c r="B35" s="16"/>
      <c r="C35" s="16" t="s">
        <v>121</v>
      </c>
      <c r="D35" s="16">
        <f>COUNTIFS('Data Training'!$C$5:$C$123,C35,'Data Training'!$E$5:$E$123,"SANGAT BAIK")</f>
        <v>18</v>
      </c>
      <c r="E35" s="16">
        <f>COUNTIFS('Data Training'!$C$5:$C$123,C35,'Data Training'!$H$5:$H$123,$E$31,'Data Training'!$E$5:$E$123,"SANGAT BAIK")</f>
        <v>16</v>
      </c>
      <c r="F35" s="16">
        <f>COUNTIFS('Data Training'!$C$5:$C$123,C35,'Data Training'!$H$5:$H$123,$F$31,'Data Training'!$E$5:$E$123,"SANGAT BAIK")</f>
        <v>2</v>
      </c>
      <c r="G35" s="17">
        <f>((-E35/D35)*IMLOG2(E35/D35))+((-F35/D35)*IMLOG2(F35/D35))</f>
        <v>0.50325833477564508</v>
      </c>
      <c r="H35" s="16"/>
    </row>
    <row r="36" spans="2:8" ht="15.75">
      <c r="B36" s="16" t="s">
        <v>128</v>
      </c>
      <c r="C36" s="16"/>
      <c r="D36" s="16"/>
      <c r="E36" s="16"/>
      <c r="F36" s="16"/>
      <c r="G36" s="17"/>
      <c r="H36" s="18">
        <f>($G$32)-((D37/$D$32)*G37+((D38/$D$32)*G38)+((D39/$D$32)*G39)+((D40/$D$32)*G40))</f>
        <v>7.9411403184414864E-2</v>
      </c>
    </row>
    <row r="37" spans="2:8" ht="15.75">
      <c r="B37" s="16"/>
      <c r="C37" s="16" t="s">
        <v>112</v>
      </c>
      <c r="D37" s="16">
        <f>COUNTIFS('Data Training'!$D$5:$D$123,C37,'Data Training'!$E$5:$E$123,"SANGAT BAIK")</f>
        <v>20</v>
      </c>
      <c r="E37" s="16">
        <f>COUNTIFS('Data Training'!$D$5:$D$123,C37,'Data Training'!$H$5:$H$123,$E$31,'Data Training'!$E$5:$E$123,"SANGAT BAIK")</f>
        <v>17</v>
      </c>
      <c r="F37" s="16">
        <f>COUNTIFS('Data Training'!$D$5:$D$123,C37,'Data Training'!$H$5:$H$123,$F$31,'Data Training'!$E$5:$E$123,"SANGAT BAIK")</f>
        <v>3</v>
      </c>
      <c r="G37" s="17">
        <f t="shared" ref="G37:G38" si="4">((-E37/D37)*IMLOG2(E37/D37))+((-F37/D37)*IMLOG2(F37/D37))</f>
        <v>0.60984030471640105</v>
      </c>
      <c r="H37" s="16"/>
    </row>
    <row r="38" spans="2:8" ht="15.75">
      <c r="B38" s="16"/>
      <c r="C38" s="16" t="s">
        <v>110</v>
      </c>
      <c r="D38" s="16">
        <f>COUNTIFS('Data Training'!$D$5:$D$123,C38,'Data Training'!$E$5:$E$123,"SANGAT BAIK")</f>
        <v>16</v>
      </c>
      <c r="E38" s="16">
        <f>COUNTIFS('Data Training'!$D$5:$D$123,C38,'Data Training'!$H$5:$H$123,$E$31,'Data Training'!$E$5:$E$123,"SANGAT BAIK")</f>
        <v>14</v>
      </c>
      <c r="F38" s="16">
        <f>COUNTIFS('Data Training'!$D$5:$D$123,C38,'Data Training'!$H$5:$H$123,$F$31,'Data Training'!$E$5:$E$123,"SANGAT BAIK")</f>
        <v>2</v>
      </c>
      <c r="G38" s="17">
        <f t="shared" si="4"/>
        <v>0.54356444319959651</v>
      </c>
      <c r="H38" s="16"/>
    </row>
    <row r="39" spans="2:8" ht="15.75">
      <c r="B39" s="16"/>
      <c r="C39" s="16" t="s">
        <v>109</v>
      </c>
      <c r="D39" s="16">
        <f>COUNTIFS('Data Training'!$D$5:$D$123,C39,'Data Training'!$E$5:$E$123,"SANGAT BAIK")</f>
        <v>1</v>
      </c>
      <c r="E39" s="16">
        <f>COUNTIFS('Data Training'!$D$5:$D$123,C39,'Data Training'!$H$5:$H$123,$E$31,'Data Training'!$E$5:$E$123,"SANGAT BAIK")</f>
        <v>1</v>
      </c>
      <c r="F39" s="16">
        <f>COUNTIFS('Data Training'!$D$5:$D$123,C39,'Data Training'!$H$5:$H$123,$F$31,'Data Training'!$E$5:$E$123,"SANGAT BAIK")</f>
        <v>0</v>
      </c>
      <c r="G39" s="17">
        <v>0</v>
      </c>
      <c r="H39" s="16"/>
    </row>
    <row r="40" spans="2:8" ht="15.75">
      <c r="B40" s="16"/>
      <c r="C40" s="16" t="s">
        <v>113</v>
      </c>
      <c r="D40" s="16">
        <f>COUNTIFS('Data Training'!$D$5:$D$123,C40,'Data Training'!$E$5:$E$123,"SANGAT BAIK")</f>
        <v>1</v>
      </c>
      <c r="E40" s="16">
        <f>COUNTIFS('Data Training'!$D$5:$D$123,C40,'Data Training'!$H$5:$H$123,$E$31,'Data Training'!$E$5:$E$123,"SANGAT BAIK")</f>
        <v>0</v>
      </c>
      <c r="F40" s="16">
        <f>COUNTIFS('Data Training'!$D$5:$D$123,C40,'Data Training'!$H$5:$H$123,$F$31,'Data Training'!$E$5:$E$123,"SANGAT BAIK")</f>
        <v>1</v>
      </c>
      <c r="G40" s="17">
        <v>0</v>
      </c>
      <c r="H40" s="16"/>
    </row>
    <row r="41" spans="2:8" ht="15.75">
      <c r="B41" s="16" t="s">
        <v>130</v>
      </c>
      <c r="C41" s="16"/>
      <c r="D41" s="16"/>
      <c r="E41" s="16"/>
      <c r="F41" s="16"/>
      <c r="G41" s="17"/>
      <c r="H41" s="19">
        <f>($G$32)-((D42/$D$32)*G42+((D43/$D$32)*G43)+((D44/$D$32)*G44)+((D45/$D$32)*G45))</f>
        <v>0.14506967580337971</v>
      </c>
    </row>
    <row r="42" spans="2:8" ht="15.75">
      <c r="B42" s="16"/>
      <c r="C42" s="16" t="s">
        <v>112</v>
      </c>
      <c r="D42" s="16">
        <f>COUNTIFS('Data Training'!$F$5:$F$123,C42,'Data Training'!$E$5:$E$123,"SANGAT BAIK")</f>
        <v>23</v>
      </c>
      <c r="E42" s="16">
        <f>COUNTIFS('Data Training'!$F$5:$F$123,C42,'Data Training'!$H$5:$H$123,$E$31,'Data Training'!$E$5:$E$123,"SANGAT BAIK")</f>
        <v>22</v>
      </c>
      <c r="F42" s="16">
        <f>COUNTIFS('Data Training'!$F$5:$F$123,C42,'Data Training'!$H$5:$H$123,$F$31,'Data Training'!$E$5:$E$123,"SANGAT BAIK")</f>
        <v>1</v>
      </c>
      <c r="G42" s="17">
        <f t="shared" ref="G42:G45" si="5">((-E42/D42)*IMLOG2(E42/D42))+((-F42/D42)*IMLOG2(F42/D42))</f>
        <v>0.25801866866481538</v>
      </c>
      <c r="H42" s="16"/>
    </row>
    <row r="43" spans="2:8" ht="15.75">
      <c r="B43" s="16"/>
      <c r="C43" s="16" t="s">
        <v>110</v>
      </c>
      <c r="D43" s="16">
        <f>COUNTIFS('Data Training'!$F$5:$F$123,C43,'Data Training'!$E$5:$E$123,"SANGAT BAIK")</f>
        <v>10</v>
      </c>
      <c r="E43" s="16">
        <f>COUNTIFS('Data Training'!$F$5:$F$123,C43,'Data Training'!$H$5:$H$123,$E$31,'Data Training'!$E$5:$E$123,"SANGAT BAIK")</f>
        <v>6</v>
      </c>
      <c r="F43" s="16">
        <f>COUNTIFS('Data Training'!$F$5:$F$123,C43,'Data Training'!$H$5:$H$123,$F$31,'Data Training'!$E$5:$E$123,"SANGAT BAIK")</f>
        <v>4</v>
      </c>
      <c r="G43" s="17">
        <f t="shared" si="5"/>
        <v>0.97095059445466747</v>
      </c>
      <c r="H43" s="16"/>
    </row>
    <row r="44" spans="2:8" ht="15.75">
      <c r="B44" s="16"/>
      <c r="C44" s="16" t="s">
        <v>109</v>
      </c>
      <c r="D44" s="16">
        <f>COUNTIFS('Data Training'!$F$5:$F$123,C44,'Data Training'!$E$5:$E$123,"SANGAT BAIK")</f>
        <v>2</v>
      </c>
      <c r="E44" s="16">
        <f>COUNTIFS('Data Training'!$F$5:$F$123,C44,'Data Training'!$H$5:$H$123,$E$31,'Data Training'!$E$5:$E$123,"SANGAT BAIK")</f>
        <v>2</v>
      </c>
      <c r="F44" s="16">
        <f>COUNTIFS('Data Training'!$F$5:$F$123,C44,'Data Training'!$H$5:$H$123,$F$31,'Data Training'!$E$5:$E$123,"SANGAT BAIK")</f>
        <v>0</v>
      </c>
      <c r="G44" s="17">
        <v>0</v>
      </c>
      <c r="H44" s="16"/>
    </row>
    <row r="45" spans="2:8" ht="15.75">
      <c r="B45" s="16"/>
      <c r="C45" s="16" t="s">
        <v>113</v>
      </c>
      <c r="D45" s="16">
        <f>COUNTIFS('Data Training'!$F$5:$F$123,C45,'Data Training'!$E$5:$E$123,"SANGAT BAIK")</f>
        <v>3</v>
      </c>
      <c r="E45" s="16">
        <f>COUNTIFS('Data Training'!$F$5:$F$123,C45,'Data Training'!$H$5:$H$123,$E$31,'Data Training'!$E$5:$E$123,"SANGAT BAIK")</f>
        <v>2</v>
      </c>
      <c r="F45" s="16">
        <f>COUNTIFS('Data Training'!$F$5:$F$123,C45,'Data Training'!$H$5:$H$123,$F$31,'Data Training'!$E$5:$E$123,"SANGAT BAIK")</f>
        <v>1</v>
      </c>
      <c r="G45" s="17">
        <f t="shared" si="5"/>
        <v>0.91829583405449056</v>
      </c>
      <c r="H45" s="16"/>
    </row>
    <row r="46" spans="2:8" ht="15.75">
      <c r="B46" s="16" t="s">
        <v>131</v>
      </c>
      <c r="C46" s="16"/>
      <c r="D46" s="16"/>
      <c r="E46" s="16"/>
      <c r="F46" s="16"/>
      <c r="G46" s="17"/>
      <c r="H46" s="18">
        <f>($G$32)-((D47/$D$32)*G47+((D48/$D$32)*G48)+((D49/$D$32)*G49)+((D50/$D$32)*G50))</f>
        <v>2.0697620919456483E-2</v>
      </c>
    </row>
    <row r="47" spans="2:8" ht="15.75">
      <c r="B47" s="16"/>
      <c r="C47" s="16" t="s">
        <v>112</v>
      </c>
      <c r="D47" s="16">
        <f>COUNTIFS('Data Training'!$G$5:$G$123,C47,'Data Training'!$E$5:$E$123,"SANGAT BAIK")</f>
        <v>24</v>
      </c>
      <c r="E47" s="16">
        <f>COUNTIFS('Data Training'!$G$5:$G$123,C47,'Data Training'!$H$5:$H$123,$E$31,'Data Training'!$E$5:$E$123,"SANGAT BAIK")</f>
        <v>20</v>
      </c>
      <c r="F47" s="16">
        <f>COUNTIFS('Data Training'!$G$5:$G$123,C47,'Data Training'!$H$5:$H$123,$F$31,'Data Training'!$E$5:$E$123,"SANGAT BAIK")</f>
        <v>4</v>
      </c>
      <c r="G47" s="17">
        <f t="shared" ref="G47:G48" si="6">((-E47/D47)*IMLOG2(E47/D47))+((-F47/D47)*IMLOG2(F47/D47))</f>
        <v>0.650022421648355</v>
      </c>
      <c r="H47" s="16"/>
    </row>
    <row r="48" spans="2:8" ht="15.75">
      <c r="B48" s="16"/>
      <c r="C48" s="16" t="s">
        <v>110</v>
      </c>
      <c r="D48" s="16">
        <f>COUNTIFS('Data Training'!$G$5:$G$123,C48,'Data Training'!$E$5:$E$123,"SANGAT BAIK")</f>
        <v>11</v>
      </c>
      <c r="E48" s="16">
        <f>COUNTIFS('Data Training'!$G$5:$G$123,C48,'Data Training'!$H$5:$H$123,$E$31,'Data Training'!$E$5:$E$123,"SANGAT BAIK")</f>
        <v>9</v>
      </c>
      <c r="F48" s="16">
        <f>COUNTIFS('Data Training'!$G$5:$G$123,C48,'Data Training'!$H$5:$H$123,$F$31,'Data Training'!$E$5:$E$123,"SANGAT BAIK")</f>
        <v>2</v>
      </c>
      <c r="G48" s="17">
        <f t="shared" si="6"/>
        <v>0.68403843563904232</v>
      </c>
      <c r="H48" s="16"/>
    </row>
    <row r="49" spans="2:13" ht="15.75">
      <c r="B49" s="16"/>
      <c r="C49" s="16" t="s">
        <v>109</v>
      </c>
      <c r="D49" s="16">
        <f>COUNTIFS('Data Training'!$G$5:$G$123,C49,'Data Training'!$E$5:$E$123,"SANGAT BAIK")</f>
        <v>3</v>
      </c>
      <c r="E49" s="16">
        <f>COUNTIFS('Data Training'!$G$5:$G$123,C49,'Data Training'!$H$5:$H$123,$E$31,'Data Training'!$E$5:$E$123,"SANGAT BAIK")</f>
        <v>3</v>
      </c>
      <c r="F49" s="16">
        <f>COUNTIFS('Data Training'!$G$5:$G$123,C49,'Data Training'!$H$5:$H$123,$F$31,'Data Training'!$E$5:$E$123,"SANGAT BAIK")</f>
        <v>0</v>
      </c>
      <c r="G49" s="17">
        <v>0</v>
      </c>
      <c r="H49" s="16"/>
    </row>
    <row r="50" spans="2:13" ht="15.75">
      <c r="B50" s="16"/>
      <c r="C50" s="16" t="s">
        <v>113</v>
      </c>
      <c r="D50" s="16">
        <f>COUNTIFS('Data Training'!$G$5:$G$123,C50,'Data Training'!$E$5:$E$123,"SANGAT BAIK")</f>
        <v>0</v>
      </c>
      <c r="E50" s="16">
        <f>COUNTIFS('Data Training'!$G$5:$G$123,C50,'Data Training'!$H$5:$H$123,$E$31,'Data Training'!$E$5:$E$123,"SANGAT BAIK")</f>
        <v>0</v>
      </c>
      <c r="F50" s="16">
        <f>COUNTIFS('Data Training'!$G$5:$G$123,C50,'Data Training'!$H$5:$H$123,$F$31,'Data Training'!$E$5:$E$123,"SANGAT BAIK")</f>
        <v>0</v>
      </c>
      <c r="G50" s="17">
        <v>0</v>
      </c>
      <c r="H50" s="16"/>
    </row>
    <row r="52" spans="2:13" ht="15.75">
      <c r="C52" s="20" t="s">
        <v>140</v>
      </c>
      <c r="L52">
        <v>1</v>
      </c>
      <c r="M52" t="s">
        <v>159</v>
      </c>
    </row>
    <row r="53" spans="2:13" ht="15.75">
      <c r="C53" s="16"/>
      <c r="D53" s="16"/>
      <c r="E53" s="16" t="s">
        <v>124</v>
      </c>
      <c r="F53" s="16" t="s">
        <v>114</v>
      </c>
      <c r="G53" s="16" t="s">
        <v>111</v>
      </c>
      <c r="H53" s="17" t="s">
        <v>125</v>
      </c>
      <c r="I53" s="16" t="s">
        <v>126</v>
      </c>
    </row>
    <row r="54" spans="2:13" ht="15.75">
      <c r="C54" s="16" t="s">
        <v>127</v>
      </c>
      <c r="D54" s="16"/>
      <c r="E54" s="16">
        <f>COUNTIFS('Data Training'!$E$5:$E$123,"SANGAT BAIK",'Data Training'!$F$5:$F$123,"SANGAT BAIK")</f>
        <v>23</v>
      </c>
      <c r="F54" s="16">
        <f>COUNTIFS('Data Training'!$H$5:$H$123,F53,'Data Training'!$E$5:$E$123,"SANGAT BAIK",'Data Training'!$F$5:$F$123,"SANGAT BAIK")</f>
        <v>22</v>
      </c>
      <c r="G54" s="16">
        <f>COUNTIFS('Data Training'!$H$5:$H$123,G53,'Data Training'!$E$5:$E$123,"SANGAT BAIK",'Data Training'!$F$5:$F$123,"SANGAT BAIK")</f>
        <v>1</v>
      </c>
      <c r="H54" s="17">
        <f>((-F54/E54)*IMLOG2(F54/E54))+((-G54/E54)*IMLOG2(G54/E54))</f>
        <v>0.25801866866481538</v>
      </c>
      <c r="I54" s="16"/>
    </row>
    <row r="55" spans="2:13" ht="15.75">
      <c r="C55" s="16" t="s">
        <v>2</v>
      </c>
      <c r="D55" s="16"/>
      <c r="E55" s="16"/>
      <c r="F55" s="16"/>
      <c r="G55" s="16"/>
      <c r="H55" s="17"/>
      <c r="I55" s="19">
        <f>($H$54)-((E56/$E$54)*H56+((E57/$E$54)*H57))</f>
        <v>4.211422502813672E-2</v>
      </c>
    </row>
    <row r="56" spans="2:13" ht="15.75">
      <c r="C56" s="16"/>
      <c r="D56" s="16" t="s">
        <v>120</v>
      </c>
      <c r="E56" s="16">
        <f>COUNTIFS('Data Training'!$C$5:$C$123,D56,'Data Training'!$E$5:$E$123,"SANGAT BAIK",'Data Training'!$F$5:$F$123,"SANGAT BAIK")</f>
        <v>11</v>
      </c>
      <c r="F56" s="16">
        <f>COUNTIFS('Data Training'!$C$5:$C$123,D56,'Data Training'!$H$5:$H$123,F53,'Data Training'!$E$5:$E$123,"SANGAT BAIK",'Data Training'!$F$5:$F$123,"SANGAT BAIK")</f>
        <v>11</v>
      </c>
      <c r="G56" s="16">
        <f>COUNTIFS('Data Training'!$C$5:$C$123,D56,'Data Training'!$H$5:$H$123,G53,'Data Training'!$E$5:$E$123,"SANGAT BAIK",'Data Training'!$F$5:$F$123,"SANGAT BAIK")</f>
        <v>0</v>
      </c>
      <c r="H56" s="17">
        <v>0</v>
      </c>
      <c r="I56" s="16"/>
    </row>
    <row r="57" spans="2:13" ht="15.75">
      <c r="C57" s="16"/>
      <c r="D57" s="16" t="s">
        <v>121</v>
      </c>
      <c r="E57" s="16">
        <f>COUNTIFS('Data Training'!$C$5:$C$123,D57,'Data Training'!$E$5:$E$123,"SANGAT BAIK",'Data Training'!$F$5:$F$123,"SANGAT BAIK")</f>
        <v>12</v>
      </c>
      <c r="F57" s="16">
        <f>COUNTIFS('Data Training'!$C$5:$C$123,D57,'Data Training'!$H$5:$H$123,F53,'Data Training'!$E$5:$E$123,"SANGAT BAIK",'Data Training'!$F$5:$F$123,"SANGAT BAIK")</f>
        <v>11</v>
      </c>
      <c r="G57" s="16">
        <f>COUNTIFS('Data Training'!$C$5:$C$123,D57,'Data Training'!$H$5:$H$123,G53,'Data Training'!$E$5:$E$123,"SANGAT BAIK",'Data Training'!$F$5:$F$123,"SANGAT BAIK")</f>
        <v>1</v>
      </c>
      <c r="H57" s="17">
        <f>((-F57/E57)*IMLOG2(F57/E57))+((-G57/E57)*IMLOG2(G57/E57))</f>
        <v>0.41381685030363408</v>
      </c>
      <c r="I57" s="16"/>
    </row>
    <row r="58" spans="2:13" ht="15.75">
      <c r="C58" s="16" t="s">
        <v>128</v>
      </c>
      <c r="D58" s="16"/>
      <c r="E58" s="16"/>
      <c r="F58" s="16"/>
      <c r="G58" s="16"/>
      <c r="H58" s="17"/>
      <c r="I58" s="18">
        <f>($H$54)-((E59/$E$54)*H59+((E60/$E$54)*H60)+((E61/$E$54)*H61)+((E62/$E$54)*H62))</f>
        <v>3.2051165492108152E-2</v>
      </c>
    </row>
    <row r="59" spans="2:13" ht="15.75">
      <c r="C59" s="16"/>
      <c r="D59" s="16" t="s">
        <v>112</v>
      </c>
      <c r="E59" s="16">
        <f>COUNTIFS('Data Training'!$D$5:$D$123,D59,'Data Training'!$E$5:$E$123,"SANGAT BAIK",'Data Training'!$F$5:$F$123,"SANGAT BAIK")</f>
        <v>14</v>
      </c>
      <c r="F59" s="16">
        <f>COUNTIFS('Data Training'!$D$5:$D$123,D59,'Data Training'!$H$5:$H$123,$E$31,'Data Training'!$E$5:$E$123,"SANGAT BAIK",'Data Training'!$F$5:$F$123,"SANGAT BAIK")</f>
        <v>13</v>
      </c>
      <c r="G59" s="16">
        <f>COUNTIFS('Data Training'!$D$5:$D$123,D59,'Data Training'!$H$5:$H$123,$F$31,'Data Training'!$E$5:$E$123,"SANGAT BAIK",'Data Training'!$F$5:$F$123,"SANGAT BAIK")</f>
        <v>1</v>
      </c>
      <c r="H59" s="17">
        <f t="shared" ref="H59" si="7">((-F59/E59)*IMLOG2(F59/E59))+((-G59/E59)*IMLOG2(G59/E59))</f>
        <v>0.37123232664087613</v>
      </c>
      <c r="I59" s="16"/>
    </row>
    <row r="60" spans="2:13" ht="15.75">
      <c r="C60" s="16"/>
      <c r="D60" s="16" t="s">
        <v>110</v>
      </c>
      <c r="E60" s="16">
        <f>COUNTIFS('Data Training'!$D$5:$D$123,D60,'Data Training'!$E$5:$E$123,"SANGAT BAIK",'Data Training'!$F$5:$F$123,"SANGAT BAIK")</f>
        <v>9</v>
      </c>
      <c r="F60" s="16">
        <f>COUNTIFS('Data Training'!$D$5:$D$123,D60,'Data Training'!$H$5:$H$123,$E$31,'Data Training'!$E$5:$E$123,"SANGAT BAIK",'Data Training'!$F$5:$F$123,"SANGAT BAIK")</f>
        <v>9</v>
      </c>
      <c r="G60" s="16">
        <f>COUNTIFS('Data Training'!$D$5:$D$123,D60,'Data Training'!$H$5:$H$123,$F$31,'Data Training'!$E$5:$E$123,"SANGAT BAIK",'Data Training'!$F$5:$F$123,"SANGAT BAIK")</f>
        <v>0</v>
      </c>
      <c r="H60" s="17">
        <v>0</v>
      </c>
      <c r="I60" s="16"/>
    </row>
    <row r="61" spans="2:13" ht="15.75">
      <c r="C61" s="16"/>
      <c r="D61" s="16" t="s">
        <v>109</v>
      </c>
      <c r="E61" s="16">
        <f>COUNTIFS('Data Training'!$D$5:$D$123,D61,'Data Training'!$E$5:$E$123,"SANGAT BAIK",'Data Training'!$F$5:$F$123,"SANGAT BAIK")</f>
        <v>0</v>
      </c>
      <c r="F61" s="16">
        <f>COUNTIFS('Data Training'!$D$5:$D$123,D61,'Data Training'!$H$5:$H$123,$E$31,'Data Training'!$E$5:$E$123,"SANGAT BAIK",'Data Training'!$F$5:$F$123,"SANGAT BAIK")</f>
        <v>0</v>
      </c>
      <c r="G61" s="16">
        <f>COUNTIFS('Data Training'!$D$5:$D$123,D61,'Data Training'!$H$5:$H$123,$F$31,'Data Training'!$E$5:$E$123,"SANGAT BAIK",'Data Training'!$F$5:$F$123,"SANGAT BAIK")</f>
        <v>0</v>
      </c>
      <c r="H61" s="17">
        <v>0</v>
      </c>
      <c r="I61" s="16"/>
    </row>
    <row r="62" spans="2:13" ht="15.75">
      <c r="C62" s="16"/>
      <c r="D62" s="16" t="s">
        <v>113</v>
      </c>
      <c r="E62" s="16">
        <f>COUNTIFS('Data Training'!$D$5:$D$123,D62,'Data Training'!$E$5:$E$123,"SANGAT BAIK",'Data Training'!$F$5:$F$123,"SANGAT BAIK")</f>
        <v>0</v>
      </c>
      <c r="F62" s="16">
        <f>COUNTIFS('Data Training'!$D$5:$D$123,D62,'Data Training'!$H$5:$H$123,$E$31,'Data Training'!$E$5:$E$123,"SANGAT BAIK",'Data Training'!$F$5:$F$123,"SANGAT BAIK")</f>
        <v>0</v>
      </c>
      <c r="G62" s="16">
        <f>COUNTIFS('Data Training'!$D$5:$D$123,D62,'Data Training'!$H$5:$H$123,$F$31,'Data Training'!$E$5:$E$123,"SANGAT BAIK",'Data Training'!$F$5:$F$123,"SANGAT BAIK")</f>
        <v>0</v>
      </c>
      <c r="H62" s="17">
        <v>0</v>
      </c>
      <c r="I62" s="16"/>
    </row>
    <row r="63" spans="2:13" ht="15.75">
      <c r="C63" s="16" t="s">
        <v>131</v>
      </c>
      <c r="D63" s="16"/>
      <c r="E63" s="16"/>
      <c r="F63" s="16"/>
      <c r="G63" s="16"/>
      <c r="H63" s="17"/>
      <c r="I63" s="18">
        <f>($H$54)-((E64/$E$54)*H64+((E65/$E$54)*H65)+((E66/$E$54)*H66)+((E67/$E$54)*H67))</f>
        <v>1.9459177305868852E-2</v>
      </c>
    </row>
    <row r="64" spans="2:13" ht="15.75">
      <c r="C64" s="16"/>
      <c r="D64" s="16" t="s">
        <v>112</v>
      </c>
      <c r="E64" s="16">
        <f>COUNTIFS('Data Training'!$G$5:$G$123,D64,'Data Training'!$E$5:$E$123,"SANGAT BAIK",'Data Training'!$F$5:$F$123,"SANGAT BAIK")</f>
        <v>17</v>
      </c>
      <c r="F64" s="16">
        <f>COUNTIFS('Data Training'!$G$5:$G$123,D64,'Data Training'!$H$5:$H$123,$E$31,'Data Training'!$E$5:$E$123,"SANGAT BAIK",'Data Training'!$F$5:$F$123,"SANGAT BAIK")</f>
        <v>16</v>
      </c>
      <c r="G64" s="16">
        <f>COUNTIFS('Data Training'!$G$5:$G$123,D64,'Data Training'!$H$5:$H$123,$F$31,'Data Training'!$E$5:$E$123,"SANGAT BAIK",'Data Training'!$F$5:$F$123,"SANGAT BAIK")</f>
        <v>1</v>
      </c>
      <c r="H64" s="17">
        <f>((-F64/E64)*IMLOG2(F64/E64))+((-G64/E64)*IMLOG2(G64/E64))</f>
        <v>0.32275695889739825</v>
      </c>
      <c r="I64" s="16"/>
    </row>
    <row r="65" spans="3:13" ht="15.75">
      <c r="C65" s="16"/>
      <c r="D65" s="16" t="s">
        <v>110</v>
      </c>
      <c r="E65" s="16">
        <f>COUNTIFS('Data Training'!$G$5:$G$123,D65,'Data Training'!$E$5:$E$123,"SANGAT BAIK",'Data Training'!$F$5:$F$123,"SANGAT BAIK")</f>
        <v>6</v>
      </c>
      <c r="F65" s="16">
        <f>COUNTIFS('Data Training'!$G$5:$G$123,D65,'Data Training'!$H$5:$H$123,$E$31,'Data Training'!$E$5:$E$123,"SANGAT BAIK",'Data Training'!$F$5:$F$123,"SANGAT BAIK")</f>
        <v>6</v>
      </c>
      <c r="G65" s="16">
        <f>COUNTIFS('Data Training'!$G$5:$G$123,D65,'Data Training'!$H$5:$H$123,$F$31,'Data Training'!$E$5:$E$123,"SANGAT BAIK",'Data Training'!$F$5:$F$123,"SANGAT BAIK")</f>
        <v>0</v>
      </c>
      <c r="H65" s="17">
        <v>0</v>
      </c>
      <c r="I65" s="16"/>
    </row>
    <row r="66" spans="3:13" ht="15.75">
      <c r="C66" s="16"/>
      <c r="D66" s="16" t="s">
        <v>109</v>
      </c>
      <c r="E66" s="16">
        <f>COUNTIFS('Data Training'!$G$5:$G$123,D66,'Data Training'!$E$5:$E$123,"SANGAT BAIK",'Data Training'!$F$5:$F$123,"SANGAT BAIK")</f>
        <v>0</v>
      </c>
      <c r="F66" s="16">
        <f>COUNTIFS('Data Training'!$G$5:$G$123,D66,'Data Training'!$H$5:$H$123,$E$31,'Data Training'!$E$5:$E$123,"SANGAT BAIK",'Data Training'!$F$5:$F$123,"SANGAT BAIK")</f>
        <v>0</v>
      </c>
      <c r="G66" s="16">
        <f>COUNTIFS('Data Training'!$G$5:$G$123,D66,'Data Training'!$H$5:$H$123,$F$31,'Data Training'!$E$5:$E$123,"SANGAT BAIK",'Data Training'!$F$5:$F$123,"SANGAT BAIK")</f>
        <v>0</v>
      </c>
      <c r="H66" s="17">
        <v>0</v>
      </c>
      <c r="I66" s="16"/>
    </row>
    <row r="67" spans="3:13" ht="15.75">
      <c r="C67" s="16"/>
      <c r="D67" s="16" t="s">
        <v>113</v>
      </c>
      <c r="E67" s="16">
        <f>COUNTIFS('Data Training'!$G$5:$G$123,D67,'Data Training'!$E$5:$E$123,"SANGAT BAIK",'Data Training'!$F$5:$F$123,"SANGAT BAIK")</f>
        <v>0</v>
      </c>
      <c r="F67" s="16">
        <f>COUNTIFS('Data Training'!$G$5:$G$123,D67,'Data Training'!$H$5:$H$123,$E$31,'Data Training'!$E$5:$E$123,"SANGAT BAIK",'Data Training'!$F$5:$F$123,"SANGAT BAIK")</f>
        <v>0</v>
      </c>
      <c r="G67" s="16">
        <f>COUNTIFS('Data Training'!$G$5:$G$123,D67,'Data Training'!$H$5:$H$123,$F$31,'Data Training'!$E$5:$E$123,"SANGAT BAIK",'Data Training'!$F$5:$F$123,"SANGAT BAIK")</f>
        <v>0</v>
      </c>
      <c r="H67" s="17">
        <v>0</v>
      </c>
      <c r="I67" s="16"/>
    </row>
    <row r="68" spans="3:13" ht="15.75">
      <c r="C68" s="23"/>
      <c r="D68" s="23"/>
      <c r="E68" s="23"/>
      <c r="F68" s="23"/>
      <c r="G68" s="23"/>
      <c r="H68" s="24"/>
      <c r="I68" s="23"/>
      <c r="M68" s="29"/>
    </row>
    <row r="69" spans="3:13" ht="15.75">
      <c r="C69" s="23"/>
      <c r="D69" s="20" t="s">
        <v>141</v>
      </c>
      <c r="M69" s="29"/>
    </row>
    <row r="70" spans="3:13" ht="15.75">
      <c r="C70" s="23"/>
      <c r="D70" s="16"/>
      <c r="E70" s="16"/>
      <c r="F70" s="16" t="s">
        <v>124</v>
      </c>
      <c r="G70" s="16" t="s">
        <v>114</v>
      </c>
      <c r="H70" s="16" t="s">
        <v>111</v>
      </c>
      <c r="I70" s="17" t="s">
        <v>125</v>
      </c>
      <c r="J70" s="16" t="s">
        <v>126</v>
      </c>
      <c r="K70" s="28" t="s">
        <v>158</v>
      </c>
    </row>
    <row r="71" spans="3:13" ht="15.75">
      <c r="C71" s="23"/>
      <c r="D71" s="16" t="s">
        <v>127</v>
      </c>
      <c r="E71" s="16"/>
      <c r="F71" s="16">
        <f>COUNTIFS('Data Training'!$E$5:$E$123,"SANGAT BAIK",'Data Training'!$F$5:$F$123,"SANGAT BAIK",'Data Training'!$C$5:$C$123,"PEREMPUAN")</f>
        <v>12</v>
      </c>
      <c r="G71" s="16">
        <f>COUNTIFS('Data Training'!$H$5:$H$123,G70,'Data Training'!$E$5:$E$123,"SANGAT BAIK",'Data Training'!$F$5:$F$123,"SANGAT BAIK",'Data Training'!$C$5:$C$123,"PEREMPUAN")</f>
        <v>11</v>
      </c>
      <c r="H71" s="16">
        <f>COUNTIFS('Data Training'!$H$5:$H$123,H70,'Data Training'!$E$5:$E$123,"SANGAT BAIK",'Data Training'!$F$5:$F$123,"SANGAT BAIK",'Data Training'!$C$5:$C$123,"PEREMPUAN")</f>
        <v>1</v>
      </c>
      <c r="I71" s="17">
        <f>((-G71/F71)*IMLOG2(G71/F71))+((-H71/F71)*IMLOG2(H71/F71))</f>
        <v>0.41381685030363408</v>
      </c>
      <c r="J71" s="16"/>
    </row>
    <row r="72" spans="3:13" ht="15.75">
      <c r="C72" s="23"/>
      <c r="D72" s="16" t="s">
        <v>128</v>
      </c>
      <c r="E72" s="16"/>
      <c r="F72" s="16"/>
      <c r="G72" s="16"/>
      <c r="H72" s="16"/>
      <c r="I72" s="17"/>
      <c r="J72" s="18">
        <f>($I$71)-((F73/$F$71)*I73+((F74/$F$71)*I74)+((F75/$F$71)*I75)+((F76/$F$71)*I76))</f>
        <v>5.1440554837236419E-2</v>
      </c>
    </row>
    <row r="73" spans="3:13" ht="15.75">
      <c r="C73" s="23"/>
      <c r="D73" s="16"/>
      <c r="E73" s="16" t="s">
        <v>112</v>
      </c>
      <c r="F73" s="16">
        <f>COUNTIFS('Data Training'!$D$5:$D$123,E73,'Data Training'!$E$5:$E$123,"SANGAT BAIK",'Data Training'!$F$5:$F$123,"SANGAT BAIK",'Data Training'!$C$5:$C$123,"PEREMPUAN")</f>
        <v>8</v>
      </c>
      <c r="G73" s="16">
        <f>COUNTIFS('Data Training'!$D$5:$D$123,E73,'Data Training'!$H$5:$H$123,$E$31,'Data Training'!$E$5:$E$123,"SANGAT BAIK",'Data Training'!$F$5:$F$123,"SANGAT BAIK",'Data Training'!$C$5:$C$123,"PEREMPUAN")</f>
        <v>7</v>
      </c>
      <c r="H73" s="16">
        <f>COUNTIFS('Data Training'!$D$5:$D$123,E73,'Data Training'!$H$5:$H$123,$F$31,'Data Training'!$E$5:$E$123,"SANGAT BAIK",'Data Training'!$F$5:$F$123,"SANGAT BAIK",'Data Training'!$C$5:$C$123,"PEREMPUAN")</f>
        <v>1</v>
      </c>
      <c r="I73" s="17">
        <f>((-G73/F73)*IMLOG2(G73/F73))+((-H73/F73)*IMLOG2(H73/F73))</f>
        <v>0.54356444319959651</v>
      </c>
      <c r="J73" s="16"/>
    </row>
    <row r="74" spans="3:13" ht="15.75">
      <c r="C74" s="23"/>
      <c r="D74" s="16"/>
      <c r="E74" s="16" t="s">
        <v>110</v>
      </c>
      <c r="F74" s="16">
        <f>COUNTIFS('Data Training'!$D$5:$D$123,E74,'Data Training'!$E$5:$E$123,"SANGAT BAIK",'Data Training'!$F$5:$F$123,"SANGAT BAIK",'Data Training'!$C$5:$C$123,"PEREMPUAN")</f>
        <v>4</v>
      </c>
      <c r="G74" s="16">
        <f>COUNTIFS('Data Training'!$D$5:$D$123,E74,'Data Training'!$H$5:$H$123,$E$31,'Data Training'!$E$5:$E$123,"SANGAT BAIK",'Data Training'!$F$5:$F$123,"SANGAT BAIK",'Data Training'!$C$5:$C$123,"PEREMPUAN")</f>
        <v>4</v>
      </c>
      <c r="H74" s="16">
        <f>COUNTIFS('Data Training'!$D$5:$D$123,E74,'Data Training'!$H$5:$H$123,$F$31,'Data Training'!$E$5:$E$123,"SANGAT BAIK",'Data Training'!$F$5:$F$123,"SANGAT BAIK",'Data Training'!$C$5:$C$123,"PEREMPUAN")</f>
        <v>0</v>
      </c>
      <c r="I74" s="17">
        <v>0</v>
      </c>
      <c r="J74" s="16"/>
    </row>
    <row r="75" spans="3:13" ht="15.75">
      <c r="C75" s="23"/>
      <c r="D75" s="16"/>
      <c r="E75" s="16" t="s">
        <v>109</v>
      </c>
      <c r="F75" s="16">
        <f>COUNTIFS('Data Training'!$D$5:$D$123,E75,'Data Training'!$E$5:$E$123,"SANGAT BAIK",'Data Training'!$F$5:$F$123,"SANGAT BAIK",'Data Training'!$C$5:$C$123,"PEREMPUAN")</f>
        <v>0</v>
      </c>
      <c r="G75" s="16">
        <f>COUNTIFS('Data Training'!$D$5:$D$123,E75,'Data Training'!$H$5:$H$123,$E$31,'Data Training'!$E$5:$E$123,"SANGAT BAIK",'Data Training'!$F$5:$F$123,"SANGAT BAIK",'Data Training'!$C$5:$C$123,"PEREMPUAN")</f>
        <v>0</v>
      </c>
      <c r="H75" s="16">
        <f>COUNTIFS('Data Training'!$D$5:$D$123,E75,'Data Training'!$H$5:$H$123,$F$31,'Data Training'!$E$5:$E$123,"SANGAT BAIK",'Data Training'!$F$5:$F$123,"SANGAT BAIK",'Data Training'!$C$5:$C$123,"PEREMPUAN")</f>
        <v>0</v>
      </c>
      <c r="I75" s="17">
        <v>0</v>
      </c>
      <c r="J75" s="16"/>
    </row>
    <row r="76" spans="3:13" ht="15.75">
      <c r="C76" s="23"/>
      <c r="D76" s="16"/>
      <c r="E76" s="16" t="s">
        <v>113</v>
      </c>
      <c r="F76" s="16">
        <f>COUNTIFS('Data Training'!$D$5:$D$123,E76,'Data Training'!$E$5:$E$123,"SANGAT BAIK",'Data Training'!$F$5:$F$123,"SANGAT BAIK",'Data Training'!$C$5:$C$123,"PEREMPUAN")</f>
        <v>0</v>
      </c>
      <c r="G76" s="16">
        <f>COUNTIFS('Data Training'!$D$5:$D$123,E76,'Data Training'!$H$5:$H$123,$E$31,'Data Training'!$E$5:$E$123,"SANGAT BAIK",'Data Training'!$F$5:$F$123,"SANGAT BAIK",'Data Training'!$C$5:$C$123,"PEREMPUAN")</f>
        <v>0</v>
      </c>
      <c r="H76" s="16">
        <f>COUNTIFS('Data Training'!$D$5:$D$123,E76,'Data Training'!$H$5:$H$123,$F$31,'Data Training'!$E$5:$E$123,"SANGAT BAIK",'Data Training'!$F$5:$F$123,"SANGAT BAIK",'Data Training'!$C$5:$C$123,"PEREMPUAN")</f>
        <v>0</v>
      </c>
      <c r="I76" s="17">
        <v>0</v>
      </c>
      <c r="J76" s="16"/>
    </row>
    <row r="77" spans="3:13" ht="15.75">
      <c r="C77" s="23"/>
      <c r="D77" s="16" t="s">
        <v>131</v>
      </c>
      <c r="E77" s="16"/>
      <c r="F77" s="16"/>
      <c r="G77" s="16"/>
      <c r="H77" s="16"/>
      <c r="I77" s="17"/>
      <c r="J77" s="18">
        <f>($I$71)-((F78/$F$71)*I78+((F79/$F$71)*I79)+((F80/$F$71)*I80)+((F81/$F$71)*I81))</f>
        <v>5.1440554837236419E-2</v>
      </c>
    </row>
    <row r="78" spans="3:13" ht="15.75">
      <c r="C78" s="23"/>
      <c r="D78" s="16"/>
      <c r="E78" s="16" t="s">
        <v>112</v>
      </c>
      <c r="F78" s="16">
        <f>COUNTIFS('Data Training'!$D$5:$D$123,E78,'Data Training'!$E$5:$E$123,"SANGAT BAIK",'Data Training'!$F$5:$F$123,"SANGAT BAIK",'Data Training'!$C$5:$C$123,"PEREMPUAN")</f>
        <v>8</v>
      </c>
      <c r="G78" s="16">
        <f>COUNTIFS('Data Training'!$D$5:$D$123,E78,'Data Training'!$H$5:$H$123,$E$31,'Data Training'!$E$5:$E$123,"SANGAT BAIK",'Data Training'!$F$5:$F$123,"SANGAT BAIK",'Data Training'!$C$5:$C$123,"PEREMPUAN")</f>
        <v>7</v>
      </c>
      <c r="H78" s="16">
        <f>COUNTIFS('Data Training'!$D$5:$D$123,E78,'Data Training'!$H$5:$H$123,$F$31,'Data Training'!$E$5:$E$123,"SANGAT BAIK",'Data Training'!$F$5:$F$123,"SANGAT BAIK",'Data Training'!$C$5:$C$123,"PEREMPUAN")</f>
        <v>1</v>
      </c>
      <c r="I78" s="17">
        <f>((-G78/F78)*IMLOG2(G78/F78))+((-H78/F78)*IMLOG2(H78/F78))</f>
        <v>0.54356444319959651</v>
      </c>
      <c r="J78" s="16"/>
    </row>
    <row r="79" spans="3:13" ht="15.75">
      <c r="C79" s="23"/>
      <c r="D79" s="16"/>
      <c r="E79" s="16" t="s">
        <v>110</v>
      </c>
      <c r="F79" s="16">
        <f>COUNTIFS('Data Training'!$D$5:$D$123,E79,'Data Training'!$E$5:$E$123,"SANGAT BAIK",'Data Training'!$F$5:$F$123,"SANGAT BAIK",'Data Training'!$C$5:$C$123,"PEREMPUAN")</f>
        <v>4</v>
      </c>
      <c r="G79" s="16">
        <f>COUNTIFS('Data Training'!$D$5:$D$123,E79,'Data Training'!$H$5:$H$123,$E$31,'Data Training'!$E$5:$E$123,"SANGAT BAIK",'Data Training'!$F$5:$F$123,"SANGAT BAIK",'Data Training'!$C$5:$C$123,"PEREMPUAN")</f>
        <v>4</v>
      </c>
      <c r="H79" s="16">
        <f>COUNTIFS('Data Training'!$D$5:$D$123,E79,'Data Training'!$H$5:$H$123,$F$31,'Data Training'!$E$5:$E$123,"SANGAT BAIK",'Data Training'!$F$5:$F$123,"SANGAT BAIK",'Data Training'!$C$5:$C$123,"PEREMPUAN")</f>
        <v>0</v>
      </c>
      <c r="I79" s="17">
        <v>0</v>
      </c>
      <c r="J79" s="16"/>
    </row>
    <row r="80" spans="3:13" ht="15.75">
      <c r="C80" s="23"/>
      <c r="D80" s="16"/>
      <c r="E80" s="16" t="s">
        <v>109</v>
      </c>
      <c r="F80" s="16">
        <f>COUNTIFS('Data Training'!$D$5:$D$123,E80,'Data Training'!$E$5:$E$123,"SANGAT BAIK",'Data Training'!$F$5:$F$123,"SANGAT BAIK",'Data Training'!$C$5:$C$123,"PEREMPUAN")</f>
        <v>0</v>
      </c>
      <c r="G80" s="16">
        <f>COUNTIFS('Data Training'!$D$5:$D$123,E80,'Data Training'!$H$5:$H$123,$E$31,'Data Training'!$E$5:$E$123,"SANGAT BAIK",'Data Training'!$F$5:$F$123,"SANGAT BAIK",'Data Training'!$C$5:$C$123,"PEREMPUAN")</f>
        <v>0</v>
      </c>
      <c r="H80" s="16">
        <f>COUNTIFS('Data Training'!$D$5:$D$123,E80,'Data Training'!$H$5:$H$123,$F$31,'Data Training'!$E$5:$E$123,"SANGAT BAIK",'Data Training'!$F$5:$F$123,"SANGAT BAIK",'Data Training'!$C$5:$C$123,"PEREMPUAN")</f>
        <v>0</v>
      </c>
      <c r="I80" s="17">
        <v>0</v>
      </c>
      <c r="J80" s="16"/>
    </row>
    <row r="81" spans="3:14" ht="15.75">
      <c r="D81" s="16"/>
      <c r="E81" s="16" t="s">
        <v>113</v>
      </c>
      <c r="F81" s="16">
        <f>COUNTIFS('Data Training'!$D$5:$D$123,E81,'Data Training'!$E$5:$E$123,"SANGAT BAIK",'Data Training'!$F$5:$F$123,"SANGAT BAIK",'Data Training'!$C$5:$C$123,"PEREMPUAN")</f>
        <v>0</v>
      </c>
      <c r="G81" s="16">
        <f>COUNTIFS('Data Training'!$D$5:$D$123,E81,'Data Training'!$H$5:$H$123,$E$31,'Data Training'!$E$5:$E$123,"SANGAT BAIK",'Data Training'!$F$5:$F$123,"SANGAT BAIK",'Data Training'!$C$5:$C$123,"PEREMPUAN")</f>
        <v>0</v>
      </c>
      <c r="H81" s="16">
        <f>COUNTIFS('Data Training'!$D$5:$D$123,E81,'Data Training'!$H$5:$H$123,$F$31,'Data Training'!$E$5:$E$123,"SANGAT BAIK",'Data Training'!$F$5:$F$123,"SANGAT BAIK",'Data Training'!$C$5:$C$123,"PEREMPUAN")</f>
        <v>0</v>
      </c>
      <c r="I81" s="17">
        <v>0</v>
      </c>
      <c r="J81" s="16"/>
    </row>
    <row r="82" spans="3:14" ht="15.75">
      <c r="D82" s="23"/>
      <c r="E82" s="23"/>
      <c r="F82" s="23"/>
      <c r="G82" s="23"/>
      <c r="H82" s="23"/>
      <c r="I82" s="24"/>
      <c r="J82" s="23"/>
    </row>
    <row r="83" spans="3:14" ht="15.75">
      <c r="C83" s="20" t="s">
        <v>142</v>
      </c>
      <c r="L83">
        <v>2</v>
      </c>
      <c r="M83" s="20" t="s">
        <v>160</v>
      </c>
    </row>
    <row r="84" spans="3:14" ht="15.75">
      <c r="C84" s="16"/>
      <c r="D84" s="16"/>
      <c r="E84" s="16" t="s">
        <v>124</v>
      </c>
      <c r="F84" s="16" t="s">
        <v>114</v>
      </c>
      <c r="G84" s="16" t="s">
        <v>111</v>
      </c>
      <c r="H84" s="17" t="s">
        <v>125</v>
      </c>
      <c r="I84" s="16" t="s">
        <v>126</v>
      </c>
    </row>
    <row r="85" spans="3:14" ht="15.75">
      <c r="C85" s="16" t="s">
        <v>127</v>
      </c>
      <c r="D85" s="16"/>
      <c r="E85" s="16">
        <f>COUNTIFS('Data Training'!$E$5:$E$123,"SANGAT BAIK",'Data Training'!$F$5:$F$123,"BAIK")</f>
        <v>10</v>
      </c>
      <c r="F85" s="16">
        <f>COUNTIFS('Data Training'!$H$5:$H$123,F84,'Data Training'!$E$5:$E$123,"SANGAT BAIK",'Data Training'!$F$5:$F$123,"BAIK")</f>
        <v>6</v>
      </c>
      <c r="G85" s="16">
        <f>COUNTIFS('Data Training'!$H$5:$H$123,G84,'Data Training'!$E$5:$E$123,"SANGAT BAIK",'Data Training'!$F$5:$F$123,"BAIK")</f>
        <v>4</v>
      </c>
      <c r="H85" s="17">
        <f>((-F85/E85)*IMLOG2(F85/E85))+((-G85/E85)*IMLOG2(G85/E85))</f>
        <v>0.97095059445466747</v>
      </c>
      <c r="I85" s="16"/>
    </row>
    <row r="86" spans="3:14" ht="15.75">
      <c r="C86" s="16" t="s">
        <v>2</v>
      </c>
      <c r="D86" s="16"/>
      <c r="E86" s="16"/>
      <c r="F86" s="16"/>
      <c r="G86" s="16"/>
      <c r="H86" s="17"/>
      <c r="I86" s="18">
        <f>($H$85)-((E87/$E$85)*H87+((E88/$E$85)*H88))</f>
        <v>0.37095059445466749</v>
      </c>
    </row>
    <row r="87" spans="3:14" ht="15.75">
      <c r="C87" s="16"/>
      <c r="D87" s="16" t="s">
        <v>120</v>
      </c>
      <c r="E87" s="16">
        <f>COUNTIFS('Data Training'!$C$5:$C$123,D87,'Data Training'!$E$5:$E$123,"SANGAT BAIK",'Data Training'!$F$5:$F$123,"BAIK")</f>
        <v>6</v>
      </c>
      <c r="F87" s="16">
        <f>COUNTIFS('Data Training'!$C$5:$C$123,D87,'Data Training'!$H$5:$H$123,F84,'Data Training'!$E$5:$E$123,"SANGAT BAIK",'Data Training'!$F$5:$F$123,"BAIK")</f>
        <v>3</v>
      </c>
      <c r="G87" s="16">
        <f>COUNTIFS('Data Training'!$C$5:$C$123,D87,'Data Training'!$H$5:$H$123,G84,'Data Training'!$E$5:$E$123,"SANGAT BAIK",'Data Training'!$F$5:$F$123,"BAIK")</f>
        <v>3</v>
      </c>
      <c r="H87" s="17">
        <f t="shared" ref="H87" si="8">((-F87/E87)*IMLOG2(F87/E87))+((-G87/E87)*IMLOG2(G87/E87))</f>
        <v>1</v>
      </c>
      <c r="I87" s="16"/>
    </row>
    <row r="88" spans="3:14" ht="15.75">
      <c r="C88" s="16"/>
      <c r="D88" s="16" t="s">
        <v>121</v>
      </c>
      <c r="E88" s="16">
        <f>COUNTIFS('Data Training'!$C$5:$C$123,D88,'Data Training'!$E$5:$E$123,"SANGAT BAIK",'Data Training'!$F$5:$F$123,"BAIK")</f>
        <v>4</v>
      </c>
      <c r="F88" s="16">
        <f>COUNTIFS('Data Training'!$C$5:$C$123,D88,'Data Training'!$H$5:$H$123,F85,'Data Training'!$E$5:$E$123,"SANGAT BAIK",'Data Training'!$F$5:$F$123,"BAIK")</f>
        <v>0</v>
      </c>
      <c r="G88" s="16">
        <f>COUNTIFS('Data Training'!$C$5:$C$123,D88,'Data Training'!$H$5:$H$123,G85,'Data Training'!$E$5:$E$123,"SANGAT BAIK",'Data Training'!$F$5:$F$123,"BAIK")</f>
        <v>0</v>
      </c>
      <c r="H88" s="17">
        <v>0</v>
      </c>
      <c r="I88" s="16"/>
    </row>
    <row r="89" spans="3:14" ht="15.75">
      <c r="C89" s="16" t="s">
        <v>128</v>
      </c>
      <c r="D89" s="16"/>
      <c r="E89" s="16"/>
      <c r="F89" s="16"/>
      <c r="G89" s="16"/>
      <c r="H89" s="17"/>
      <c r="I89" s="18">
        <f>($H$85)-((E90/$E$85)*H90+((E91/$E$85)*H91)+((E92/$E$85)*H92)+((E93/$E$85)*H93))</f>
        <v>0.97095059445466747</v>
      </c>
    </row>
    <row r="90" spans="3:14" ht="15.75">
      <c r="C90" s="16"/>
      <c r="D90" s="16" t="s">
        <v>112</v>
      </c>
      <c r="E90" s="16">
        <f>COUNTIFS('Data Training'!$D$5:$D$123,D90,'Data Training'!$E$5:$E$123,"SANGAT BAIK",'Data Training'!$F$5:$F$123,"BAIK")</f>
        <v>3</v>
      </c>
      <c r="F90" s="16">
        <f>COUNTIFS('Data Training'!$D$5:$D$123,D90,'Data Training'!$H$5:$H$123,$E$31,'Data Training'!$E$5:$E$123,"SANGAT BAIK",'Data Training'!$F$5:$F$123,"BAIK")</f>
        <v>2</v>
      </c>
      <c r="G90" s="16">
        <f>COUNTIFS('Data Training'!$D$5:$D$123,D90,'Data Training'!$H$5:$H$123,$F$31,'Data Training'!$E$5:$E$123,"SANGAT BAIK",'Data Training'!$F$5:$F$123,"\BAIK")</f>
        <v>0</v>
      </c>
      <c r="H90" s="17">
        <v>0</v>
      </c>
      <c r="I90" s="16"/>
    </row>
    <row r="91" spans="3:14" ht="15.75">
      <c r="C91" s="16"/>
      <c r="D91" s="16" t="s">
        <v>110</v>
      </c>
      <c r="E91" s="16">
        <f>COUNTIFS('Data Training'!$D$5:$D$123,D91,'Data Training'!$E$5:$E$123,"SANGAT BAIK",'Data Training'!$F$5:$F$123,"BAIK")</f>
        <v>6</v>
      </c>
      <c r="F91" s="16">
        <f>COUNTIFS('Data Training'!$D$5:$D$123,D91,'Data Training'!$H$5:$H$123,$E$31,'Data Training'!$E$5:$E$123,"SANGAT BAIK",'Data Training'!$F$5:$F$123,"BAIK")</f>
        <v>4</v>
      </c>
      <c r="G91" s="16">
        <f>COUNTIFS('Data Training'!$D$5:$D$123,D91,'Data Training'!$H$5:$H$123,$F$31,'Data Training'!$E$5:$E$123,"SANGAT BAIK",'Data Training'!$F$5:$F$123,"\BAIK")</f>
        <v>0</v>
      </c>
      <c r="H91" s="17">
        <v>0</v>
      </c>
      <c r="I91" s="16"/>
    </row>
    <row r="92" spans="3:14" ht="15.75">
      <c r="C92" s="16"/>
      <c r="D92" s="16" t="s">
        <v>109</v>
      </c>
      <c r="E92" s="16">
        <f>COUNTIFS('Data Training'!$D$5:$D$123,D92,'Data Training'!$E$5:$E$123,"SANGAT BAIK",'Data Training'!$F$5:$F$123,"BAIK")</f>
        <v>0</v>
      </c>
      <c r="F92" s="16">
        <f>COUNTIFS('Data Training'!$D$5:$D$123,D92,'Data Training'!$H$5:$H$123,$E$31,'Data Training'!$E$5:$E$123,"SANGAT BAIK",'Data Training'!$F$5:$F$123,"BAIK")</f>
        <v>0</v>
      </c>
      <c r="G92" s="16">
        <f>COUNTIFS('Data Training'!$D$5:$D$123,D92,'Data Training'!$H$5:$H$123,$F$31,'Data Training'!$E$5:$E$123,"SANGAT BAIK",'Data Training'!$F$5:$F$123,"\BAIK")</f>
        <v>0</v>
      </c>
      <c r="H92" s="17">
        <v>0</v>
      </c>
      <c r="I92" s="16"/>
    </row>
    <row r="93" spans="3:14" ht="15.75">
      <c r="C93" s="16"/>
      <c r="D93" s="16" t="s">
        <v>113</v>
      </c>
      <c r="E93" s="16">
        <f>COUNTIFS('Data Training'!$D$5:$D$123,D93,'Data Training'!$E$5:$E$123,"SANGAT BAIK",'Data Training'!$F$5:$F$123,"BAIK")</f>
        <v>1</v>
      </c>
      <c r="F93" s="16">
        <f>COUNTIFS('Data Training'!$D$5:$D$123,D93,'Data Training'!$H$5:$H$123,$E$31,'Data Training'!$E$5:$E$123,"SANGAT BAIK",'Data Training'!$F$5:$F$123,"BAIK")</f>
        <v>0</v>
      </c>
      <c r="G93" s="16">
        <f>COUNTIFS('Data Training'!$D$5:$D$123,D93,'Data Training'!$H$5:$H$123,$F$31,'Data Training'!$E$5:$E$123,"SANGAT BAIK",'Data Training'!$F$5:$F$123,"\BAIK")</f>
        <v>0</v>
      </c>
      <c r="H93" s="17">
        <v>0</v>
      </c>
      <c r="I93" s="16"/>
    </row>
    <row r="94" spans="3:14" ht="15.75">
      <c r="C94" s="16" t="s">
        <v>131</v>
      </c>
      <c r="D94" s="16"/>
      <c r="E94" s="16"/>
      <c r="F94" s="16"/>
      <c r="G94" s="16"/>
      <c r="H94" s="17"/>
      <c r="I94" s="18">
        <f>($H$85)-((E95/$E$85)*H95+((E96/$E$85)*H96)+((E97/$E$85)*H97)+((E98/$E$85)*H98))</f>
        <v>0.97095059445466747</v>
      </c>
    </row>
    <row r="95" spans="3:14" ht="15.75">
      <c r="C95" s="16"/>
      <c r="D95" s="16" t="s">
        <v>112</v>
      </c>
      <c r="E95" s="16">
        <f>COUNTIFS('Data Training'!$D$5:$D$123,D95,'Data Training'!$E$5:$E$123,"SANGAT BAIK",'Data Training'!$F$5:$F$123,"BAIK")</f>
        <v>3</v>
      </c>
      <c r="F95" s="16">
        <f>COUNTIFS('Data Training'!$D$5:$D$123,D95,'Data Training'!$H$5:$H$123,$E$31,'Data Training'!$E$5:$E$123,"SANGAT BAIK",'Data Training'!$F$5:$F$123,"BAIK")</f>
        <v>2</v>
      </c>
      <c r="G95" s="16">
        <f>COUNTIFS('Data Training'!$D$5:$D$123,D95,'Data Training'!$H$5:$H$123,$F$31,'Data Training'!$E$5:$E$123,"SANGAT BAIK",'Data Training'!$F$5:$F$123,"\BAIK")</f>
        <v>0</v>
      </c>
      <c r="H95" s="17">
        <v>0</v>
      </c>
      <c r="I95" s="16"/>
    </row>
    <row r="96" spans="3:14" ht="15.75">
      <c r="C96" s="16"/>
      <c r="D96" s="16" t="s">
        <v>110</v>
      </c>
      <c r="E96" s="16">
        <f>COUNTIFS('Data Training'!$D$5:$D$123,D96,'Data Training'!$E$5:$E$123,"SANGAT BAIK",'Data Training'!$F$5:$F$123,"BAIK")</f>
        <v>6</v>
      </c>
      <c r="F96" s="16">
        <f>COUNTIFS('Data Training'!$D$5:$D$123,D96,'Data Training'!$H$5:$H$123,$E$31,'Data Training'!$E$5:$E$123,"SANGAT BAIK",'Data Training'!$F$5:$F$123,"BAIK")</f>
        <v>4</v>
      </c>
      <c r="G96" s="16">
        <f>COUNTIFS('Data Training'!$D$5:$D$123,D96,'Data Training'!$H$5:$H$123,$F$31,'Data Training'!$E$5:$E$123,"SANGAT BAIK",'Data Training'!$F$5:$F$123,"\BAIK")</f>
        <v>0</v>
      </c>
      <c r="H96" s="17">
        <v>0</v>
      </c>
      <c r="I96" s="16"/>
      <c r="M96" s="21"/>
      <c r="N96" s="21"/>
    </row>
    <row r="97" spans="3:13" ht="15.75">
      <c r="C97" s="16"/>
      <c r="D97" s="16" t="s">
        <v>109</v>
      </c>
      <c r="E97" s="16">
        <f>COUNTIFS('Data Training'!$D$5:$D$123,D97,'Data Training'!$E$5:$E$123,"SANGAT BAIK",'Data Training'!$F$5:$F$123,"BAIK")</f>
        <v>0</v>
      </c>
      <c r="F97" s="16">
        <f>COUNTIFS('Data Training'!$D$5:$D$123,D97,'Data Training'!$H$5:$H$123,$E$31,'Data Training'!$E$5:$E$123,"SANGAT BAIK",'Data Training'!$F$5:$F$123,"BAIK")</f>
        <v>0</v>
      </c>
      <c r="G97" s="16">
        <f>COUNTIFS('Data Training'!$D$5:$D$123,D97,'Data Training'!$H$5:$H$123,$F$31,'Data Training'!$E$5:$E$123,"SANGAT BAIK",'Data Training'!$F$5:$F$123,"\BAIK")</f>
        <v>0</v>
      </c>
      <c r="H97" s="17">
        <v>0</v>
      </c>
      <c r="I97" s="16"/>
    </row>
    <row r="98" spans="3:13" ht="15.75">
      <c r="C98" s="16"/>
      <c r="D98" s="16" t="s">
        <v>113</v>
      </c>
      <c r="E98" s="16">
        <f>COUNTIFS('Data Training'!$D$5:$D$123,D98,'Data Training'!$E$5:$E$123,"SANGAT BAIK",'Data Training'!$F$5:$F$123,"BAIK")</f>
        <v>1</v>
      </c>
      <c r="F98" s="16">
        <f>COUNTIFS('Data Training'!$D$5:$D$123,D98,'Data Training'!$H$5:$H$123,$E$31,'Data Training'!$E$5:$E$123,"SANGAT BAIK",'Data Training'!$F$5:$F$123,"BAIK")</f>
        <v>0</v>
      </c>
      <c r="G98" s="16">
        <f>COUNTIFS('Data Training'!$D$5:$D$123,D98,'Data Training'!$H$5:$H$123,$F$31,'Data Training'!$E$5:$E$123,"SANGAT BAIK",'Data Training'!$F$5:$F$123,"\BAIK")</f>
        <v>0</v>
      </c>
      <c r="H98" s="17">
        <v>0</v>
      </c>
      <c r="I98" s="16"/>
    </row>
    <row r="101" spans="3:13" ht="15.75">
      <c r="C101" s="20" t="s">
        <v>133</v>
      </c>
      <c r="L101">
        <v>3</v>
      </c>
      <c r="M101" s="20" t="s">
        <v>161</v>
      </c>
    </row>
    <row r="102" spans="3:13" ht="15.75">
      <c r="C102" s="16"/>
      <c r="D102" s="16"/>
      <c r="E102" s="16" t="s">
        <v>124</v>
      </c>
      <c r="F102" s="16" t="s">
        <v>114</v>
      </c>
      <c r="G102" s="16" t="s">
        <v>111</v>
      </c>
      <c r="H102" s="17" t="s">
        <v>125</v>
      </c>
      <c r="I102" s="16" t="s">
        <v>126</v>
      </c>
    </row>
    <row r="103" spans="3:13" ht="15.75">
      <c r="C103" s="16" t="s">
        <v>127</v>
      </c>
      <c r="D103" s="16"/>
      <c r="E103" s="16">
        <f>COUNTIFS('Data Training'!$E$5:$E$123,"SANGAT BAIK",'Data Training'!$F$5:$F$123,"CUKUP")</f>
        <v>2</v>
      </c>
      <c r="F103" s="16">
        <f>COUNTIFS('Data Training'!$H$5:$H$123,F102,'Data Training'!$E$5:$E$123,"SANGAT BAIK",'Data Training'!$F$5:$F$123,"CUKUP")</f>
        <v>2</v>
      </c>
      <c r="G103" s="16">
        <f>COUNTIFS('Data Training'!$H$5:$H$123,G102,'Data Training'!$E$5:$E$123,"SANGAT BAIK",'Data Training'!$F$5:$F$123,"CUKUP")</f>
        <v>0</v>
      </c>
      <c r="H103" s="17">
        <v>0</v>
      </c>
      <c r="I103" s="16"/>
    </row>
    <row r="104" spans="3:13" ht="15.75">
      <c r="C104" s="16" t="s">
        <v>2</v>
      </c>
      <c r="D104" s="16"/>
      <c r="E104" s="16"/>
      <c r="F104" s="16"/>
      <c r="G104" s="16"/>
      <c r="H104" s="17"/>
      <c r="I104" s="18">
        <f>($H$103)-((E105/$E$103)*H105+((E106/$E$103)*H106))</f>
        <v>0</v>
      </c>
    </row>
    <row r="105" spans="3:13" ht="15.75">
      <c r="C105" s="16"/>
      <c r="D105" s="16" t="s">
        <v>120</v>
      </c>
      <c r="E105" s="16">
        <f>COUNTIFS('Data Training'!$C$5:$C$123,D105,'Data Training'!$E$5:$E$123,"SANGAT BAIK",'Data Training'!$F$5:$F$123,"CUKUP")</f>
        <v>0</v>
      </c>
      <c r="F105" s="16">
        <f>COUNTIFS('Data Training'!$C$5:$C$123,D105,'Data Training'!$H$5:$H$123,F102,'Data Training'!$E$5:$E$123,"SANGAT BAIK",'Data Training'!$F$5:$F$123,"CUKUP")</f>
        <v>0</v>
      </c>
      <c r="G105" s="16">
        <f>COUNTIFS('Data Training'!$C$5:$C$123,D105,'Data Training'!$H$5:$H$123,G102,'Data Training'!$E$5:$E$123,"SANGAT BAIK",'Data Training'!$F$5:$F$123,"CUKUP")</f>
        <v>0</v>
      </c>
      <c r="H105" s="17">
        <v>0</v>
      </c>
      <c r="I105" s="16"/>
    </row>
    <row r="106" spans="3:13" ht="15.75">
      <c r="C106" s="16"/>
      <c r="D106" s="16" t="s">
        <v>121</v>
      </c>
      <c r="E106" s="16">
        <f>COUNTIFS('Data Training'!$C$5:$C$123,D106,'Data Training'!$E$5:$E$123,"SANGAT BAIK",'Data Training'!$F$5:$F$123,"CUKUP")</f>
        <v>2</v>
      </c>
      <c r="F106" s="16">
        <f>COUNTIFS('Data Training'!$C$5:$C$123,D106,'Data Training'!$H$5:$H$123,F103,'Data Training'!$E$5:$E$123,"SANGAT BAIK",'Data Training'!$F$5:$F$123,"CUKUP")</f>
        <v>0</v>
      </c>
      <c r="G106" s="16">
        <f>COUNTIFS('Data Training'!$C$5:$C$123,D106,'Data Training'!$H$5:$H$123,G103,'Data Training'!$E$5:$E$123,"SANGAT BAIK",'Data Training'!$F$5:$F$123,"CUKUP")</f>
        <v>0</v>
      </c>
      <c r="H106" s="17">
        <v>0</v>
      </c>
      <c r="I106" s="16"/>
    </row>
    <row r="107" spans="3:13" ht="15.75">
      <c r="C107" s="16" t="s">
        <v>128</v>
      </c>
      <c r="D107" s="16"/>
      <c r="E107" s="16"/>
      <c r="F107" s="16"/>
      <c r="G107" s="16"/>
      <c r="H107" s="17"/>
      <c r="I107" s="18">
        <f>($H$103)-((E108/$E$103)*H108+((E109/$E$103)*H109)+((E110/$E$103)*H110)+((E111/$E$103)*H111))</f>
        <v>0</v>
      </c>
    </row>
    <row r="108" spans="3:13" ht="15.75">
      <c r="C108" s="16"/>
      <c r="D108" s="16" t="s">
        <v>112</v>
      </c>
      <c r="E108" s="16">
        <f>COUNTIFS('Data Training'!$D$5:$D$123,D108,'Data Training'!$E$5:$E$123,"SANGAT BAIK",'Data Training'!$F$5:$F$123,"CUKUP")</f>
        <v>2</v>
      </c>
      <c r="F108" s="16">
        <f>COUNTIFS('Data Training'!$D$5:$D$123,D108,'Data Training'!$H$5:$H$123,$E$31,'Data Training'!$E$5:$E$123,"SANGAT BAIK",'Data Training'!$F$5:$F$123,"CUKUP")</f>
        <v>2</v>
      </c>
      <c r="G108" s="16">
        <f>COUNTIFS('Data Training'!$D$5:$D$123,D108,'Data Training'!$H$5:$H$123,$F$31,'Data Training'!$E$5:$E$123,"SANGAT BAIK",'Data Training'!$F$5:$F$123,"\BAIK")</f>
        <v>0</v>
      </c>
      <c r="H108" s="17">
        <v>0</v>
      </c>
      <c r="I108" s="16"/>
    </row>
    <row r="109" spans="3:13" ht="15.75">
      <c r="C109" s="16"/>
      <c r="D109" s="16" t="s">
        <v>110</v>
      </c>
      <c r="E109" s="16">
        <f>COUNTIFS('Data Training'!$D$5:$D$123,D109,'Data Training'!$E$5:$E$123,"SANGAT BAIK",'Data Training'!$F$5:$F$123,"CUKUP")</f>
        <v>0</v>
      </c>
      <c r="F109" s="16">
        <f>COUNTIFS('Data Training'!$D$5:$D$123,D109,'Data Training'!$H$5:$H$123,$E$31,'Data Training'!$E$5:$E$123,"SANGAT BAIK",'Data Training'!$F$5:$F$123,"CUKUP")</f>
        <v>0</v>
      </c>
      <c r="G109" s="16">
        <f>COUNTIFS('Data Training'!$D$5:$D$123,D109,'Data Training'!$H$5:$H$123,$F$31,'Data Training'!$E$5:$E$123,"SANGAT BAIK",'Data Training'!$F$5:$F$123,"\BAIK")</f>
        <v>0</v>
      </c>
      <c r="H109" s="17">
        <v>0</v>
      </c>
      <c r="I109" s="16"/>
    </row>
    <row r="110" spans="3:13" ht="15.75">
      <c r="C110" s="16"/>
      <c r="D110" s="16" t="s">
        <v>109</v>
      </c>
      <c r="E110" s="16">
        <f>COUNTIFS('Data Training'!$D$5:$D$123,D110,'Data Training'!$E$5:$E$123,"SANGAT BAIK",'Data Training'!$F$5:$F$123,"CUKUP")</f>
        <v>0</v>
      </c>
      <c r="F110" s="16">
        <f>COUNTIFS('Data Training'!$D$5:$D$123,D110,'Data Training'!$H$5:$H$123,$E$31,'Data Training'!$E$5:$E$123,"SANGAT BAIK",'Data Training'!$F$5:$F$123,"CUKUP")</f>
        <v>0</v>
      </c>
      <c r="G110" s="16">
        <f>COUNTIFS('Data Training'!$D$5:$D$123,D110,'Data Training'!$H$5:$H$123,$F$31,'Data Training'!$E$5:$E$123,"SANGAT BAIK",'Data Training'!$F$5:$F$123,"\BAIK")</f>
        <v>0</v>
      </c>
      <c r="H110" s="17">
        <v>0</v>
      </c>
      <c r="I110" s="16"/>
    </row>
    <row r="111" spans="3:13" ht="15.75">
      <c r="C111" s="16"/>
      <c r="D111" s="16" t="s">
        <v>113</v>
      </c>
      <c r="E111" s="16">
        <f>COUNTIFS('Data Training'!$D$5:$D$123,D111,'Data Training'!$E$5:$E$123,"SANGAT BAIK",'Data Training'!$F$5:$F$123,"CUKUP")</f>
        <v>0</v>
      </c>
      <c r="F111" s="16">
        <f>COUNTIFS('Data Training'!$D$5:$D$123,D111,'Data Training'!$H$5:$H$123,$E$31,'Data Training'!$E$5:$E$123,"SANGAT BAIK",'Data Training'!$F$5:$F$123,"CUKUP")</f>
        <v>0</v>
      </c>
      <c r="G111" s="16">
        <f>COUNTIFS('Data Training'!$D$5:$D$123,D111,'Data Training'!$H$5:$H$123,$F$31,'Data Training'!$E$5:$E$123,"SANGAT BAIK",'Data Training'!$F$5:$F$123,"\BAIK")</f>
        <v>0</v>
      </c>
      <c r="H111" s="17">
        <v>0</v>
      </c>
      <c r="I111" s="16"/>
    </row>
    <row r="112" spans="3:13" ht="15.75">
      <c r="C112" s="16" t="s">
        <v>131</v>
      </c>
      <c r="D112" s="16"/>
      <c r="E112" s="16"/>
      <c r="F112" s="16"/>
      <c r="G112" s="16"/>
      <c r="H112" s="17"/>
      <c r="I112" s="18">
        <f>($H$103)-((E113/$E$103)*H113+((E114/$E$103)*H114)+((E115/$E$103)*H115)+((E116/$E$103)*H116))</f>
        <v>0</v>
      </c>
    </row>
    <row r="113" spans="3:13" ht="15.75">
      <c r="C113" s="16"/>
      <c r="D113" s="16" t="s">
        <v>112</v>
      </c>
      <c r="E113" s="16">
        <f>COUNTIFS('Data Training'!$D$5:$D$123,D113,'Data Training'!$E$5:$E$123,"SANGAT BAIK",'Data Training'!$F$5:$F$123,"CUKUP")</f>
        <v>2</v>
      </c>
      <c r="F113" s="16">
        <f>COUNTIFS('Data Training'!$D$5:$D$123,D113,'Data Training'!$H$5:$H$123,$E$31,'Data Training'!$E$5:$E$123,"SANGAT BAIK",'Data Training'!$F$5:$F$123,"CUKUP")</f>
        <v>2</v>
      </c>
      <c r="G113" s="16">
        <f>COUNTIFS('Data Training'!$D$5:$D$123,D113,'Data Training'!$H$5:$H$123,$F$31,'Data Training'!$E$5:$E$123,"SANGAT BAIK",'Data Training'!$F$5:$F$123,"\BAIK")</f>
        <v>0</v>
      </c>
      <c r="H113" s="17">
        <v>0</v>
      </c>
      <c r="I113" s="16"/>
    </row>
    <row r="114" spans="3:13" ht="15.75">
      <c r="C114" s="16"/>
      <c r="D114" s="16" t="s">
        <v>110</v>
      </c>
      <c r="E114" s="16">
        <f>COUNTIFS('Data Training'!$D$5:$D$123,D114,'Data Training'!$E$5:$E$123,"SANGAT BAIK",'Data Training'!$F$5:$F$123,"CUKUP")</f>
        <v>0</v>
      </c>
      <c r="F114" s="16">
        <f>COUNTIFS('Data Training'!$D$5:$D$123,D114,'Data Training'!$H$5:$H$123,$E$31,'Data Training'!$E$5:$E$123,"SANGAT BAIK",'Data Training'!$F$5:$F$123,"CUKUP")</f>
        <v>0</v>
      </c>
      <c r="G114" s="16">
        <f>COUNTIFS('Data Training'!$D$5:$D$123,D114,'Data Training'!$H$5:$H$123,$F$31,'Data Training'!$E$5:$E$123,"SANGAT BAIK",'Data Training'!$F$5:$F$123,"\BAIK")</f>
        <v>0</v>
      </c>
      <c r="H114" s="17">
        <v>0</v>
      </c>
      <c r="I114" s="16"/>
    </row>
    <row r="115" spans="3:13" ht="15.75">
      <c r="C115" s="16"/>
      <c r="D115" s="16" t="s">
        <v>109</v>
      </c>
      <c r="E115" s="16">
        <f>COUNTIFS('Data Training'!$D$5:$D$123,D115,'Data Training'!$E$5:$E$123,"SANGAT BAIK",'Data Training'!$F$5:$F$123,"CUKUP")</f>
        <v>0</v>
      </c>
      <c r="F115" s="16">
        <f>COUNTIFS('Data Training'!$D$5:$D$123,D115,'Data Training'!$H$5:$H$123,$E$31,'Data Training'!$E$5:$E$123,"SANGAT BAIK",'Data Training'!$F$5:$F$123,"CUKUP")</f>
        <v>0</v>
      </c>
      <c r="G115" s="16">
        <f>COUNTIFS('Data Training'!$D$5:$D$123,D115,'Data Training'!$H$5:$H$123,$F$31,'Data Training'!$E$5:$E$123,"SANGAT BAIK",'Data Training'!$F$5:$F$123,"\BAIK")</f>
        <v>0</v>
      </c>
      <c r="H115" s="17">
        <v>0</v>
      </c>
      <c r="I115" s="16"/>
    </row>
    <row r="116" spans="3:13" ht="15.75">
      <c r="C116" s="16"/>
      <c r="D116" s="16" t="s">
        <v>113</v>
      </c>
      <c r="E116" s="16">
        <f>COUNTIFS('Data Training'!$D$5:$D$123,D116,'Data Training'!$E$5:$E$123,"SANGAT BAIK",'Data Training'!$F$5:$F$123,"CUKUP")</f>
        <v>0</v>
      </c>
      <c r="F116" s="16">
        <f>COUNTIFS('Data Training'!$D$5:$D$123,D116,'Data Training'!$H$5:$H$123,$E$31,'Data Training'!$E$5:$E$123,"SANGAT BAIK",'Data Training'!$F$5:$F$123,"CUKUP")</f>
        <v>0</v>
      </c>
      <c r="G116" s="16">
        <f>COUNTIFS('Data Training'!$D$5:$D$123,D116,'Data Training'!$H$5:$H$123,$F$31,'Data Training'!$E$5:$E$123,"SANGAT BAIK",'Data Training'!$F$5:$F$123,"\BAIK")</f>
        <v>0</v>
      </c>
      <c r="H116" s="17">
        <v>0</v>
      </c>
      <c r="I116" s="16"/>
    </row>
    <row r="118" spans="3:13" ht="15.75">
      <c r="C118" s="20" t="s">
        <v>134</v>
      </c>
      <c r="L118">
        <v>4</v>
      </c>
      <c r="M118" s="20" t="s">
        <v>162</v>
      </c>
    </row>
    <row r="119" spans="3:13" ht="15.75">
      <c r="C119" s="16"/>
      <c r="D119" s="16"/>
      <c r="E119" s="16" t="s">
        <v>124</v>
      </c>
      <c r="F119" s="16" t="s">
        <v>114</v>
      </c>
      <c r="G119" s="16" t="s">
        <v>111</v>
      </c>
      <c r="H119" s="17" t="s">
        <v>125</v>
      </c>
      <c r="I119" s="16" t="s">
        <v>126</v>
      </c>
    </row>
    <row r="120" spans="3:13" ht="15.75">
      <c r="C120" s="16" t="s">
        <v>127</v>
      </c>
      <c r="D120" s="16"/>
      <c r="E120" s="16">
        <f>COUNTIFS('Data Training'!$E$5:$E$123,"SANGAT BAIK",'Data Training'!$F$5:$F$123,"KURANG")</f>
        <v>3</v>
      </c>
      <c r="F120" s="16">
        <f>COUNTIFS('Data Training'!$H$5:$H$123,F119,'Data Training'!$E$5:$E$123,"SANGAT BAIK",'Data Training'!$F$5:$F$123,"KURANG")</f>
        <v>2</v>
      </c>
      <c r="G120" s="16">
        <f>COUNTIFS('Data Training'!$H$5:$H$123,G119,'Data Training'!$E$5:$E$123,"SANGAT BAIK",'Data Training'!$F$5:$F$123,"KURANG")</f>
        <v>1</v>
      </c>
      <c r="H120" s="17">
        <f>((-F120/E120)*IMLOG2(F120/E120))+((-G120/E120)*IMLOG2(G120/E120))</f>
        <v>0.91829583405449056</v>
      </c>
      <c r="I120" s="16"/>
    </row>
    <row r="121" spans="3:13" ht="15.75">
      <c r="C121" s="16" t="s">
        <v>2</v>
      </c>
      <c r="D121" s="16"/>
      <c r="E121" s="16"/>
      <c r="F121" s="16"/>
      <c r="G121" s="16"/>
      <c r="H121" s="17"/>
      <c r="I121" s="18">
        <f>($H$120)-((E122/$E$120)*H122+((E123/$E$120)*H123))</f>
        <v>0</v>
      </c>
    </row>
    <row r="122" spans="3:13" ht="15.75">
      <c r="C122" s="16"/>
      <c r="D122" s="16" t="s">
        <v>120</v>
      </c>
      <c r="E122" s="16">
        <f>COUNTIFS('Data Training'!$C$5:$C$123,D122,'Data Training'!$E$5:$E$123,"SANGAT BAIK",'Data Training'!$F$5:$F$123,"KURANG")</f>
        <v>3</v>
      </c>
      <c r="F122" s="16">
        <f>COUNTIFS('Data Training'!$C$5:$C$123,D122,'Data Training'!$H$5:$H$123,F119,'Data Training'!$E$5:$E$123,"SANGAT BAIK",'Data Training'!$F$5:$F$123,"KURANG")</f>
        <v>2</v>
      </c>
      <c r="G122" s="16">
        <f>COUNTIFS('Data Training'!$C$5:$C$123,D122,'Data Training'!$H$5:$H$123,G119,'Data Training'!$E$5:$E$123,"SANGAT BAIK",'Data Training'!$F$5:$F$123,"KURANG")</f>
        <v>1</v>
      </c>
      <c r="H122" s="17">
        <f>((-F122/E122)*IMLOG2(F122/E122))+((-G122/E122)*IMLOG2(G122/E122))</f>
        <v>0.91829583405449056</v>
      </c>
      <c r="I122" s="16"/>
    </row>
    <row r="123" spans="3:13" ht="15.75">
      <c r="C123" s="16"/>
      <c r="D123" s="16" t="s">
        <v>121</v>
      </c>
      <c r="E123" s="16">
        <f>COUNTIFS('Data Training'!$C$5:$C$123,D123,'Data Training'!$E$5:$E$123,"SANGAT BAIK",'Data Training'!$F$5:$F$123,"KURANG")</f>
        <v>0</v>
      </c>
      <c r="F123" s="16">
        <f>COUNTIFS('Data Training'!$C$5:$C$123,D123,'Data Training'!$H$5:$H$123,F120,'Data Training'!$E$5:$E$123,"SANGAT BAIK",'Data Training'!$F$5:$F$123,"KURANG")</f>
        <v>0</v>
      </c>
      <c r="G123" s="16">
        <f>COUNTIFS('Data Training'!$C$5:$C$123,D123,'Data Training'!$H$5:$H$123,G120,'Data Training'!$E$5:$E$123,"SANGAT BAIK",'Data Training'!$F$5:$F$123,"KURANG")</f>
        <v>0</v>
      </c>
      <c r="H123" s="17">
        <v>0</v>
      </c>
      <c r="I123" s="16"/>
    </row>
    <row r="124" spans="3:13" ht="15.75">
      <c r="C124" s="16" t="s">
        <v>128</v>
      </c>
      <c r="D124" s="16"/>
      <c r="E124" s="16"/>
      <c r="F124" s="16"/>
      <c r="G124" s="16"/>
      <c r="H124" s="17"/>
      <c r="I124" s="18">
        <f>($H$120)-((E125/$E$120)*H125+((E126/$E$120)*H126)+((E127/$E$120)*H127)+((E128/$E$120)*H128))</f>
        <v>0.91829583405449056</v>
      </c>
    </row>
    <row r="125" spans="3:13" ht="15.75">
      <c r="C125" s="16"/>
      <c r="D125" s="16" t="s">
        <v>112</v>
      </c>
      <c r="E125" s="16">
        <f>COUNTIFS('Data Training'!$D$5:$D$123,D125,'Data Training'!$E$5:$E$123,"SANGAT BAIK",'Data Training'!$F$5:$F$123,"KURANG")</f>
        <v>1</v>
      </c>
      <c r="F125" s="16">
        <f>COUNTIFS('Data Training'!$D$5:$D$123,D125,'Data Training'!$H$5:$H$123,$E$31,'Data Training'!$E$5:$E$123,"SANGAT BAIK",'Data Training'!$F$5:$F$123,"KURANG")</f>
        <v>0</v>
      </c>
      <c r="G125" s="16">
        <f>COUNTIFS('Data Training'!$D$5:$D$123,D125,'Data Training'!$H$5:$H$123,$F$31,'Data Training'!$E$5:$E$123,"SANGAT BAIK",'Data Training'!$F$5:$F$123,"\BAIK")</f>
        <v>0</v>
      </c>
      <c r="H125" s="17">
        <v>0</v>
      </c>
      <c r="I125" s="16"/>
    </row>
    <row r="126" spans="3:13" ht="15.75">
      <c r="C126" s="16"/>
      <c r="D126" s="16" t="s">
        <v>110</v>
      </c>
      <c r="E126" s="16">
        <f>COUNTIFS('Data Training'!$D$5:$D$123,D126,'Data Training'!$E$5:$E$123,"SANGAT BAIK",'Data Training'!$F$5:$F$123,"KURANG")</f>
        <v>1</v>
      </c>
      <c r="F126" s="16">
        <f>COUNTIFS('Data Training'!$D$5:$D$123,D126,'Data Training'!$H$5:$H$123,$E$31,'Data Training'!$E$5:$E$123,"SANGAT BAIK",'Data Training'!$F$5:$F$123,"KURANG")</f>
        <v>1</v>
      </c>
      <c r="G126" s="16">
        <f>COUNTIFS('Data Training'!$D$5:$D$123,D126,'Data Training'!$H$5:$H$123,$F$31,'Data Training'!$E$5:$E$123,"SANGAT BAIK",'Data Training'!$F$5:$F$123,"\BAIK")</f>
        <v>0</v>
      </c>
      <c r="H126" s="17">
        <v>0</v>
      </c>
      <c r="I126" s="16"/>
    </row>
    <row r="127" spans="3:13" ht="15.75">
      <c r="C127" s="16"/>
      <c r="D127" s="16" t="s">
        <v>109</v>
      </c>
      <c r="E127" s="16">
        <f>COUNTIFS('Data Training'!$D$5:$D$123,D127,'Data Training'!$E$5:$E$123,"SANGAT BAIK",'Data Training'!$F$5:$F$123,"KURANG")</f>
        <v>1</v>
      </c>
      <c r="F127" s="16">
        <f>COUNTIFS('Data Training'!$D$5:$D$123,D127,'Data Training'!$H$5:$H$123,$E$31,'Data Training'!$E$5:$E$123,"SANGAT BAIK",'Data Training'!$F$5:$F$123,"KURANG")</f>
        <v>1</v>
      </c>
      <c r="G127" s="16">
        <f>COUNTIFS('Data Training'!$D$5:$D$123,D127,'Data Training'!$H$5:$H$123,$F$31,'Data Training'!$E$5:$E$123,"SANGAT BAIK",'Data Training'!$F$5:$F$123,"\BAIK")</f>
        <v>0</v>
      </c>
      <c r="H127" s="17">
        <v>0</v>
      </c>
      <c r="I127" s="16"/>
    </row>
    <row r="128" spans="3:13" ht="15.75">
      <c r="C128" s="16"/>
      <c r="D128" s="16" t="s">
        <v>113</v>
      </c>
      <c r="E128" s="16">
        <f>COUNTIFS('Data Training'!$D$5:$D$123,D128,'Data Training'!$E$5:$E$123,"SANGAT BAIK",'Data Training'!$F$5:$F$123,"KURANG")</f>
        <v>0</v>
      </c>
      <c r="F128" s="16">
        <f>COUNTIFS('Data Training'!$D$5:$D$123,D128,'Data Training'!$H$5:$H$123,$E$31,'Data Training'!$E$5:$E$123,"SANGAT BAIK",'Data Training'!$F$5:$F$123,"KURANG")</f>
        <v>0</v>
      </c>
      <c r="G128" s="16">
        <f>COUNTIFS('Data Training'!$D$5:$D$123,D128,'Data Training'!$H$5:$H$123,$F$31,'Data Training'!$E$5:$E$123,"SANGAT BAIK",'Data Training'!$F$5:$F$123,"\BAIK")</f>
        <v>0</v>
      </c>
      <c r="H128" s="17">
        <v>0</v>
      </c>
      <c r="I128" s="16"/>
    </row>
    <row r="129" spans="2:9" ht="15.75">
      <c r="C129" s="16" t="s">
        <v>131</v>
      </c>
      <c r="D129" s="16"/>
      <c r="E129" s="16"/>
      <c r="F129" s="16"/>
      <c r="G129" s="16"/>
      <c r="H129" s="17"/>
      <c r="I129" s="18">
        <f>($H$120)-((E130/$E$120)*H130+((E131/$E$120)*H131)+((E132/$E$120)*H132)+((E133/$E$120)*H133))</f>
        <v>0.91829583405449056</v>
      </c>
    </row>
    <row r="130" spans="2:9" ht="15.75">
      <c r="C130" s="16"/>
      <c r="D130" s="16" t="s">
        <v>112</v>
      </c>
      <c r="E130" s="16">
        <f>COUNTIFS('Data Training'!$D$5:$D$123,D130,'Data Training'!$E$5:$E$123,"SANGAT BAIK",'Data Training'!$F$5:$F$123,"KURANG")</f>
        <v>1</v>
      </c>
      <c r="F130" s="16">
        <f>COUNTIFS('Data Training'!$D$5:$D$123,D130,'Data Training'!$H$5:$H$123,$E$31,'Data Training'!$E$5:$E$123,"SANGAT BAIK",'Data Training'!$F$5:$F$123,"KURANG")</f>
        <v>0</v>
      </c>
      <c r="G130" s="16">
        <f>COUNTIFS('Data Training'!$D$5:$D$123,D130,'Data Training'!$H$5:$H$123,$F$31,'Data Training'!$E$5:$E$123,"SANGAT BAIK",'Data Training'!$F$5:$F$123,"\BAIK")</f>
        <v>0</v>
      </c>
      <c r="H130" s="17">
        <v>0</v>
      </c>
      <c r="I130" s="16"/>
    </row>
    <row r="131" spans="2:9" ht="15.75">
      <c r="C131" s="16"/>
      <c r="D131" s="16" t="s">
        <v>110</v>
      </c>
      <c r="E131" s="16">
        <f>COUNTIFS('Data Training'!$D$5:$D$123,D131,'Data Training'!$E$5:$E$123,"SANGAT BAIK",'Data Training'!$F$5:$F$123,"KURANG")</f>
        <v>1</v>
      </c>
      <c r="F131" s="16">
        <f>COUNTIFS('Data Training'!$D$5:$D$123,D131,'Data Training'!$H$5:$H$123,$E$31,'Data Training'!$E$5:$E$123,"SANGAT BAIK",'Data Training'!$F$5:$F$123,"KURANG")</f>
        <v>1</v>
      </c>
      <c r="G131" s="16">
        <f>COUNTIFS('Data Training'!$D$5:$D$123,D131,'Data Training'!$H$5:$H$123,$F$31,'Data Training'!$E$5:$E$123,"SANGAT BAIK",'Data Training'!$F$5:$F$123,"\BAIK")</f>
        <v>0</v>
      </c>
      <c r="H131" s="17">
        <v>0</v>
      </c>
      <c r="I131" s="16"/>
    </row>
    <row r="132" spans="2:9" ht="15.75">
      <c r="C132" s="16"/>
      <c r="D132" s="16" t="s">
        <v>109</v>
      </c>
      <c r="E132" s="16">
        <f>COUNTIFS('Data Training'!$D$5:$D$123,D132,'Data Training'!$E$5:$E$123,"SANGAT BAIK",'Data Training'!$F$5:$F$123,"KURANG")</f>
        <v>1</v>
      </c>
      <c r="F132" s="16">
        <f>COUNTIFS('Data Training'!$D$5:$D$123,D132,'Data Training'!$H$5:$H$123,$E$31,'Data Training'!$E$5:$E$123,"SANGAT BAIK",'Data Training'!$F$5:$F$123,"KURANG")</f>
        <v>1</v>
      </c>
      <c r="G132" s="16">
        <f>COUNTIFS('Data Training'!$D$5:$D$123,D132,'Data Training'!$H$5:$H$123,$F$31,'Data Training'!$E$5:$E$123,"SANGAT BAIK",'Data Training'!$F$5:$F$123,"\BAIK")</f>
        <v>0</v>
      </c>
      <c r="H132" s="17">
        <v>0</v>
      </c>
      <c r="I132" s="16"/>
    </row>
    <row r="133" spans="2:9" ht="15.75">
      <c r="C133" s="16"/>
      <c r="D133" s="16" t="s">
        <v>113</v>
      </c>
      <c r="E133" s="16">
        <f>COUNTIFS('Data Training'!$D$5:$D$123,D133,'Data Training'!$E$5:$E$123,"SANGAT BAIK",'Data Training'!$F$5:$F$123,"KURANG")</f>
        <v>0</v>
      </c>
      <c r="F133" s="16">
        <f>COUNTIFS('Data Training'!$D$5:$D$123,D133,'Data Training'!$H$5:$H$123,$E$31,'Data Training'!$E$5:$E$123,"SANGAT BAIK",'Data Training'!$F$5:$F$123,"KURANG")</f>
        <v>0</v>
      </c>
      <c r="G133" s="16">
        <f>COUNTIFS('Data Training'!$D$5:$D$123,D133,'Data Training'!$H$5:$H$123,$F$31,'Data Training'!$E$5:$E$123,"SANGAT BAIK",'Data Training'!$F$5:$F$123,"\BAIK")</f>
        <v>0</v>
      </c>
      <c r="H133" s="17">
        <v>0</v>
      </c>
      <c r="I133" s="16"/>
    </row>
    <row r="136" spans="2:9">
      <c r="B136" s="15" t="s">
        <v>135</v>
      </c>
    </row>
    <row r="137" spans="2:9" ht="15.75">
      <c r="B137" s="16"/>
      <c r="C137" s="16"/>
      <c r="D137" s="16" t="s">
        <v>124</v>
      </c>
      <c r="E137" s="16" t="s">
        <v>114</v>
      </c>
      <c r="F137" s="16" t="s">
        <v>111</v>
      </c>
      <c r="G137" s="17" t="s">
        <v>125</v>
      </c>
      <c r="H137" s="16" t="s">
        <v>126</v>
      </c>
    </row>
    <row r="138" spans="2:9" ht="15.75">
      <c r="B138" s="16" t="s">
        <v>127</v>
      </c>
      <c r="C138" s="16"/>
      <c r="D138" s="16">
        <f>COUNTIF('Data Training'!$E$5:$E$123,"BAIK")</f>
        <v>50</v>
      </c>
      <c r="E138" s="16">
        <f>COUNTIFS('Data Training'!$H$5:$H$123,E137,'Data Training'!$E$5:$E$123,"BAIK")</f>
        <v>30</v>
      </c>
      <c r="F138" s="16">
        <f>COUNTIFS('Data Training'!$H$5:$H$123,F137,'Data Training'!$E$5:$E$123,"BAIK")</f>
        <v>20</v>
      </c>
      <c r="G138" s="17">
        <f>((-E138/D138)*IMLOG2(E138/D138))+((-F138/D138)*IMLOG2(F138/D138))</f>
        <v>0.97095059445466747</v>
      </c>
      <c r="H138" s="16"/>
    </row>
    <row r="139" spans="2:9" ht="15.75">
      <c r="B139" s="16" t="s">
        <v>2</v>
      </c>
      <c r="C139" s="16"/>
      <c r="D139" s="16"/>
      <c r="E139" s="16"/>
      <c r="F139" s="16"/>
      <c r="G139" s="17"/>
      <c r="H139" s="26">
        <f>($G$138)-((D140/$D$138)*G140+((D141/$D$138)*G141))</f>
        <v>6.9270784271352137E-2</v>
      </c>
    </row>
    <row r="140" spans="2:9" ht="15.75">
      <c r="B140" s="16"/>
      <c r="C140" s="16" t="s">
        <v>120</v>
      </c>
      <c r="D140" s="16">
        <f>COUNTIFS('Data Training'!$C$5:$C$123,C140,'Data Training'!$E$5:$E$123,"BAIK")</f>
        <v>31</v>
      </c>
      <c r="E140" s="16">
        <f>COUNTIFS('Data Training'!$C$5:$C$123,C140,'Data Training'!$H$5:$H$123,E137,'Data Training'!$E$5:$E$123,"BAIK")</f>
        <v>15</v>
      </c>
      <c r="F140" s="16">
        <f>COUNTIFS('Data Training'!$C$5:$C$123,C140,'Data Training'!$H$5:$H$123,F137,'Data Training'!$E$5:$E$123,"BAIK")</f>
        <v>16</v>
      </c>
      <c r="G140" s="17">
        <f>((-E140/D140)*IMLOG2(E140/D140))+((-F140/D140)*IMLOG2(F140/D140))</f>
        <v>0.99924924799565806</v>
      </c>
      <c r="H140" s="16"/>
    </row>
    <row r="141" spans="2:9" ht="15.75">
      <c r="B141" s="16"/>
      <c r="C141" s="16" t="s">
        <v>121</v>
      </c>
      <c r="D141" s="16">
        <f>COUNTIFS('Data Training'!$C$5:$C$123,C141,'Data Training'!$E$5:$E$123,"BAIK")</f>
        <v>19</v>
      </c>
      <c r="E141" s="16">
        <f>COUNTIFS('Data Training'!$C$5:$C$123,C141,'Data Training'!$H$5:$H$123,$E$31,'Data Training'!$E$5:$E$123,"BAIK")</f>
        <v>15</v>
      </c>
      <c r="F141" s="16">
        <f>COUNTIFS('Data Training'!$C$5:$C$123,C141,'Data Training'!$H$5:$H$123,$F$31,'Data Training'!$E$5:$E$123,"BAIK")</f>
        <v>4</v>
      </c>
      <c r="G141" s="17">
        <f>((-E141/D141)*IMLOG2(E141/D141))+((-F141/D141)*IMLOG2(F141/D141))</f>
        <v>0.74248756954212447</v>
      </c>
      <c r="H141" s="16"/>
    </row>
    <row r="142" spans="2:9" ht="15.75">
      <c r="B142" s="16" t="s">
        <v>128</v>
      </c>
      <c r="C142" s="16"/>
      <c r="D142" s="16"/>
      <c r="E142" s="16"/>
      <c r="F142" s="16"/>
      <c r="G142" s="17"/>
      <c r="H142" s="22">
        <f>($G$138)-((D143/$D$138)*G143+((D144/$D$138)*G144)+((D145/$D$138)*G145)+((D146/$D$138)*G146))</f>
        <v>5.8216328635137815E-2</v>
      </c>
    </row>
    <row r="143" spans="2:9" ht="15.75">
      <c r="B143" s="16"/>
      <c r="C143" s="16" t="s">
        <v>112</v>
      </c>
      <c r="D143" s="16">
        <f>COUNTIFS('Data Training'!$D$5:$D$123,C143,'Data Training'!$E$5:$E$123,"BAIK")</f>
        <v>7</v>
      </c>
      <c r="E143" s="16">
        <f>COUNTIFS('Data Training'!$D$5:$D$123,C143,'Data Training'!$H$5:$H$123,$E$31,'Data Training'!$E$5:$E$123,"BAIK")</f>
        <v>4</v>
      </c>
      <c r="F143" s="16">
        <f>COUNTIFS('Data Training'!$D$5:$D$123,C143,'Data Training'!$H$5:$H$123,$F$31,'Data Training'!$E$5:$E$123,"BAIK")</f>
        <v>3</v>
      </c>
      <c r="G143" s="17">
        <f t="shared" ref="G143:G145" si="9">((-E143/D143)*IMLOG2(E143/D143))+((-F143/D143)*IMLOG2(F143/D143))</f>
        <v>0.9852281360342523</v>
      </c>
      <c r="H143" s="16"/>
    </row>
    <row r="144" spans="2:9" ht="15.75">
      <c r="B144" s="16"/>
      <c r="C144" s="16" t="s">
        <v>110</v>
      </c>
      <c r="D144" s="16">
        <f>COUNTIFS('Data Training'!$D$5:$D$123,C144,'Data Training'!$E$5:$E$123,"BAIK")</f>
        <v>24</v>
      </c>
      <c r="E144" s="16">
        <f>COUNTIFS('Data Training'!$D$5:$D$123,C144,'Data Training'!$H$5:$H$123,$E$31,'Data Training'!$E$5:$E$123,"BAIK")</f>
        <v>17</v>
      </c>
      <c r="F144" s="16">
        <f>COUNTIFS('Data Training'!$D$5:$D$123,C144,'Data Training'!$H$5:$H$123,$F$31,'Data Training'!$E$5:$E$123,"BAIK")</f>
        <v>7</v>
      </c>
      <c r="G144" s="17">
        <f t="shared" si="9"/>
        <v>0.87086446923536409</v>
      </c>
      <c r="H144" s="16"/>
    </row>
    <row r="145" spans="2:9" ht="15.75">
      <c r="B145" s="16"/>
      <c r="C145" s="16" t="s">
        <v>109</v>
      </c>
      <c r="D145" s="16">
        <f>COUNTIFS('Data Training'!$D$5:$D$123,C145,'Data Training'!$E$5:$E$123,"BAIK")</f>
        <v>18</v>
      </c>
      <c r="E145" s="16">
        <f>COUNTIFS('Data Training'!$D$5:$D$123,C145,'Data Training'!$H$5:$H$123,$E$31,'Data Training'!$E$5:$E$123,"BAIK")</f>
        <v>8</v>
      </c>
      <c r="F145" s="16">
        <f>COUNTIFS('Data Training'!$D$5:$D$123,C145,'Data Training'!$H$5:$H$123,$F$31,'Data Training'!$E$5:$E$123,"BAIK")</f>
        <v>10</v>
      </c>
      <c r="G145" s="17">
        <f t="shared" si="9"/>
        <v>0.99107605983822111</v>
      </c>
      <c r="H145" s="16"/>
    </row>
    <row r="146" spans="2:9" ht="15.75">
      <c r="B146" s="16"/>
      <c r="C146" s="16" t="s">
        <v>113</v>
      </c>
      <c r="D146" s="16">
        <f>COUNTIFS('Data Training'!$D$5:$D$123,C146,'Data Training'!$E$5:$E$123,"BAIK")</f>
        <v>1</v>
      </c>
      <c r="E146" s="16">
        <f>COUNTIFS('Data Training'!$D$5:$D$123,C146,'Data Training'!$H$5:$H$123,$E$31,'Data Training'!$E$5:$E$123,"BAIK")</f>
        <v>1</v>
      </c>
      <c r="F146" s="16">
        <f>COUNTIFS('Data Training'!$D$5:$D$123,C146,'Data Training'!$H$5:$H$123,$F$31,'Data Training'!$E$5:$E$123,"BAIK")</f>
        <v>0</v>
      </c>
      <c r="G146" s="17">
        <v>0</v>
      </c>
      <c r="H146" s="16"/>
    </row>
    <row r="147" spans="2:9" ht="15.75">
      <c r="B147" s="16" t="s">
        <v>130</v>
      </c>
      <c r="C147" s="16"/>
      <c r="D147" s="16"/>
      <c r="E147" s="16"/>
      <c r="F147" s="16"/>
      <c r="G147" s="17"/>
      <c r="H147" s="22">
        <f>($G$138)-((D148/$D$138)*G148+((D149/$D$138)*G149)+((D150/$D$138)*G150)+((D151/$D$138)*G151))</f>
        <v>3.0549443751723415E-2</v>
      </c>
    </row>
    <row r="148" spans="2:9" ht="15.75">
      <c r="B148" s="16"/>
      <c r="C148" s="16" t="s">
        <v>112</v>
      </c>
      <c r="D148" s="16">
        <f>COUNTIFS('Data Training'!$F$5:$F$123,C148,'Data Training'!$E$5:$E$123,"BAIK")</f>
        <v>15</v>
      </c>
      <c r="E148" s="16">
        <f>COUNTIFS('Data Training'!$F$5:$F$123,C148,'Data Training'!$H$5:$H$123,$E$31,'Data Training'!$E$5:$E$123,"BAIK")</f>
        <v>9</v>
      </c>
      <c r="F148" s="16">
        <f>COUNTIFS('Data Training'!$F$5:$F$123,C148,'Data Training'!$H$5:$H$123,$F$31,'Data Training'!$E$5:$E$123,"BAIK")</f>
        <v>6</v>
      </c>
      <c r="G148" s="17">
        <f t="shared" ref="G148:G151" si="10">((-E148/D148)*IMLOG2(E148/D148))+((-F148/D148)*IMLOG2(F148/D148))</f>
        <v>0.97095059445466747</v>
      </c>
      <c r="H148" s="16"/>
    </row>
    <row r="149" spans="2:9" ht="15.75">
      <c r="B149" s="16"/>
      <c r="C149" s="16" t="s">
        <v>110</v>
      </c>
      <c r="D149" s="16">
        <f>COUNTIFS('Data Training'!$F$5:$F$123,C149,'Data Training'!$E$5:$E$123,"BAIK")</f>
        <v>20</v>
      </c>
      <c r="E149" s="16">
        <f>COUNTIFS('Data Training'!$F$5:$F$123,C149,'Data Training'!$H$5:$H$123,$E$31,'Data Training'!$E$5:$E$123,"BAIK")</f>
        <v>13</v>
      </c>
      <c r="F149" s="16">
        <f>COUNTIFS('Data Training'!$F$5:$F$123,C149,'Data Training'!$H$5:$H$123,$F$31,'Data Training'!$E$5:$E$123,"BAIK")</f>
        <v>7</v>
      </c>
      <c r="G149" s="17">
        <f t="shared" si="10"/>
        <v>0.93406805537549153</v>
      </c>
      <c r="H149" s="16"/>
    </row>
    <row r="150" spans="2:9" ht="15.75">
      <c r="B150" s="16"/>
      <c r="C150" s="16" t="s">
        <v>109</v>
      </c>
      <c r="D150" s="16">
        <f>COUNTIFS('Data Training'!$F$5:$F$123,C150,'Data Training'!$E$5:$E$123,"BAIK")</f>
        <v>9</v>
      </c>
      <c r="E150" s="16">
        <f>COUNTIFS('Data Training'!$F$5:$F$123,C150,'Data Training'!$H$5:$H$123,$E$31,'Data Training'!$E$5:$E$123,"BAIK")</f>
        <v>6</v>
      </c>
      <c r="F150" s="16">
        <f>COUNTIFS('Data Training'!$F$5:$F$123,C150,'Data Training'!$H$5:$H$123,$F$31,'Data Training'!$E$5:$E$123,"BAIK")</f>
        <v>3</v>
      </c>
      <c r="G150" s="17">
        <f t="shared" si="10"/>
        <v>0.91829583405449056</v>
      </c>
      <c r="H150" s="16"/>
    </row>
    <row r="151" spans="2:9" ht="15.75">
      <c r="B151" s="16"/>
      <c r="C151" s="16" t="s">
        <v>113</v>
      </c>
      <c r="D151" s="16">
        <f>COUNTIFS('Data Training'!$F$5:$F$123,C151,'Data Training'!$E$5:$E$123,"BAIK")</f>
        <v>6</v>
      </c>
      <c r="E151" s="16">
        <f>COUNTIFS('Data Training'!$F$5:$F$123,C151,'Data Training'!$H$5:$H$123,$E$31,'Data Training'!$E$5:$E$123,"BAIK")</f>
        <v>2</v>
      </c>
      <c r="F151" s="16">
        <f>COUNTIFS('Data Training'!$F$5:$F$123,C151,'Data Training'!$H$5:$H$123,$F$31,'Data Training'!$E$5:$E$123,"BAIK")</f>
        <v>4</v>
      </c>
      <c r="G151" s="17">
        <f t="shared" si="10"/>
        <v>0.91829583405449056</v>
      </c>
      <c r="H151" s="16"/>
    </row>
    <row r="152" spans="2:9" ht="15.75">
      <c r="B152" s="16" t="s">
        <v>131</v>
      </c>
      <c r="C152" s="16"/>
      <c r="D152" s="16"/>
      <c r="E152" s="16"/>
      <c r="F152" s="16"/>
      <c r="G152" s="17"/>
      <c r="H152" s="22">
        <f>($G$138)-((D153/$D$138)*G153+((D154/$D$138)*G154)+((D155/$D$138)*G155)+((D156/$D$138)*G156))</f>
        <v>2.4664440457704773E-2</v>
      </c>
    </row>
    <row r="153" spans="2:9" ht="15.75">
      <c r="B153" s="16"/>
      <c r="C153" s="16" t="s">
        <v>112</v>
      </c>
      <c r="D153" s="16">
        <f>COUNTIFS('Data Training'!$G$5:$G$123,C153,'Data Training'!$E$5:$E$123,"BAIK")</f>
        <v>13</v>
      </c>
      <c r="E153" s="16">
        <f>COUNTIFS('Data Training'!$G$5:$G$123,C153,'Data Training'!$H$5:$H$123,$E$31,'Data Training'!$E$5:$E$123,"BAIK")</f>
        <v>6</v>
      </c>
      <c r="F153" s="16">
        <f>COUNTIFS('Data Training'!$G$5:$G$123,C153,'Data Training'!$H$5:$H$123,$F$31,'Data Training'!$E$5:$E$123,"BAIK")</f>
        <v>7</v>
      </c>
      <c r="G153" s="17">
        <f t="shared" ref="G153:G156" si="11">((-E153/D153)*IMLOG2(E153/D153))+((-F153/D153)*IMLOG2(F153/D153))</f>
        <v>0.99572745208492741</v>
      </c>
      <c r="H153" s="16"/>
    </row>
    <row r="154" spans="2:9" ht="15.75">
      <c r="B154" s="16"/>
      <c r="C154" s="16" t="s">
        <v>110</v>
      </c>
      <c r="D154" s="16">
        <f>COUNTIFS('Data Training'!$G$5:$G$123,C154,'Data Training'!$E$5:$E$123,"BAIK")</f>
        <v>28</v>
      </c>
      <c r="E154" s="16">
        <f>COUNTIFS('Data Training'!$G$5:$G$123,C154,'Data Training'!$H$5:$H$123,$E$31,'Data Training'!$E$5:$E$123,"BAIK")</f>
        <v>18</v>
      </c>
      <c r="F154" s="16">
        <f>COUNTIFS('Data Training'!$G$5:$G$123,C154,'Data Training'!$H$5:$H$123,$F$31,'Data Training'!$E$5:$E$123,"BAIK")</f>
        <v>10</v>
      </c>
      <c r="G154" s="17">
        <f t="shared" si="11"/>
        <v>0.94028595867063069</v>
      </c>
      <c r="H154" s="16"/>
    </row>
    <row r="155" spans="2:9" ht="15.75">
      <c r="B155" s="16"/>
      <c r="C155" s="16" t="s">
        <v>109</v>
      </c>
      <c r="D155" s="16">
        <f>COUNTIFS('Data Training'!$G$5:$G$123,C155,'Data Training'!$E$5:$E$123,"BAIK")</f>
        <v>7</v>
      </c>
      <c r="E155" s="16">
        <f>COUNTIFS('Data Training'!$G$5:$G$123,C155,'Data Training'!$H$5:$H$123,$E$31,'Data Training'!$E$5:$E$123,"BAIK")</f>
        <v>5</v>
      </c>
      <c r="F155" s="16">
        <f>COUNTIFS('Data Training'!$G$5:$G$123,C155,'Data Training'!$H$5:$H$123,$F$31,'Data Training'!$E$5:$E$123,"BAIK")</f>
        <v>2</v>
      </c>
      <c r="G155" s="17">
        <f t="shared" si="11"/>
        <v>0.86312056856663</v>
      </c>
      <c r="H155" s="16"/>
    </row>
    <row r="156" spans="2:9" ht="15.75">
      <c r="B156" s="16"/>
      <c r="C156" s="16" t="s">
        <v>113</v>
      </c>
      <c r="D156" s="16">
        <f>COUNTIFS('Data Training'!$G$5:$G$123,C156,'Data Training'!$E$5:$E$123,"BAIK")</f>
        <v>2</v>
      </c>
      <c r="E156" s="16">
        <f>COUNTIFS('Data Training'!$G$5:$G$123,C156,'Data Training'!$H$5:$H$123,$E$31,'Data Training'!$E$5:$E$123,"BAIK")</f>
        <v>1</v>
      </c>
      <c r="F156" s="16">
        <f>COUNTIFS('Data Training'!$G$5:$G$123,C156,'Data Training'!$H$5:$H$123,$F$31,'Data Training'!$E$5:$E$123,"BAIK")</f>
        <v>1</v>
      </c>
      <c r="G156" s="17">
        <f t="shared" si="11"/>
        <v>1</v>
      </c>
      <c r="H156" s="16"/>
    </row>
    <row r="157" spans="2:9" ht="15.75">
      <c r="B157" s="23"/>
      <c r="C157" s="23"/>
      <c r="D157" s="23"/>
      <c r="E157" s="23"/>
      <c r="F157" s="23"/>
      <c r="G157" s="24"/>
      <c r="H157" s="23"/>
    </row>
    <row r="158" spans="2:9" ht="15.75">
      <c r="B158" s="23"/>
      <c r="C158" s="15" t="s">
        <v>143</v>
      </c>
    </row>
    <row r="159" spans="2:9" ht="15.75">
      <c r="B159" s="23"/>
      <c r="C159" s="16"/>
      <c r="D159" s="16"/>
      <c r="E159" s="16" t="s">
        <v>124</v>
      </c>
      <c r="F159" s="16" t="s">
        <v>114</v>
      </c>
      <c r="G159" s="16" t="s">
        <v>111</v>
      </c>
      <c r="H159" s="17" t="s">
        <v>125</v>
      </c>
      <c r="I159" s="16" t="s">
        <v>126</v>
      </c>
    </row>
    <row r="160" spans="2:9" ht="15.75">
      <c r="B160" s="23"/>
      <c r="C160" s="16" t="s">
        <v>127</v>
      </c>
      <c r="D160" s="16"/>
      <c r="E160" s="16">
        <f>COUNTIFS('Data Training'!$E$5:$E$123,"BAIK",'Data Training'!$C$5:$C$123,"LAKI-LAKI")</f>
        <v>31</v>
      </c>
      <c r="F160" s="16">
        <f>COUNTIFS('Data Training'!$H$5:$H$123,F159,'Data Training'!$E$5:$E$123,"BAIK",'Data Training'!$C$5:$C$123,"LAKI-LAKI")</f>
        <v>15</v>
      </c>
      <c r="G160" s="16">
        <f>COUNTIFS('Data Training'!$H$5:$H$123,G159,'Data Training'!$E$5:$E$123,"BAIK",'Data Training'!$C$5:$C$123,"LAKI-LAKI")</f>
        <v>16</v>
      </c>
      <c r="H160" s="17">
        <f>((-F160/E160)*IMLOG2(F160/E160))+((-G160/E160)*IMLOG2(G160/E160))</f>
        <v>0.99924924799565806</v>
      </c>
      <c r="I160" s="16"/>
    </row>
    <row r="161" spans="2:9" ht="15.75">
      <c r="B161" s="23"/>
      <c r="C161" s="16" t="s">
        <v>128</v>
      </c>
      <c r="D161" s="16"/>
      <c r="E161" s="16"/>
      <c r="F161" s="16"/>
      <c r="G161" s="16"/>
      <c r="H161" s="17"/>
      <c r="I161" s="26">
        <f>($H$160)-((E162/$E$160)*H162+((E163/$E$160)*H163)+((E164/$E$160)*H164)+((E165/$E$160)*H165))</f>
        <v>7.5633134288466852E-2</v>
      </c>
    </row>
    <row r="162" spans="2:9" ht="15.75">
      <c r="B162" s="23"/>
      <c r="C162" s="16"/>
      <c r="D162" s="16" t="s">
        <v>112</v>
      </c>
      <c r="E162" s="16">
        <f>COUNTIFS('Data Training'!$D$5:$D$123,D162,'Data Training'!$E$5:$E$123,"BAIK",'Data Training'!$C$5:$C$123,"LAKI-LAKI")</f>
        <v>4</v>
      </c>
      <c r="F162" s="16">
        <f>COUNTIFS('Data Training'!$D$5:$D$123,D162,'Data Training'!$H$5:$H$123,$E$31,'Data Training'!$E$5:$E$123,"BAIK",'Data Training'!$C$5:$C$123,"LAKI-LAKI")</f>
        <v>2</v>
      </c>
      <c r="G162" s="16">
        <f>COUNTIFS('Data Training'!$D$5:$D$123,D162,'Data Training'!$H$5:$H$123,$F$31,'Data Training'!$E$5:$E$123,"BAIK",'Data Training'!$C$5:$C$123,"LAKI-LAKI")</f>
        <v>2</v>
      </c>
      <c r="H162" s="17">
        <f t="shared" ref="H162" si="12">((-F162/E162)*IMLOG2(F162/E162))+((-G162/E162)*IMLOG2(G162/E162))</f>
        <v>1</v>
      </c>
      <c r="I162" s="16"/>
    </row>
    <row r="163" spans="2:9" ht="15.75">
      <c r="B163" s="23"/>
      <c r="C163" s="16"/>
      <c r="D163" s="16" t="s">
        <v>110</v>
      </c>
      <c r="E163" s="16">
        <f>COUNTIFS('Data Training'!$D$5:$D$123,D163,'Data Training'!$E$5:$E$123,"BAIK",'Data Training'!$C$5:$C$123,"LAKI-LAKI")</f>
        <v>16</v>
      </c>
      <c r="F163" s="16">
        <f>COUNTIFS('Data Training'!$D$5:$D$123,D163,'Data Training'!$H$5:$H$123,$E$31,'Data Training'!$E$5:$E$123,"BAIK",'Data Training'!$C$5:$C$123,"LAKI-LAKI")</f>
        <v>9</v>
      </c>
      <c r="G163" s="16">
        <f>COUNTIFS('Data Training'!$D$5:$D$123,D163,'Data Training'!$H$5:$H$123,$F$31,'Data Training'!$E$5:$E$123,"BAIK",'Data Training'!$C$5:$C$123,"LAKI-LAKI")</f>
        <v>7</v>
      </c>
      <c r="H163" s="17">
        <f t="shared" ref="H163:H164" si="13">((-F163/E163)*IMLOG2(F163/E163))+((-G163/E163)*IMLOG2(G163/E163))</f>
        <v>0.98869940828849945</v>
      </c>
      <c r="I163" s="16"/>
    </row>
    <row r="164" spans="2:9" ht="15.75">
      <c r="B164" s="23"/>
      <c r="C164" s="16"/>
      <c r="D164" s="16" t="s">
        <v>109</v>
      </c>
      <c r="E164" s="16">
        <f>COUNTIFS('Data Training'!$D$5:$D$123,D164,'Data Training'!$E$5:$E$123,"BAIK",'Data Training'!$C$5:$C$123,"LAKI-LAKI")</f>
        <v>10</v>
      </c>
      <c r="F164" s="16">
        <f>COUNTIFS('Data Training'!$D$5:$D$123,D164,'Data Training'!$H$5:$H$123,$E$31,'Data Training'!$E$5:$E$123,"BAIK",'Data Training'!$C$5:$C$123,"LAKI-LAKI")</f>
        <v>3</v>
      </c>
      <c r="G164" s="16">
        <f>COUNTIFS('Data Training'!$D$5:$D$123,D164,'Data Training'!$H$5:$H$123,$F$31,'Data Training'!$E$5:$E$123,"BAIK",'Data Training'!$C$5:$C$123,"LAKI-LAKI")</f>
        <v>7</v>
      </c>
      <c r="H164" s="17">
        <f t="shared" si="13"/>
        <v>0.88129089923069359</v>
      </c>
      <c r="I164" s="16"/>
    </row>
    <row r="165" spans="2:9" ht="15.75">
      <c r="B165" s="23"/>
      <c r="C165" s="16"/>
      <c r="D165" s="16" t="s">
        <v>113</v>
      </c>
      <c r="E165" s="16">
        <f>COUNTIFS('Data Training'!$D$5:$D$123,D165,'Data Training'!$E$5:$E$123,"BAIK",'Data Training'!$C$5:$C$123,"LAKI-LAKI")</f>
        <v>1</v>
      </c>
      <c r="F165" s="16">
        <f>COUNTIFS('Data Training'!$D$5:$D$123,D165,'Data Training'!$H$5:$H$123,$E$31,'Data Training'!$E$5:$E$123,"BAIK",'Data Training'!$C$5:$C$123,"LAKI-LAKI")</f>
        <v>1</v>
      </c>
      <c r="G165" s="16">
        <f>COUNTIFS('Data Training'!$D$5:$D$123,D165,'Data Training'!$H$5:$H$123,$F$31,'Data Training'!$E$5:$E$123,"BAIK",'Data Training'!$C$5:$C$123,"LAKI-LAKI")</f>
        <v>0</v>
      </c>
      <c r="H165" s="17">
        <v>0</v>
      </c>
      <c r="I165" s="16"/>
    </row>
    <row r="166" spans="2:9" ht="15.75">
      <c r="B166" s="23"/>
      <c r="C166" s="16" t="s">
        <v>130</v>
      </c>
      <c r="D166" s="16"/>
      <c r="E166" s="16"/>
      <c r="F166" s="16"/>
      <c r="G166" s="16"/>
      <c r="H166" s="17"/>
      <c r="I166" s="22">
        <f>($H$160)-((E167/$E$160)*H167+((E168/$E$160)*H168)+((E169/$E$160)*H169)+((E170/$E$160)*H170))</f>
        <v>6.2335623891983549E-2</v>
      </c>
    </row>
    <row r="167" spans="2:9" ht="15.75">
      <c r="B167" s="23"/>
      <c r="C167" s="16"/>
      <c r="D167" s="16" t="s">
        <v>112</v>
      </c>
      <c r="E167" s="16">
        <f>COUNTIFS('Data Training'!$F$5:$F$123,D167,'Data Training'!$E$5:$E$123,"BAIK",'Data Training'!$C$5:$C$123,"LAKI-LAKI")</f>
        <v>8</v>
      </c>
      <c r="F167" s="16">
        <f>COUNTIFS('Data Training'!$F$5:$F$123,D167,'Data Training'!$H$5:$H$123,$E$31,'Data Training'!$E$5:$E$123,"BAIK",'Data Training'!$C$5:$C$123,"LAKI-LAKI")</f>
        <v>3</v>
      </c>
      <c r="G167" s="16">
        <f>COUNTIFS('Data Training'!$F$5:$F$123,D167,'Data Training'!$H$5:$H$123,$F$31,'Data Training'!$E$5:$E$123,"BAIK",'Data Training'!$C$5:$C$123,"LAKI-LAKI")</f>
        <v>5</v>
      </c>
      <c r="H167" s="17">
        <f t="shared" ref="H167:H170" si="14">((-F167/E167)*IMLOG2(F167/E167))+((-G167/E167)*IMLOG2(G167/E167))</f>
        <v>0.95443400292496372</v>
      </c>
      <c r="I167" s="16"/>
    </row>
    <row r="168" spans="2:9" ht="15.75">
      <c r="B168" s="23"/>
      <c r="C168" s="16"/>
      <c r="D168" s="16" t="s">
        <v>110</v>
      </c>
      <c r="E168" s="16">
        <f>COUNTIFS('Data Training'!$F$5:$F$123,D168,'Data Training'!$E$5:$E$123,"BAIK",'Data Training'!$C$5:$C$123,"LAKI-LAKI")</f>
        <v>13</v>
      </c>
      <c r="F168" s="16">
        <f>COUNTIFS('Data Training'!$F$5:$F$123,D168,'Data Training'!$H$5:$H$123,$E$31,'Data Training'!$E$5:$E$123,"BAIK",'Data Training'!$C$5:$C$123,"LAKI-LAKI")</f>
        <v>6</v>
      </c>
      <c r="G168" s="16">
        <f>COUNTIFS('Data Training'!$F$5:$F$123,D168,'Data Training'!$H$5:$H$123,$F$31,'Data Training'!$E$5:$E$123,"BAIK",'Data Training'!$C$5:$C$123,"LAKI-LAKI")</f>
        <v>7</v>
      </c>
      <c r="H168" s="17">
        <f t="shared" si="14"/>
        <v>0.99572745208492741</v>
      </c>
      <c r="I168" s="16"/>
    </row>
    <row r="169" spans="2:9" ht="15.75">
      <c r="B169" s="23"/>
      <c r="C169" s="16"/>
      <c r="D169" s="16" t="s">
        <v>109</v>
      </c>
      <c r="E169" s="16">
        <f>COUNTIFS('Data Training'!$F$5:$F$123,D169,'Data Training'!$E$5:$E$123,"BAIK",'Data Training'!$C$5:$C$123,"LAKI-LAKI")</f>
        <v>5</v>
      </c>
      <c r="F169" s="16">
        <f>COUNTIFS('Data Training'!$F$5:$F$123,D169,'Data Training'!$H$5:$H$123,$E$31,'Data Training'!$E$5:$E$123,"BAIK",'Data Training'!$C$5:$C$123,"LAKI-LAKI")</f>
        <v>4</v>
      </c>
      <c r="G169" s="16">
        <f>COUNTIFS('Data Training'!$F$5:$F$123,D169,'Data Training'!$H$5:$H$123,$F$31,'Data Training'!$E$5:$E$123,"BAIK",'Data Training'!$C$5:$C$123,"LAKI-LAKI")</f>
        <v>1</v>
      </c>
      <c r="H169" s="17">
        <f t="shared" si="14"/>
        <v>0.72192809488736165</v>
      </c>
      <c r="I169" s="16"/>
    </row>
    <row r="170" spans="2:9" ht="15.75">
      <c r="B170" s="23"/>
      <c r="C170" s="16"/>
      <c r="D170" s="16" t="s">
        <v>113</v>
      </c>
      <c r="E170" s="16">
        <f>COUNTIFS('Data Training'!$F$5:$F$123,D170,'Data Training'!$E$5:$E$123,"BAIK",'Data Training'!$C$5:$C$123,"LAKI-LAKI")</f>
        <v>5</v>
      </c>
      <c r="F170" s="16">
        <f>COUNTIFS('Data Training'!$F$5:$F$123,D170,'Data Training'!$H$5:$H$123,$E$31,'Data Training'!$E$5:$E$123,"BAIK",'Data Training'!$C$5:$C$123,"LAKI-LAKI")</f>
        <v>2</v>
      </c>
      <c r="G170" s="16">
        <f>COUNTIFS('Data Training'!$F$5:$F$123,D170,'Data Training'!$H$5:$H$123,$F$31,'Data Training'!$E$5:$E$123,"BAIK",'Data Training'!$C$5:$C$123,"LAKI-LAKI")</f>
        <v>3</v>
      </c>
      <c r="H170" s="17">
        <f t="shared" si="14"/>
        <v>0.97095059445466747</v>
      </c>
      <c r="I170" s="16"/>
    </row>
    <row r="171" spans="2:9" ht="15.75">
      <c r="B171" s="23"/>
      <c r="C171" s="16" t="s">
        <v>131</v>
      </c>
      <c r="D171" s="16"/>
      <c r="E171" s="16"/>
      <c r="F171" s="16"/>
      <c r="G171" s="16"/>
      <c r="H171" s="17"/>
      <c r="I171" s="22">
        <f>($H$160)-((E172/$E$160)*H172+((E173/$E$160)*H173)+((E174/$E$160)*H174)+((E175/$E$160)*H175))</f>
        <v>2.5202239767058598E-2</v>
      </c>
    </row>
    <row r="172" spans="2:9" ht="15.75">
      <c r="B172" s="23"/>
      <c r="C172" s="16"/>
      <c r="D172" s="16" t="s">
        <v>112</v>
      </c>
      <c r="E172" s="16">
        <f>COUNTIFS('Data Training'!$G$5:$G$123,D172,'Data Training'!$E$5:$E$123,"BAIK",'Data Training'!$C$5:$C$123,"LAKI-LAKI")</f>
        <v>11</v>
      </c>
      <c r="F172" s="16">
        <f>COUNTIFS('Data Training'!$G$5:$G$123,D172,'Data Training'!$H$5:$H$123,$E$31,'Data Training'!$E$5:$E$123,"BAIK",'Data Training'!$C$5:$C$123,"LAKI-LAKI")</f>
        <v>4</v>
      </c>
      <c r="G172" s="16">
        <f>COUNTIFS('Data Training'!$G$5:$G$123,D172,'Data Training'!$H$5:$H$123,$F$31,'Data Training'!$E$5:$E$123,"BAIK",'Data Training'!$C$5:$C$123,"LAKI-LAKI")</f>
        <v>7</v>
      </c>
      <c r="H172" s="17">
        <f t="shared" ref="H172:H175" si="15">((-F172/E172)*IMLOG2(F172/E172))+((-G172/E172)*IMLOG2(G172/E172))</f>
        <v>0.9456603046006411</v>
      </c>
      <c r="I172" s="16"/>
    </row>
    <row r="173" spans="2:9" ht="15.75">
      <c r="B173" s="23"/>
      <c r="C173" s="16"/>
      <c r="D173" s="16" t="s">
        <v>110</v>
      </c>
      <c r="E173" s="16">
        <f>COUNTIFS('Data Training'!$G$5:$G$123,D173,'Data Training'!$E$5:$E$123,"BAIK",'Data Training'!$C$5:$C$123,"LAKI-LAKI")</f>
        <v>14</v>
      </c>
      <c r="F173" s="16">
        <f>COUNTIFS('Data Training'!$G$5:$G$123,D173,'Data Training'!$H$5:$H$123,$E$31,'Data Training'!$E$5:$E$123,"BAIK",'Data Training'!$C$5:$C$123,"LAKI-LAKI")</f>
        <v>8</v>
      </c>
      <c r="G173" s="16">
        <f>COUNTIFS('Data Training'!$G$5:$G$123,D173,'Data Training'!$H$5:$H$123,$F$31,'Data Training'!$E$5:$E$123,"BAIK",'Data Training'!$C$5:$C$123,"LAKI-LAKI")</f>
        <v>6</v>
      </c>
      <c r="H173" s="17">
        <f t="shared" si="15"/>
        <v>0.9852281360342523</v>
      </c>
      <c r="I173" s="16"/>
    </row>
    <row r="174" spans="2:9" ht="15.75">
      <c r="B174" s="23"/>
      <c r="C174" s="16"/>
      <c r="D174" s="16" t="s">
        <v>109</v>
      </c>
      <c r="E174" s="16">
        <f>COUNTIFS('Data Training'!$G$5:$G$123,D174,'Data Training'!$E$5:$E$123,"BAIK",'Data Training'!$C$5:$C$123,"LAKI-LAKI")</f>
        <v>4</v>
      </c>
      <c r="F174" s="16">
        <f>COUNTIFS('Data Training'!$G$5:$G$123,D174,'Data Training'!$H$5:$H$123,$E$31,'Data Training'!$E$5:$E$123,"BAIK",'Data Training'!$C$5:$C$123,"LAKI-LAKI")</f>
        <v>2</v>
      </c>
      <c r="G174" s="16">
        <f>COUNTIFS('Data Training'!$G$5:$G$123,D174,'Data Training'!$H$5:$H$123,$F$31,'Data Training'!$E$5:$E$123,"BAIK",'Data Training'!$C$5:$C$123,"LAKI-LAKI")</f>
        <v>2</v>
      </c>
      <c r="H174" s="17">
        <f t="shared" si="15"/>
        <v>1</v>
      </c>
      <c r="I174" s="16"/>
    </row>
    <row r="175" spans="2:9" ht="15.75">
      <c r="B175" s="23"/>
      <c r="C175" s="16"/>
      <c r="D175" s="16" t="s">
        <v>113</v>
      </c>
      <c r="E175" s="16">
        <f>COUNTIFS('Data Training'!$G$5:$G$123,D175,'Data Training'!$E$5:$E$123,"BAIK",'Data Training'!$C$5:$C$123,"LAKI-LAKI")</f>
        <v>2</v>
      </c>
      <c r="F175" s="16">
        <f>COUNTIFS('Data Training'!$G$5:$G$123,D175,'Data Training'!$H$5:$H$123,$E$31,'Data Training'!$E$5:$E$123,"BAIK",'Data Training'!$C$5:$C$123,"LAKI-LAKI")</f>
        <v>1</v>
      </c>
      <c r="G175" s="16">
        <f>COUNTIFS('Data Training'!$G$5:$G$123,D175,'Data Training'!$H$5:$H$123,$F$31,'Data Training'!$E$5:$E$123,"BAIK",'Data Training'!$C$5:$C$123,"LAKI-LAKI")</f>
        <v>1</v>
      </c>
      <c r="H175" s="17">
        <f t="shared" si="15"/>
        <v>1</v>
      </c>
      <c r="I175" s="16"/>
    </row>
    <row r="176" spans="2:9" ht="15.75">
      <c r="B176" s="23"/>
      <c r="C176" s="23"/>
      <c r="D176" s="23"/>
      <c r="E176" s="23"/>
      <c r="F176" s="23"/>
      <c r="G176" s="24"/>
      <c r="H176" s="23"/>
    </row>
    <row r="177" spans="2:10" ht="15.75">
      <c r="B177" s="23"/>
      <c r="C177" s="23"/>
      <c r="D177" s="23"/>
      <c r="E177" s="23"/>
      <c r="F177" s="23"/>
      <c r="G177" s="24"/>
      <c r="H177" s="23"/>
    </row>
    <row r="178" spans="2:10" ht="15.75">
      <c r="B178" s="23"/>
      <c r="C178" s="23"/>
      <c r="D178" s="15" t="s">
        <v>144</v>
      </c>
    </row>
    <row r="179" spans="2:10" ht="15.75">
      <c r="B179" s="23"/>
      <c r="C179" s="23"/>
      <c r="D179" s="16"/>
      <c r="E179" s="16"/>
      <c r="F179" s="16" t="s">
        <v>124</v>
      </c>
      <c r="G179" s="16" t="s">
        <v>114</v>
      </c>
      <c r="H179" s="16" t="s">
        <v>111</v>
      </c>
      <c r="I179" s="17" t="s">
        <v>125</v>
      </c>
      <c r="J179" s="16" t="s">
        <v>126</v>
      </c>
    </row>
    <row r="180" spans="2:10" ht="15.75">
      <c r="B180" s="23"/>
      <c r="C180" s="23"/>
      <c r="D180" s="16" t="s">
        <v>127</v>
      </c>
      <c r="E180" s="16"/>
      <c r="F180" s="16">
        <f>COUNTIFS('Data Training'!$E$5:$E$123,"BAIK",'Data Training'!$C$5:$C$123,"LAKI-LAKI",'Data Training'!$D$5:$D$123,"SANGAT BAIK")</f>
        <v>4</v>
      </c>
      <c r="G180" s="16">
        <f>COUNTIFS('Data Training'!$H$5:$H$123,G179,'Data Training'!$E$5:$E$123,"BAIK",'Data Training'!$C$5:$C$123,"LAKI-LAKI",'Data Training'!$D$5:$D$123,"SANGAT BAIK")</f>
        <v>2</v>
      </c>
      <c r="H180" s="16">
        <f>COUNTIFS('Data Training'!$H$5:$H$123,H179,'Data Training'!$E$5:$E$123,"BAIK",'Data Training'!$C$5:$C$123,"LAKI-LAKI",'Data Training'!$D$5:$D$123,"SANGAT BAIK")</f>
        <v>2</v>
      </c>
      <c r="I180" s="17">
        <f>((-G180/F180)*IMLOG2(G180/F180))+((-H180/F180)*IMLOG2(H180/F180))</f>
        <v>1</v>
      </c>
      <c r="J180" s="16"/>
    </row>
    <row r="181" spans="2:10" ht="15.75">
      <c r="B181" s="23"/>
      <c r="C181" s="23"/>
      <c r="D181" s="16" t="s">
        <v>130</v>
      </c>
      <c r="E181" s="16"/>
      <c r="F181" s="16"/>
      <c r="G181" s="16"/>
      <c r="H181" s="16"/>
      <c r="I181" s="17"/>
      <c r="J181" s="22">
        <f>($I$180)-((F182/$F$180)*I182+((F183/$F$180)*I183)+((F184/$F$180)*I184)+((F185/$F$180)*I185))</f>
        <v>0.5</v>
      </c>
    </row>
    <row r="182" spans="2:10" ht="15.75">
      <c r="B182" s="23"/>
      <c r="C182" s="23"/>
      <c r="D182" s="16"/>
      <c r="E182" s="16" t="s">
        <v>112</v>
      </c>
      <c r="F182" s="16">
        <f>COUNTIFS('Data Training'!$F$5:$F$123,E182,'Data Training'!$E$5:$E$123,"BAIK",'Data Training'!$C$5:$C$123,"LAKI-LAKI",'Data Training'!$D$5:$D$123,"SANGAT BAIK")</f>
        <v>1</v>
      </c>
      <c r="G182" s="16">
        <f>COUNTIFS('Data Training'!$F$5:$F$123,E182,'Data Training'!$H$5:$H$123,$E$31,'Data Training'!$E$5:$E$123,"BAIK",'Data Training'!$C$5:$C$123,"LAKI-LAKI",'Data Training'!$D$5:$D$123,"SANGAT BAIK")</f>
        <v>0</v>
      </c>
      <c r="H182" s="16">
        <f>COUNTIFS('Data Training'!$F$5:$F$123,E182,'Data Training'!$H$5:$H$123,$F$31,'Data Training'!$E$5:$E$123,"BAIK",'Data Training'!$C$5:$C$123,"LAKI-LAKI",'Data Training'!$D$5:$D$123,"SANGAT BAIK")</f>
        <v>1</v>
      </c>
      <c r="I182" s="17">
        <v>0</v>
      </c>
      <c r="J182" s="16"/>
    </row>
    <row r="183" spans="2:10" ht="15.75">
      <c r="B183" s="23"/>
      <c r="C183" s="23"/>
      <c r="D183" s="16"/>
      <c r="E183" s="16" t="s">
        <v>110</v>
      </c>
      <c r="F183" s="16">
        <f>COUNTIFS('Data Training'!$F$5:$F$123,E183,'Data Training'!$E$5:$E$123,"BAIK",'Data Training'!$C$5:$C$123,"LAKI-LAKI",'Data Training'!$D$5:$D$123,"SANGAT BAIK")</f>
        <v>0</v>
      </c>
      <c r="G183" s="16">
        <f>COUNTIFS('Data Training'!$F$5:$F$123,E183,'Data Training'!$H$5:$H$123,$E$31,'Data Training'!$E$5:$E$123,"BAIK",'Data Training'!$C$5:$C$123,"LAKI-LAKI",'Data Training'!$D$5:$D$123,"SANGAT BAIK")</f>
        <v>0</v>
      </c>
      <c r="H183" s="16">
        <f>COUNTIFS('Data Training'!$F$5:$F$123,E183,'Data Training'!$H$5:$H$123,$F$31,'Data Training'!$E$5:$E$123,"BAIK",'Data Training'!$C$5:$C$123,"LAKI-LAKI",'Data Training'!$D$5:$D$123,"SANGAT BAIK")</f>
        <v>0</v>
      </c>
      <c r="I183" s="17">
        <v>0</v>
      </c>
      <c r="J183" s="16"/>
    </row>
    <row r="184" spans="2:10" ht="15.75">
      <c r="B184" s="23"/>
      <c r="C184" s="23"/>
      <c r="D184" s="16"/>
      <c r="E184" s="16" t="s">
        <v>109</v>
      </c>
      <c r="F184" s="16">
        <f>COUNTIFS('Data Training'!$F$5:$F$123,E184,'Data Training'!$E$5:$E$123,"BAIK",'Data Training'!$C$5:$C$123,"LAKI-LAKI",'Data Training'!$D$5:$D$123,"SANGAT BAIK")</f>
        <v>2</v>
      </c>
      <c r="G184" s="16">
        <f>COUNTIFS('Data Training'!$F$5:$F$123,E184,'Data Training'!$H$5:$H$123,$E$31,'Data Training'!$E$5:$E$123,"BAIK",'Data Training'!$C$5:$C$123,"LAKI-LAKI",'Data Training'!$D$5:$D$123,"SANGAT BAIK")</f>
        <v>1</v>
      </c>
      <c r="H184" s="16">
        <f>COUNTIFS('Data Training'!$F$5:$F$123,E184,'Data Training'!$H$5:$H$123,$F$31,'Data Training'!$E$5:$E$123,"BAIK",'Data Training'!$C$5:$C$123,"LAKI-LAKI",'Data Training'!$D$5:$D$123,"SANGAT BAIK")</f>
        <v>1</v>
      </c>
      <c r="I184" s="17">
        <f t="shared" ref="I184" si="16">((-G184/F184)*IMLOG2(G184/F184))+((-H184/F184)*IMLOG2(H184/F184))</f>
        <v>1</v>
      </c>
      <c r="J184" s="16"/>
    </row>
    <row r="185" spans="2:10" ht="15.75">
      <c r="B185" s="23"/>
      <c r="C185" s="23"/>
      <c r="D185" s="16"/>
      <c r="E185" s="16" t="s">
        <v>113</v>
      </c>
      <c r="F185" s="16">
        <f>COUNTIFS('Data Training'!$F$5:$F$123,E185,'Data Training'!$E$5:$E$123,"BAIK",'Data Training'!$C$5:$C$123,"LAKI-LAKI",'Data Training'!$D$5:$D$123,"SANGAT BAIK")</f>
        <v>1</v>
      </c>
      <c r="G185" s="16">
        <f>COUNTIFS('Data Training'!$F$5:$F$123,E185,'Data Training'!$H$5:$H$123,$E$31,'Data Training'!$E$5:$E$123,"BAIK",'Data Training'!$C$5:$C$123,"LAKI-LAKI",'Data Training'!$D$5:$D$123,"SANGAT BAIK")</f>
        <v>1</v>
      </c>
      <c r="H185" s="16">
        <f>COUNTIFS('Data Training'!$F$5:$F$123,E185,'Data Training'!$H$5:$H$123,$F$31,'Data Training'!$E$5:$E$123,"BAIK",'Data Training'!$C$5:$C$123,"LAKI-LAKI",'Data Training'!$D$5:$D$123,"SANGAT BAIK")</f>
        <v>0</v>
      </c>
      <c r="I185" s="17">
        <v>0</v>
      </c>
      <c r="J185" s="16"/>
    </row>
    <row r="186" spans="2:10" ht="15.75">
      <c r="B186" s="23"/>
      <c r="C186" s="23"/>
      <c r="D186" s="16" t="s">
        <v>131</v>
      </c>
      <c r="E186" s="16"/>
      <c r="F186" s="16"/>
      <c r="G186" s="16"/>
      <c r="H186" s="16"/>
      <c r="I186" s="17"/>
      <c r="J186" s="22">
        <f>($I$180)-((F187/$F$180)*I187+((F188/$F$180)*I188)+((F189/$F$180)*I189)+((F190/$F$180)*I190))</f>
        <v>0.5</v>
      </c>
    </row>
    <row r="187" spans="2:10" ht="15.75">
      <c r="B187" s="23"/>
      <c r="C187" s="23"/>
      <c r="D187" s="16"/>
      <c r="E187" s="16" t="s">
        <v>112</v>
      </c>
      <c r="F187" s="16">
        <f>COUNTIFS('Data Training'!$G$5:$G$123,E187,'Data Training'!$E$5:$E$123,"BAIK",'Data Training'!$C$5:$C$123,"LAKI-LAKI",'Data Training'!$D$5:$D$123,"SANGAT BAIK",'Data Training'!$D$5:$D$123,"SANGAT BAIK")</f>
        <v>1</v>
      </c>
      <c r="G187" s="16">
        <f>COUNTIFS('Data Training'!$G$5:$G$123,E187,'Data Training'!$H$5:$H$123,$E$31,'Data Training'!$E$5:$E$123,"BAIK",'Data Training'!$C$5:$C$123,"LAKI-LAKI",'Data Training'!$D$5:$D$123,"SANGAT BAIK",'Data Training'!$D$5:$D$123,"SANGAT BAIK")</f>
        <v>0</v>
      </c>
      <c r="H187" s="16">
        <f>COUNTIFS('Data Training'!$G$5:$G$123,E187,'Data Training'!$H$5:$H$123,$F$31,'Data Training'!$E$5:$E$123,"BAIK",'Data Training'!$C$5:$C$123,"LAKI-LAKI",'Data Training'!$D$5:$D$123,"SANGAT BAIK",'Data Training'!$D$5:$D$123,"SANGAT BAIK")</f>
        <v>1</v>
      </c>
      <c r="I187" s="17">
        <v>0</v>
      </c>
      <c r="J187" s="16"/>
    </row>
    <row r="188" spans="2:10" ht="15.75">
      <c r="B188" s="23"/>
      <c r="C188" s="23"/>
      <c r="D188" s="16"/>
      <c r="E188" s="16" t="s">
        <v>110</v>
      </c>
      <c r="F188" s="16">
        <f>COUNTIFS('Data Training'!$G$5:$G$123,E188,'Data Training'!$E$5:$E$123,"BAIK",'Data Training'!$C$5:$C$123,"LAKI-LAKI",'Data Training'!$D$5:$D$123,"SANGAT BAIK",'Data Training'!$D$5:$D$123,"SANGAT BAIK")</f>
        <v>2</v>
      </c>
      <c r="G188" s="16">
        <f>COUNTIFS('Data Training'!$G$5:$G$123,E188,'Data Training'!$H$5:$H$123,$E$31,'Data Training'!$E$5:$E$123,"BAIK",'Data Training'!$C$5:$C$123,"LAKI-LAKI",'Data Training'!$D$5:$D$123,"SANGAT BAIK",'Data Training'!$D$5:$D$123,"SANGAT BAIK")</f>
        <v>1</v>
      </c>
      <c r="H188" s="16">
        <f>COUNTIFS('Data Training'!$G$5:$G$123,E188,'Data Training'!$H$5:$H$123,$F$31,'Data Training'!$E$5:$E$123,"BAIK",'Data Training'!$C$5:$C$123,"LAKI-LAKI",'Data Training'!$D$5:$D$123,"SANGAT BAIK",'Data Training'!$D$5:$D$123,"SANGAT BAIK")</f>
        <v>1</v>
      </c>
      <c r="I188" s="17">
        <f t="shared" ref="I188" si="17">((-G188/F188)*IMLOG2(G188/F188))+((-H188/F188)*IMLOG2(H188/F188))</f>
        <v>1</v>
      </c>
      <c r="J188" s="16"/>
    </row>
    <row r="189" spans="2:10" ht="15.75">
      <c r="B189" s="23"/>
      <c r="C189" s="23"/>
      <c r="D189" s="16"/>
      <c r="E189" s="16" t="s">
        <v>109</v>
      </c>
      <c r="F189" s="16">
        <f>COUNTIFS('Data Training'!$G$5:$G$123,E189,'Data Training'!$E$5:$E$123,"BAIK",'Data Training'!$C$5:$C$123,"LAKI-LAKI",'Data Training'!$D$5:$D$123,"SANGAT BAIK",'Data Training'!$D$5:$D$123,"SANGAT BAIK")</f>
        <v>0</v>
      </c>
      <c r="G189" s="16">
        <f>COUNTIFS('Data Training'!$G$5:$G$123,E189,'Data Training'!$H$5:$H$123,$E$31,'Data Training'!$E$5:$E$123,"BAIK",'Data Training'!$C$5:$C$123,"LAKI-LAKI",'Data Training'!$D$5:$D$123,"SANGAT BAIK",'Data Training'!$D$5:$D$123,"SANGAT BAIK")</f>
        <v>0</v>
      </c>
      <c r="H189" s="16">
        <f>COUNTIFS('Data Training'!$G$5:$G$123,E189,'Data Training'!$H$5:$H$123,$F$31,'Data Training'!$E$5:$E$123,"BAIK",'Data Training'!$C$5:$C$123,"LAKI-LAKI",'Data Training'!$D$5:$D$123,"SANGAT BAIK",'Data Training'!$D$5:$D$123,"SANGAT BAIK")</f>
        <v>0</v>
      </c>
      <c r="I189" s="17">
        <v>0</v>
      </c>
      <c r="J189" s="16"/>
    </row>
    <row r="190" spans="2:10" ht="15.75">
      <c r="B190" s="23"/>
      <c r="C190" s="23"/>
      <c r="D190" s="16"/>
      <c r="E190" s="16" t="s">
        <v>113</v>
      </c>
      <c r="F190" s="16">
        <f>COUNTIFS('Data Training'!$G$5:$G$123,E190,'Data Training'!$E$5:$E$123,"BAIK",'Data Training'!$C$5:$C$123,"LAKI-LAKI",'Data Training'!$D$5:$D$123,"SANGAT BAIK",'Data Training'!$D$5:$D$123,"SANGAT BAIK")</f>
        <v>1</v>
      </c>
      <c r="G190" s="16">
        <f>COUNTIFS('Data Training'!$G$5:$G$123,E190,'Data Training'!$H$5:$H$123,$E$31,'Data Training'!$E$5:$E$123,"BAIK",'Data Training'!$C$5:$C$123,"LAKI-LAKI",'Data Training'!$D$5:$D$123,"SANGAT BAIK",'Data Training'!$D$5:$D$123,"SANGAT BAIK")</f>
        <v>1</v>
      </c>
      <c r="H190" s="16">
        <f>COUNTIFS('Data Training'!$G$5:$G$123,E190,'Data Training'!$H$5:$H$123,$F$31,'Data Training'!$E$5:$E$123,"BAIK",'Data Training'!$C$5:$C$123,"LAKI-LAKI",'Data Training'!$D$5:$D$123,"SANGAT BAIK",'Data Training'!$D$5:$D$123,"SANGAT BAIK")</f>
        <v>0</v>
      </c>
      <c r="I190" s="17">
        <v>0</v>
      </c>
      <c r="J190" s="16"/>
    </row>
    <row r="191" spans="2:10" ht="15.75">
      <c r="B191" s="23"/>
      <c r="C191" s="23"/>
      <c r="D191" s="23"/>
      <c r="E191" s="23"/>
      <c r="F191" s="23"/>
      <c r="G191" s="23"/>
      <c r="H191" s="23"/>
      <c r="I191" s="24"/>
      <c r="J191" s="23"/>
    </row>
    <row r="192" spans="2:10" ht="15.75">
      <c r="B192" s="23"/>
      <c r="C192" s="23"/>
      <c r="D192" s="15" t="s">
        <v>145</v>
      </c>
    </row>
    <row r="193" spans="2:13" ht="15.75">
      <c r="B193" s="23"/>
      <c r="C193" s="23"/>
      <c r="D193" s="16"/>
      <c r="E193" s="16"/>
      <c r="F193" s="16" t="s">
        <v>124</v>
      </c>
      <c r="G193" s="16" t="s">
        <v>114</v>
      </c>
      <c r="H193" s="16" t="s">
        <v>111</v>
      </c>
      <c r="I193" s="17" t="s">
        <v>125</v>
      </c>
      <c r="J193" s="16" t="s">
        <v>126</v>
      </c>
    </row>
    <row r="194" spans="2:13" ht="15.75">
      <c r="B194" s="23"/>
      <c r="C194" s="23"/>
      <c r="D194" s="16" t="s">
        <v>127</v>
      </c>
      <c r="E194" s="16"/>
      <c r="F194" s="16">
        <f>COUNTIFS('Data Training'!$E$5:$E$123,"BAIK",'Data Training'!$C$5:$C$123,"LAKI-LAKI",'Data Training'!$D$5:$D$123,"BAIK")</f>
        <v>16</v>
      </c>
      <c r="G194" s="16">
        <f>COUNTIFS('Data Training'!$H$5:$H$123,G193,'Data Training'!$E$5:$E$123,"BAIK",'Data Training'!$C$5:$C$123,"LAKI-LAKI",'Data Training'!$D$5:$D$123,"BAIK")</f>
        <v>9</v>
      </c>
      <c r="H194" s="16">
        <f>COUNTIFS('Data Training'!$H$5:$H$123,H193,'Data Training'!$E$5:$E$123,"BAIK",'Data Training'!$C$5:$C$123,"LAKI-LAKI",'Data Training'!$D$5:$D$123,"BAIK")</f>
        <v>7</v>
      </c>
      <c r="I194" s="17">
        <f>((-G194/F194)*IMLOG2(G194/F194))+((-H194/F194)*IMLOG2(H194/F194))</f>
        <v>0.98869940828849945</v>
      </c>
      <c r="J194" s="16"/>
    </row>
    <row r="195" spans="2:13" ht="15.75">
      <c r="B195" s="23"/>
      <c r="C195" s="23"/>
      <c r="D195" s="16" t="s">
        <v>130</v>
      </c>
      <c r="E195" s="16"/>
      <c r="F195" s="16"/>
      <c r="G195" s="16"/>
      <c r="H195" s="16"/>
      <c r="I195" s="17"/>
      <c r="J195" s="22">
        <f>($I$194)-((F196/$F$194)*I196+((F197/$F$194)*I197)+((F198/$F$194)*I198)+((F199/$F$194)*I199))</f>
        <v>5.7662098773514137E-2</v>
      </c>
    </row>
    <row r="196" spans="2:13" ht="15.75">
      <c r="B196" s="23"/>
      <c r="C196" s="23"/>
      <c r="D196" s="16"/>
      <c r="E196" s="16" t="s">
        <v>112</v>
      </c>
      <c r="F196" s="16">
        <f>COUNTIFS('Data Training'!$F$5:$F$123,E196,'Data Training'!$E$5:$E$123,"BAIK",'Data Training'!$C$5:$C$123,"LAKI-LAKI",'Data Training'!$D$5:$D$123,"BAIK")</f>
        <v>6</v>
      </c>
      <c r="G196" s="16">
        <f>COUNTIFS('Data Training'!$F$5:$F$123,E196,'Data Training'!$H$5:$H$123,$E$31,'Data Training'!$E$5:$E$123,"BAIK",'Data Training'!$C$5:$C$123,"LAKI-LAKI",'Data Training'!$D$5:$D$123,"BAIK")</f>
        <v>3</v>
      </c>
      <c r="H196" s="16">
        <f>COUNTIFS('Data Training'!$F$5:$F$123,E196,'Data Training'!$H$5:$H$123,$F$31,'Data Training'!$E$5:$E$123,"BAIK",'Data Training'!$C$5:$C$123,"LAKI-LAKI",'Data Training'!$D$5:$D$123,"BAIK")</f>
        <v>3</v>
      </c>
      <c r="I196" s="17">
        <f t="shared" ref="I196:I199" si="18">((-G196/F196)*IMLOG2(G196/F196))+((-H196/F196)*IMLOG2(H196/F196))</f>
        <v>1</v>
      </c>
      <c r="J196" s="16"/>
    </row>
    <row r="197" spans="2:13" ht="15.75">
      <c r="B197" s="23"/>
      <c r="C197" s="23"/>
      <c r="D197" s="16"/>
      <c r="E197" s="16" t="s">
        <v>110</v>
      </c>
      <c r="F197" s="16">
        <f>COUNTIFS('Data Training'!$F$5:$F$123,E197,'Data Training'!$E$5:$E$123,"BAIK",'Data Training'!$C$5:$C$123,"LAKI-LAKI",'Data Training'!$D$5:$D$123,"BAIK")</f>
        <v>7</v>
      </c>
      <c r="G197" s="16">
        <f>COUNTIFS('Data Training'!$F$5:$F$123,E197,'Data Training'!$H$5:$H$123,$E$31,'Data Training'!$E$5:$E$123,"BAIK",'Data Training'!$C$5:$C$123,"LAKI-LAKI",'Data Training'!$D$5:$D$123,"BAIK")</f>
        <v>4</v>
      </c>
      <c r="H197" s="16">
        <f>COUNTIFS('Data Training'!$F$5:$F$123,E197,'Data Training'!$H$5:$H$123,$F$31,'Data Training'!$E$5:$E$123,"BAIK",'Data Training'!$C$5:$C$123,"LAKI-LAKI",'Data Training'!$D$5:$D$123,"BAIK")</f>
        <v>3</v>
      </c>
      <c r="I197" s="17">
        <f t="shared" si="18"/>
        <v>0.9852281360342523</v>
      </c>
      <c r="J197" s="16"/>
    </row>
    <row r="198" spans="2:13" ht="15.75">
      <c r="B198" s="23"/>
      <c r="C198" s="23"/>
      <c r="D198" s="16"/>
      <c r="E198" s="16" t="s">
        <v>109</v>
      </c>
      <c r="F198" s="16">
        <f>COUNTIFS('Data Training'!$F$5:$F$123,E198,'Data Training'!$E$5:$E$123,"BAIK",'Data Training'!$C$5:$C$123,"LAKI-LAKI",'Data Training'!$D$5:$D$123,"BAIK")</f>
        <v>1</v>
      </c>
      <c r="G198" s="16">
        <f>COUNTIFS('Data Training'!$F$5:$F$123,E198,'Data Training'!$H$5:$H$123,$E$31,'Data Training'!$E$5:$E$123,"BAIK",'Data Training'!$C$5:$C$123,"LAKI-LAKI",'Data Training'!$D$5:$D$123,"BAIK")</f>
        <v>1</v>
      </c>
      <c r="H198" s="16">
        <f>COUNTIFS('Data Training'!$F$5:$F$123,E198,'Data Training'!$H$5:$H$123,$F$31,'Data Training'!$E$5:$E$123,"BAIK",'Data Training'!$C$5:$C$123,"LAKI-LAKI",'Data Training'!$D$5:$D$123,"BAIK")</f>
        <v>0</v>
      </c>
      <c r="I198" s="17">
        <v>0</v>
      </c>
      <c r="J198" s="16"/>
    </row>
    <row r="199" spans="2:13" ht="15.75">
      <c r="B199" s="23"/>
      <c r="C199" s="23"/>
      <c r="D199" s="16"/>
      <c r="E199" s="16" t="s">
        <v>113</v>
      </c>
      <c r="F199" s="16">
        <f>COUNTIFS('Data Training'!$F$5:$F$123,E199,'Data Training'!$E$5:$E$123,"BAIK",'Data Training'!$C$5:$C$123,"LAKI-LAKI",'Data Training'!$D$5:$D$123,"BAIK")</f>
        <v>2</v>
      </c>
      <c r="G199" s="16">
        <f>COUNTIFS('Data Training'!$F$5:$F$123,E199,'Data Training'!$H$5:$H$123,$E$31,'Data Training'!$E$5:$E$123,"BAIK",'Data Training'!$C$5:$C$123,"LAKI-LAKI",'Data Training'!$D$5:$D$123,"BAIK")</f>
        <v>1</v>
      </c>
      <c r="H199" s="16">
        <f>COUNTIFS('Data Training'!$F$5:$F$123,E199,'Data Training'!$H$5:$H$123,$F$31,'Data Training'!$E$5:$E$123,"BAIK",'Data Training'!$C$5:$C$123,"LAKI-LAKI",'Data Training'!$D$5:$D$123,"BAIK")</f>
        <v>1</v>
      </c>
      <c r="I199" s="17">
        <f t="shared" si="18"/>
        <v>1</v>
      </c>
      <c r="J199" s="16"/>
    </row>
    <row r="200" spans="2:13" ht="15.75">
      <c r="B200" s="23"/>
      <c r="C200" s="23"/>
      <c r="D200" s="16" t="s">
        <v>131</v>
      </c>
      <c r="E200" s="16"/>
      <c r="F200" s="16"/>
      <c r="G200" s="16"/>
      <c r="H200" s="16"/>
      <c r="I200" s="17"/>
      <c r="J200" s="26">
        <f>($I$194)-((F201/$F$194)*I201+((F202/$F$194)*I202)+((F203/$F$194)*I203)+((F204/$F$194)*I204))</f>
        <v>8.0445097311032221E-2</v>
      </c>
    </row>
    <row r="201" spans="2:13" ht="15.75">
      <c r="B201" s="23"/>
      <c r="C201" s="23"/>
      <c r="D201" s="16"/>
      <c r="E201" s="16" t="s">
        <v>112</v>
      </c>
      <c r="F201" s="16">
        <f>COUNTIFS('Data Training'!$G$5:$G$123,E201,'Data Training'!$E$5:$E$123,"BAIK",'Data Training'!$C$5:$C$123,"LAKI-LAKI",'Data Training'!$D$5:$D$123,"BAIK")</f>
        <v>7</v>
      </c>
      <c r="G201" s="16">
        <f>COUNTIFS('Data Training'!$G$5:$G$123,E201,'Data Training'!$H$5:$H$123,$E$31,'Data Training'!$E$5:$E$123,"BAIK",'Data Training'!$C$5:$C$123,"LAKI-LAKI",'Data Training'!$D$5:$D$123,"BAIK")</f>
        <v>3</v>
      </c>
      <c r="H201" s="16">
        <f>COUNTIFS('Data Training'!$G$5:$G$123,E201,'Data Training'!$H$5:$H$123,$F$31,'Data Training'!$E$5:$E$123,"BAIK",'Data Training'!$C$5:$C$123,"LAKI-LAKI",'Data Training'!$D$5:$D$123,"BAIK")</f>
        <v>4</v>
      </c>
      <c r="I201" s="17">
        <f t="shared" ref="I201:I202" si="19">((-G201/F201)*IMLOG2(G201/F201))+((-H201/F201)*IMLOG2(H201/F201))</f>
        <v>0.9852281360342523</v>
      </c>
      <c r="J201" s="16"/>
    </row>
    <row r="202" spans="2:13" ht="15.75">
      <c r="B202" s="23"/>
      <c r="C202" s="23"/>
      <c r="D202" s="16"/>
      <c r="E202" s="16" t="s">
        <v>110</v>
      </c>
      <c r="F202" s="16">
        <f>COUNTIFS('Data Training'!$G$5:$G$123,E202,'Data Training'!$E$5:$E$123,"BAIK",'Data Training'!$C$5:$C$123,"LAKI-LAKI",'Data Training'!$D$5:$D$123,"BAIK")</f>
        <v>8</v>
      </c>
      <c r="G202" s="16">
        <f>COUNTIFS('Data Training'!$G$5:$G$123,E202,'Data Training'!$H$5:$H$123,$E$31,'Data Training'!$E$5:$E$123,"BAIK",'Data Training'!$C$5:$C$123,"LAKI-LAKI",'Data Training'!$D$5:$D$123,"BAIK")</f>
        <v>5</v>
      </c>
      <c r="H202" s="16">
        <f>COUNTIFS('Data Training'!$G$5:$G$123,E202,'Data Training'!$H$5:$H$123,$F$31,'Data Training'!$E$5:$E$123,"BAIK",'Data Training'!$C$5:$C$123,"LAKI-LAKI",'Data Training'!$D$5:$D$123,"BAIK")</f>
        <v>3</v>
      </c>
      <c r="I202" s="17">
        <f t="shared" si="19"/>
        <v>0.95443400292496372</v>
      </c>
      <c r="J202" s="16"/>
    </row>
    <row r="203" spans="2:13" ht="15.75">
      <c r="B203" s="23"/>
      <c r="C203" s="23"/>
      <c r="D203" s="16"/>
      <c r="E203" s="16" t="s">
        <v>109</v>
      </c>
      <c r="F203" s="16">
        <f>COUNTIFS('Data Training'!$G$5:$G$123,E203,'Data Training'!$E$5:$E$123,"BAIK",'Data Training'!$C$5:$C$123,"LAKI-LAKI",'Data Training'!$D$5:$D$123,"BAIK")</f>
        <v>1</v>
      </c>
      <c r="G203" s="16">
        <f>COUNTIFS('Data Training'!$G$5:$G$123,E203,'Data Training'!$H$5:$H$123,$E$31,'Data Training'!$E$5:$E$123,"BAIK",'Data Training'!$C$5:$C$123,"LAKI-LAKI",'Data Training'!$D$5:$D$123,"BAIK")</f>
        <v>1</v>
      </c>
      <c r="H203" s="16">
        <f>COUNTIFS('Data Training'!$G$5:$G$123,E203,'Data Training'!$H$5:$H$123,$F$31,'Data Training'!$E$5:$E$123,"BAIK",'Data Training'!$C$5:$C$123,"LAKI-LAKI",'Data Training'!$D$5:$D$123,"BAIK")</f>
        <v>0</v>
      </c>
      <c r="I203" s="17">
        <v>0</v>
      </c>
      <c r="J203" s="16"/>
    </row>
    <row r="204" spans="2:13" ht="15.75">
      <c r="B204" s="23"/>
      <c r="C204" s="23"/>
      <c r="D204" s="16"/>
      <c r="E204" s="16" t="s">
        <v>113</v>
      </c>
      <c r="F204" s="16">
        <f>COUNTIFS('Data Training'!$G$5:$G$123,E204,'Data Training'!$E$5:$E$123,"BAIK",'Data Training'!$C$5:$C$123,"LAKI-LAKI",'Data Training'!$D$5:$D$123,"BAIK")</f>
        <v>0</v>
      </c>
      <c r="G204" s="16">
        <f>COUNTIFS('Data Training'!$G$5:$G$123,E204,'Data Training'!$H$5:$H$123,$E$31,'Data Training'!$E$5:$E$123,"BAIK",'Data Training'!$C$5:$C$123,"LAKI-LAKI",'Data Training'!$D$5:$D$123,"BAIK")</f>
        <v>0</v>
      </c>
      <c r="H204" s="16">
        <f>COUNTIFS('Data Training'!$G$5:$G$123,E204,'Data Training'!$H$5:$H$123,$F$31,'Data Training'!$E$5:$E$123,"BAIK",'Data Training'!$C$5:$C$123,"LAKI-LAKI",'Data Training'!$D$5:$D$123,"BAIK")</f>
        <v>0</v>
      </c>
      <c r="I204" s="17">
        <v>0</v>
      </c>
      <c r="J204" s="16"/>
    </row>
    <row r="205" spans="2:13" ht="15.75">
      <c r="B205" s="23"/>
      <c r="C205" s="23"/>
      <c r="D205" s="23"/>
      <c r="E205" s="23"/>
      <c r="F205" s="23"/>
      <c r="G205" s="23"/>
      <c r="H205" s="23"/>
      <c r="I205" s="24"/>
      <c r="J205" s="23"/>
    </row>
    <row r="206" spans="2:13" ht="15.75">
      <c r="B206" s="23"/>
      <c r="C206" s="23"/>
      <c r="D206" s="23"/>
      <c r="E206" s="15" t="s">
        <v>146</v>
      </c>
      <c r="L206">
        <v>5</v>
      </c>
      <c r="M206" s="15" t="s">
        <v>163</v>
      </c>
    </row>
    <row r="207" spans="2:13" ht="15.75">
      <c r="B207" s="23"/>
      <c r="C207" s="23"/>
      <c r="D207" s="23"/>
      <c r="E207" s="16"/>
      <c r="F207" s="16"/>
      <c r="G207" s="16" t="s">
        <v>124</v>
      </c>
      <c r="H207" s="16" t="s">
        <v>114</v>
      </c>
      <c r="I207" s="16" t="s">
        <v>111</v>
      </c>
      <c r="J207" s="17" t="s">
        <v>125</v>
      </c>
      <c r="K207" s="16" t="s">
        <v>126</v>
      </c>
      <c r="L207">
        <v>6</v>
      </c>
      <c r="M207" s="15" t="s">
        <v>164</v>
      </c>
    </row>
    <row r="208" spans="2:13" ht="15.75">
      <c r="B208" s="23"/>
      <c r="C208" s="23"/>
      <c r="D208" s="23"/>
      <c r="E208" s="16" t="s">
        <v>127</v>
      </c>
      <c r="F208" s="16"/>
      <c r="G208" s="16">
        <f>COUNTIFS('Data Training'!$E$5:$E$123,"BAIK",'Data Training'!$C$5:$C$123,"LAKI-LAKI",'Data Training'!$D$5:$D$123,"BAIK",'Data Training'!$G$5:$G$123,"SANGAT BAIK")</f>
        <v>7</v>
      </c>
      <c r="H208" s="16">
        <f>COUNTIFS('Data Training'!$H$5:$H$123,H207,'Data Training'!$E$5:$E$123,"BAIK",'Data Training'!$C$5:$C$123,"LAKI-LAKI",'Data Training'!$D$5:$D$123,"BAIK",'Data Training'!$G$5:$G$123,"SANGAT BAIK")</f>
        <v>3</v>
      </c>
      <c r="I208" s="16">
        <f>COUNTIFS('Data Training'!$H$5:$H$123,I207,'Data Training'!$E$5:$E$123,"BAIK",'Data Training'!$C$5:$C$123,"LAKI-LAKI",'Data Training'!$D$5:$D$123,"BAIK",'Data Training'!$G$5:$G$123,"SANGAT BAIK")</f>
        <v>4</v>
      </c>
      <c r="J208" s="17">
        <f>((-H208/G208)*IMLOG2(H208/G208))+((-I208/G208)*IMLOG2(I208/G208))</f>
        <v>0.9852281360342523</v>
      </c>
      <c r="K208" s="16"/>
    </row>
    <row r="209" spans="2:13" ht="15.75">
      <c r="B209" s="23"/>
      <c r="C209" s="23"/>
      <c r="D209" s="23"/>
      <c r="E209" s="16" t="s">
        <v>130</v>
      </c>
      <c r="F209" s="16"/>
      <c r="G209" s="16"/>
      <c r="H209" s="16"/>
      <c r="I209" s="16"/>
      <c r="J209" s="17"/>
      <c r="K209" s="22">
        <f>($J$208)-((G210/$G$208)*J210+((G211/$G$208)*J211)+((G212/$G$208)*J212)+((G213/$G$208)*J213))</f>
        <v>0.12808527889139465</v>
      </c>
    </row>
    <row r="210" spans="2:13" ht="15.75">
      <c r="B210" s="23"/>
      <c r="C210" s="23"/>
      <c r="D210" s="23"/>
      <c r="E210" s="16"/>
      <c r="F210" s="16" t="s">
        <v>112</v>
      </c>
      <c r="G210" s="16">
        <f>COUNTIFS('Data Training'!$F$5:$F$123,F210,'Data Training'!$E$5:$E$123,"BAIK",'Data Training'!$C$5:$C$123,"LAKI-LAKI",'Data Training'!$D$5:$D$123,"BAIK",'Data Training'!$G$5:$G$123,"SANGAT BAIK")</f>
        <v>4</v>
      </c>
      <c r="H210" s="16">
        <f>COUNTIFS('Data Training'!$F$5:$F$123,F210,'Data Training'!$H$5:$H$123,$E$31,'Data Training'!$E$5:$E$123,"BAIK",'Data Training'!$C$5:$C$123,"LAKI-LAKI",'Data Training'!$D$5:$D$123,"BAIK",'Data Training'!$G$5:$G$123,"SANGAT BAIK")</f>
        <v>1</v>
      </c>
      <c r="I210" s="16">
        <f>COUNTIFS('Data Training'!$F$5:$F$123,F210,'Data Training'!$H$5:$H$123,$F$31,'Data Training'!$E$5:$E$123,"BAIK",'Data Training'!$C$5:$C$123,"LAKI-LAKI",'Data Training'!$D$5:$D$123,"BAIK",'Data Training'!$G$5:$G$123,"SANGAT BAIK")</f>
        <v>3</v>
      </c>
      <c r="J210" s="17">
        <f t="shared" ref="J210:J211" si="20">((-H210/G210)*IMLOG2(H210/G210))+((-I210/G210)*IMLOG2(I210/G210))</f>
        <v>0.81127812445913294</v>
      </c>
      <c r="K210" s="16"/>
    </row>
    <row r="211" spans="2:13" ht="15.75">
      <c r="B211" s="23"/>
      <c r="C211" s="23"/>
      <c r="D211" s="23"/>
      <c r="E211" s="16"/>
      <c r="F211" s="16" t="s">
        <v>110</v>
      </c>
      <c r="G211" s="16">
        <f>COUNTIFS('Data Training'!$F$5:$F$123,F211,'Data Training'!$E$5:$E$123,"BAIK",'Data Training'!$C$5:$C$123,"LAKI-LAKI",'Data Training'!$D$5:$D$123,"BAIK",'Data Training'!$G$5:$G$123,"SANGAT BAIK")</f>
        <v>3</v>
      </c>
      <c r="H211" s="16">
        <f>COUNTIFS('Data Training'!$F$5:$F$123,F211,'Data Training'!$H$5:$H$123,$E$31,'Data Training'!$E$5:$E$123,"BAIK",'Data Training'!$C$5:$C$123,"LAKI-LAKI",'Data Training'!$D$5:$D$123,"BAIK",'Data Training'!$G$5:$G$123,"SANGAT BAIK")</f>
        <v>2</v>
      </c>
      <c r="I211" s="16">
        <f>COUNTIFS('Data Training'!$F$5:$F$123,F211,'Data Training'!$H$5:$H$123,$F$31,'Data Training'!$E$5:$E$123,"BAIK",'Data Training'!$C$5:$C$123,"LAKI-LAKI",'Data Training'!$D$5:$D$123,"BAIK",'Data Training'!$G$5:$G$123,"SANGAT BAIK")</f>
        <v>1</v>
      </c>
      <c r="J211" s="17">
        <f t="shared" si="20"/>
        <v>0.91829583405449056</v>
      </c>
      <c r="K211" s="16"/>
    </row>
    <row r="212" spans="2:13" ht="15.75">
      <c r="B212" s="23"/>
      <c r="C212" s="23"/>
      <c r="D212" s="23"/>
      <c r="E212" s="16"/>
      <c r="F212" s="16" t="s">
        <v>109</v>
      </c>
      <c r="G212" s="16">
        <f>COUNTIFS('Data Training'!$F$5:$F$123,F212,'Data Training'!$E$5:$E$123,"BAIK",'Data Training'!$C$5:$C$123,"LAKI-LAKI",'Data Training'!$D$5:$D$123,"BAIK",'Data Training'!$G$5:$G$123,"SANGAT BAIK")</f>
        <v>0</v>
      </c>
      <c r="H212" s="16">
        <f>COUNTIFS('Data Training'!$F$5:$F$123,F212,'Data Training'!$H$5:$H$123,$E$31,'Data Training'!$E$5:$E$123,"BAIK",'Data Training'!$C$5:$C$123,"LAKI-LAKI",'Data Training'!$D$5:$D$123,"BAIK",'Data Training'!$G$5:$G$123,"SANGAT BAIK")</f>
        <v>0</v>
      </c>
      <c r="I212" s="16">
        <f>COUNTIFS('Data Training'!$F$5:$F$123,F212,'Data Training'!$H$5:$H$123,$F$31,'Data Training'!$E$5:$E$123,"BAIK",'Data Training'!$C$5:$C$123,"LAKI-LAKI",'Data Training'!$D$5:$D$123,"BAIK",'Data Training'!$G$5:$G$123,"SANGAT BAIK")</f>
        <v>0</v>
      </c>
      <c r="J212" s="17">
        <v>0</v>
      </c>
      <c r="K212" s="16"/>
    </row>
    <row r="213" spans="2:13" ht="15.75">
      <c r="B213" s="23"/>
      <c r="C213" s="23"/>
      <c r="D213" s="23"/>
      <c r="E213" s="16"/>
      <c r="F213" s="16" t="s">
        <v>113</v>
      </c>
      <c r="G213" s="16">
        <f>COUNTIFS('Data Training'!$F$5:$F$123,F213,'Data Training'!$E$5:$E$123,"BAIK",'Data Training'!$C$5:$C$123,"LAKI-LAKI",'Data Training'!$D$5:$D$123,"BAIK",'Data Training'!$G$5:$G$123,"SANGAT BAIK")</f>
        <v>0</v>
      </c>
      <c r="H213" s="16">
        <f>COUNTIFS('Data Training'!$F$5:$F$123,F213,'Data Training'!$H$5:$H$123,$E$31,'Data Training'!$E$5:$E$123,"BAIK",'Data Training'!$C$5:$C$123,"LAKI-LAKI",'Data Training'!$D$5:$D$123,"BAIK",'Data Training'!$G$5:$G$123,"SANGAT BAIK")</f>
        <v>0</v>
      </c>
      <c r="I213" s="16">
        <f>COUNTIFS('Data Training'!$F$5:$F$123,F213,'Data Training'!$H$5:$H$123,$F$31,'Data Training'!$E$5:$E$123,"BAIK",'Data Training'!$C$5:$C$123,"LAKI-LAKI",'Data Training'!$D$5:$D$123,"BAIK",'Data Training'!$G$5:$G$123,"SANGAT BAIK")</f>
        <v>0</v>
      </c>
      <c r="J213" s="17">
        <v>0</v>
      </c>
      <c r="K213" s="16"/>
    </row>
    <row r="214" spans="2:13" ht="15.75">
      <c r="B214" s="23"/>
      <c r="C214" s="23"/>
      <c r="D214" s="23"/>
      <c r="E214" s="23"/>
      <c r="F214" s="23"/>
      <c r="G214" s="23"/>
      <c r="H214" s="23"/>
      <c r="I214" s="23"/>
      <c r="J214" s="24"/>
      <c r="K214" s="23"/>
    </row>
    <row r="215" spans="2:13" ht="15.75">
      <c r="B215" s="23"/>
      <c r="C215" s="23"/>
      <c r="D215" s="23"/>
      <c r="E215" s="15" t="s">
        <v>147</v>
      </c>
    </row>
    <row r="216" spans="2:13" ht="15.75">
      <c r="B216" s="23"/>
      <c r="C216" s="23"/>
      <c r="D216" s="23"/>
      <c r="E216" s="16"/>
      <c r="F216" s="16"/>
      <c r="G216" s="16" t="s">
        <v>124</v>
      </c>
      <c r="H216" s="16" t="s">
        <v>114</v>
      </c>
      <c r="I216" s="16" t="s">
        <v>111</v>
      </c>
      <c r="J216" s="17" t="s">
        <v>125</v>
      </c>
      <c r="K216" s="16" t="s">
        <v>126</v>
      </c>
      <c r="L216">
        <v>7</v>
      </c>
      <c r="M216" s="15" t="s">
        <v>165</v>
      </c>
    </row>
    <row r="217" spans="2:13" ht="15.75">
      <c r="B217" s="23"/>
      <c r="C217" s="23"/>
      <c r="D217" s="23"/>
      <c r="E217" s="16" t="s">
        <v>127</v>
      </c>
      <c r="F217" s="16"/>
      <c r="G217" s="16">
        <f>COUNTIFS('Data Training'!$E$5:$E$123,"BAIK",'Data Training'!$C$5:$C$123,"LAKI-LAKI",'Data Training'!$D$5:$D$123,"BAIK",'Data Training'!$G$5:$G$123,"BAIK")</f>
        <v>8</v>
      </c>
      <c r="H217" s="16">
        <f>COUNTIFS('Data Training'!$H$5:$H$123,H216,'Data Training'!$E$5:$E$123,"BAIK",'Data Training'!$C$5:$C$123,"LAKI-LAKI",'Data Training'!$D$5:$D$123,"BAIK",'Data Training'!$G$5:$G$123,"BAIK")</f>
        <v>5</v>
      </c>
      <c r="I217" s="16">
        <f>COUNTIFS('Data Training'!$H$5:$H$123,I216,'Data Training'!$E$5:$E$123,"BAIK",'Data Training'!$C$5:$C$123,"LAKI-LAKI",'Data Training'!$D$5:$D$123,"BAIK",'Data Training'!$G$5:$G$123,"BAIK")</f>
        <v>3</v>
      </c>
      <c r="J217" s="17">
        <f>((-H217/G217)*IMLOG2(H217/G217))+((-I217/G217)*IMLOG2(I217/G217))</f>
        <v>0.95443400292496372</v>
      </c>
      <c r="K217" s="16"/>
      <c r="L217">
        <v>8</v>
      </c>
      <c r="M217" s="15" t="s">
        <v>166</v>
      </c>
    </row>
    <row r="218" spans="2:13" ht="15.75">
      <c r="B218" s="23"/>
      <c r="C218" s="23"/>
      <c r="D218" s="23"/>
      <c r="E218" s="16" t="s">
        <v>130</v>
      </c>
      <c r="F218" s="16"/>
      <c r="G218" s="16"/>
      <c r="H218" s="16"/>
      <c r="I218" s="16"/>
      <c r="J218" s="17"/>
      <c r="K218" s="22">
        <f>($J$217)-((G219/$G$217)*J219+((G220/$G$217)*J220)+((G221/$G$217)*J221)+((G222/$G$217)*J222))</f>
        <v>0.45443400292496372</v>
      </c>
      <c r="L218">
        <v>9</v>
      </c>
      <c r="M218" s="15" t="s">
        <v>167</v>
      </c>
    </row>
    <row r="219" spans="2:13" ht="15.75">
      <c r="B219" s="23"/>
      <c r="C219" s="23"/>
      <c r="D219" s="23"/>
      <c r="E219" s="16"/>
      <c r="F219" s="16" t="s">
        <v>112</v>
      </c>
      <c r="G219" s="16">
        <f>COUNTIFS('Data Training'!$F$5:$F$123,F219,'Data Training'!$E$5:$E$123,"BAIK",'Data Training'!$C$5:$C$123,"LAKI-LAKI",'Data Training'!$D$5:$D$123,"BAIK",'Data Training'!$G$5:$G$123,"BAIK")</f>
        <v>2</v>
      </c>
      <c r="H219" s="16">
        <f>COUNTIFS('Data Training'!$F$5:$F$123,F219,'Data Training'!$H$5:$H$123,$E$31,'Data Training'!$E$5:$E$123,"BAIK",'Data Training'!$C$5:$C$123,"LAKI-LAKI",'Data Training'!$D$5:$D$123,"BAIK",'Data Training'!$G$5:$G$123,"BAIK")</f>
        <v>2</v>
      </c>
      <c r="I219" s="16">
        <f>COUNTIFS('Data Training'!$F$5:$F$123,F219,'Data Training'!$H$5:$H$123,$F$31,'Data Training'!$E$5:$E$123,"BAIK",'Data Training'!$C$5:$C$123,"LAKI-LAKI",'Data Training'!$D$5:$D$123,"BAIK",'Data Training'!$G$5:$G$123,"BAIK")</f>
        <v>0</v>
      </c>
      <c r="J219" s="17">
        <v>0</v>
      </c>
      <c r="K219" s="16"/>
      <c r="L219">
        <v>10</v>
      </c>
      <c r="M219" s="15" t="s">
        <v>168</v>
      </c>
    </row>
    <row r="220" spans="2:13" ht="15.75">
      <c r="B220" s="23"/>
      <c r="C220" s="23"/>
      <c r="D220" s="23"/>
      <c r="E220" s="16"/>
      <c r="F220" s="16" t="s">
        <v>110</v>
      </c>
      <c r="G220" s="16">
        <f>COUNTIFS('Data Training'!$F$5:$F$123,F220,'Data Training'!$E$5:$E$123,"BAIK",'Data Training'!$C$5:$C$123,"LAKI-LAKI",'Data Training'!$D$5:$D$123,"BAIK",'Data Training'!$G$5:$G$123,"BAIK")</f>
        <v>4</v>
      </c>
      <c r="H220" s="16">
        <f>COUNTIFS('Data Training'!$F$5:$F$123,F220,'Data Training'!$H$5:$H$123,$E$31,'Data Training'!$E$5:$E$123,"BAIK",'Data Training'!$C$5:$C$123,"LAKI-LAKI",'Data Training'!$D$5:$D$123,"BAIK",'Data Training'!$G$5:$G$123,"BAIK")</f>
        <v>2</v>
      </c>
      <c r="I220" s="16">
        <f>COUNTIFS('Data Training'!$F$5:$F$123,F220,'Data Training'!$H$5:$H$123,$F$31,'Data Training'!$E$5:$E$123,"BAIK",'Data Training'!$C$5:$C$123,"LAKI-LAKI",'Data Training'!$D$5:$D$123,"BAIK",'Data Training'!$G$5:$G$123,"BAIK")</f>
        <v>2</v>
      </c>
      <c r="J220" s="17">
        <f>((-H220/G220)*IMLOG2(H220/G220))+((-I220/G220)*IMLOG2(I220/G220))</f>
        <v>1</v>
      </c>
      <c r="K220" s="16"/>
    </row>
    <row r="221" spans="2:13" ht="15.75">
      <c r="B221" s="23"/>
      <c r="C221" s="23"/>
      <c r="D221" s="23"/>
      <c r="E221" s="16"/>
      <c r="F221" s="16" t="s">
        <v>109</v>
      </c>
      <c r="G221" s="16">
        <f>COUNTIFS('Data Training'!$F$5:$F$123,F221,'Data Training'!$E$5:$E$123,"BAIK",'Data Training'!$C$5:$C$123,"LAKI-LAKI",'Data Training'!$D$5:$D$123,"BAIK",'Data Training'!$G$5:$G$123,"BAIK")</f>
        <v>1</v>
      </c>
      <c r="H221" s="16">
        <f>COUNTIFS('Data Training'!$F$5:$F$123,F221,'Data Training'!$H$5:$H$123,$E$31,'Data Training'!$E$5:$E$123,"BAIK",'Data Training'!$C$5:$C$123,"LAKI-LAKI",'Data Training'!$D$5:$D$123,"BAIK",'Data Training'!$G$5:$G$123,"BAIK")</f>
        <v>1</v>
      </c>
      <c r="I221" s="16">
        <f>COUNTIFS('Data Training'!$F$5:$F$123,F221,'Data Training'!$H$5:$H$123,$F$31,'Data Training'!$E$5:$E$123,"BAIK",'Data Training'!$C$5:$C$123,"LAKI-LAKI",'Data Training'!$D$5:$D$123,"BAIK",'Data Training'!$G$5:$G$123,"BAIK")</f>
        <v>0</v>
      </c>
      <c r="J221" s="17">
        <v>0</v>
      </c>
      <c r="K221" s="16"/>
    </row>
    <row r="222" spans="2:13" ht="15.75">
      <c r="B222" s="23"/>
      <c r="C222" s="23"/>
      <c r="D222" s="23"/>
      <c r="E222" s="16"/>
      <c r="F222" s="16" t="s">
        <v>113</v>
      </c>
      <c r="G222" s="16">
        <f>COUNTIFS('Data Training'!$F$5:$F$123,F222,'Data Training'!$E$5:$E$123,"BAIK",'Data Training'!$C$5:$C$123,"LAKI-LAKI",'Data Training'!$D$5:$D$123,"BAIK",'Data Training'!$G$5:$G$123,"BAIK")</f>
        <v>1</v>
      </c>
      <c r="H222" s="16">
        <f>COUNTIFS('Data Training'!$F$5:$F$123,F222,'Data Training'!$H$5:$H$123,$E$31,'Data Training'!$E$5:$E$123,"BAIK",'Data Training'!$C$5:$C$123,"LAKI-LAKI",'Data Training'!$D$5:$D$123,"BAIK",'Data Training'!$G$5:$G$123,"BAIK")</f>
        <v>0</v>
      </c>
      <c r="I222" s="16">
        <f>COUNTIFS('Data Training'!$F$5:$F$123,F222,'Data Training'!$H$5:$H$123,$F$31,'Data Training'!$E$5:$E$123,"BAIK",'Data Training'!$C$5:$C$123,"LAKI-LAKI",'Data Training'!$D$5:$D$123,"BAIK",'Data Training'!$G$5:$G$123,"BAIK")</f>
        <v>1</v>
      </c>
      <c r="J222" s="17">
        <v>0</v>
      </c>
      <c r="K222" s="16"/>
    </row>
    <row r="223" spans="2:13" ht="15.75">
      <c r="B223" s="23"/>
      <c r="C223" s="23"/>
      <c r="D223" s="23"/>
      <c r="E223" s="23"/>
      <c r="F223" s="23"/>
      <c r="G223" s="23"/>
      <c r="H223" s="23"/>
      <c r="I223" s="24"/>
      <c r="J223" s="23"/>
    </row>
    <row r="224" spans="2:13" ht="15.75">
      <c r="B224" s="23"/>
      <c r="C224" s="23"/>
      <c r="D224" s="23"/>
      <c r="E224" s="23"/>
      <c r="F224" s="23"/>
      <c r="G224" s="23"/>
      <c r="H224" s="24"/>
      <c r="I224" s="23"/>
    </row>
    <row r="225" spans="2:13" ht="15.75">
      <c r="B225" s="23"/>
      <c r="C225" s="23"/>
      <c r="D225" s="15" t="s">
        <v>148</v>
      </c>
      <c r="L225">
        <v>11</v>
      </c>
      <c r="M225" s="15" t="s">
        <v>169</v>
      </c>
    </row>
    <row r="226" spans="2:13" ht="15.75">
      <c r="B226" s="23"/>
      <c r="C226" s="23"/>
      <c r="D226" s="16"/>
      <c r="E226" s="16"/>
      <c r="F226" s="16" t="s">
        <v>124</v>
      </c>
      <c r="G226" s="16" t="s">
        <v>114</v>
      </c>
      <c r="H226" s="16" t="s">
        <v>111</v>
      </c>
      <c r="I226" s="17" t="s">
        <v>125</v>
      </c>
      <c r="J226" s="16" t="s">
        <v>126</v>
      </c>
      <c r="L226">
        <v>12</v>
      </c>
      <c r="M226" s="15" t="s">
        <v>170</v>
      </c>
    </row>
    <row r="227" spans="2:13" ht="15.75">
      <c r="B227" s="23"/>
      <c r="C227" s="23"/>
      <c r="D227" s="16" t="s">
        <v>127</v>
      </c>
      <c r="E227" s="16"/>
      <c r="F227" s="16">
        <f>COUNTIFS('Data Training'!$E$5:$E$123,"BAIK",'Data Training'!$C$5:$C$123,"LAKI-LAKI",'Data Training'!$D$5:$D$123,"CUKUP")</f>
        <v>10</v>
      </c>
      <c r="G227" s="16">
        <f>COUNTIFS('Data Training'!$H$5:$H$123,G226,'Data Training'!$E$5:$E$123,"BAIK",'Data Training'!$C$5:$C$123,"LAKI-LAKI",'Data Training'!$D$5:$D$123,"CUKUP")</f>
        <v>3</v>
      </c>
      <c r="H227" s="16">
        <f>COUNTIFS('Data Training'!$H$5:$H$123,H226,'Data Training'!$E$5:$E$123,"BAIK",'Data Training'!$C$5:$C$123,"LAKI-LAKI",'Data Training'!$D$5:$D$123,"CUKUP")</f>
        <v>7</v>
      </c>
      <c r="I227" s="17">
        <f>((-G227/F227)*IMLOG2(G227/F227))+((-H227/F227)*IMLOG2(H227/F227))</f>
        <v>0.88129089923069359</v>
      </c>
      <c r="J227" s="16"/>
      <c r="L227">
        <v>13</v>
      </c>
      <c r="M227" s="15" t="s">
        <v>171</v>
      </c>
    </row>
    <row r="228" spans="2:13" ht="15.75">
      <c r="B228" s="23"/>
      <c r="C228" s="23"/>
      <c r="D228" s="16" t="s">
        <v>130</v>
      </c>
      <c r="E228" s="16"/>
      <c r="F228" s="16"/>
      <c r="G228" s="16"/>
      <c r="H228" s="16"/>
      <c r="I228" s="17"/>
      <c r="J228" s="22">
        <f>($I$227)-((F229/$F$227)*I229+((F230/$F$227)*I230)+((F231/$F$227)*I231)+((F232/$F$227)*I232))</f>
        <v>0.33031339879799926</v>
      </c>
      <c r="L228">
        <v>14</v>
      </c>
      <c r="M228" s="15" t="s">
        <v>172</v>
      </c>
    </row>
    <row r="229" spans="2:13" ht="15.75">
      <c r="B229" s="23"/>
      <c r="C229" s="23"/>
      <c r="D229" s="16"/>
      <c r="E229" s="16" t="s">
        <v>112</v>
      </c>
      <c r="F229" s="16">
        <f>COUNTIFS('Data Training'!$F$5:$F$123,E229,'Data Training'!$E$5:$E$123,"BAIK",'Data Training'!$C$5:$C$123,"LAKI-LAKI",'Data Training'!$D$5:$D$123,"CUKUP")</f>
        <v>1</v>
      </c>
      <c r="G229" s="16">
        <f>COUNTIFS('Data Training'!$F$5:$F$123,E229,'Data Training'!$H$5:$H$123,$E$31,'Data Training'!$E$5:$E$123,"BAIK",'Data Training'!$C$5:$C$123,"LAKI-LAKI",'Data Training'!$D$5:$D$123,"CUKUP")</f>
        <v>0</v>
      </c>
      <c r="H229" s="16">
        <f>COUNTIFS('Data Training'!$F$5:$F$123,E229,'Data Training'!$H$5:$H$123,$F$31,'Data Training'!$E$5:$E$123,"BAIK",'Data Training'!$C$5:$C$123,"LAKI-LAKI",'Data Training'!$D$5:$D$123,"CUKUP")</f>
        <v>1</v>
      </c>
      <c r="I229" s="17">
        <v>0</v>
      </c>
      <c r="J229" s="16"/>
    </row>
    <row r="230" spans="2:13" ht="15.75">
      <c r="B230" s="23"/>
      <c r="C230" s="23"/>
      <c r="D230" s="16"/>
      <c r="E230" s="16" t="s">
        <v>110</v>
      </c>
      <c r="F230" s="16">
        <f>COUNTIFS('Data Training'!$F$5:$F$123,E230,'Data Training'!$E$5:$E$123,"BAIK",'Data Training'!$C$5:$C$123,"LAKI-LAKI",'Data Training'!$D$5:$D$123,"CUKUP")</f>
        <v>6</v>
      </c>
      <c r="G230" s="16">
        <f>COUNTIFS('Data Training'!$F$5:$F$123,E230,'Data Training'!$H$5:$H$123,$E$31,'Data Training'!$E$5:$E$123,"BAIK",'Data Training'!$C$5:$C$123,"LAKI-LAKI",'Data Training'!$D$5:$D$123,"CUKUP")</f>
        <v>2</v>
      </c>
      <c r="H230" s="16">
        <f>COUNTIFS('Data Training'!$F$5:$F$123,E230,'Data Training'!$H$5:$H$123,$F$31,'Data Training'!$E$5:$E$123,"BAIK",'Data Training'!$C$5:$C$123,"LAKI-LAKI",'Data Training'!$D$5:$D$123,"CUKUP")</f>
        <v>4</v>
      </c>
      <c r="I230" s="17">
        <f>((-G230/F230)*IMLOG2(G230/F230))+((-H230/F230)*IMLOG2(H230/F230))</f>
        <v>0.91829583405449056</v>
      </c>
      <c r="J230" s="16"/>
    </row>
    <row r="231" spans="2:13" ht="15.75">
      <c r="B231" s="23"/>
      <c r="C231" s="23"/>
      <c r="D231" s="16"/>
      <c r="E231" s="16" t="s">
        <v>109</v>
      </c>
      <c r="F231" s="16">
        <f>COUNTIFS('Data Training'!$F$5:$F$123,E231,'Data Training'!$E$5:$E$123,"BAIK",'Data Training'!$C$5:$C$123,"LAKI-LAKI",'Data Training'!$D$5:$D$123,"CUKUP")</f>
        <v>1</v>
      </c>
      <c r="G231" s="16">
        <f>COUNTIFS('Data Training'!$F$5:$F$123,E231,'Data Training'!$H$5:$H$123,$E$31,'Data Training'!$E$5:$E$123,"BAIK",'Data Training'!$C$5:$C$123,"LAKI-LAKI",'Data Training'!$D$5:$D$123,"CUKUP")</f>
        <v>1</v>
      </c>
      <c r="H231" s="16">
        <f>COUNTIFS('Data Training'!$F$5:$F$123,E231,'Data Training'!$H$5:$H$123,$F$31,'Data Training'!$E$5:$E$123,"BAIK",'Data Training'!$C$5:$C$123,"LAKI-LAKI",'Data Training'!$D$5:$D$123,"CUKUP")</f>
        <v>0</v>
      </c>
      <c r="I231" s="17">
        <v>0</v>
      </c>
      <c r="J231" s="16"/>
    </row>
    <row r="232" spans="2:13" ht="15.75">
      <c r="B232" s="23"/>
      <c r="C232" s="23"/>
      <c r="D232" s="16"/>
      <c r="E232" s="16" t="s">
        <v>113</v>
      </c>
      <c r="F232" s="16">
        <f>COUNTIFS('Data Training'!$F$5:$F$123,E232,'Data Training'!$E$5:$E$123,"BAIK",'Data Training'!$C$5:$C$123,"LAKI-LAKI",'Data Training'!$D$5:$D$123,"CUKUP")</f>
        <v>2</v>
      </c>
      <c r="G232" s="16">
        <f>COUNTIFS('Data Training'!$F$5:$F$123,E232,'Data Training'!$H$5:$H$123,$E$31,'Data Training'!$E$5:$E$123,"BAIK",'Data Training'!$C$5:$C$123,"LAKI-LAKI",'Data Training'!$D$5:$D$123,"CUKUP")</f>
        <v>0</v>
      </c>
      <c r="H232" s="16">
        <f>COUNTIFS('Data Training'!$F$5:$F$123,E232,'Data Training'!$H$5:$H$123,$F$31,'Data Training'!$E$5:$E$123,"BAIK",'Data Training'!$C$5:$C$123,"LAKI-LAKI",'Data Training'!$D$5:$D$123,"CUKUP")</f>
        <v>2</v>
      </c>
      <c r="I232" s="17">
        <v>0</v>
      </c>
      <c r="J232" s="16"/>
    </row>
    <row r="233" spans="2:13" ht="15.75">
      <c r="B233" s="23"/>
      <c r="C233" s="23"/>
      <c r="D233" s="16" t="s">
        <v>131</v>
      </c>
      <c r="E233" s="16"/>
      <c r="F233" s="16"/>
      <c r="G233" s="16"/>
      <c r="H233" s="16"/>
      <c r="I233" s="17"/>
      <c r="J233" s="22">
        <f>($I$227)-((F234/$F$227)*I234+((F235/$F$227)*I235)+((F236/$F$227)*I236)+((F237/$F$227)*I237))</f>
        <v>5.4824648581652147E-2</v>
      </c>
    </row>
    <row r="234" spans="2:13" ht="15.75">
      <c r="B234" s="23"/>
      <c r="C234" s="23"/>
      <c r="D234" s="16"/>
      <c r="E234" s="16" t="s">
        <v>112</v>
      </c>
      <c r="F234" s="16">
        <f>COUNTIFS('Data Training'!$G$5:$G$123,E234,'Data Training'!$E$5:$E$123,"BAIK",'Data Training'!$C$5:$C$123,"LAKI-LAKI",'Data Training'!$D$5:$D$123,"CUKUP")</f>
        <v>3</v>
      </c>
      <c r="G234" s="16">
        <f>COUNTIFS('Data Training'!$G$5:$G$123,E234,'Data Training'!$H$5:$H$123,$E$31,'Data Training'!$E$5:$E$123,"BAIK",'Data Training'!$C$5:$C$123,"LAKI-LAKI",'Data Training'!$D$5:$D$123,"CUKUP")</f>
        <v>1</v>
      </c>
      <c r="H234" s="16">
        <f>COUNTIFS('Data Training'!$G$5:$G$123,E234,'Data Training'!$H$5:$H$123,$F$31,'Data Training'!$E$5:$E$123,"BAIK",'Data Training'!$C$5:$C$123,"LAKI-LAKI",'Data Training'!$D$5:$D$123,"CUKUP")</f>
        <v>2</v>
      </c>
      <c r="I234" s="17">
        <f>((-G234/F234)*IMLOG2(G234/F234))+((-H234/F234)*IMLOG2(H234/F234))</f>
        <v>0.91829583405449056</v>
      </c>
      <c r="J234" s="16"/>
    </row>
    <row r="235" spans="2:13" ht="15.75">
      <c r="B235" s="23"/>
      <c r="C235" s="23"/>
      <c r="D235" s="16"/>
      <c r="E235" s="16" t="s">
        <v>110</v>
      </c>
      <c r="F235" s="16">
        <f>COUNTIFS('Data Training'!$G$5:$G$123,E235,'Data Training'!$E$5:$E$123,"BAIK",'Data Training'!$C$5:$C$123,"LAKI-LAKI",'Data Training'!$D$5:$D$123,"CUKUP")</f>
        <v>3</v>
      </c>
      <c r="G235" s="16">
        <f>COUNTIFS('Data Training'!$G$5:$G$123,E235,'Data Training'!$H$5:$H$123,$E$31,'Data Training'!$E$5:$E$123,"BAIK",'Data Training'!$C$5:$C$123,"LAKI-LAKI",'Data Training'!$D$5:$D$123,"CUKUP")</f>
        <v>1</v>
      </c>
      <c r="H235" s="16">
        <f>COUNTIFS('Data Training'!$G$5:$G$123,E235,'Data Training'!$H$5:$H$123,$F$31,'Data Training'!$E$5:$E$123,"BAIK",'Data Training'!$C$5:$C$123,"LAKI-LAKI",'Data Training'!$D$5:$D$123,"CUKUP")</f>
        <v>2</v>
      </c>
      <c r="I235" s="17">
        <f t="shared" ref="I235:I236" si="21">((-G235/F235)*IMLOG2(G235/F235))+((-H235/F235)*IMLOG2(H235/F235))</f>
        <v>0.91829583405449056</v>
      </c>
      <c r="J235" s="16"/>
    </row>
    <row r="236" spans="2:13" ht="15.75">
      <c r="B236" s="23"/>
      <c r="C236" s="23"/>
      <c r="D236" s="16"/>
      <c r="E236" s="16" t="s">
        <v>109</v>
      </c>
      <c r="F236" s="16">
        <f>COUNTIFS('Data Training'!$G$5:$G$123,E236,'Data Training'!$E$5:$E$123,"BAIK",'Data Training'!$C$5:$C$123,"LAKI-LAKI",'Data Training'!$D$5:$D$123,"CUKUP")</f>
        <v>3</v>
      </c>
      <c r="G236" s="16">
        <f>COUNTIFS('Data Training'!$G$5:$G$123,E236,'Data Training'!$H$5:$H$123,$E$31,'Data Training'!$E$5:$E$123,"BAIK",'Data Training'!$C$5:$C$123,"LAKI-LAKI",'Data Training'!$D$5:$D$123,"CUKUP")</f>
        <v>1</v>
      </c>
      <c r="H236" s="16">
        <f>COUNTIFS('Data Training'!$G$5:$G$123,E236,'Data Training'!$H$5:$H$123,$F$31,'Data Training'!$E$5:$E$123,"BAIK",'Data Training'!$C$5:$C$123,"LAKI-LAKI",'Data Training'!$D$5:$D$123,"CUKUP")</f>
        <v>2</v>
      </c>
      <c r="I236" s="17">
        <f t="shared" si="21"/>
        <v>0.91829583405449056</v>
      </c>
      <c r="J236" s="16"/>
    </row>
    <row r="237" spans="2:13" ht="15.75">
      <c r="B237" s="23"/>
      <c r="C237" s="23"/>
      <c r="D237" s="16"/>
      <c r="E237" s="16" t="s">
        <v>113</v>
      </c>
      <c r="F237" s="16">
        <f>COUNTIFS('Data Training'!$G$5:$G$123,E237,'Data Training'!$E$5:$E$123,"BAIK",'Data Training'!$C$5:$C$123,"LAKI-LAKI",'Data Training'!$D$5:$D$123,"CUKUP")</f>
        <v>1</v>
      </c>
      <c r="G237" s="16">
        <f>COUNTIFS('Data Training'!$G$5:$G$123,E237,'Data Training'!$H$5:$H$123,$E$31,'Data Training'!$E$5:$E$123,"BAIK",'Data Training'!$C$5:$C$123,"LAKI-LAKI",'Data Training'!$D$5:$D$123,"CUKUP")</f>
        <v>0</v>
      </c>
      <c r="H237" s="16">
        <f>COUNTIFS('Data Training'!$G$5:$G$123,E237,'Data Training'!$H$5:$H$123,$F$31,'Data Training'!$E$5:$E$123,"BAIK",'Data Training'!$C$5:$C$123,"LAKI-LAKI",'Data Training'!$D$5:$D$123,"CUKUP")</f>
        <v>1</v>
      </c>
      <c r="I237" s="17">
        <v>0</v>
      </c>
      <c r="J237" s="16"/>
    </row>
    <row r="238" spans="2:13" ht="15.75">
      <c r="B238" s="23"/>
      <c r="C238" s="23"/>
      <c r="D238" s="23"/>
      <c r="E238" s="23"/>
      <c r="F238" s="23"/>
      <c r="G238" s="23"/>
      <c r="H238" s="24"/>
      <c r="I238" s="23"/>
    </row>
    <row r="239" spans="2:13" ht="15.75">
      <c r="B239" s="23"/>
      <c r="C239" s="15" t="s">
        <v>136</v>
      </c>
    </row>
    <row r="240" spans="2:13" ht="15.75">
      <c r="B240" s="23"/>
      <c r="C240" s="16"/>
      <c r="D240" s="16"/>
      <c r="E240" s="16" t="s">
        <v>124</v>
      </c>
      <c r="F240" s="16" t="s">
        <v>114</v>
      </c>
      <c r="G240" s="16" t="s">
        <v>111</v>
      </c>
      <c r="H240" s="17" t="s">
        <v>125</v>
      </c>
      <c r="I240" s="16" t="s">
        <v>126</v>
      </c>
    </row>
    <row r="241" spans="2:9" ht="15.75">
      <c r="B241" s="23"/>
      <c r="C241" s="16" t="s">
        <v>127</v>
      </c>
      <c r="D241" s="16"/>
      <c r="E241" s="16">
        <f>COUNTIFS('Data Training'!$E$5:$E$123,"BAIK",'Data Training'!$C$5:$C$123,"PEREMPUAN")</f>
        <v>19</v>
      </c>
      <c r="F241" s="16">
        <f>COUNTIFS('Data Training'!$H$5:$H$123,F240,'Data Training'!$E$5:$E$123,"BAIK",'Data Training'!$C$5:$C$123,"PEREMPUAN")</f>
        <v>15</v>
      </c>
      <c r="G241" s="16">
        <f>COUNTIFS('Data Training'!$H$5:$H$123,G240,'Data Training'!$E$5:$E$123,"BAIK",'Data Training'!$C$5:$C$123,"PEREMPUAN")</f>
        <v>4</v>
      </c>
      <c r="H241" s="17">
        <f>((-F241/E241)*IMLOG2(F241/E241))+((-G241/E241)*IMLOG2(G241/E241))</f>
        <v>0.74248756954212447</v>
      </c>
      <c r="I241" s="16"/>
    </row>
    <row r="242" spans="2:9" ht="15.75">
      <c r="B242" s="23"/>
      <c r="C242" s="16" t="s">
        <v>128</v>
      </c>
      <c r="D242" s="16"/>
      <c r="E242" s="16"/>
      <c r="F242" s="16"/>
      <c r="G242" s="16"/>
      <c r="H242" s="17"/>
      <c r="I242" s="22">
        <f>($H$241)-((E243/$E$241)*H243+((E244/$E$241)*H244)+((E245/$E$241)*H245)+((E246/$E$241)*H246))</f>
        <v>0.19562654188090445</v>
      </c>
    </row>
    <row r="243" spans="2:9" ht="15.75">
      <c r="B243" s="23"/>
      <c r="C243" s="16"/>
      <c r="D243" s="16" t="s">
        <v>112</v>
      </c>
      <c r="E243" s="16">
        <f>COUNTIFS('Data Training'!$D$5:$D$123,D243,'Data Training'!$E$5:$E$123,"BAIK",'Data Training'!$C$5:$C$123,"PEREMPUAN")</f>
        <v>3</v>
      </c>
      <c r="F243" s="16">
        <f>COUNTIFS('Data Training'!$D$5:$D$123,D243,'Data Training'!$H$5:$H$123,$E$31,'Data Training'!$E$5:$E$123,"BAIK",'Data Training'!$C$5:$C$123,"PEREMPUAN")</f>
        <v>2</v>
      </c>
      <c r="G243" s="16">
        <f>COUNTIFS('Data Training'!$D$5:$D$123,D243,'Data Training'!$H$5:$H$123,$F$31,'Data Training'!$E$5:$E$123,"BAIK",'Data Training'!$C$5:$C$123,"PEREMPUAN")</f>
        <v>1</v>
      </c>
      <c r="H243" s="17">
        <f t="shared" ref="H243:H245" si="22">((-F243/E243)*IMLOG2(F243/E243))+((-G243/E243)*IMLOG2(G243/E243))</f>
        <v>0.91829583405449056</v>
      </c>
      <c r="I243" s="16"/>
    </row>
    <row r="244" spans="2:9" ht="15.75">
      <c r="B244" s="23"/>
      <c r="C244" s="16"/>
      <c r="D244" s="16" t="s">
        <v>110</v>
      </c>
      <c r="E244" s="16">
        <f>COUNTIFS('Data Training'!$D$5:$D$123,D244,'Data Training'!$E$5:$E$123,"BAIK",'Data Training'!$C$5:$C$123,"PEREMPUAN")</f>
        <v>8</v>
      </c>
      <c r="F244" s="16">
        <f>COUNTIFS('Data Training'!$D$5:$D$123,D244,'Data Training'!$H$5:$H$123,$E$31,'Data Training'!$E$5:$E$123,"BAIK",'Data Training'!$C$5:$C$123,"PEREMPUAN")</f>
        <v>8</v>
      </c>
      <c r="G244" s="16">
        <f>COUNTIFS('Data Training'!$D$5:$D$123,D244,'Data Training'!$H$5:$H$123,$F$31,'Data Training'!$E$5:$E$123,"BAIK",'Data Training'!$C$5:$C$123,"PEREMPUAN")</f>
        <v>0</v>
      </c>
      <c r="H244" s="17">
        <v>0</v>
      </c>
      <c r="I244" s="16"/>
    </row>
    <row r="245" spans="2:9" ht="15.75">
      <c r="B245" s="23"/>
      <c r="C245" s="16"/>
      <c r="D245" s="16" t="s">
        <v>109</v>
      </c>
      <c r="E245" s="16">
        <f>COUNTIFS('Data Training'!$D$5:$D$123,D245,'Data Training'!$E$5:$E$123,"BAIK",'Data Training'!$C$5:$C$123,"PEREMPUAN")</f>
        <v>8</v>
      </c>
      <c r="F245" s="16">
        <f>COUNTIFS('Data Training'!$D$5:$D$123,D245,'Data Training'!$H$5:$H$123,$E$31,'Data Training'!$E$5:$E$123,"BAIK",'Data Training'!$C$5:$C$123,"PEREMPUAN")</f>
        <v>5</v>
      </c>
      <c r="G245" s="16">
        <f>COUNTIFS('Data Training'!$D$5:$D$123,D245,'Data Training'!$H$5:$H$123,$F$31,'Data Training'!$E$5:$E$123,"BAIK",'Data Training'!$C$5:$C$123,"PEREMPUAN")</f>
        <v>3</v>
      </c>
      <c r="H245" s="17">
        <f t="shared" si="22"/>
        <v>0.95443400292496372</v>
      </c>
      <c r="I245" s="16"/>
    </row>
    <row r="246" spans="2:9" ht="15.75">
      <c r="B246" s="23"/>
      <c r="C246" s="16"/>
      <c r="D246" s="16" t="s">
        <v>113</v>
      </c>
      <c r="E246" s="16">
        <f>COUNTIFS('Data Training'!$D$5:$D$123,D246,'Data Training'!$E$5:$E$123,"BAIK",'Data Training'!$C$5:$C$123,"PEREMPUAN")</f>
        <v>0</v>
      </c>
      <c r="F246" s="16">
        <f>COUNTIFS('Data Training'!$D$5:$D$123,D246,'Data Training'!$H$5:$H$123,$E$31,'Data Training'!$E$5:$E$123,"BAIK",'Data Training'!$C$5:$C$123,"PEREMPUAN")</f>
        <v>0</v>
      </c>
      <c r="G246" s="16">
        <f>COUNTIFS('Data Training'!$D$5:$D$123,D246,'Data Training'!$H$5:$H$123,$F$31,'Data Training'!$E$5:$E$123,"BAIK",'Data Training'!$C$5:$C$123,"PEREMPUAN")</f>
        <v>0</v>
      </c>
      <c r="H246" s="17">
        <v>0</v>
      </c>
      <c r="I246" s="16"/>
    </row>
    <row r="247" spans="2:9" ht="15.75">
      <c r="B247" s="23"/>
      <c r="C247" s="16" t="s">
        <v>130</v>
      </c>
      <c r="D247" s="16"/>
      <c r="E247" s="16"/>
      <c r="F247" s="16"/>
      <c r="G247" s="16"/>
      <c r="H247" s="17"/>
      <c r="I247" s="26">
        <f>($H$241)-((E248/$E$241)*H248+((E249/$E$241)*H249)+((E250/$E$241)*H250)+((E251/$E$241)*H251))</f>
        <v>0.31397654585389884</v>
      </c>
    </row>
    <row r="248" spans="2:9" ht="15.75">
      <c r="B248" s="23"/>
      <c r="C248" s="16"/>
      <c r="D248" s="16" t="s">
        <v>112</v>
      </c>
      <c r="E248" s="16">
        <f>COUNTIFS('Data Training'!$F$5:$F$123,D248,'Data Training'!$E$5:$E$123,"BAIK",'Data Training'!$C$5:$C$123,"PEREMPUAN")</f>
        <v>7</v>
      </c>
      <c r="F248" s="16">
        <f>COUNTIFS('Data Training'!$F$5:$F$123,D248,'Data Training'!$H$5:$H$123,$E$31,'Data Training'!$E$5:$E$123,"BAIK",'Data Training'!$C$5:$C$123,"PEREMPUAN")</f>
        <v>6</v>
      </c>
      <c r="G248" s="16">
        <f>COUNTIFS('Data Training'!$F$5:$F$123,D248,'Data Training'!$H$5:$H$123,$F$31,'Data Training'!$E$5:$E$123,"BAIK",'Data Training'!$C$5:$C$123,"PEREMPUAN")</f>
        <v>1</v>
      </c>
      <c r="H248" s="17">
        <f t="shared" ref="H248:H250" si="23">((-F248/E248)*IMLOG2(F248/E248))+((-G248/E248)*IMLOG2(G248/E248))</f>
        <v>0.59167277858232681</v>
      </c>
      <c r="I248" s="16"/>
    </row>
    <row r="249" spans="2:9" ht="15.75">
      <c r="B249" s="23"/>
      <c r="C249" s="16"/>
      <c r="D249" s="16" t="s">
        <v>110</v>
      </c>
      <c r="E249" s="16">
        <f>COUNTIFS('Data Training'!$F$5:$F$123,D249,'Data Training'!$E$5:$E$123,"BAIK",'Data Training'!$C$5:$C$123,"PEREMPUAN")</f>
        <v>7</v>
      </c>
      <c r="F249" s="16">
        <f>COUNTIFS('Data Training'!$F$5:$F$123,D249,'Data Training'!$H$5:$H$123,$E$31,'Data Training'!$E$5:$E$123,"BAIK",'Data Training'!$C$5:$C$123,"PEREMPUAN")</f>
        <v>7</v>
      </c>
      <c r="G249" s="16">
        <f>COUNTIFS('Data Training'!$F$5:$F$123,D249,'Data Training'!$H$5:$H$123,$F$31,'Data Training'!$E$5:$E$123,"BAIK",'Data Training'!$C$5:$C$123,"PEREMPUAN")</f>
        <v>0</v>
      </c>
      <c r="H249" s="17">
        <v>0</v>
      </c>
      <c r="I249" s="16"/>
    </row>
    <row r="250" spans="2:9" ht="15.75">
      <c r="B250" s="23"/>
      <c r="C250" s="16"/>
      <c r="D250" s="16" t="s">
        <v>109</v>
      </c>
      <c r="E250" s="16">
        <f>COUNTIFS('Data Training'!$F$5:$F$123,D250,'Data Training'!$E$5:$E$123,"BAIK",'Data Training'!$C$5:$C$123,"PEREMPUAN")</f>
        <v>4</v>
      </c>
      <c r="F250" s="16">
        <f>COUNTIFS('Data Training'!$F$5:$F$123,D250,'Data Training'!$H$5:$H$123,$E$31,'Data Training'!$E$5:$E$123,"BAIK",'Data Training'!$C$5:$C$123,"PEREMPUAN")</f>
        <v>2</v>
      </c>
      <c r="G250" s="16">
        <f>COUNTIFS('Data Training'!$F$5:$F$123,D250,'Data Training'!$H$5:$H$123,$F$31,'Data Training'!$E$5:$E$123,"BAIK",'Data Training'!$C$5:$C$123,"PEREMPUAN")</f>
        <v>2</v>
      </c>
      <c r="H250" s="17">
        <f t="shared" si="23"/>
        <v>1</v>
      </c>
      <c r="I250" s="16"/>
    </row>
    <row r="251" spans="2:9" ht="15.75">
      <c r="B251" s="23"/>
      <c r="C251" s="16"/>
      <c r="D251" s="16" t="s">
        <v>113</v>
      </c>
      <c r="E251" s="16">
        <f>COUNTIFS('Data Training'!$F$5:$F$123,D251,'Data Training'!$E$5:$E$123,"BAIK",'Data Training'!$C$5:$C$123,"PEREMPUAN")</f>
        <v>1</v>
      </c>
      <c r="F251" s="16">
        <f>COUNTIFS('Data Training'!$F$5:$F$123,D251,'Data Training'!$H$5:$H$123,$E$31,'Data Training'!$E$5:$E$123,"BAIK",'Data Training'!$C$5:$C$123,"PEREMPUAN")</f>
        <v>0</v>
      </c>
      <c r="G251" s="16">
        <f>COUNTIFS('Data Training'!$F$5:$F$123,D251,'Data Training'!$H$5:$H$123,$F$31,'Data Training'!$E$5:$E$123,"BAIK",'Data Training'!$C$5:$C$123,"PEREMPUAN")</f>
        <v>1</v>
      </c>
      <c r="H251" s="17">
        <v>0</v>
      </c>
      <c r="I251" s="16"/>
    </row>
    <row r="252" spans="2:9" ht="15.75">
      <c r="B252" s="23"/>
      <c r="C252" s="16" t="s">
        <v>131</v>
      </c>
      <c r="D252" s="16"/>
      <c r="E252" s="16"/>
      <c r="F252" s="16"/>
      <c r="G252" s="16"/>
      <c r="H252" s="17"/>
      <c r="I252" s="22">
        <f>($H$241)-((E253/$E$241)*H253+((E254/$E$241)*H254)+((E255/$E$241)*H255)+((E256/$E$241)*H256))</f>
        <v>0.10650399270355504</v>
      </c>
    </row>
    <row r="253" spans="2:9" ht="15.75">
      <c r="B253" s="23"/>
      <c r="C253" s="16"/>
      <c r="D253" s="16" t="s">
        <v>112</v>
      </c>
      <c r="E253" s="16">
        <f>COUNTIFS('Data Training'!$G$5:$G$123,D253,'Data Training'!$E$5:$E$123,"BAIK",'Data Training'!$C$5:$C$123,"PEREMPUAN")</f>
        <v>2</v>
      </c>
      <c r="F253" s="16">
        <f>COUNTIFS('Data Training'!$G$5:$G$123,D253,'Data Training'!$H$5:$H$123,$E$31,'Data Training'!$E$5:$E$123,"BAIK",'Data Training'!$C$5:$C$123,"PEREMPUAN")</f>
        <v>2</v>
      </c>
      <c r="G253" s="16">
        <f>COUNTIFS('Data Training'!$G$5:$G$123,D253,'Data Training'!$H$5:$H$123,$F$31,'Data Training'!$E$5:$E$123,"BAIK",'Data Training'!$C$5:$C$123,"PEREMPUAN")</f>
        <v>0</v>
      </c>
      <c r="H253" s="17">
        <v>0</v>
      </c>
      <c r="I253" s="16"/>
    </row>
    <row r="254" spans="2:9" ht="15.75">
      <c r="B254" s="23"/>
      <c r="C254" s="16"/>
      <c r="D254" s="16" t="s">
        <v>110</v>
      </c>
      <c r="E254" s="16">
        <f>COUNTIFS('Data Training'!$G$5:$G$123,D254,'Data Training'!$E$5:$E$123,"BAIK",'Data Training'!$C$5:$C$123,"PEREMPUAN")</f>
        <v>14</v>
      </c>
      <c r="F254" s="16">
        <f>COUNTIFS('Data Training'!$G$5:$G$123,D254,'Data Training'!$H$5:$H$123,$E$31,'Data Training'!$E$5:$E$123,"BAIK",'Data Training'!$C$5:$C$123,"PEREMPUAN")</f>
        <v>10</v>
      </c>
      <c r="G254" s="16">
        <f>COUNTIFS('Data Training'!$G$5:$G$123,D254,'Data Training'!$H$5:$H$123,$F$31,'Data Training'!$E$5:$E$123,"BAIK",'Data Training'!$C$5:$C$123,"PEREMPUAN")</f>
        <v>4</v>
      </c>
      <c r="H254" s="17">
        <f t="shared" ref="H254" si="24">((-F254/E254)*IMLOG2(F254/E254))+((-G254/E254)*IMLOG2(G254/E254))</f>
        <v>0.86312056856663</v>
      </c>
      <c r="I254" s="16"/>
    </row>
    <row r="255" spans="2:9" ht="15.75">
      <c r="B255" s="23"/>
      <c r="C255" s="16"/>
      <c r="D255" s="16" t="s">
        <v>109</v>
      </c>
      <c r="E255" s="16">
        <f>COUNTIFS('Data Training'!$G$5:$G$123,D255,'Data Training'!$E$5:$E$123,"BAIK",'Data Training'!$C$5:$C$123,"PEREMPUAN")</f>
        <v>3</v>
      </c>
      <c r="F255" s="16">
        <f>COUNTIFS('Data Training'!$G$5:$G$123,D255,'Data Training'!$H$5:$H$123,$E$31,'Data Training'!$E$5:$E$123,"BAIK",'Data Training'!$C$5:$C$123,"PEREMPUAN")</f>
        <v>3</v>
      </c>
      <c r="G255" s="16">
        <f>COUNTIFS('Data Training'!$G$5:$G$123,D255,'Data Training'!$H$5:$H$123,$F$31,'Data Training'!$E$5:$E$123,"BAIK",'Data Training'!$C$5:$C$123,"PEREMPUAN")</f>
        <v>0</v>
      </c>
      <c r="H255" s="17">
        <v>0</v>
      </c>
      <c r="I255" s="16"/>
    </row>
    <row r="256" spans="2:9" ht="15.75">
      <c r="B256" s="23"/>
      <c r="C256" s="16"/>
      <c r="D256" s="16" t="s">
        <v>113</v>
      </c>
      <c r="E256" s="16">
        <f>COUNTIFS('Data Training'!$G$5:$G$123,D256,'Data Training'!$E$5:$E$123,"BAIK",'Data Training'!$C$5:$C$123,"PEREMPUAN")</f>
        <v>0</v>
      </c>
      <c r="F256" s="16">
        <f>COUNTIFS('Data Training'!$G$5:$G$123,D256,'Data Training'!$H$5:$H$123,$E$31,'Data Training'!$E$5:$E$123,"BAIK",'Data Training'!$C$5:$C$123,"PEREMPUAN")</f>
        <v>0</v>
      </c>
      <c r="G256" s="16">
        <f>COUNTIFS('Data Training'!$G$5:$G$123,D256,'Data Training'!$H$5:$H$123,$F$31,'Data Training'!$E$5:$E$123,"BAIK",'Data Training'!$C$5:$C$123,"PEREMPUAN")</f>
        <v>0</v>
      </c>
      <c r="H256" s="17">
        <v>0</v>
      </c>
      <c r="I256" s="16"/>
    </row>
    <row r="257" spans="2:13" ht="15.75">
      <c r="B257" s="23"/>
      <c r="C257" s="23"/>
      <c r="D257" s="23"/>
      <c r="E257" s="23"/>
      <c r="F257" s="23"/>
      <c r="G257" s="23"/>
      <c r="H257" s="24"/>
      <c r="I257" s="23"/>
    </row>
    <row r="258" spans="2:13" ht="15.75">
      <c r="B258" s="23"/>
      <c r="C258" s="23"/>
      <c r="D258" s="15" t="s">
        <v>149</v>
      </c>
      <c r="L258">
        <v>15</v>
      </c>
      <c r="M258" s="15" t="s">
        <v>173</v>
      </c>
    </row>
    <row r="259" spans="2:13" ht="15.75">
      <c r="B259" s="23"/>
      <c r="C259" s="23"/>
      <c r="D259" s="16"/>
      <c r="E259" s="16"/>
      <c r="F259" s="16" t="s">
        <v>124</v>
      </c>
      <c r="G259" s="16" t="s">
        <v>114</v>
      </c>
      <c r="H259" s="16" t="s">
        <v>111</v>
      </c>
      <c r="I259" s="17" t="s">
        <v>125</v>
      </c>
      <c r="J259" s="16" t="s">
        <v>126</v>
      </c>
      <c r="L259">
        <v>16</v>
      </c>
      <c r="M259" s="15" t="s">
        <v>174</v>
      </c>
    </row>
    <row r="260" spans="2:13" ht="15.75">
      <c r="B260" s="23"/>
      <c r="C260" s="23"/>
      <c r="D260" s="16" t="s">
        <v>127</v>
      </c>
      <c r="E260" s="16"/>
      <c r="F260" s="16">
        <f>COUNTIFS('Data Training'!$E$5:$E$123,"BAIK",'Data Training'!$C$5:$C$123,"PEREMPUAN",'Data Training'!$F$5:$F$123,"SANGAT BAIK")</f>
        <v>7</v>
      </c>
      <c r="G260" s="16">
        <f>COUNTIFS('Data Training'!$H$5:$H$123,G259,'Data Training'!$E$5:$E$123,"BAIK",'Data Training'!$C$5:$C$123,"PEREMPUAN",'Data Training'!$F$5:$F$123,"SANGAT BAIK")</f>
        <v>6</v>
      </c>
      <c r="H260" s="16">
        <f>COUNTIFS('Data Training'!$H$5:$H$123,H259,'Data Training'!$E$5:$E$123,"BAIK",'Data Training'!$C$5:$C$123,"PEREMPUAN",'Data Training'!$F$5:$F$123,"SANGAT BAIK")</f>
        <v>1</v>
      </c>
      <c r="I260" s="17">
        <f>((-G260/F260)*IMLOG2(G260/F260))+((-H260/F260)*IMLOG2(H260/F260))</f>
        <v>0.59167277858232681</v>
      </c>
      <c r="J260" s="16"/>
      <c r="L260">
        <v>17</v>
      </c>
      <c r="M260" s="15" t="s">
        <v>175</v>
      </c>
    </row>
    <row r="261" spans="2:13" ht="15.75">
      <c r="B261" s="23"/>
      <c r="C261" s="23"/>
      <c r="D261" s="16" t="s">
        <v>128</v>
      </c>
      <c r="E261" s="16"/>
      <c r="F261" s="16"/>
      <c r="G261" s="16"/>
      <c r="H261" s="16"/>
      <c r="I261" s="17"/>
      <c r="J261" s="26">
        <f>($I$260)-((F262/$F$260)*I262+((F263/$F$260)*I263)+((F264/$F$260)*I264)+((F265/$F$260)*I265))</f>
        <v>0.19811742113040232</v>
      </c>
    </row>
    <row r="262" spans="2:13" ht="15.75">
      <c r="B262" s="23"/>
      <c r="C262" s="23"/>
      <c r="D262" s="16"/>
      <c r="E262" s="16" t="s">
        <v>112</v>
      </c>
      <c r="F262" s="16">
        <f>COUNTIFS('Data Training'!$D$5:$D$123,E262,'Data Training'!$E$5:$E$123,"BAIK",'Data Training'!$C$5:$C$123,"PEREMPUAN",'Data Training'!$F$5:$F$123,"SANGAT BAIK")</f>
        <v>1</v>
      </c>
      <c r="G262" s="16">
        <f>COUNTIFS('Data Training'!$D$5:$D$123,E262,'Data Training'!$H$5:$H$123,$E$31,'Data Training'!$E$5:$E$123,"BAIK",'Data Training'!$C$5:$C$123,"PEREMPUAN",'Data Training'!$F$5:$F$123,"SANGAT BAIK")</f>
        <v>1</v>
      </c>
      <c r="H262" s="16">
        <f>COUNTIFS('Data Training'!$D$5:$D$123,E262,'Data Training'!$H$5:$H$123,$F$31,'Data Training'!$E$5:$E$123,"BAIK",'Data Training'!$C$5:$C$123,"PEREMPUAN",'Data Training'!$F$5:$F$123,"SANGAT BAIK")</f>
        <v>0</v>
      </c>
      <c r="I262" s="17">
        <v>0</v>
      </c>
      <c r="J262" s="16"/>
    </row>
    <row r="263" spans="2:13" ht="15.75">
      <c r="B263" s="23"/>
      <c r="C263" s="23"/>
      <c r="D263" s="16"/>
      <c r="E263" s="16" t="s">
        <v>110</v>
      </c>
      <c r="F263" s="16">
        <f>COUNTIFS('Data Training'!$D$5:$D$123,E263,'Data Training'!$E$5:$E$123,"BAIK",'Data Training'!$C$5:$C$123,"PEREMPUAN",'Data Training'!$F$5:$F$123,"SANGAT BAIK")</f>
        <v>3</v>
      </c>
      <c r="G263" s="16">
        <f>COUNTIFS('Data Training'!$D$5:$D$123,E263,'Data Training'!$H$5:$H$123,$E$31,'Data Training'!$E$5:$E$123,"BAIK",'Data Training'!$C$5:$C$123,"PEREMPUAN",'Data Training'!$F$5:$F$123,"SANGAT BAIK")</f>
        <v>3</v>
      </c>
      <c r="H263" s="16">
        <f>COUNTIFS('Data Training'!$D$5:$D$123,E263,'Data Training'!$H$5:$H$123,$F$31,'Data Training'!$E$5:$E$123,"BAIK",'Data Training'!$C$5:$C$123,"PEREMPUAN",'Data Training'!$F$5:$F$123,"SANGAT BAIK")</f>
        <v>0</v>
      </c>
      <c r="I263" s="17">
        <v>0</v>
      </c>
      <c r="J263" s="16"/>
    </row>
    <row r="264" spans="2:13" ht="15.75">
      <c r="B264" s="23"/>
      <c r="C264" s="23"/>
      <c r="D264" s="16"/>
      <c r="E264" s="16" t="s">
        <v>109</v>
      </c>
      <c r="F264" s="16">
        <f>COUNTIFS('Data Training'!$D$5:$D$123,E264,'Data Training'!$E$5:$E$123,"BAIK",'Data Training'!$C$5:$C$123,"PEREMPUAN",'Data Training'!$F$5:$F$123,"SANGAT BAIK")</f>
        <v>3</v>
      </c>
      <c r="G264" s="16">
        <f>COUNTIFS('Data Training'!$D$5:$D$123,E264,'Data Training'!$H$5:$H$123,$E$31,'Data Training'!$E$5:$E$123,"BAIK",'Data Training'!$C$5:$C$123,"PEREMPUAN",'Data Training'!$F$5:$F$123,"SANGAT BAIK")</f>
        <v>2</v>
      </c>
      <c r="H264" s="16">
        <f>COUNTIFS('Data Training'!$D$5:$D$123,E264,'Data Training'!$H$5:$H$123,$F$31,'Data Training'!$E$5:$E$123,"BAIK",'Data Training'!$C$5:$C$123,"PEREMPUAN",'Data Training'!$F$5:$F$123,"SANGAT BAIK")</f>
        <v>1</v>
      </c>
      <c r="I264" s="17">
        <f>((-G264/F264)*IMLOG2(G264/F264))+((-H264/F264)*IMLOG2(H264/F264))</f>
        <v>0.91829583405449056</v>
      </c>
      <c r="J264" s="16"/>
    </row>
    <row r="265" spans="2:13" ht="15.75">
      <c r="B265" s="23"/>
      <c r="C265" s="23"/>
      <c r="D265" s="16"/>
      <c r="E265" s="16" t="s">
        <v>113</v>
      </c>
      <c r="F265" s="16">
        <f>COUNTIFS('Data Training'!$D$5:$D$123,E265,'Data Training'!$E$5:$E$123,"BAIK",'Data Training'!$C$5:$C$123,"PEREMPUAN",'Data Training'!$F$5:$F$123,"SANGAT BAIK")</f>
        <v>0</v>
      </c>
      <c r="G265" s="16">
        <f>COUNTIFS('Data Training'!$D$5:$D$123,E265,'Data Training'!$H$5:$H$123,$E$31,'Data Training'!$E$5:$E$123,"BAIK",'Data Training'!$C$5:$C$123,"PEREMPUAN",'Data Training'!$F$5:$F$123,"SANGAT BAIK")</f>
        <v>0</v>
      </c>
      <c r="H265" s="16">
        <f>COUNTIFS('Data Training'!$D$5:$D$123,E265,'Data Training'!$H$5:$H$123,$F$31,'Data Training'!$E$5:$E$123,"BAIK",'Data Training'!$C$5:$C$123,"PEREMPUAN",'Data Training'!$F$5:$F$123,"SANGAT BAIK")</f>
        <v>0</v>
      </c>
      <c r="I265" s="17">
        <v>0</v>
      </c>
      <c r="J265" s="16"/>
    </row>
    <row r="266" spans="2:13" ht="15.75">
      <c r="B266" s="23"/>
      <c r="C266" s="23"/>
      <c r="D266" s="16" t="s">
        <v>131</v>
      </c>
      <c r="E266" s="16"/>
      <c r="F266" s="16"/>
      <c r="G266" s="16"/>
      <c r="H266" s="16"/>
      <c r="I266" s="17"/>
      <c r="J266" s="22">
        <f>($I$260)-((F267/$F$260)*I267+((F268/$F$260)*I268)+((F269/$F$260)*I269)+((F270/$F$260)*I270))</f>
        <v>7.6009853662782789E-2</v>
      </c>
    </row>
    <row r="267" spans="2:13" ht="15.75">
      <c r="B267" s="23"/>
      <c r="C267" s="23"/>
      <c r="D267" s="16"/>
      <c r="E267" s="16" t="s">
        <v>112</v>
      </c>
      <c r="F267" s="16">
        <f>COUNTIFS('Data Training'!$G$5:$G$123,E267,'Data Training'!$E$5:$E$123,"BAIK",'Data Training'!$C$5:$C$123,"PEREMPUAN",'Data Training'!$F$5:$F$123,"SANGAT BAIK")</f>
        <v>1</v>
      </c>
      <c r="G267" s="16">
        <f>COUNTIFS('Data Training'!$G$5:$G$123,E267,'Data Training'!$H$5:$H$123,$E$31,'Data Training'!$E$5:$E$123,"BAIK",'Data Training'!$C$5:$C$123,"PEREMPUAN",'Data Training'!$F$5:$F$123,"SANGAT BAIK")</f>
        <v>1</v>
      </c>
      <c r="H267" s="16">
        <f>COUNTIFS('Data Training'!$G$5:$G$123,E267,'Data Training'!$H$5:$H$123,$F$31,'Data Training'!$E$5:$E$123,"BAIK",'Data Training'!$C$5:$C$123,"PEREMPUAN",'Data Training'!$F$5:$F$123,"SANGAT BAIK")</f>
        <v>0</v>
      </c>
      <c r="I267" s="17">
        <v>0</v>
      </c>
      <c r="J267" s="16"/>
    </row>
    <row r="268" spans="2:13" ht="15.75">
      <c r="B268" s="23"/>
      <c r="C268" s="23"/>
      <c r="D268" s="16"/>
      <c r="E268" s="16" t="s">
        <v>110</v>
      </c>
      <c r="F268" s="16">
        <f>COUNTIFS('Data Training'!$G$5:$G$123,E268,'Data Training'!$E$5:$E$123,"BAIK",'Data Training'!$C$5:$C$123,"PEREMPUAN",'Data Training'!$F$5:$F$123,"SANGAT BAIK")</f>
        <v>5</v>
      </c>
      <c r="G268" s="16">
        <f>COUNTIFS('Data Training'!$G$5:$G$123,E268,'Data Training'!$H$5:$H$123,$E$31,'Data Training'!$E$5:$E$123,"BAIK",'Data Training'!$C$5:$C$123,"PEREMPUAN",'Data Training'!$F$5:$F$123,"SANGAT BAIK")</f>
        <v>4</v>
      </c>
      <c r="H268" s="16">
        <f>COUNTIFS('Data Training'!$G$5:$G$123,E268,'Data Training'!$H$5:$H$123,$F$31,'Data Training'!$E$5:$E$123,"BAIK",'Data Training'!$C$5:$C$123,"PEREMPUAN",'Data Training'!$F$5:$F$123,"SANGAT BAIK")</f>
        <v>1</v>
      </c>
      <c r="I268" s="17">
        <f>((-G268/F268)*IMLOG2(G268/F268))+((-H268/F268)*IMLOG2(H268/F268))</f>
        <v>0.72192809488736165</v>
      </c>
      <c r="J268" s="16"/>
    </row>
    <row r="269" spans="2:13" ht="15.75">
      <c r="B269" s="23"/>
      <c r="C269" s="23"/>
      <c r="D269" s="16"/>
      <c r="E269" s="16" t="s">
        <v>109</v>
      </c>
      <c r="F269" s="16">
        <f>COUNTIFS('Data Training'!$G$5:$G$123,E269,'Data Training'!$E$5:$E$123,"BAIK",'Data Training'!$C$5:$C$123,"PEREMPUAN",'Data Training'!$F$5:$F$123,"SANGAT BAIK")</f>
        <v>1</v>
      </c>
      <c r="G269" s="16">
        <f>COUNTIFS('Data Training'!$G$5:$G$123,E269,'Data Training'!$H$5:$H$123,$E$31,'Data Training'!$E$5:$E$123,"BAIK",'Data Training'!$C$5:$C$123,"PEREMPUAN",'Data Training'!$F$5:$F$123,"SANGAT BAIK")</f>
        <v>1</v>
      </c>
      <c r="H269" s="16">
        <f>COUNTIFS('Data Training'!$G$5:$G$123,E269,'Data Training'!$H$5:$H$123,$F$31,'Data Training'!$E$5:$E$123,"BAIK",'Data Training'!$C$5:$C$123,"PEREMPUAN",'Data Training'!$F$5:$F$123,"SANGAT BAIK")</f>
        <v>0</v>
      </c>
      <c r="I269" s="17">
        <v>0</v>
      </c>
      <c r="J269" s="16"/>
    </row>
    <row r="270" spans="2:13" ht="15.75">
      <c r="B270" s="23"/>
      <c r="C270" s="23"/>
      <c r="D270" s="16"/>
      <c r="E270" s="16" t="s">
        <v>113</v>
      </c>
      <c r="F270" s="16">
        <f>COUNTIFS('Data Training'!$G$5:$G$123,E270,'Data Training'!$E$5:$E$123,"BAIK",'Data Training'!$C$5:$C$123,"PEREMPUAN",'Data Training'!$F$5:$F$123,"SANGAT BAIK")</f>
        <v>0</v>
      </c>
      <c r="G270" s="16">
        <f>COUNTIFS('Data Training'!$G$5:$G$123,E270,'Data Training'!$H$5:$H$123,$E$31,'Data Training'!$E$5:$E$123,"BAIK",'Data Training'!$C$5:$C$123,"PEREMPUAN",'Data Training'!$F$5:$F$123,"SANGAT BAIK")</f>
        <v>0</v>
      </c>
      <c r="H270" s="16">
        <f>COUNTIFS('Data Training'!$G$5:$G$123,E270,'Data Training'!$H$5:$H$123,$F$31,'Data Training'!$E$5:$E$123,"BAIK",'Data Training'!$C$5:$C$123,"PEREMPUAN",'Data Training'!$F$5:$F$123,"SANGAT BAIK")</f>
        <v>0</v>
      </c>
      <c r="I270" s="17">
        <v>0</v>
      </c>
      <c r="J270" s="16"/>
    </row>
    <row r="271" spans="2:13" ht="15.75">
      <c r="B271" s="23"/>
      <c r="C271" s="23"/>
      <c r="D271" s="27"/>
      <c r="E271" s="27"/>
      <c r="F271" s="27"/>
      <c r="G271" s="27"/>
      <c r="H271" s="27"/>
      <c r="I271" s="24"/>
      <c r="J271" s="27"/>
    </row>
    <row r="272" spans="2:13" ht="15.75">
      <c r="B272" s="23"/>
      <c r="C272" s="23"/>
      <c r="D272" s="27"/>
      <c r="E272" s="15" t="s">
        <v>151</v>
      </c>
      <c r="F272" s="27"/>
      <c r="G272" s="27"/>
      <c r="H272" s="27"/>
      <c r="I272" s="24"/>
      <c r="J272" s="27"/>
    </row>
    <row r="273" spans="2:13" ht="15.75">
      <c r="B273" s="23"/>
      <c r="C273" s="23"/>
      <c r="D273" s="27"/>
      <c r="E273" s="16"/>
      <c r="F273" s="16"/>
      <c r="G273" s="16" t="s">
        <v>124</v>
      </c>
      <c r="H273" s="16" t="s">
        <v>114</v>
      </c>
      <c r="I273" s="16" t="s">
        <v>111</v>
      </c>
      <c r="J273" s="17" t="s">
        <v>125</v>
      </c>
      <c r="K273" s="16" t="s">
        <v>126</v>
      </c>
    </row>
    <row r="274" spans="2:13" ht="15.75">
      <c r="B274" s="23"/>
      <c r="C274" s="23"/>
      <c r="D274" s="27"/>
      <c r="E274" s="16" t="s">
        <v>127</v>
      </c>
      <c r="F274" s="16"/>
      <c r="G274" s="16">
        <f>COUNTIFS('Data Training'!$E$5:$E$123,"BAIK",'Data Training'!$C$5:$C$123,"PEREMPUAN",'Data Training'!$F$5:$F$123,"SANGAT BAIK",'Data Training'!$D$5:$D$123,"CUKUP")</f>
        <v>3</v>
      </c>
      <c r="H274" s="16">
        <f>COUNTIFS('Data Training'!$H$5:$H$123,H273,'Data Training'!$E$5:$E$123,"BAIK",'Data Training'!$C$5:$C$123,"PEREMPUAN",'Data Training'!$F$5:$F$123,"SANGAT BAIK",'Data Training'!$D$5:$D$123,"CUKUP")</f>
        <v>2</v>
      </c>
      <c r="I274" s="16">
        <f>COUNTIFS('Data Training'!$H$5:$H$123,I273,'Data Training'!$E$5:$E$123,"BAIK",'Data Training'!$C$5:$C$123,"PEREMPUAN",'Data Training'!$F$5:$F$123,"SANGAT BAIK",'Data Training'!$D$5:$D$123,"CUKUP")</f>
        <v>1</v>
      </c>
      <c r="J274" s="17">
        <f>((-H274/G274)*IMLOG2(H274/G274))+((-I274/G274)*IMLOG2(I274/G274))</f>
        <v>0.91829583405449056</v>
      </c>
      <c r="K274" s="16"/>
    </row>
    <row r="275" spans="2:13" ht="15.75">
      <c r="B275" s="23"/>
      <c r="C275" s="23"/>
      <c r="D275" s="27"/>
      <c r="E275" s="16" t="s">
        <v>131</v>
      </c>
      <c r="F275" s="16"/>
      <c r="G275" s="16"/>
      <c r="H275" s="16"/>
      <c r="I275" s="16"/>
      <c r="J275" s="17"/>
      <c r="K275" s="22">
        <f>($J$274)-((G276/$G$274)*J276+((G277/$G$274)*J277)+((G278/$G$274)*J278)+((G279/$G$274)*J279))</f>
        <v>0</v>
      </c>
    </row>
    <row r="276" spans="2:13" ht="15.75">
      <c r="B276" s="23"/>
      <c r="C276" s="23"/>
      <c r="D276" s="27"/>
      <c r="E276" s="16"/>
      <c r="F276" s="16" t="s">
        <v>112</v>
      </c>
      <c r="G276" s="16">
        <f>COUNTIFS('Data Training'!$G$5:$G$123,F276,'Data Training'!$E$5:$E$123,"BAIK",'Data Training'!$C$5:$C$123,"PEREMPUAN",'Data Training'!$F$5:$F$123,"SANGAT BAIK",'Data Training'!$D$5:$D$123,"CUKUP")</f>
        <v>0</v>
      </c>
      <c r="H276" s="16">
        <f>COUNTIFS('Data Training'!$G$5:$G$123,F276,'Data Training'!$H$5:$H$123,$E$31,'Data Training'!$E$5:$E$123,"BAIK",'Data Training'!$C$5:$C$123,"PEREMPUAN",'Data Training'!$F$5:$F$123,"SANGAT BAIK",'Data Training'!$D$5:$D$123,"CUKUP")</f>
        <v>0</v>
      </c>
      <c r="I276" s="16">
        <f>COUNTIFS('Data Training'!$G$5:$G$123,F276,'Data Training'!$H$5:$H$123,$F$31,'Data Training'!$E$5:$E$123,"BAIK",'Data Training'!$C$5:$C$123,"PEREMPUAN",'Data Training'!$F$5:$F$123,"SANGAT BAIK",'Data Training'!$D$5:$D$123,"CUKUP")</f>
        <v>0</v>
      </c>
      <c r="J276" s="17">
        <v>0</v>
      </c>
      <c r="K276" s="16"/>
    </row>
    <row r="277" spans="2:13" ht="15.75">
      <c r="B277" s="23"/>
      <c r="C277" s="23"/>
      <c r="D277" s="27"/>
      <c r="E277" s="16"/>
      <c r="F277" s="16" t="s">
        <v>110</v>
      </c>
      <c r="G277" s="16">
        <f>COUNTIFS('Data Training'!$G$5:$G$123,F277,'Data Training'!$E$5:$E$123,"BAIK",'Data Training'!$C$5:$C$123,"PEREMPUAN",'Data Training'!$F$5:$F$123,"SANGAT BAIK",'Data Training'!$D$5:$D$123,"CUKUP")</f>
        <v>3</v>
      </c>
      <c r="H277" s="16">
        <f>COUNTIFS('Data Training'!$G$5:$G$123,F277,'Data Training'!$H$5:$H$123,$E$31,'Data Training'!$E$5:$E$123,"BAIK",'Data Training'!$C$5:$C$123,"PEREMPUAN",'Data Training'!$F$5:$F$123,"SANGAT BAIK",'Data Training'!$D$5:$D$123,"CUKUP")</f>
        <v>2</v>
      </c>
      <c r="I277" s="16">
        <f>COUNTIFS('Data Training'!$G$5:$G$123,F277,'Data Training'!$H$5:$H$123,$F$31,'Data Training'!$E$5:$E$123,"BAIK",'Data Training'!$C$5:$C$123,"PEREMPUAN",'Data Training'!$F$5:$F$123,"SANGAT BAIK",'Data Training'!$D$5:$D$123,"CUKUP")</f>
        <v>1</v>
      </c>
      <c r="J277" s="17">
        <f>((-H277/G277)*IMLOG2(H277/G277))+((-I277/G277)*IMLOG2(I277/G277))</f>
        <v>0.91829583405449056</v>
      </c>
      <c r="K277" s="16"/>
    </row>
    <row r="278" spans="2:13" ht="15.75">
      <c r="B278" s="23"/>
      <c r="C278" s="23"/>
      <c r="D278" s="27"/>
      <c r="E278" s="16"/>
      <c r="F278" s="16" t="s">
        <v>109</v>
      </c>
      <c r="G278" s="16">
        <f>COUNTIFS('Data Training'!$G$5:$G$123,F278,'Data Training'!$E$5:$E$123,"BAIK",'Data Training'!$C$5:$C$123,"PEREMPUAN",'Data Training'!$F$5:$F$123,"SANGAT BAIK",'Data Training'!$D$5:$D$123,"CUKUP")</f>
        <v>0</v>
      </c>
      <c r="H278" s="16">
        <f>COUNTIFS('Data Training'!$G$5:$G$123,F278,'Data Training'!$H$5:$H$123,$E$31,'Data Training'!$E$5:$E$123,"BAIK",'Data Training'!$C$5:$C$123,"PEREMPUAN",'Data Training'!$F$5:$F$123,"SANGAT BAIK",'Data Training'!$D$5:$D$123,"CUKUP")</f>
        <v>0</v>
      </c>
      <c r="I278" s="16">
        <f>COUNTIFS('Data Training'!$G$5:$G$123,F278,'Data Training'!$H$5:$H$123,$F$31,'Data Training'!$E$5:$E$123,"BAIK",'Data Training'!$C$5:$C$123,"PEREMPUAN",'Data Training'!$F$5:$F$123,"SANGAT BAIK",'Data Training'!$D$5:$D$123,"CUKUP")</f>
        <v>0</v>
      </c>
      <c r="J278" s="17">
        <v>0</v>
      </c>
      <c r="K278" s="16"/>
    </row>
    <row r="279" spans="2:13" ht="15.75">
      <c r="B279" s="23"/>
      <c r="C279" s="23"/>
      <c r="D279" s="27"/>
      <c r="E279" s="16"/>
      <c r="F279" s="16" t="s">
        <v>113</v>
      </c>
      <c r="G279" s="16">
        <f>COUNTIFS('Data Training'!$G$5:$G$123,F279,'Data Training'!$E$5:$E$123,"BAIK",'Data Training'!$C$5:$C$123,"PEREMPUAN",'Data Training'!$F$5:$F$123,"SANGAT BAIK",'Data Training'!$D$5:$D$123,"CUKUP")</f>
        <v>0</v>
      </c>
      <c r="H279" s="16">
        <f>COUNTIFS('Data Training'!$G$5:$G$123,F279,'Data Training'!$H$5:$H$123,$E$31,'Data Training'!$E$5:$E$123,"BAIK",'Data Training'!$C$5:$C$123,"PEREMPUAN",'Data Training'!$F$5:$F$123,"SANGAT BAIK",'Data Training'!$D$5:$D$123,"CUKUP")</f>
        <v>0</v>
      </c>
      <c r="I279" s="16">
        <f>COUNTIFS('Data Training'!$G$5:$G$123,F279,'Data Training'!$H$5:$H$123,$F$31,'Data Training'!$E$5:$E$123,"BAIK",'Data Training'!$C$5:$C$123,"PEREMPUAN",'Data Training'!$F$5:$F$123,"SANGAT BAIK",'Data Training'!$D$5:$D$123,"CUKUP")</f>
        <v>0</v>
      </c>
      <c r="J279" s="17">
        <v>0</v>
      </c>
      <c r="K279" s="16"/>
    </row>
    <row r="280" spans="2:13" ht="15.75">
      <c r="B280" s="23"/>
      <c r="C280" s="23"/>
      <c r="D280" s="27"/>
      <c r="E280" s="27"/>
      <c r="F280" s="27"/>
      <c r="G280" s="27"/>
      <c r="H280" s="27"/>
      <c r="I280" s="24"/>
      <c r="J280" s="27"/>
    </row>
    <row r="281" spans="2:13" ht="15.75">
      <c r="B281" s="23"/>
      <c r="C281" s="23"/>
      <c r="D281" s="23"/>
      <c r="E281" s="23"/>
      <c r="F281" s="23"/>
      <c r="G281" s="23"/>
      <c r="H281" s="24"/>
      <c r="I281" s="23"/>
    </row>
    <row r="282" spans="2:13" ht="15.75">
      <c r="B282" s="23"/>
      <c r="C282" s="23"/>
      <c r="D282" s="15" t="s">
        <v>150</v>
      </c>
      <c r="L282">
        <v>18</v>
      </c>
      <c r="M282" s="15" t="s">
        <v>176</v>
      </c>
    </row>
    <row r="283" spans="2:13" ht="15.75">
      <c r="B283" s="23"/>
      <c r="C283" s="23"/>
      <c r="D283" s="16"/>
      <c r="E283" s="16"/>
      <c r="F283" s="16" t="s">
        <v>124</v>
      </c>
      <c r="G283" s="16" t="s">
        <v>114</v>
      </c>
      <c r="H283" s="16" t="s">
        <v>111</v>
      </c>
      <c r="I283" s="17" t="s">
        <v>125</v>
      </c>
      <c r="J283" s="16" t="s">
        <v>126</v>
      </c>
      <c r="L283">
        <v>19</v>
      </c>
      <c r="M283" s="15" t="s">
        <v>177</v>
      </c>
    </row>
    <row r="284" spans="2:13" ht="15.75">
      <c r="B284" s="23"/>
      <c r="C284" s="23"/>
      <c r="D284" s="16" t="s">
        <v>127</v>
      </c>
      <c r="E284" s="16"/>
      <c r="F284" s="16">
        <f>COUNTIFS('Data Training'!$E$5:$E$123,"BAIK",'Data Training'!$C$5:$C$123,"PEREMPUAN",'Data Training'!$F$5:$F$123,"CUKUP")</f>
        <v>4</v>
      </c>
      <c r="G284" s="16">
        <f>COUNTIFS('Data Training'!$H$5:$H$123,G283,'Data Training'!$E$5:$E$123,"BAIK",'Data Training'!$C$5:$C$123,"PEREMPUAN",'Data Training'!$F$5:$F$123,"CUKUP")</f>
        <v>2</v>
      </c>
      <c r="H284" s="16">
        <f>COUNTIFS('Data Training'!$H$5:$H$123,H283,'Data Training'!$E$5:$E$123,"BAIK",'Data Training'!$C$5:$C$123,"PEREMPUAN",'Data Training'!$F$5:$F$123,"CUKUP")</f>
        <v>2</v>
      </c>
      <c r="I284" s="17">
        <f>((-G284/F284)*IMLOG2(G284/F284))+((-H284/F284)*IMLOG2(H284/F284))</f>
        <v>1</v>
      </c>
      <c r="J284" s="16"/>
      <c r="L284">
        <v>20</v>
      </c>
      <c r="M284" s="15" t="s">
        <v>178</v>
      </c>
    </row>
    <row r="285" spans="2:13" ht="15.75">
      <c r="B285" s="23"/>
      <c r="C285" s="23"/>
      <c r="D285" s="16" t="s">
        <v>128</v>
      </c>
      <c r="E285" s="16"/>
      <c r="F285" s="16"/>
      <c r="G285" s="16"/>
      <c r="H285" s="16"/>
      <c r="I285" s="17"/>
      <c r="J285" s="22">
        <f>($I$284)-((F286/$F$284)*I286+((F287/$F$284)*I287)+((F288/$F$284)*I288)+((F289/$F$284)*I289))</f>
        <v>1</v>
      </c>
    </row>
    <row r="286" spans="2:13" ht="15.75">
      <c r="B286" s="23"/>
      <c r="C286" s="23"/>
      <c r="D286" s="16"/>
      <c r="E286" s="16" t="s">
        <v>112</v>
      </c>
      <c r="F286" s="16">
        <f>COUNTIFS('Data Training'!$D$5:$D$123,E286,'Data Training'!$E$5:$E$123,"BAIK",'Data Training'!$C$5:$C$123,"PEREMPUAN",'Data Training'!$F$5:$F$123,"CUKUP")</f>
        <v>1</v>
      </c>
      <c r="G286" s="16">
        <f>COUNTIFS('Data Training'!$D$5:$D$123,E286,'Data Training'!$H$5:$H$123,$E$31,'Data Training'!$E$5:$E$123,"BAIK",'Data Training'!$C$5:$C$123,"PEREMPUAN",'Data Training'!$F$5:$F$123,"CUKUP")</f>
        <v>1</v>
      </c>
      <c r="H286" s="16">
        <f>COUNTIFS('Data Training'!$D$5:$D$123,E286,'Data Training'!$H$5:$H$123,$F$31,'Data Training'!$E$5:$E$123,"BAIK",'Data Training'!$C$5:$C$123,"PEREMPUAN",'Data Training'!$F$5:$F$123,"CUKUP")</f>
        <v>0</v>
      </c>
      <c r="I286" s="17">
        <v>0</v>
      </c>
      <c r="J286" s="16"/>
    </row>
    <row r="287" spans="2:13" ht="15.75">
      <c r="B287" s="23"/>
      <c r="C287" s="23"/>
      <c r="D287" s="16"/>
      <c r="E287" s="16" t="s">
        <v>110</v>
      </c>
      <c r="F287" s="16">
        <f>COUNTIFS('Data Training'!$D$5:$D$123,E287,'Data Training'!$E$5:$E$123,"BAIK",'Data Training'!$C$5:$C$123,"PEREMPUAN",'Data Training'!$F$5:$F$123,"CUKUP")</f>
        <v>1</v>
      </c>
      <c r="G287" s="16">
        <f>COUNTIFS('Data Training'!$D$5:$D$123,E287,'Data Training'!$H$5:$H$123,$E$31,'Data Training'!$E$5:$E$123,"BAIK",'Data Training'!$C$5:$C$123,"PEREMPUAN",'Data Training'!$F$5:$F$123,"CUKUP")</f>
        <v>1</v>
      </c>
      <c r="H287" s="16">
        <f>COUNTIFS('Data Training'!$D$5:$D$123,E287,'Data Training'!$H$5:$H$123,$F$31,'Data Training'!$E$5:$E$123,"BAIK",'Data Training'!$C$5:$C$123,"PEREMPUAN",'Data Training'!$F$5:$F$123,"CUKUP")</f>
        <v>0</v>
      </c>
      <c r="I287" s="17">
        <v>0</v>
      </c>
      <c r="J287" s="16"/>
    </row>
    <row r="288" spans="2:13" ht="15.75">
      <c r="B288" s="23"/>
      <c r="C288" s="23"/>
      <c r="D288" s="16"/>
      <c r="E288" s="16" t="s">
        <v>109</v>
      </c>
      <c r="F288" s="16">
        <f>COUNTIFS('Data Training'!$D$5:$D$123,E288,'Data Training'!$E$5:$E$123,"BAIK",'Data Training'!$C$5:$C$123,"PEREMPUAN",'Data Training'!$F$5:$F$123,"CUKUP")</f>
        <v>2</v>
      </c>
      <c r="G288" s="16">
        <f>COUNTIFS('Data Training'!$D$5:$D$123,E288,'Data Training'!$H$5:$H$123,$E$31,'Data Training'!$E$5:$E$123,"BAIK",'Data Training'!$C$5:$C$123,"PEREMPUAN",'Data Training'!$F$5:$F$123,"CUKUP")</f>
        <v>0</v>
      </c>
      <c r="H288" s="16">
        <f>COUNTIFS('Data Training'!$D$5:$D$123,E288,'Data Training'!$H$5:$H$123,$F$31,'Data Training'!$E$5:$E$123,"BAIK",'Data Training'!$C$5:$C$123,"PEREMPUAN",'Data Training'!$F$5:$F$123,"CUKUP")</f>
        <v>2</v>
      </c>
      <c r="I288" s="17">
        <v>0</v>
      </c>
      <c r="J288" s="16"/>
    </row>
    <row r="289" spans="2:10" ht="15.75">
      <c r="B289" s="23"/>
      <c r="C289" s="23"/>
      <c r="D289" s="16"/>
      <c r="E289" s="16" t="s">
        <v>113</v>
      </c>
      <c r="F289" s="16">
        <f>COUNTIFS('Data Training'!$D$5:$D$123,E289,'Data Training'!$E$5:$E$123,"BAIK",'Data Training'!$C$5:$C$123,"PEREMPUAN",'Data Training'!$F$5:$F$123,"CUKUP")</f>
        <v>0</v>
      </c>
      <c r="G289" s="16">
        <f>COUNTIFS('Data Training'!$D$5:$D$123,E289,'Data Training'!$H$5:$H$123,$E$31,'Data Training'!$E$5:$E$123,"BAIK",'Data Training'!$C$5:$C$123,"PEREMPUAN",'Data Training'!$F$5:$F$123,"CUKUP")</f>
        <v>0</v>
      </c>
      <c r="H289" s="16">
        <f>COUNTIFS('Data Training'!$D$5:$D$123,E289,'Data Training'!$H$5:$H$123,$F$31,'Data Training'!$E$5:$E$123,"BAIK",'Data Training'!$C$5:$C$123,"PEREMPUAN",'Data Training'!$F$5:$F$123,"CUKUP")</f>
        <v>0</v>
      </c>
      <c r="I289" s="17">
        <v>0</v>
      </c>
      <c r="J289" s="16"/>
    </row>
    <row r="290" spans="2:10" ht="15.75">
      <c r="B290" s="23"/>
      <c r="C290" s="23"/>
      <c r="D290" s="16" t="s">
        <v>131</v>
      </c>
      <c r="E290" s="16"/>
      <c r="F290" s="16"/>
      <c r="G290" s="16"/>
      <c r="H290" s="16"/>
      <c r="I290" s="17"/>
      <c r="J290" s="22">
        <f>($I$284)-((F291/$F$284)*I291+((F292/$F$284)*I292)+((F293/$F$284)*I293)+((F294/$F$284)*I294))</f>
        <v>0.31127812445913206</v>
      </c>
    </row>
    <row r="291" spans="2:10" ht="15.75">
      <c r="B291" s="23"/>
      <c r="C291" s="23"/>
      <c r="D291" s="16"/>
      <c r="E291" s="16" t="s">
        <v>112</v>
      </c>
      <c r="F291" s="16">
        <f>COUNTIFS('Data Training'!$G$5:$G$123,E291,'Data Training'!$E$5:$E$123,"BAIK",'Data Training'!$C$5:$C$123,"PEREMPUAN",'Data Training'!$F$5:$F$123,"CUKUP")</f>
        <v>1</v>
      </c>
      <c r="G291" s="16">
        <f>COUNTIFS('Data Training'!$G$5:$G$123,E291,'Data Training'!$H$5:$H$123,$E$31,'Data Training'!$E$5:$E$123,"BAIK",'Data Training'!$C$5:$C$123,"PEREMPUAN",'Data Training'!$F$5:$F$123,"CUKUP")</f>
        <v>1</v>
      </c>
      <c r="H291" s="16">
        <f>COUNTIFS('Data Training'!$G$5:$G$123,E291,'Data Training'!$H$5:$H$123,$F$31,'Data Training'!$E$5:$E$123,"BAIK",'Data Training'!$C$5:$C$123,"PEREMPUAN",'Data Training'!$F$5:$F$123,"CUKUP")</f>
        <v>0</v>
      </c>
      <c r="I291" s="17">
        <v>0</v>
      </c>
      <c r="J291" s="16"/>
    </row>
    <row r="292" spans="2:10" ht="15.75">
      <c r="B292" s="23"/>
      <c r="C292" s="23"/>
      <c r="D292" s="16"/>
      <c r="E292" s="16" t="s">
        <v>110</v>
      </c>
      <c r="F292" s="16">
        <f>COUNTIFS('Data Training'!$G$5:$G$123,E292,'Data Training'!$E$5:$E$123,"BAIK",'Data Training'!$C$5:$C$123,"PEREMPUAN",'Data Training'!$F$5:$F$123,"CUKUP")</f>
        <v>3</v>
      </c>
      <c r="G292" s="16">
        <f>COUNTIFS('Data Training'!$G$5:$G$123,E292,'Data Training'!$H$5:$H$123,$E$31,'Data Training'!$E$5:$E$123,"BAIK",'Data Training'!$C$5:$C$123,"PEREMPUAN",'Data Training'!$F$5:$F$123,"CUKUP")</f>
        <v>1</v>
      </c>
      <c r="H292" s="16">
        <f>COUNTIFS('Data Training'!$G$5:$G$123,E292,'Data Training'!$H$5:$H$123,$F$31,'Data Training'!$E$5:$E$123,"BAIK",'Data Training'!$C$5:$C$123,"PEREMPUAN",'Data Training'!$F$5:$F$123,"CUKUP")</f>
        <v>2</v>
      </c>
      <c r="I292" s="17">
        <f t="shared" ref="I292" si="25">((-G292/F292)*IMLOG2(G292/F292))+((-H292/F292)*IMLOG2(H292/F292))</f>
        <v>0.91829583405449056</v>
      </c>
      <c r="J292" s="16"/>
    </row>
    <row r="293" spans="2:10" ht="15.75">
      <c r="B293" s="23"/>
      <c r="C293" s="23"/>
      <c r="D293" s="16"/>
      <c r="E293" s="16" t="s">
        <v>109</v>
      </c>
      <c r="F293" s="16">
        <f>COUNTIFS('Data Training'!$G$5:$G$123,E293,'Data Training'!$E$5:$E$123,"BAIK",'Data Training'!$C$5:$C$123,"PEREMPUAN",'Data Training'!$F$5:$F$123,"CUKUP")</f>
        <v>0</v>
      </c>
      <c r="G293" s="16">
        <f>COUNTIFS('Data Training'!$G$5:$G$123,E293,'Data Training'!$H$5:$H$123,$E$31,'Data Training'!$E$5:$E$123,"BAIK",'Data Training'!$C$5:$C$123,"PEREMPUAN",'Data Training'!$F$5:$F$123,"CUKUP")</f>
        <v>0</v>
      </c>
      <c r="H293" s="16">
        <f>COUNTIFS('Data Training'!$G$5:$G$123,E293,'Data Training'!$H$5:$H$123,$F$31,'Data Training'!$E$5:$E$123,"BAIK",'Data Training'!$C$5:$C$123,"PEREMPUAN",'Data Training'!$F$5:$F$123,"CUKUP")</f>
        <v>0</v>
      </c>
      <c r="I293" s="17">
        <v>0</v>
      </c>
      <c r="J293" s="16"/>
    </row>
    <row r="294" spans="2:10" ht="15.75">
      <c r="D294" s="16"/>
      <c r="E294" s="16" t="s">
        <v>113</v>
      </c>
      <c r="F294" s="16">
        <f>COUNTIFS('Data Training'!$G$5:$G$123,E294,'Data Training'!$E$5:$E$123,"BAIK",'Data Training'!$C$5:$C$123,"PEREMPUAN",'Data Training'!$F$5:$F$123,"CUKUP")</f>
        <v>0</v>
      </c>
      <c r="G294" s="16">
        <f>COUNTIFS('Data Training'!$G$5:$G$123,E294,'Data Training'!$H$5:$H$123,$E$31,'Data Training'!$E$5:$E$123,"BAIK",'Data Training'!$C$5:$C$123,"PEREMPUAN",'Data Training'!$F$5:$F$123,"CUKUP")</f>
        <v>0</v>
      </c>
      <c r="H294" s="16">
        <f>COUNTIFS('Data Training'!$G$5:$G$123,E294,'Data Training'!$H$5:$H$123,$F$31,'Data Training'!$E$5:$E$123,"BAIK",'Data Training'!$C$5:$C$123,"PEREMPUAN",'Data Training'!$F$5:$F$123,"CUKUP")</f>
        <v>0</v>
      </c>
      <c r="I294" s="17">
        <v>0</v>
      </c>
      <c r="J294" s="16"/>
    </row>
    <row r="295" spans="2:10" ht="15.75">
      <c r="D295" s="23"/>
      <c r="E295" s="23"/>
      <c r="F295" s="23"/>
      <c r="G295" s="23"/>
      <c r="H295" s="23"/>
      <c r="I295" s="24"/>
      <c r="J295" s="23"/>
    </row>
    <row r="296" spans="2:10" ht="15.75">
      <c r="D296" s="23"/>
      <c r="E296" s="23"/>
      <c r="F296" s="23"/>
      <c r="G296" s="23"/>
      <c r="H296" s="23"/>
      <c r="I296" s="24"/>
      <c r="J296" s="23"/>
    </row>
    <row r="297" spans="2:10">
      <c r="B297" s="15" t="s">
        <v>137</v>
      </c>
    </row>
    <row r="298" spans="2:10" ht="15.75">
      <c r="B298" s="16"/>
      <c r="C298" s="16"/>
      <c r="D298" s="16" t="s">
        <v>124</v>
      </c>
      <c r="E298" s="16" t="s">
        <v>114</v>
      </c>
      <c r="F298" s="16" t="s">
        <v>111</v>
      </c>
      <c r="G298" s="17" t="s">
        <v>125</v>
      </c>
      <c r="H298" s="16" t="s">
        <v>126</v>
      </c>
    </row>
    <row r="299" spans="2:10" ht="15.75">
      <c r="B299" s="16" t="s">
        <v>127</v>
      </c>
      <c r="C299" s="16"/>
      <c r="D299" s="16">
        <f>COUNTIF('Data Training'!$E$5:$E$123,"CUKUP")</f>
        <v>26</v>
      </c>
      <c r="E299" s="16">
        <f>COUNTIFS('Data Training'!$H$5:$H$123,E298,'Data Training'!$E$5:$E$123,"CUKUP")</f>
        <v>7</v>
      </c>
      <c r="F299" s="16">
        <f>COUNTIFS('Data Training'!$H$5:$H$123,F298,'Data Training'!$E$5:$E$123,"CUKUP")</f>
        <v>19</v>
      </c>
      <c r="G299" s="17">
        <f>((-E299/D299)*IMLOG2(E299/D299))+((-F299/D299)*IMLOG2(F299/D299))</f>
        <v>0.84035867160911781</v>
      </c>
      <c r="H299" s="16"/>
    </row>
    <row r="300" spans="2:10" ht="15.75">
      <c r="B300" s="16" t="s">
        <v>2</v>
      </c>
      <c r="C300" s="16"/>
      <c r="D300" s="16"/>
      <c r="E300" s="16"/>
      <c r="F300" s="16"/>
      <c r="G300" s="17"/>
      <c r="H300" s="18">
        <f>($G$299)-((D301/$D$299)*G301+((D302/$D$299)*G302))</f>
        <v>4.3905018269624341E-3</v>
      </c>
    </row>
    <row r="301" spans="2:10" ht="15.75">
      <c r="B301" s="16"/>
      <c r="C301" s="16" t="s">
        <v>120</v>
      </c>
      <c r="D301" s="16">
        <f>COUNTIFS('Data Training'!$C$5:$C$123,C301,'Data Training'!$E$5:$E$123,"CUKUP")</f>
        <v>21</v>
      </c>
      <c r="E301" s="16">
        <f>COUNTIFS('Data Training'!$C$5:$C$123,C301,'Data Training'!$H$5:$H$123,E298,'Data Training'!$E$5:$E$123,"CUKUP")</f>
        <v>6</v>
      </c>
      <c r="F301" s="16">
        <f>COUNTIFS('Data Training'!$C$5:$C$123,C301,'Data Training'!$H$5:$H$123,F298,'Data Training'!$E$5:$E$123,"CUKUP")</f>
        <v>15</v>
      </c>
      <c r="G301" s="17">
        <f>((-E301/D301)*IMLOG2(E301/D301))+((-F301/D301)*IMLOG2(F301/D301))</f>
        <v>0.86312056856663</v>
      </c>
      <c r="H301" s="16"/>
    </row>
    <row r="302" spans="2:10" ht="15.75">
      <c r="B302" s="16"/>
      <c r="C302" s="16" t="s">
        <v>121</v>
      </c>
      <c r="D302" s="16">
        <f>COUNTIFS('Data Training'!$C$5:$C$123,C302,'Data Training'!$E$5:$E$123,"CUKUP")</f>
        <v>5</v>
      </c>
      <c r="E302" s="16">
        <f>COUNTIFS('Data Training'!$C$5:$C$123,C302,'Data Training'!$H$5:$H$123,$E$31,'Data Training'!$E$5:$E$123,"CUKUP")</f>
        <v>1</v>
      </c>
      <c r="F302" s="16">
        <f>COUNTIFS('Data Training'!$C$5:$C$123,C302,'Data Training'!$H$5:$H$123,$F$31,'Data Training'!$E$5:$E$123,"CUKUP")</f>
        <v>4</v>
      </c>
      <c r="G302" s="17">
        <f>((-E302/D302)*IMLOG2(E302/D302))+((-F302/D302)*IMLOG2(F302/D302))</f>
        <v>0.72192809488736165</v>
      </c>
      <c r="H302" s="16"/>
    </row>
    <row r="303" spans="2:10" ht="15.75">
      <c r="B303" s="16" t="s">
        <v>128</v>
      </c>
      <c r="C303" s="16"/>
      <c r="D303" s="16"/>
      <c r="E303" s="16"/>
      <c r="F303" s="16"/>
      <c r="G303" s="17"/>
      <c r="H303" s="18">
        <f>($G$299)-((D304/$D$299)*G304+((D305/$D$299)*G305)+((D306/$D$299)*G306)+((D307/$D$299)*G307))</f>
        <v>0.1081028114274778</v>
      </c>
    </row>
    <row r="304" spans="2:10" ht="15.75">
      <c r="B304" s="16"/>
      <c r="C304" s="16" t="s">
        <v>112</v>
      </c>
      <c r="D304" s="16">
        <f>COUNTIFS('Data Training'!$D$5:$D$123,C304,'Data Training'!$E$5:$E$123,"CUKUP")</f>
        <v>1</v>
      </c>
      <c r="E304" s="16">
        <f>COUNTIFS('Data Training'!$D$5:$D$123,C304,'Data Training'!$H$5:$H$123,$E$31,'Data Training'!$E$5:$E$123,"CUKUP")</f>
        <v>0</v>
      </c>
      <c r="F304" s="16">
        <f>COUNTIFS('Data Training'!$D$5:$D$123,C304,'Data Training'!$H$5:$H$123,$F$31,'Data Training'!$E$5:$E$123,"CUKUP")</f>
        <v>1</v>
      </c>
      <c r="G304" s="17">
        <v>0</v>
      </c>
      <c r="H304" s="16"/>
    </row>
    <row r="305" spans="2:9" ht="15.75">
      <c r="B305" s="16"/>
      <c r="C305" s="16" t="s">
        <v>110</v>
      </c>
      <c r="D305" s="16">
        <f>COUNTIFS('Data Training'!$D$5:$D$123,C305,'Data Training'!$E$5:$E$123,"CUKUP")</f>
        <v>3</v>
      </c>
      <c r="E305" s="16">
        <f>COUNTIFS('Data Training'!$D$5:$D$123,C305,'Data Training'!$H$5:$H$123,$E$31,'Data Training'!$E$5:$E$123,"CUKUP")</f>
        <v>2</v>
      </c>
      <c r="F305" s="16">
        <f>COUNTIFS('Data Training'!$D$5:$D$123,C305,'Data Training'!$H$5:$H$123,$F$31,'Data Training'!$E$5:$E$123,"CUKUP")</f>
        <v>1</v>
      </c>
      <c r="G305" s="17">
        <f t="shared" ref="G305:G307" si="26">((-E305/D305)*IMLOG2(E305/D305))+((-F305/D305)*IMLOG2(F305/D305))</f>
        <v>0.91829583405449056</v>
      </c>
      <c r="H305" s="16"/>
    </row>
    <row r="306" spans="2:9" ht="15.75">
      <c r="B306" s="16"/>
      <c r="C306" s="16" t="s">
        <v>109</v>
      </c>
      <c r="D306" s="16">
        <f>COUNTIFS('Data Training'!$D$5:$D$123,C306,'Data Training'!$E$5:$E$123,"CUKUP")</f>
        <v>17</v>
      </c>
      <c r="E306" s="16">
        <f>COUNTIFS('Data Training'!$D$5:$D$123,C306,'Data Training'!$H$5:$H$123,$E$31,'Data Training'!$E$5:$E$123,"CUKUP")</f>
        <v>3</v>
      </c>
      <c r="F306" s="16">
        <f>COUNTIFS('Data Training'!$D$5:$D$123,C306,'Data Training'!$H$5:$H$123,$F$31,'Data Training'!$E$5:$E$123,"CUKUP")</f>
        <v>14</v>
      </c>
      <c r="G306" s="17">
        <f t="shared" si="26"/>
        <v>0.6722948170756371</v>
      </c>
      <c r="H306" s="16"/>
    </row>
    <row r="307" spans="2:9" ht="15.75">
      <c r="B307" s="16"/>
      <c r="C307" s="16" t="s">
        <v>113</v>
      </c>
      <c r="D307" s="16">
        <f>COUNTIFS('Data Training'!$D$5:$D$123,C307,'Data Training'!$E$5:$E$123,"CUKUP")</f>
        <v>5</v>
      </c>
      <c r="E307" s="16">
        <f>COUNTIFS('Data Training'!$D$5:$D$123,C307,'Data Training'!$H$5:$H$123,$E$31,'Data Training'!$E$5:$E$123,"CUKUP")</f>
        <v>2</v>
      </c>
      <c r="F307" s="16">
        <f>COUNTIFS('Data Training'!$D$5:$D$123,C307,'Data Training'!$H$5:$H$123,$F$31,'Data Training'!$E$5:$E$123,"CUKUP")</f>
        <v>3</v>
      </c>
      <c r="G307" s="17">
        <f t="shared" si="26"/>
        <v>0.97095059445466747</v>
      </c>
      <c r="H307" s="16"/>
    </row>
    <row r="308" spans="2:9" ht="15.75">
      <c r="B308" s="16" t="s">
        <v>130</v>
      </c>
      <c r="C308" s="16"/>
      <c r="D308" s="16"/>
      <c r="E308" s="16"/>
      <c r="F308" s="16"/>
      <c r="G308" s="17"/>
      <c r="H308" s="18">
        <f>($G$299)-((D309/$D$299)*G309+((D310/$D$299)*G310)+((D311/$D$299)*G311)+((D312/$D$299)*G312))</f>
        <v>0.13730827567862025</v>
      </c>
    </row>
    <row r="309" spans="2:9" ht="15.75">
      <c r="B309" s="16"/>
      <c r="C309" s="16" t="s">
        <v>112</v>
      </c>
      <c r="D309" s="16">
        <f>COUNTIFS('Data Training'!$F$5:$F$123,C309,'Data Training'!$E$5:$E$123,"CUKUP")</f>
        <v>4</v>
      </c>
      <c r="E309" s="16">
        <f>COUNTIFS('Data Training'!$F$5:$F$123,C309,'Data Training'!$H$5:$H$123,$E$31,'Data Training'!$E$5:$E$123,"CUKUP")</f>
        <v>3</v>
      </c>
      <c r="F309" s="16">
        <f>COUNTIFS('Data Training'!$F$5:$F$123,C309,'Data Training'!$H$5:$H$123,$F$31,'Data Training'!$E$5:$E$123,"CUKUP")</f>
        <v>1</v>
      </c>
      <c r="G309" s="17">
        <f t="shared" ref="G309:G312" si="27">((-E309/D309)*IMLOG2(E309/D309))+((-F309/D309)*IMLOG2(F309/D309))</f>
        <v>0.81127812445913294</v>
      </c>
      <c r="H309" s="16"/>
    </row>
    <row r="310" spans="2:9" ht="15.75">
      <c r="B310" s="16"/>
      <c r="C310" s="16" t="s">
        <v>110</v>
      </c>
      <c r="D310" s="16">
        <f>COUNTIFS('Data Training'!$F$5:$F$123,C310,'Data Training'!$E$5:$E$123,"CUKUP")</f>
        <v>11</v>
      </c>
      <c r="E310" s="16">
        <f>COUNTIFS('Data Training'!$F$5:$F$123,C310,'Data Training'!$H$5:$H$123,$E$31,'Data Training'!$E$5:$E$123,"CUKUP")</f>
        <v>2</v>
      </c>
      <c r="F310" s="16">
        <f>COUNTIFS('Data Training'!$F$5:$F$123,C310,'Data Training'!$H$5:$H$123,$F$31,'Data Training'!$E$5:$E$123,"CUKUP")</f>
        <v>9</v>
      </c>
      <c r="G310" s="17">
        <f t="shared" si="27"/>
        <v>0.68403843563904232</v>
      </c>
      <c r="H310" s="16"/>
    </row>
    <row r="311" spans="2:9" ht="15.75">
      <c r="B311" s="16"/>
      <c r="C311" s="16" t="s">
        <v>109</v>
      </c>
      <c r="D311" s="16">
        <f>COUNTIFS('Data Training'!$F$5:$F$123,C311,'Data Training'!$E$5:$E$123,"CUKUP")</f>
        <v>5</v>
      </c>
      <c r="E311" s="16">
        <f>COUNTIFS('Data Training'!$F$5:$F$123,C311,'Data Training'!$H$5:$H$123,$E$31,'Data Training'!$E$5:$E$123,"CUKUP")</f>
        <v>1</v>
      </c>
      <c r="F311" s="16">
        <f>COUNTIFS('Data Training'!$F$5:$F$123,C311,'Data Training'!$H$5:$H$123,$F$31,'Data Training'!$E$5:$E$123,"CUKUP")</f>
        <v>4</v>
      </c>
      <c r="G311" s="17">
        <f t="shared" si="27"/>
        <v>0.72192809488736165</v>
      </c>
      <c r="H311" s="16"/>
    </row>
    <row r="312" spans="2:9" ht="15.75">
      <c r="B312" s="16"/>
      <c r="C312" s="16" t="s">
        <v>113</v>
      </c>
      <c r="D312" s="16">
        <f>COUNTIFS('Data Training'!$F$5:$F$123,C312,'Data Training'!$E$5:$E$123,"CUKUP")</f>
        <v>6</v>
      </c>
      <c r="E312" s="16">
        <f>COUNTIFS('Data Training'!$F$5:$F$123,C312,'Data Training'!$H$5:$H$123,$E$31,'Data Training'!$E$5:$E$123,"CUKUP")</f>
        <v>1</v>
      </c>
      <c r="F312" s="16">
        <f>COUNTIFS('Data Training'!$F$5:$F$123,C312,'Data Training'!$H$5:$H$123,$F$31,'Data Training'!$E$5:$E$123,"CUKUP")</f>
        <v>5</v>
      </c>
      <c r="G312" s="17">
        <f t="shared" si="27"/>
        <v>0.650022421648355</v>
      </c>
      <c r="H312" s="16"/>
    </row>
    <row r="313" spans="2:9" ht="15.75">
      <c r="B313" s="16" t="s">
        <v>131</v>
      </c>
      <c r="C313" s="16"/>
      <c r="D313" s="16"/>
      <c r="E313" s="16"/>
      <c r="F313" s="16"/>
      <c r="G313" s="17"/>
      <c r="H313" s="18">
        <f>($G$299)-((D314/$D$299)*G314+((D315/$D$299)*G315)+((D316/$D$299)*G316)+((D317/$D$299)*G317))</f>
        <v>0.17423765549436854</v>
      </c>
    </row>
    <row r="314" spans="2:9" ht="15.75">
      <c r="B314" s="16"/>
      <c r="C314" s="16" t="s">
        <v>112</v>
      </c>
      <c r="D314" s="16">
        <f>COUNTIFS('Data Training'!$G$5:$G$123,C314,'Data Training'!$E$5:$E$123,"CUKUP")</f>
        <v>6</v>
      </c>
      <c r="E314" s="16">
        <f>COUNTIFS('Data Training'!$G$5:$G$123,C314,'Data Training'!$H$5:$H$123,$E$31,'Data Training'!$E$5:$E$123,"CUKUP")</f>
        <v>0</v>
      </c>
      <c r="F314" s="16">
        <f>COUNTIFS('Data Training'!$G$5:$G$123,C314,'Data Training'!$H$5:$H$123,$F$31,'Data Training'!$E$5:$E$123,"CUKUP")</f>
        <v>6</v>
      </c>
      <c r="G314" s="17">
        <v>0</v>
      </c>
      <c r="H314" s="16"/>
    </row>
    <row r="315" spans="2:9" ht="15.75">
      <c r="B315" s="16"/>
      <c r="C315" s="16" t="s">
        <v>110</v>
      </c>
      <c r="D315" s="16">
        <f>COUNTIFS('Data Training'!$G$5:$G$123,C315,'Data Training'!$E$5:$E$123,"CUKUP")</f>
        <v>15</v>
      </c>
      <c r="E315" s="16">
        <f>COUNTIFS('Data Training'!$G$5:$G$123,C315,'Data Training'!$H$5:$H$123,$E$31,'Data Training'!$E$5:$E$123,"CUKUP")</f>
        <v>6</v>
      </c>
      <c r="F315" s="16">
        <f>COUNTIFS('Data Training'!$G$5:$G$123,C315,'Data Training'!$H$5:$H$123,$F$31,'Data Training'!$E$5:$E$123,"CUKUP")</f>
        <v>9</v>
      </c>
      <c r="G315" s="17">
        <f t="shared" ref="G315:G317" si="28">((-E315/D315)*IMLOG2(E315/D315))+((-F315/D315)*IMLOG2(F315/D315))</f>
        <v>0.97095059445466747</v>
      </c>
      <c r="H315" s="16"/>
    </row>
    <row r="316" spans="2:9" ht="15.75">
      <c r="B316" s="16"/>
      <c r="C316" s="16" t="s">
        <v>109</v>
      </c>
      <c r="D316" s="16">
        <f>COUNTIFS('Data Training'!$G$5:$G$123,C316,'Data Training'!$E$5:$E$123,"CUKUP")</f>
        <v>2</v>
      </c>
      <c r="E316" s="16">
        <f>COUNTIFS('Data Training'!$G$5:$G$123,C316,'Data Training'!$H$5:$H$123,$E$31,'Data Training'!$E$5:$E$123,"CUKUP")</f>
        <v>0</v>
      </c>
      <c r="F316" s="16">
        <f>COUNTIFS('Data Training'!$G$5:$G$123,C316,'Data Training'!$H$5:$H$123,$F$31,'Data Training'!$E$5:$E$123,"CUKUP")</f>
        <v>2</v>
      </c>
      <c r="G316" s="17">
        <v>0</v>
      </c>
      <c r="H316" s="16"/>
    </row>
    <row r="317" spans="2:9" ht="15.75">
      <c r="B317" s="16"/>
      <c r="C317" s="16" t="s">
        <v>113</v>
      </c>
      <c r="D317" s="16">
        <f>COUNTIFS('Data Training'!$G$5:$G$123,C317,'Data Training'!$E$5:$E$123,"CUKUP")</f>
        <v>3</v>
      </c>
      <c r="E317" s="16">
        <f>COUNTIFS('Data Training'!$G$5:$G$123,C317,'Data Training'!$H$5:$H$123,$E$31,'Data Training'!$E$5:$E$123,"CUKUP")</f>
        <v>1</v>
      </c>
      <c r="F317" s="16">
        <f>COUNTIFS('Data Training'!$G$5:$G$123,C317,'Data Training'!$H$5:$H$123,$F$31,'Data Training'!$E$5:$E$123,"CUKUP")</f>
        <v>2</v>
      </c>
      <c r="G317" s="17">
        <f t="shared" si="28"/>
        <v>0.91829583405449056</v>
      </c>
      <c r="H317" s="16"/>
    </row>
    <row r="318" spans="2:9" ht="15.75">
      <c r="B318" s="27"/>
      <c r="C318" s="27"/>
      <c r="D318" s="27"/>
      <c r="E318" s="27"/>
      <c r="F318" s="27"/>
      <c r="G318" s="24"/>
      <c r="H318" s="27"/>
    </row>
    <row r="319" spans="2:9" ht="15.75">
      <c r="B319" s="27"/>
      <c r="C319" s="15" t="s">
        <v>152</v>
      </c>
    </row>
    <row r="320" spans="2:9" ht="15.75">
      <c r="B320" s="27"/>
      <c r="C320" s="16"/>
      <c r="D320" s="16"/>
      <c r="E320" s="16" t="s">
        <v>124</v>
      </c>
      <c r="F320" s="16" t="s">
        <v>114</v>
      </c>
      <c r="G320" s="16" t="s">
        <v>111</v>
      </c>
      <c r="H320" s="17" t="s">
        <v>125</v>
      </c>
      <c r="I320" s="16" t="s">
        <v>126</v>
      </c>
    </row>
    <row r="321" spans="2:13" ht="15.75">
      <c r="B321" s="27"/>
      <c r="C321" s="16" t="s">
        <v>127</v>
      </c>
      <c r="D321" s="16"/>
      <c r="E321" s="16">
        <f>COUNTIFS('Data Training'!$E$5:$E$123,"CUKUP",'Data Training'!$G$5:$G$123,"BAIK")</f>
        <v>15</v>
      </c>
      <c r="F321" s="16">
        <f>COUNTIFS('Data Training'!$H$5:$H$123,F320,'Data Training'!$E$5:$E$123,"CUKUP",'Data Training'!$G$5:$G$123,"BAIK")</f>
        <v>6</v>
      </c>
      <c r="G321" s="16">
        <f>COUNTIFS('Data Training'!$H$5:$H$123,G320,'Data Training'!$E$5:$E$123,"CUKUP",'Data Training'!$G$5:$G$123,"BAIK")</f>
        <v>9</v>
      </c>
      <c r="H321" s="17">
        <f>((-F321/E321)*IMLOG2(F321/E321))+((-G321/E321)*IMLOG2(G321/E321))</f>
        <v>0.97095059445466747</v>
      </c>
      <c r="I321" s="16"/>
    </row>
    <row r="322" spans="2:13" ht="15.75">
      <c r="B322" s="27"/>
      <c r="C322" s="16" t="s">
        <v>2</v>
      </c>
      <c r="D322" s="16"/>
      <c r="E322" s="16"/>
      <c r="F322" s="16"/>
      <c r="G322" s="16"/>
      <c r="H322" s="17"/>
      <c r="I322" s="18">
        <f>($H$321)-((E323/$E$321)*H323+((E324/$E$321)*H324))</f>
        <v>0.13787887036150825</v>
      </c>
    </row>
    <row r="323" spans="2:13" ht="15.75">
      <c r="B323" s="27"/>
      <c r="C323" s="16"/>
      <c r="D323" s="16" t="s">
        <v>120</v>
      </c>
      <c r="E323" s="16">
        <f>COUNTIFS('Data Training'!$C$5:$C$123,D323,'Data Training'!$E$5:$E$123,"CUKUP",'Data Training'!$G$5:$G$123,"BAIK")</f>
        <v>13</v>
      </c>
      <c r="F323" s="16">
        <f>COUNTIFS('Data Training'!$C$5:$C$123,D323,'Data Training'!$H$5:$H$123,F320,'Data Training'!$E$5:$E$123,"CUKUP",'Data Training'!$G$5:$G$123,"BAIK")</f>
        <v>5</v>
      </c>
      <c r="G323" s="16">
        <f>COUNTIFS('Data Training'!$C$5:$C$123,D323,'Data Training'!$H$5:$H$123,G320,'Data Training'!$E$5:$E$123,"CUKUP",'Data Training'!$G$5:$G$123,"BAIK")</f>
        <v>8</v>
      </c>
      <c r="H323" s="17">
        <f>((-F323/E323)*IMLOG2(F323/E323))+((-G323/E323)*IMLOG2(G323/E323))</f>
        <v>0.96123660472287598</v>
      </c>
      <c r="I323" s="16"/>
    </row>
    <row r="324" spans="2:13" ht="15.75">
      <c r="B324" s="27"/>
      <c r="C324" s="16"/>
      <c r="D324" s="16" t="s">
        <v>121</v>
      </c>
      <c r="E324" s="16">
        <f>COUNTIFS('Data Training'!$C$5:$C$123,D324,'Data Training'!$E$5:$E$123,"CUKUP",'Data Training'!$G$5:$G$123,"BAIK")</f>
        <v>2</v>
      </c>
      <c r="F324" s="16">
        <f>COUNTIFS('Data Training'!$C$5:$C$123,D324,'Data Training'!$H$5:$H$123,F321,'Data Training'!$E$5:$E$123,"CUKUP",'Data Training'!$G$5:$G$123,"BAIK")</f>
        <v>0</v>
      </c>
      <c r="G324" s="16">
        <f>COUNTIFS('Data Training'!$C$5:$C$123,D324,'Data Training'!$H$5:$H$123,G321,'Data Training'!$E$5:$E$123,"CUKUP",'Data Training'!$G$5:$G$123,"BAIK")</f>
        <v>0</v>
      </c>
      <c r="H324" s="17">
        <v>0</v>
      </c>
      <c r="I324" s="16"/>
    </row>
    <row r="325" spans="2:13" ht="15.75">
      <c r="B325" s="27"/>
      <c r="C325" s="16" t="s">
        <v>128</v>
      </c>
      <c r="D325" s="16"/>
      <c r="E325" s="16"/>
      <c r="F325" s="16"/>
      <c r="G325" s="16"/>
      <c r="H325" s="17"/>
      <c r="I325" s="18">
        <f>($H$321)-((E326/$E$321)*H326+((E327/$E$321)*H327)+((E328/$E$321)*H328)+((E329/$E$321)*H329))</f>
        <v>0.30600603105219493</v>
      </c>
    </row>
    <row r="326" spans="2:13" ht="15.75">
      <c r="B326" s="27"/>
      <c r="C326" s="16"/>
      <c r="D326" s="16" t="s">
        <v>112</v>
      </c>
      <c r="E326" s="16">
        <f>COUNTIFS('Data Training'!$D$5:$D$123,D326,'Data Training'!$E$5:$E$123,"CUKUP",'Data Training'!$G$5:$G$123,"BAIK")</f>
        <v>0</v>
      </c>
      <c r="F326" s="16">
        <f>COUNTIFS('Data Training'!$D$5:$D$123,D326,'Data Training'!$H$5:$H$123,$E$31,'Data Training'!$E$5:$E$123,"CUKUP",'Data Training'!$G$5:$G$123,"BAIK")</f>
        <v>0</v>
      </c>
      <c r="G326" s="16">
        <f>COUNTIFS('Data Training'!$D$5:$D$123,D326,'Data Training'!$H$5:$H$123,$F$31,'Data Training'!$E$5:$E$123,"CUKUP",'Data Training'!$G$5:$G$123,"BAIK")</f>
        <v>0</v>
      </c>
      <c r="H326" s="17">
        <v>0</v>
      </c>
      <c r="I326" s="16"/>
    </row>
    <row r="327" spans="2:13" ht="15.75">
      <c r="B327" s="27"/>
      <c r="C327" s="16"/>
      <c r="D327" s="16" t="s">
        <v>110</v>
      </c>
      <c r="E327" s="16">
        <f>COUNTIFS('Data Training'!$D$5:$D$123,D327,'Data Training'!$E$5:$E$123,"CUKUP",'Data Training'!$G$5:$G$123,"BAIK")</f>
        <v>2</v>
      </c>
      <c r="F327" s="16">
        <f>COUNTIFS('Data Training'!$D$5:$D$123,D327,'Data Training'!$H$5:$H$123,$E$31,'Data Training'!$E$5:$E$123,"CUKUP",'Data Training'!$G$5:$G$123,"BAIK")</f>
        <v>2</v>
      </c>
      <c r="G327" s="16">
        <f>COUNTIFS('Data Training'!$D$5:$D$123,D327,'Data Training'!$H$5:$H$123,$F$31,'Data Training'!$E$5:$E$123,"CUKUP",'Data Training'!$G$5:$G$123,"BAIK")</f>
        <v>0</v>
      </c>
      <c r="H327" s="17">
        <v>0</v>
      </c>
      <c r="I327" s="16"/>
    </row>
    <row r="328" spans="2:13" ht="15.75">
      <c r="B328" s="27"/>
      <c r="C328" s="16"/>
      <c r="D328" s="16" t="s">
        <v>109</v>
      </c>
      <c r="E328" s="16">
        <f>COUNTIFS('Data Training'!$D$5:$D$123,D328,'Data Training'!$E$5:$E$123,"CUKUP",'Data Training'!$G$5:$G$123,"BAIK")</f>
        <v>10</v>
      </c>
      <c r="F328" s="16">
        <f>COUNTIFS('Data Training'!$D$5:$D$123,D328,'Data Training'!$H$5:$H$123,$E$31,'Data Training'!$E$5:$E$123,"CUKUP",'Data Training'!$G$5:$G$123,"BAIK")</f>
        <v>2</v>
      </c>
      <c r="G328" s="16">
        <f>COUNTIFS('Data Training'!$D$5:$D$123,D328,'Data Training'!$H$5:$H$123,$F$31,'Data Training'!$E$5:$E$123,"CUKUP",'Data Training'!$G$5:$G$123,"BAIK")</f>
        <v>8</v>
      </c>
      <c r="H328" s="17">
        <f t="shared" ref="H328:H329" si="29">((-F328/E328)*IMLOG2(F328/E328))+((-G328/E328)*IMLOG2(G328/E328))</f>
        <v>0.72192809488736165</v>
      </c>
      <c r="I328" s="16"/>
    </row>
    <row r="329" spans="2:13" ht="15.75">
      <c r="B329" s="27"/>
      <c r="C329" s="16"/>
      <c r="D329" s="16" t="s">
        <v>113</v>
      </c>
      <c r="E329" s="16">
        <f>COUNTIFS('Data Training'!$D$5:$D$123,D329,'Data Training'!$E$5:$E$123,"CUKUP",'Data Training'!$G$5:$G$123,"BAIK")</f>
        <v>3</v>
      </c>
      <c r="F329" s="16">
        <f>COUNTIFS('Data Training'!$D$5:$D$123,D329,'Data Training'!$H$5:$H$123,$E$31,'Data Training'!$E$5:$E$123,"CUKUP",'Data Training'!$G$5:$G$123,"BAIK")</f>
        <v>2</v>
      </c>
      <c r="G329" s="16">
        <f>COUNTIFS('Data Training'!$D$5:$D$123,D329,'Data Training'!$H$5:$H$123,$F$31,'Data Training'!$E$5:$E$123,"CUKUP",'Data Training'!$G$5:$G$123,"BAIK")</f>
        <v>1</v>
      </c>
      <c r="H329" s="17">
        <f t="shared" si="29"/>
        <v>0.91829583405449056</v>
      </c>
      <c r="I329" s="16"/>
    </row>
    <row r="330" spans="2:13" ht="15.75">
      <c r="B330" s="27"/>
      <c r="C330" s="16" t="s">
        <v>130</v>
      </c>
      <c r="D330" s="16"/>
      <c r="E330" s="16"/>
      <c r="F330" s="16"/>
      <c r="G330" s="16"/>
      <c r="H330" s="17"/>
      <c r="I330" s="18">
        <f>($H$321)-((E331/$E$321)*H331+((E332/$E$321)*H332)+((E333/$E$321)*H333)+((E334/$E$321)*H334))</f>
        <v>0.35182016260113802</v>
      </c>
    </row>
    <row r="331" spans="2:13" ht="15.75">
      <c r="B331" s="27"/>
      <c r="C331" s="16"/>
      <c r="D331" s="16" t="s">
        <v>112</v>
      </c>
      <c r="E331" s="16">
        <f>COUNTIFS('Data Training'!$F$5:$F$123,D331,'Data Training'!$E$5:$E$123,"CUKUP",'Data Training'!$G$5:$G$123,"BAIK")</f>
        <v>3</v>
      </c>
      <c r="F331" s="16">
        <f>COUNTIFS('Data Training'!$F$5:$F$123,D331,'Data Training'!$H$5:$H$123,$E$31,'Data Training'!$E$5:$E$123,"CUKUP",'Data Training'!$G$5:$G$123,"BAIK")</f>
        <v>3</v>
      </c>
      <c r="G331" s="16">
        <f>COUNTIFS('Data Training'!$F$5:$F$123,D331,'Data Training'!$H$5:$H$123,$F$31,'Data Training'!$E$5:$E$123,"CUKUP",'Data Training'!$G$5:$G$123,"BAIK")</f>
        <v>0</v>
      </c>
      <c r="H331" s="17">
        <v>0</v>
      </c>
      <c r="I331" s="16"/>
    </row>
    <row r="332" spans="2:13" ht="15.75">
      <c r="B332" s="27"/>
      <c r="C332" s="16"/>
      <c r="D332" s="16" t="s">
        <v>110</v>
      </c>
      <c r="E332" s="16">
        <f>COUNTIFS('Data Training'!$F$5:$F$123,D332,'Data Training'!$E$5:$E$123,"CUKUP",'Data Training'!$G$5:$G$123,"BAIK")</f>
        <v>7</v>
      </c>
      <c r="F332" s="16">
        <f>COUNTIFS('Data Training'!$F$5:$F$123,D332,'Data Training'!$H$5:$H$123,$E$31,'Data Training'!$E$5:$E$123,"CUKUP",'Data Training'!$G$5:$G$123,"BAIK")</f>
        <v>2</v>
      </c>
      <c r="G332" s="16">
        <f>COUNTIFS('Data Training'!$F$5:$F$123,D332,'Data Training'!$H$5:$H$123,$F$31,'Data Training'!$E$5:$E$123,"CUKUP",'Data Training'!$G$5:$G$123,"BAIK")</f>
        <v>5</v>
      </c>
      <c r="H332" s="17">
        <f>((-F332/E332)*IMLOG2(F332/E332))+((-G332/E332)*IMLOG2(G332/E332))</f>
        <v>0.86312056856663</v>
      </c>
      <c r="I332" s="16"/>
    </row>
    <row r="333" spans="2:13" ht="15.75">
      <c r="B333" s="27"/>
      <c r="C333" s="16"/>
      <c r="D333" s="16" t="s">
        <v>109</v>
      </c>
      <c r="E333" s="16">
        <f>COUNTIFS('Data Training'!$F$5:$F$123,D333,'Data Training'!$E$5:$E$123,"CUKUP",'Data Training'!$G$5:$G$123,"BAIK")</f>
        <v>4</v>
      </c>
      <c r="F333" s="16">
        <f>COUNTIFS('Data Training'!$F$5:$F$123,D333,'Data Training'!$H$5:$H$123,$E$31,'Data Training'!$E$5:$E$123,"CUKUP",'Data Training'!$G$5:$G$123,"BAIK")</f>
        <v>1</v>
      </c>
      <c r="G333" s="16">
        <f>COUNTIFS('Data Training'!$F$5:$F$123,D333,'Data Training'!$H$5:$H$123,$F$31,'Data Training'!$E$5:$E$123,"CUKUP",'Data Training'!$G$5:$G$123,"BAIK")</f>
        <v>3</v>
      </c>
      <c r="H333" s="17">
        <f t="shared" ref="H333" si="30">((-F333/E333)*IMLOG2(F333/E333))+((-G333/E333)*IMLOG2(G333/E333))</f>
        <v>0.81127812445913294</v>
      </c>
      <c r="I333" s="16"/>
    </row>
    <row r="334" spans="2:13" ht="15.75">
      <c r="B334" s="27"/>
      <c r="C334" s="16"/>
      <c r="D334" s="16" t="s">
        <v>113</v>
      </c>
      <c r="E334" s="16">
        <f>COUNTIFS('Data Training'!$F$5:$F$123,D334,'Data Training'!$E$5:$E$123,"CUKUP",'Data Training'!$G$5:$G$123,"BAIK")</f>
        <v>1</v>
      </c>
      <c r="F334" s="16">
        <f>COUNTIFS('Data Training'!$F$5:$F$123,D334,'Data Training'!$H$5:$H$123,$E$31,'Data Training'!$E$5:$E$123,"CUKUP",'Data Training'!$G$5:$G$123,"BAIK")</f>
        <v>0</v>
      </c>
      <c r="G334" s="16">
        <f>COUNTIFS('Data Training'!$F$5:$F$123,D334,'Data Training'!$H$5:$H$123,$F$31,'Data Training'!$E$5:$E$123,"CUKUP",'Data Training'!$G$5:$G$123,"BAIK")</f>
        <v>1</v>
      </c>
      <c r="H334" s="17">
        <v>0</v>
      </c>
      <c r="I334" s="16"/>
    </row>
    <row r="335" spans="2:13" ht="15.75">
      <c r="B335" s="27"/>
      <c r="C335" s="27"/>
      <c r="D335" s="27"/>
      <c r="E335" s="27"/>
      <c r="F335" s="27"/>
      <c r="G335" s="27"/>
      <c r="H335" s="24"/>
      <c r="I335" s="27"/>
    </row>
    <row r="336" spans="2:13" ht="15.75">
      <c r="B336" s="27"/>
      <c r="C336" s="27"/>
      <c r="D336" s="15" t="s">
        <v>154</v>
      </c>
      <c r="L336">
        <v>21</v>
      </c>
      <c r="M336" s="15" t="s">
        <v>179</v>
      </c>
    </row>
    <row r="337" spans="2:13" ht="15.75">
      <c r="B337" s="27"/>
      <c r="C337" s="27"/>
      <c r="D337" s="16"/>
      <c r="E337" s="16"/>
      <c r="F337" s="16" t="s">
        <v>124</v>
      </c>
      <c r="G337" s="16" t="s">
        <v>114</v>
      </c>
      <c r="H337" s="16" t="s">
        <v>111</v>
      </c>
      <c r="I337" s="17" t="s">
        <v>125</v>
      </c>
      <c r="J337" s="16" t="s">
        <v>126</v>
      </c>
      <c r="L337">
        <v>22</v>
      </c>
      <c r="M337" s="15" t="s">
        <v>180</v>
      </c>
    </row>
    <row r="338" spans="2:13" ht="15.75">
      <c r="B338" s="27"/>
      <c r="C338" s="27"/>
      <c r="D338" s="16" t="s">
        <v>127</v>
      </c>
      <c r="E338" s="16"/>
      <c r="F338" s="16">
        <f>COUNTIFS('Data Training'!$E$5:$E$123,"CUKUP",'Data Training'!$G$5:$G$123,"BAIK",'Data Training'!$F$5:$F$123,"BAIK")</f>
        <v>7</v>
      </c>
      <c r="G338" s="16">
        <f>COUNTIFS('Data Training'!$H$5:$H$123,G337,'Data Training'!$E$5:$E$123,"CUKUP",'Data Training'!$G$5:$G$123,"BAIK",'Data Training'!$F$5:$F$123,"BAIK")</f>
        <v>2</v>
      </c>
      <c r="H338" s="16">
        <f>COUNTIFS('Data Training'!$H$5:$H$123,H337,'Data Training'!$E$5:$E$123,"CUKUP",'Data Training'!$G$5:$G$123,"BAIK",'Data Training'!$F$5:$F$123,"BAIK")</f>
        <v>5</v>
      </c>
      <c r="I338" s="17">
        <f>((-G338/F338)*IMLOG2(G338/F338))+((-H338/F338)*IMLOG2(H338/F338))</f>
        <v>0.86312056856663</v>
      </c>
      <c r="J338" s="16"/>
    </row>
    <row r="339" spans="2:13" ht="15.75">
      <c r="B339" s="27"/>
      <c r="C339" s="27"/>
      <c r="D339" s="16" t="s">
        <v>2</v>
      </c>
      <c r="E339" s="16"/>
      <c r="F339" s="16"/>
      <c r="G339" s="16"/>
      <c r="H339" s="16"/>
      <c r="I339" s="17"/>
      <c r="J339" s="18">
        <f>($I$338)-((F340/$F$338)*I340+((F341/$F$338)*I341))</f>
        <v>7.6009853662781013E-2</v>
      </c>
    </row>
    <row r="340" spans="2:13" ht="15.75">
      <c r="B340" s="27"/>
      <c r="C340" s="27"/>
      <c r="D340" s="16"/>
      <c r="E340" s="16" t="s">
        <v>120</v>
      </c>
      <c r="F340" s="16">
        <f>COUNTIFS('Data Training'!$C$5:$C$123,E340,'Data Training'!$E$5:$E$123,"CUKUP",'Data Training'!$G$5:$G$123,"BAIK",'Data Training'!$F$5:$F$123,"BAIK")</f>
        <v>6</v>
      </c>
      <c r="G340" s="16">
        <f>COUNTIFS('Data Training'!$C$5:$C$123,E340,'Data Training'!$H$5:$H$123,G337,'Data Training'!$E$5:$E$123,"CUKUP",'Data Training'!$G$5:$G$123,"BAIK",'Data Training'!$F$5:$F$123,"BAIK")</f>
        <v>2</v>
      </c>
      <c r="H340" s="16">
        <f>COUNTIFS('Data Training'!$C$5:$C$123,E340,'Data Training'!$H$5:$H$123,H337,'Data Training'!$E$5:$E$123,"CUKUP",'Data Training'!$G$5:$G$123,"BAIK",'Data Training'!$F$5:$F$123,"BAIK")</f>
        <v>4</v>
      </c>
      <c r="I340" s="17">
        <f>((-G340/F340)*IMLOG2(G340/F340))+((-H340/F340)*IMLOG2(H340/F340))</f>
        <v>0.91829583405449056</v>
      </c>
      <c r="J340" s="16"/>
    </row>
    <row r="341" spans="2:13" ht="15.75">
      <c r="B341" s="27"/>
      <c r="C341" s="27"/>
      <c r="D341" s="16"/>
      <c r="E341" s="16" t="s">
        <v>121</v>
      </c>
      <c r="F341" s="16">
        <f>COUNTIFS('Data Training'!$C$5:$C$123,E341,'Data Training'!$E$5:$E$123,"CUKUP",'Data Training'!$G$5:$G$123,"BAIK",'Data Training'!$F$5:$F$123,"BAIK")</f>
        <v>1</v>
      </c>
      <c r="G341" s="16">
        <f>COUNTIFS('Data Training'!$C$5:$C$123,E341,'Data Training'!$H$5:$H$123,G337,'Data Training'!$E$5:$E$123,"CUKUP",'Data Training'!$G$5:$G$123,"BAIK",'Data Training'!$F$5:$F$123,"BAIK")</f>
        <v>0</v>
      </c>
      <c r="H341" s="16">
        <f>COUNTIFS('Data Training'!$C$5:$C$123,E341,'Data Training'!$H$5:$H$123,H337,'Data Training'!$E$5:$E$123,"CUKUP",'Data Training'!$G$5:$G$123,"BAIK",'Data Training'!$F$5:$F$123,"BAIK")</f>
        <v>1</v>
      </c>
      <c r="I341" s="17">
        <v>0</v>
      </c>
      <c r="J341" s="16"/>
    </row>
    <row r="342" spans="2:13" ht="15.75">
      <c r="B342" s="27"/>
      <c r="C342" s="27"/>
      <c r="D342" s="16" t="s">
        <v>128</v>
      </c>
      <c r="E342" s="16"/>
      <c r="F342" s="16"/>
      <c r="G342" s="16"/>
      <c r="H342" s="16"/>
      <c r="I342" s="17"/>
      <c r="J342" s="19">
        <f>($I$338)-((F343/$F$338)*I343+((F344/$F$338)*I344)+((F345/$F$338)*I345)+((F346/$F$338)*I346))</f>
        <v>0.30595849286804</v>
      </c>
    </row>
    <row r="343" spans="2:13" ht="15.75">
      <c r="B343" s="27"/>
      <c r="C343" s="27"/>
      <c r="D343" s="16"/>
      <c r="E343" s="16" t="s">
        <v>112</v>
      </c>
      <c r="F343" s="16">
        <f>COUNTIFS('Data Training'!$D$5:$D$123,E343,'Data Training'!$E$5:$E$123,"CUKUP",'Data Training'!$G$5:$G$123,"BAIK",'Data Training'!$F$5:$F$123,"BAIK")</f>
        <v>0</v>
      </c>
      <c r="G343" s="16">
        <f>COUNTIFS('Data Training'!$D$5:$D$123,E343,'Data Training'!$H$5:$H$123,$E$31,'Data Training'!$E$5:$E$123,"CUKUP",'Data Training'!$G$5:$G$123,"BAIK",'Data Training'!$F$5:$F$123,"BAIK")</f>
        <v>0</v>
      </c>
      <c r="H343" s="16">
        <f>COUNTIFS('Data Training'!$D$5:$D$123,E343,'Data Training'!$H$5:$H$123,$F$31,'Data Training'!$E$5:$E$123,"CUKUP",'Data Training'!$G$5:$G$123,"BAIK",'Data Training'!$F$5:$F$123,"BAIK")</f>
        <v>0</v>
      </c>
      <c r="I343" s="17">
        <v>0</v>
      </c>
      <c r="J343" s="16"/>
    </row>
    <row r="344" spans="2:13" ht="15.75">
      <c r="B344" s="27"/>
      <c r="C344" s="27"/>
      <c r="D344" s="16"/>
      <c r="E344" s="16" t="s">
        <v>110</v>
      </c>
      <c r="F344" s="16">
        <f>COUNTIFS('Data Training'!$D$5:$D$123,E344,'Data Training'!$E$5:$E$123,"CUKUP",'Data Training'!$G$5:$G$123,"BAIK",'Data Training'!$F$5:$F$123,"BAIK")</f>
        <v>0</v>
      </c>
      <c r="G344" s="16">
        <f>COUNTIFS('Data Training'!$D$5:$D$123,E344,'Data Training'!$H$5:$H$123,$E$31,'Data Training'!$E$5:$E$123,"CUKUP",'Data Training'!$G$5:$G$123,"BAIK",'Data Training'!$F$5:$F$123,"BAIK")</f>
        <v>0</v>
      </c>
      <c r="H344" s="16">
        <f>COUNTIFS('Data Training'!$D$5:$D$123,E344,'Data Training'!$H$5:$H$123,$F$31,'Data Training'!$E$5:$E$123,"CUKUP",'Data Training'!$G$5:$G$123,"BAIK",'Data Training'!$F$5:$F$123,"BAIK")</f>
        <v>0</v>
      </c>
      <c r="I344" s="17">
        <v>0</v>
      </c>
      <c r="J344" s="16"/>
    </row>
    <row r="345" spans="2:13" ht="15.75">
      <c r="B345" s="27"/>
      <c r="C345" s="27"/>
      <c r="D345" s="16"/>
      <c r="E345" s="16" t="s">
        <v>109</v>
      </c>
      <c r="F345" s="16">
        <f>COUNTIFS('Data Training'!$D$5:$D$123,E345,'Data Training'!$E$5:$E$123,"CUKUP",'Data Training'!$G$5:$G$123,"BAIK",'Data Training'!$F$5:$F$123,"BAIK")</f>
        <v>6</v>
      </c>
      <c r="G345" s="16">
        <f>COUNTIFS('Data Training'!$D$5:$D$123,E345,'Data Training'!$H$5:$H$123,$E$31,'Data Training'!$E$5:$E$123,"CUKUP",'Data Training'!$G$5:$G$123,"BAIK",'Data Training'!$F$5:$F$123,"BAIK")</f>
        <v>1</v>
      </c>
      <c r="H345" s="16">
        <f>COUNTIFS('Data Training'!$D$5:$D$123,E345,'Data Training'!$H$5:$H$123,$F$31,'Data Training'!$E$5:$E$123,"CUKUP",'Data Training'!$G$5:$G$123,"BAIK",'Data Training'!$F$5:$F$123,"BAIK")</f>
        <v>5</v>
      </c>
      <c r="I345" s="17">
        <f t="shared" ref="I345" si="31">((-G345/F345)*IMLOG2(G345/F345))+((-H345/F345)*IMLOG2(H345/F345))</f>
        <v>0.650022421648355</v>
      </c>
      <c r="J345" s="16"/>
    </row>
    <row r="346" spans="2:13" ht="15.75">
      <c r="B346" s="27"/>
      <c r="C346" s="27"/>
      <c r="D346" s="16"/>
      <c r="E346" s="16" t="s">
        <v>113</v>
      </c>
      <c r="F346" s="16">
        <f>COUNTIFS('Data Training'!$D$5:$D$123,E346,'Data Training'!$E$5:$E$123,"CUKUP",'Data Training'!$G$5:$G$123,"BAIK",'Data Training'!$F$5:$F$123,"BAIK")</f>
        <v>1</v>
      </c>
      <c r="G346" s="16">
        <f>COUNTIFS('Data Training'!$D$5:$D$123,E346,'Data Training'!$H$5:$H$123,$E$31,'Data Training'!$E$5:$E$123,"CUKUP",'Data Training'!$G$5:$G$123,"BAIK",'Data Training'!$F$5:$F$123,"BAIK")</f>
        <v>1</v>
      </c>
      <c r="H346" s="16">
        <f>COUNTIFS('Data Training'!$D$5:$D$123,E346,'Data Training'!$H$5:$H$123,$F$31,'Data Training'!$E$5:$E$123,"CUKUP",'Data Training'!$G$5:$G$123,"BAIK",'Data Training'!$F$5:$F$123,"BAIK")</f>
        <v>0</v>
      </c>
      <c r="I346" s="17">
        <v>0</v>
      </c>
      <c r="J346" s="16"/>
    </row>
    <row r="347" spans="2:13" ht="15.75">
      <c r="B347" s="27"/>
      <c r="C347" s="27"/>
      <c r="D347" s="27"/>
      <c r="E347" s="27"/>
      <c r="F347" s="27"/>
      <c r="G347" s="27"/>
      <c r="H347" s="27"/>
      <c r="I347" s="24"/>
      <c r="J347" s="27"/>
    </row>
    <row r="348" spans="2:13" ht="15.75">
      <c r="B348" s="27"/>
      <c r="C348" s="27"/>
      <c r="D348" s="27"/>
      <c r="E348" s="15" t="s">
        <v>156</v>
      </c>
    </row>
    <row r="349" spans="2:13" ht="15.75">
      <c r="B349" s="27"/>
      <c r="C349" s="27"/>
      <c r="D349" s="27"/>
      <c r="E349" s="16"/>
      <c r="F349" s="16"/>
      <c r="G349" s="16" t="s">
        <v>124</v>
      </c>
      <c r="H349" s="16" t="s">
        <v>114</v>
      </c>
      <c r="I349" s="16" t="s">
        <v>111</v>
      </c>
      <c r="J349" s="17" t="s">
        <v>125</v>
      </c>
      <c r="K349" s="16" t="s">
        <v>126</v>
      </c>
    </row>
    <row r="350" spans="2:13" ht="15.75">
      <c r="B350" s="27"/>
      <c r="C350" s="27"/>
      <c r="D350" s="27"/>
      <c r="E350" s="16" t="s">
        <v>127</v>
      </c>
      <c r="F350" s="16"/>
      <c r="G350" s="16">
        <f>COUNTIFS('Data Training'!$E$5:$E$123,"CUKUP",'Data Training'!$G$5:$G$123,"BAIK",'Data Training'!$F$5:$F$123,"BAIK",'Data Training'!$D$5:$D$123,"CUKUP")</f>
        <v>6</v>
      </c>
      <c r="H350" s="16">
        <f>COUNTIFS('Data Training'!$H$5:$H$123,H349,'Data Training'!$E$5:$E$123,"CUKUP",'Data Training'!$G$5:$G$123,"BAIK",'Data Training'!$F$5:$F$123,"BAIK",'Data Training'!$D$5:$D$123,"CUKUP")</f>
        <v>1</v>
      </c>
      <c r="I350" s="16">
        <f>COUNTIFS('Data Training'!$H$5:$H$123,I349,'Data Training'!$E$5:$E$123,"CUKUP",'Data Training'!$G$5:$G$123,"BAIK",'Data Training'!$F$5:$F$123,"BAIK",'Data Training'!$D$5:$D$123,"CUKUP")</f>
        <v>5</v>
      </c>
      <c r="J350" s="17">
        <f>((-H350/G350)*IMLOG2(H350/G350))+((-I350/G350)*IMLOG2(I350/G350))</f>
        <v>0.650022421648355</v>
      </c>
      <c r="K350" s="16"/>
    </row>
    <row r="351" spans="2:13" ht="15.75">
      <c r="B351" s="27"/>
      <c r="C351" s="27"/>
      <c r="D351" s="27"/>
      <c r="E351" s="16" t="s">
        <v>2</v>
      </c>
      <c r="F351" s="16"/>
      <c r="G351" s="16"/>
      <c r="H351" s="16"/>
      <c r="I351" s="16"/>
      <c r="J351" s="17"/>
      <c r="K351" s="18">
        <f>($I$338)-((G352/$F$338)*J352+((G353/$F$338)*J353))</f>
        <v>0.34745764364708598</v>
      </c>
    </row>
    <row r="352" spans="2:13" ht="15.75">
      <c r="B352" s="27"/>
      <c r="C352" s="27"/>
      <c r="D352" s="27"/>
      <c r="E352" s="16"/>
      <c r="F352" s="16" t="s">
        <v>120</v>
      </c>
      <c r="G352" s="16">
        <f>COUNTIFS('Data Training'!$C$5:$C$123,F352,'Data Training'!$E$5:$E$123,"CUKUP",'Data Training'!$G$5:$G$123,"BAIK",'Data Training'!$F$5:$F$123,"BAIK",'Data Training'!$D$5:$D$123,"CUKUP")</f>
        <v>5</v>
      </c>
      <c r="H352" s="16">
        <f>COUNTIFS('Data Training'!$C$5:$C$123,F352,'Data Training'!$H$5:$H$123,H349,'Data Training'!$E$5:$E$123,"CUKUP",'Data Training'!$G$5:$G$123,"BAIK",'Data Training'!$F$5:$F$123,"BAIK",'Data Training'!$D$5:$D$123,"CUKUP")</f>
        <v>1</v>
      </c>
      <c r="I352" s="16">
        <f>COUNTIFS('Data Training'!$C$5:$C$123,F352,'Data Training'!$H$5:$H$123,I349,'Data Training'!$E$5:$E$123,"CUKUP",'Data Training'!$G$5:$G$123,"BAIK",'Data Training'!$F$5:$F$123,"BAIK",'Data Training'!$D$5:$D$123,"CUKUP")</f>
        <v>4</v>
      </c>
      <c r="J352" s="17">
        <f>((-H352/G352)*IMLOG2(H352/G352))+((-I352/G352)*IMLOG2(I352/G352))</f>
        <v>0.72192809488736165</v>
      </c>
      <c r="K352" s="16"/>
    </row>
    <row r="353" spans="2:13" ht="15.75">
      <c r="B353" s="27"/>
      <c r="C353" s="27"/>
      <c r="D353" s="27"/>
      <c r="E353" s="16"/>
      <c r="F353" s="16" t="s">
        <v>121</v>
      </c>
      <c r="G353" s="16">
        <f>COUNTIFS('Data Training'!$C$5:$C$123,F353,'Data Training'!$E$5:$E$123,"CUKUP",'Data Training'!$G$5:$G$123,"BAIK",'Data Training'!$F$5:$F$123,"BAIK",'Data Training'!$D$5:$D$123,"CUKUP")</f>
        <v>1</v>
      </c>
      <c r="H353" s="16">
        <f>COUNTIFS('Data Training'!$C$5:$C$123,F353,'Data Training'!$H$5:$H$123,H349,'Data Training'!$E$5:$E$123,"CUKUP",'Data Training'!$G$5:$G$123,"BAIK",'Data Training'!$F$5:$F$123,"BAIK",'Data Training'!$D$5:$D$123,"CUKUP")</f>
        <v>0</v>
      </c>
      <c r="I353" s="16">
        <f>COUNTIFS('Data Training'!$C$5:$C$123,F353,'Data Training'!$H$5:$H$123,I349,'Data Training'!$E$5:$E$123,"CUKUP",'Data Training'!$G$5:$G$123,"BAIK",'Data Training'!$F$5:$F$123,"BAIK",'Data Training'!$D$5:$D$123,"CUKUP")</f>
        <v>1</v>
      </c>
      <c r="J353" s="17">
        <v>0</v>
      </c>
      <c r="K353" s="16"/>
    </row>
    <row r="354" spans="2:13" ht="15.75">
      <c r="B354" s="27"/>
      <c r="C354" s="27"/>
      <c r="D354" s="27"/>
      <c r="E354" s="27"/>
      <c r="F354" s="27"/>
      <c r="G354" s="27"/>
      <c r="H354" s="27"/>
      <c r="I354" s="24"/>
      <c r="J354" s="27"/>
    </row>
    <row r="355" spans="2:13" ht="15.75">
      <c r="B355" s="27"/>
      <c r="C355" s="27"/>
      <c r="D355" s="27"/>
      <c r="E355" s="27"/>
      <c r="F355" s="27"/>
      <c r="G355" s="27"/>
      <c r="H355" s="27"/>
      <c r="I355" s="24"/>
      <c r="J355" s="27"/>
    </row>
    <row r="356" spans="2:13" ht="15.75">
      <c r="B356" s="27"/>
      <c r="C356" s="27"/>
      <c r="D356" s="15" t="s">
        <v>155</v>
      </c>
      <c r="L356">
        <v>23</v>
      </c>
      <c r="M356" s="15" t="s">
        <v>181</v>
      </c>
    </row>
    <row r="357" spans="2:13" ht="15.75">
      <c r="B357" s="27"/>
      <c r="C357" s="27"/>
      <c r="D357" s="16"/>
      <c r="E357" s="16"/>
      <c r="F357" s="16" t="s">
        <v>124</v>
      </c>
      <c r="G357" s="16" t="s">
        <v>114</v>
      </c>
      <c r="H357" s="16" t="s">
        <v>111</v>
      </c>
      <c r="I357" s="17" t="s">
        <v>125</v>
      </c>
      <c r="J357" s="16" t="s">
        <v>126</v>
      </c>
      <c r="L357">
        <v>24</v>
      </c>
      <c r="M357" s="15" t="s">
        <v>182</v>
      </c>
    </row>
    <row r="358" spans="2:13" ht="15.75">
      <c r="B358" s="27"/>
      <c r="C358" s="27"/>
      <c r="D358" s="16" t="s">
        <v>127</v>
      </c>
      <c r="E358" s="16"/>
      <c r="F358" s="16">
        <f>COUNTIFS('Data Training'!$E$5:$E$123,"CUKUP",'Data Training'!$G$5:$G$123,"BAIK",'Data Training'!$F$5:$F$123,"CUKUP")</f>
        <v>4</v>
      </c>
      <c r="G358" s="16">
        <f>COUNTIFS('Data Training'!$H$5:$H$123,G357,'Data Training'!$E$5:$E$123,"CUKUP",'Data Training'!$G$5:$G$123,"BAIK",'Data Training'!$F$5:$F$123,"CUKUP")</f>
        <v>1</v>
      </c>
      <c r="H358" s="16">
        <f>COUNTIFS('Data Training'!$H$5:$H$123,H357,'Data Training'!$E$5:$E$123,"CUKUP",'Data Training'!$G$5:$G$123,"BAIK",'Data Training'!$F$5:$F$123,"CUKUP")</f>
        <v>3</v>
      </c>
      <c r="I358" s="17">
        <f>((-G358/F358)*IMLOG2(G358/F358))+((-H358/F358)*IMLOG2(H358/F358))</f>
        <v>0.81127812445913294</v>
      </c>
      <c r="J358" s="16"/>
    </row>
    <row r="359" spans="2:13" ht="15.75">
      <c r="B359" s="27"/>
      <c r="C359" s="27"/>
      <c r="D359" s="16" t="s">
        <v>2</v>
      </c>
      <c r="E359" s="16"/>
      <c r="F359" s="16"/>
      <c r="G359" s="16"/>
      <c r="H359" s="16"/>
      <c r="I359" s="17"/>
      <c r="J359" s="18">
        <f>($H$321)-((F360/$E$321)*I360+((F361/$E$321)*I361))</f>
        <v>0.75460976126556534</v>
      </c>
    </row>
    <row r="360" spans="2:13" ht="15.75">
      <c r="B360" s="27"/>
      <c r="C360" s="27"/>
      <c r="D360" s="16"/>
      <c r="E360" s="16" t="s">
        <v>120</v>
      </c>
      <c r="F360" s="16">
        <f>COUNTIFS('Data Training'!$C$5:$C$123,E360,'Data Training'!$E$5:$E$123,"CUKUP",'Data Training'!$G$5:$G$123,"BAIK",'Data Training'!$F$5:$F$123,"CUKUP")</f>
        <v>4</v>
      </c>
      <c r="G360" s="16">
        <f>COUNTIFS('Data Training'!$C$5:$C$123,E360,'Data Training'!$H$5:$H$123,G357,'Data Training'!$E$5:$E$123,"CUKUP",'Data Training'!$G$5:$G$123,"BAIK",'Data Training'!$F$5:$F$123,"CUKUP")</f>
        <v>1</v>
      </c>
      <c r="H360" s="16">
        <f>COUNTIFS('Data Training'!$C$5:$C$123,E360,'Data Training'!$H$5:$H$123,H357,'Data Training'!$E$5:$E$123,"CUKUP",'Data Training'!$G$5:$G$123,"BAIK",'Data Training'!$F$5:$F$123,"CUKUP")</f>
        <v>3</v>
      </c>
      <c r="I360" s="17">
        <f>((-G360/F360)*IMLOG2(G360/F360))+((-H360/F360)*IMLOG2(H360/F360))</f>
        <v>0.81127812445913294</v>
      </c>
      <c r="J360" s="16"/>
    </row>
    <row r="361" spans="2:13" ht="15.75">
      <c r="B361" s="27"/>
      <c r="C361" s="27"/>
      <c r="D361" s="16"/>
      <c r="E361" s="16" t="s">
        <v>121</v>
      </c>
      <c r="F361" s="16">
        <f>COUNTIFS('Data Training'!$C$5:$C$123,E361,'Data Training'!$E$5:$E$123,"CUKUP",'Data Training'!$G$5:$G$123,"BAIK",'Data Training'!$F$5:$F$123,"CUKUP")</f>
        <v>0</v>
      </c>
      <c r="G361" s="16">
        <f>COUNTIFS('Data Training'!$C$5:$C$123,E361,'Data Training'!$H$5:$H$123,G357,'Data Training'!$E$5:$E$123,"CUKUP",'Data Training'!$G$5:$G$123,"BAIK",'Data Training'!$F$5:$F$123,"CUKUP")</f>
        <v>0</v>
      </c>
      <c r="H361" s="16">
        <f>COUNTIFS('Data Training'!$C$5:$C$123,E361,'Data Training'!$H$5:$H$123,H357,'Data Training'!$E$5:$E$123,"CUKUP",'Data Training'!$G$5:$G$123,"BAIK",'Data Training'!$F$5:$F$123,"CUKUP")</f>
        <v>0</v>
      </c>
      <c r="I361" s="17">
        <v>0</v>
      </c>
      <c r="J361" s="16"/>
    </row>
    <row r="362" spans="2:13" ht="15.75">
      <c r="B362" s="27"/>
      <c r="C362" s="27"/>
      <c r="D362" s="16" t="s">
        <v>128</v>
      </c>
      <c r="E362" s="16"/>
      <c r="F362" s="16"/>
      <c r="G362" s="16"/>
      <c r="H362" s="16"/>
      <c r="I362" s="17"/>
      <c r="J362" s="18">
        <f>($H$321)-((F363/$E$321)*I363+((F364/$E$321)*I364)+((F365/$E$321)*I365)+((F366/$E$321)*I366))</f>
        <v>0.97095059445466747</v>
      </c>
    </row>
    <row r="363" spans="2:13" ht="15.75">
      <c r="B363" s="27"/>
      <c r="C363" s="27"/>
      <c r="D363" s="16"/>
      <c r="E363" s="16" t="s">
        <v>112</v>
      </c>
      <c r="F363" s="16">
        <f>COUNTIFS('Data Training'!$D$5:$D$123,E363,'Data Training'!$E$5:$E$123,"CUKUP",'Data Training'!$G$5:$G$123,"BAIK",'Data Training'!$F$5:$F$123,"CUKUP")</f>
        <v>0</v>
      </c>
      <c r="G363" s="16">
        <f>COUNTIFS('Data Training'!$D$5:$D$123,E363,'Data Training'!$H$5:$H$123,$E$31,'Data Training'!$E$5:$E$123,"CUKUP",'Data Training'!$G$5:$G$123,"BAIK",'Data Training'!$F$5:$F$123,"CUKUP")</f>
        <v>0</v>
      </c>
      <c r="H363" s="16">
        <f>COUNTIFS('Data Training'!$D$5:$D$123,E363,'Data Training'!$H$5:$H$123,$F$31,'Data Training'!$E$5:$E$123,"CUKUP",'Data Training'!$G$5:$G$123,"BAIK",'Data Training'!$F$5:$F$123,"CUKUP")</f>
        <v>0</v>
      </c>
      <c r="I363" s="17">
        <v>0</v>
      </c>
      <c r="J363" s="16"/>
    </row>
    <row r="364" spans="2:13" ht="15.75">
      <c r="B364" s="27"/>
      <c r="C364" s="27"/>
      <c r="D364" s="16"/>
      <c r="E364" s="16" t="s">
        <v>110</v>
      </c>
      <c r="F364" s="16">
        <f>COUNTIFS('Data Training'!$D$5:$D$123,E364,'Data Training'!$E$5:$E$123,"CUKUP",'Data Training'!$G$5:$G$123,"BAIK",'Data Training'!$F$5:$F$123,"CUKUP")</f>
        <v>0</v>
      </c>
      <c r="G364" s="16">
        <f>COUNTIFS('Data Training'!$D$5:$D$123,E364,'Data Training'!$H$5:$H$123,$E$31,'Data Training'!$E$5:$E$123,"CUKUP",'Data Training'!$G$5:$G$123,"BAIK",'Data Training'!$F$5:$F$123,"CUKUP")</f>
        <v>0</v>
      </c>
      <c r="H364" s="16">
        <f>COUNTIFS('Data Training'!$D$5:$D$123,E364,'Data Training'!$H$5:$H$123,$F$31,'Data Training'!$E$5:$E$123,"CUKUP",'Data Training'!$G$5:$G$123,"BAIK",'Data Training'!$F$5:$F$123,"CUKUP")</f>
        <v>0</v>
      </c>
      <c r="I364" s="17">
        <v>0</v>
      </c>
      <c r="J364" s="16"/>
    </row>
    <row r="365" spans="2:13" ht="15.75">
      <c r="B365" s="27"/>
      <c r="C365" s="27"/>
      <c r="D365" s="16"/>
      <c r="E365" s="16" t="s">
        <v>109</v>
      </c>
      <c r="F365" s="16">
        <f>COUNTIFS('Data Training'!$D$5:$D$123,E365,'Data Training'!$E$5:$E$123,"CUKUP",'Data Training'!$G$5:$G$123,"BAIK",'Data Training'!$F$5:$F$123,"CUKUP")</f>
        <v>2</v>
      </c>
      <c r="G365" s="16">
        <f>COUNTIFS('Data Training'!$D$5:$D$123,E365,'Data Training'!$H$5:$H$123,$E$31,'Data Training'!$E$5:$E$123,"CUKUP",'Data Training'!$G$5:$G$123,"BAIK",'Data Training'!$F$5:$F$123,"CUKUP")</f>
        <v>0</v>
      </c>
      <c r="H365" s="16">
        <f>COUNTIFS('Data Training'!$D$5:$D$123,E365,'Data Training'!$H$5:$H$123,$F$31,'Data Training'!$E$5:$E$123,"CUKUP",'Data Training'!$G$5:$G$123,"BAIK",'Data Training'!$F$5:$F$123,"CUKUP")</f>
        <v>2</v>
      </c>
      <c r="I365" s="17">
        <v>0</v>
      </c>
      <c r="J365" s="16"/>
    </row>
    <row r="366" spans="2:13" ht="15.75">
      <c r="B366" s="27"/>
      <c r="C366" s="27"/>
      <c r="D366" s="16"/>
      <c r="E366" s="16" t="s">
        <v>113</v>
      </c>
      <c r="F366" s="16">
        <f>COUNTIFS('Data Training'!$D$5:$D$123,E366,'Data Training'!$E$5:$E$123,"CUKUP",'Data Training'!$G$5:$G$123,"BAIK",'Data Training'!$F$5:$F$123,"CUKUP")</f>
        <v>2</v>
      </c>
      <c r="G366" s="16">
        <f>COUNTIFS('Data Training'!$D$5:$D$123,E366,'Data Training'!$H$5:$H$123,$E$31,'Data Training'!$E$5:$E$123,"CUKUP",'Data Training'!$G$5:$G$123,"BAIK",'Data Training'!$F$5:$F$123,"CUKUP")</f>
        <v>1</v>
      </c>
      <c r="H366" s="16">
        <f>COUNTIFS('Data Training'!$D$5:$D$123,E366,'Data Training'!$H$5:$H$123,$F$31,'Data Training'!$E$5:$E$123,"CUKUP",'Data Training'!$G$5:$G$123,"BAIK",'Data Training'!$F$5:$F$123,"CUKUP")</f>
        <v>1</v>
      </c>
      <c r="I366" s="17">
        <v>0</v>
      </c>
      <c r="J366" s="16"/>
    </row>
    <row r="367" spans="2:13" ht="15.75">
      <c r="B367" s="27"/>
      <c r="C367" s="27"/>
      <c r="D367" s="27"/>
      <c r="E367" s="27"/>
      <c r="F367" s="27"/>
      <c r="G367" s="27"/>
      <c r="H367" s="27"/>
      <c r="I367" s="24"/>
      <c r="J367" s="27"/>
    </row>
    <row r="368" spans="2:13" ht="15.75">
      <c r="B368" s="27"/>
      <c r="C368" s="27"/>
      <c r="D368" s="27"/>
      <c r="E368" s="27"/>
      <c r="F368" s="27"/>
      <c r="G368" s="24"/>
      <c r="H368" s="27"/>
    </row>
    <row r="369" spans="2:13" ht="15.75">
      <c r="B369" s="27"/>
      <c r="C369" s="15" t="s">
        <v>153</v>
      </c>
      <c r="L369">
        <v>25</v>
      </c>
      <c r="M369" s="15" t="s">
        <v>183</v>
      </c>
    </row>
    <row r="370" spans="2:13" ht="15.75">
      <c r="B370" s="27"/>
      <c r="C370" s="16"/>
      <c r="D370" s="16"/>
      <c r="E370" s="16" t="s">
        <v>124</v>
      </c>
      <c r="F370" s="16" t="s">
        <v>114</v>
      </c>
      <c r="G370" s="16" t="s">
        <v>111</v>
      </c>
      <c r="H370" s="17" t="s">
        <v>125</v>
      </c>
      <c r="I370" s="16" t="s">
        <v>126</v>
      </c>
    </row>
    <row r="371" spans="2:13" ht="15.75">
      <c r="B371" s="27"/>
      <c r="C371" s="16" t="s">
        <v>127</v>
      </c>
      <c r="D371" s="16"/>
      <c r="E371" s="16">
        <f>COUNTIFS('Data Training'!$E$5:$E$123,"CUKUP",'Data Training'!$G$5:$G$123,"KURANG")</f>
        <v>3</v>
      </c>
      <c r="F371" s="16">
        <f>COUNTIFS('Data Training'!$H$5:$H$123,F370,'Data Training'!$E$5:$E$123,"CUKUP",'Data Training'!$G$5:$G$123,"KURANG")</f>
        <v>1</v>
      </c>
      <c r="G371" s="16">
        <f>COUNTIFS('Data Training'!$H$5:$H$123,G370,'Data Training'!$E$5:$E$123,"CUKUP",'Data Training'!$G$5:$G$123,"KURANG")</f>
        <v>2</v>
      </c>
      <c r="H371" s="17">
        <f>((-F371/E371)*IMLOG2(F371/E371))+((-G371/E371)*IMLOG2(G371/E371))</f>
        <v>0.91829583405449056</v>
      </c>
      <c r="I371" s="16"/>
    </row>
    <row r="372" spans="2:13" ht="15.75">
      <c r="B372" s="27"/>
      <c r="C372" s="16" t="s">
        <v>2</v>
      </c>
      <c r="D372" s="16"/>
      <c r="E372" s="16"/>
      <c r="F372" s="16"/>
      <c r="G372" s="16"/>
      <c r="H372" s="17"/>
      <c r="I372" s="18">
        <f>($H$321)-((E373/$E$321)*H373+((E374/$E$321)*H374))</f>
        <v>0.83761726112133417</v>
      </c>
    </row>
    <row r="373" spans="2:13" ht="15.75">
      <c r="B373" s="27"/>
      <c r="C373" s="16"/>
      <c r="D373" s="16" t="s">
        <v>120</v>
      </c>
      <c r="E373" s="16">
        <f>COUNTIFS('Data Training'!$C$5:$C$123,D373,'Data Training'!$E$5:$E$123,"CUKUP",'Data Training'!$G$5:$G$123,"KURANG")</f>
        <v>2</v>
      </c>
      <c r="F373" s="16">
        <f>COUNTIFS('Data Training'!$C$5:$C$123,D373,'Data Training'!$H$5:$H$123,F370,'Data Training'!$E$5:$E$123,"CUKUP",'Data Training'!$G$5:$G$123,"KURANG")</f>
        <v>1</v>
      </c>
      <c r="G373" s="16">
        <f>COUNTIFS('Data Training'!$C$5:$C$123,D373,'Data Training'!$H$5:$H$123,G370,'Data Training'!$E$5:$E$123,"CUKUP",'Data Training'!$G$5:$G$123,"KURANG")</f>
        <v>1</v>
      </c>
      <c r="H373" s="17">
        <f>((-F373/E373)*IMLOG2(F373/E373))+((-G373/E373)*IMLOG2(G373/E373))</f>
        <v>1</v>
      </c>
      <c r="I373" s="16"/>
    </row>
    <row r="374" spans="2:13" ht="15.75">
      <c r="B374" s="27"/>
      <c r="C374" s="16"/>
      <c r="D374" s="16" t="s">
        <v>121</v>
      </c>
      <c r="E374" s="16">
        <f>COUNTIFS('Data Training'!$C$5:$C$123,D374,'Data Training'!$E$5:$E$123,"CUKUP",'Data Training'!$G$5:$G$123,"KURANG")</f>
        <v>1</v>
      </c>
      <c r="F374" s="16">
        <f>COUNTIFS('Data Training'!$C$5:$C$123,D374,'Data Training'!$H$5:$H$123,F370,'Data Training'!$E$5:$E$123,"CUKUP",'Data Training'!$G$5:$G$123,"KURANG")</f>
        <v>0</v>
      </c>
      <c r="G374" s="16">
        <f>COUNTIFS('Data Training'!$C$5:$C$123,D374,'Data Training'!$H$5:$H$123,G370,'Data Training'!$E$5:$E$123,"CUKUP",'Data Training'!$G$5:$G$123,"KURANG")</f>
        <v>1</v>
      </c>
      <c r="H374" s="17">
        <v>0</v>
      </c>
      <c r="I374" s="16"/>
    </row>
    <row r="375" spans="2:13" ht="15.75">
      <c r="B375" s="27"/>
      <c r="C375" s="16" t="s">
        <v>128</v>
      </c>
      <c r="D375" s="16"/>
      <c r="E375" s="16"/>
      <c r="F375" s="16"/>
      <c r="G375" s="16"/>
      <c r="H375" s="17"/>
      <c r="I375" s="18">
        <f>($H$321)-((E376/$E$321)*H376+((E377/$E$321)*H377)+((E378/$E$321)*H378)+((E379/$E$321)*H379))</f>
        <v>0.78729142764376936</v>
      </c>
    </row>
    <row r="376" spans="2:13" ht="15.75">
      <c r="B376" s="27"/>
      <c r="C376" s="16"/>
      <c r="D376" s="16" t="s">
        <v>112</v>
      </c>
      <c r="E376" s="16">
        <f>COUNTIFS('Data Training'!$D$5:$D$123,D376,'Data Training'!$E$5:$E$123,"CUKUP",'Data Training'!$G$5:$G$123,"KURANG")</f>
        <v>0</v>
      </c>
      <c r="F376" s="16">
        <f>COUNTIFS('Data Training'!$D$5:$D$123,D376,'Data Training'!$H$5:$H$123,$E$31,'Data Training'!$E$5:$E$123,"CUKUP",'Data Training'!$G$5:$G$123,"KURANG")</f>
        <v>0</v>
      </c>
      <c r="G376" s="16">
        <f>COUNTIFS('Data Training'!$D$5:$D$123,D376,'Data Training'!$H$5:$H$123,$F$31,'Data Training'!$E$5:$E$123,"CUKUP",'Data Training'!$G$5:$G$123,"KURANG")</f>
        <v>0</v>
      </c>
      <c r="H376" s="17">
        <v>0</v>
      </c>
      <c r="I376" s="16"/>
    </row>
    <row r="377" spans="2:13" ht="15.75">
      <c r="B377" s="27"/>
      <c r="C377" s="16"/>
      <c r="D377" s="16" t="s">
        <v>110</v>
      </c>
      <c r="E377" s="16">
        <f>COUNTIFS('Data Training'!$D$5:$D$123,D377,'Data Training'!$E$5:$E$123,"CUKUP",'Data Training'!$G$5:$G$123,"KURANG")</f>
        <v>0</v>
      </c>
      <c r="F377" s="16">
        <f>COUNTIFS('Data Training'!$D$5:$D$123,D377,'Data Training'!$H$5:$H$123,$E$31,'Data Training'!$E$5:$E$123,"CUKUP",'Data Training'!$G$5:$G$123,"KURANG")</f>
        <v>0</v>
      </c>
      <c r="G377" s="16">
        <f>COUNTIFS('Data Training'!$D$5:$D$123,D377,'Data Training'!$H$5:$H$123,$F$31,'Data Training'!$E$5:$E$123,"CUKUP",'Data Training'!$G$5:$G$123,"KURANG")</f>
        <v>0</v>
      </c>
      <c r="H377" s="17">
        <v>0</v>
      </c>
      <c r="I377" s="16"/>
    </row>
    <row r="378" spans="2:13" ht="15.75">
      <c r="B378" s="27"/>
      <c r="C378" s="16"/>
      <c r="D378" s="16" t="s">
        <v>109</v>
      </c>
      <c r="E378" s="16">
        <f>COUNTIFS('Data Training'!$D$5:$D$123,D378,'Data Training'!$E$5:$E$123,"CUKUP",'Data Training'!$G$5:$G$123,"KURANG")</f>
        <v>3</v>
      </c>
      <c r="F378" s="16">
        <f>COUNTIFS('Data Training'!$D$5:$D$123,D378,'Data Training'!$H$5:$H$123,$E$31,'Data Training'!$E$5:$E$123,"CUKUP",'Data Training'!$G$5:$G$123,"KURANG")</f>
        <v>1</v>
      </c>
      <c r="G378" s="16">
        <f>COUNTIFS('Data Training'!$D$5:$D$123,D378,'Data Training'!$H$5:$H$123,$F$31,'Data Training'!$E$5:$E$123,"CUKUP",'Data Training'!$G$5:$G$123,"KURANG")</f>
        <v>2</v>
      </c>
      <c r="H378" s="17">
        <f t="shared" ref="H378" si="32">((-F378/E378)*IMLOG2(F378/E378))+((-G378/E378)*IMLOG2(G378/E378))</f>
        <v>0.91829583405449056</v>
      </c>
      <c r="I378" s="16"/>
    </row>
    <row r="379" spans="2:13" ht="15.75">
      <c r="B379" s="27"/>
      <c r="C379" s="16"/>
      <c r="D379" s="16" t="s">
        <v>113</v>
      </c>
      <c r="E379" s="16">
        <f>COUNTIFS('Data Training'!$D$5:$D$123,D379,'Data Training'!$E$5:$E$123,"CUKUP",'Data Training'!$G$5:$G$123,"KURANG")</f>
        <v>0</v>
      </c>
      <c r="F379" s="16">
        <f>COUNTIFS('Data Training'!$D$5:$D$123,D379,'Data Training'!$H$5:$H$123,$E$31,'Data Training'!$E$5:$E$123,"CUKUP",'Data Training'!$G$5:$G$123,"KURANG")</f>
        <v>0</v>
      </c>
      <c r="G379" s="16">
        <f>COUNTIFS('Data Training'!$D$5:$D$123,D379,'Data Training'!$H$5:$H$123,$F$31,'Data Training'!$E$5:$E$123,"CUKUP",'Data Training'!$G$5:$G$123,"KURANG")</f>
        <v>0</v>
      </c>
      <c r="H379" s="17">
        <v>0</v>
      </c>
      <c r="I379" s="16"/>
    </row>
    <row r="380" spans="2:13" ht="15.75">
      <c r="B380" s="27"/>
      <c r="C380" s="16" t="s">
        <v>130</v>
      </c>
      <c r="D380" s="16"/>
      <c r="E380" s="16"/>
      <c r="F380" s="16"/>
      <c r="G380" s="16"/>
      <c r="H380" s="17"/>
      <c r="I380" s="18">
        <f>($H$321)-((E381/$E$321)*H381+((E382/$E$321)*H382)+((E383/$E$321)*H383)+((E384/$E$321)*H384))</f>
        <v>0.78729142764376936</v>
      </c>
    </row>
    <row r="381" spans="2:13" ht="15.75">
      <c r="B381" s="27"/>
      <c r="C381" s="16"/>
      <c r="D381" s="16" t="s">
        <v>112</v>
      </c>
      <c r="E381" s="16">
        <f>COUNTIFS('Data Training'!$F$5:$F$123,D381,'Data Training'!$E$5:$E$123,"CUKUP",'Data Training'!$G$5:$G$123,"KURANG")</f>
        <v>0</v>
      </c>
      <c r="F381" s="16">
        <f>COUNTIFS('Data Training'!$F$5:$F$123,D381,'Data Training'!$H$5:$H$123,$E$31,'Data Training'!$E$5:$E$123,"CUKUP",'Data Training'!$G$5:$G$123,"KURANG")</f>
        <v>0</v>
      </c>
      <c r="G381" s="16">
        <f>COUNTIFS('Data Training'!$F$5:$F$123,D381,'Data Training'!$H$5:$H$123,$F$31,'Data Training'!$E$5:$E$123,"CUKUP",'Data Training'!$G$5:$G$123,"KURANG")</f>
        <v>0</v>
      </c>
      <c r="H381" s="17">
        <v>0</v>
      </c>
      <c r="I381" s="16"/>
    </row>
    <row r="382" spans="2:13" ht="15.75">
      <c r="B382" s="27"/>
      <c r="C382" s="16"/>
      <c r="D382" s="16" t="s">
        <v>110</v>
      </c>
      <c r="E382" s="16">
        <f>COUNTIFS('Data Training'!$F$5:$F$123,D382,'Data Training'!$E$5:$E$123,"CUKUP",'Data Training'!$G$5:$G$123,"KURANG")</f>
        <v>0</v>
      </c>
      <c r="F382" s="16">
        <f>COUNTIFS('Data Training'!$F$5:$F$123,D382,'Data Training'!$H$5:$H$123,$E$31,'Data Training'!$E$5:$E$123,"CUKUP",'Data Training'!$G$5:$G$123,"KURANG")</f>
        <v>0</v>
      </c>
      <c r="G382" s="16">
        <f>COUNTIFS('Data Training'!$F$5:$F$123,D382,'Data Training'!$H$5:$H$123,$F$31,'Data Training'!$E$5:$E$123,"CUKUP",'Data Training'!$G$5:$G$123,"KURANG")</f>
        <v>0</v>
      </c>
      <c r="H382" s="17">
        <v>0</v>
      </c>
      <c r="I382" s="16"/>
    </row>
    <row r="383" spans="2:13" ht="15.75">
      <c r="B383" s="27"/>
      <c r="C383" s="16"/>
      <c r="D383" s="16" t="s">
        <v>109</v>
      </c>
      <c r="E383" s="16">
        <f>COUNTIFS('Data Training'!$F$5:$F$123,D383,'Data Training'!$E$5:$E$123,"CUKUP",'Data Training'!$G$5:$G$123,"KURANG")</f>
        <v>0</v>
      </c>
      <c r="F383" s="16">
        <f>COUNTIFS('Data Training'!$F$5:$F$123,D383,'Data Training'!$H$5:$H$123,$E$31,'Data Training'!$E$5:$E$123,"CUKUP",'Data Training'!$G$5:$G$123,"KURANG")</f>
        <v>0</v>
      </c>
      <c r="G383" s="16">
        <f>COUNTIFS('Data Training'!$F$5:$F$123,D383,'Data Training'!$H$5:$H$123,$F$31,'Data Training'!$E$5:$E$123,"CUKUP",'Data Training'!$G$5:$G$123,"KURANG")</f>
        <v>0</v>
      </c>
      <c r="H383" s="17">
        <v>0</v>
      </c>
      <c r="I383" s="16"/>
    </row>
    <row r="384" spans="2:13" ht="15.75">
      <c r="B384" s="27"/>
      <c r="C384" s="16"/>
      <c r="D384" s="16" t="s">
        <v>113</v>
      </c>
      <c r="E384" s="16">
        <f>COUNTIFS('Data Training'!$F$5:$F$123,D384,'Data Training'!$E$5:$E$123,"CUKUP",'Data Training'!$G$5:$G$123,"KURANG")</f>
        <v>3</v>
      </c>
      <c r="F384" s="16">
        <f>COUNTIFS('Data Training'!$F$5:$F$123,D384,'Data Training'!$H$5:$H$123,$E$31,'Data Training'!$E$5:$E$123,"CUKUP",'Data Training'!$G$5:$G$123,"KURANG")</f>
        <v>1</v>
      </c>
      <c r="G384" s="16">
        <f>COUNTIFS('Data Training'!$F$5:$F$123,D384,'Data Training'!$H$5:$H$123,$F$31,'Data Training'!$E$5:$E$123,"CUKUP",'Data Training'!$G$5:$G$123,"KURANG")</f>
        <v>2</v>
      </c>
      <c r="H384" s="17">
        <f t="shared" ref="H384" si="33">((-F384/E384)*IMLOG2(F384/E384))+((-G384/E384)*IMLOG2(G384/E384))</f>
        <v>0.91829583405449056</v>
      </c>
      <c r="I384" s="16"/>
    </row>
    <row r="385" spans="2:13" ht="15.75">
      <c r="B385" s="27"/>
      <c r="C385" s="27"/>
      <c r="D385" s="27"/>
      <c r="E385" s="27"/>
      <c r="F385" s="27"/>
      <c r="G385" s="24"/>
      <c r="H385" s="27"/>
    </row>
    <row r="386" spans="2:13" ht="15.75">
      <c r="B386" s="27"/>
      <c r="C386" s="27"/>
      <c r="D386" s="27"/>
      <c r="E386" s="27"/>
      <c r="F386" s="27"/>
      <c r="G386" s="24"/>
      <c r="H386" s="27"/>
    </row>
    <row r="388" spans="2:13">
      <c r="B388" s="15" t="s">
        <v>138</v>
      </c>
      <c r="L388">
        <v>26</v>
      </c>
      <c r="M388" s="15" t="s">
        <v>184</v>
      </c>
    </row>
    <row r="389" spans="2:13" ht="15.75">
      <c r="B389" s="16"/>
      <c r="C389" s="16"/>
      <c r="D389" s="16" t="s">
        <v>124</v>
      </c>
      <c r="E389" s="16" t="s">
        <v>114</v>
      </c>
      <c r="F389" s="16" t="s">
        <v>111</v>
      </c>
      <c r="G389" s="17" t="s">
        <v>125</v>
      </c>
      <c r="H389" s="16" t="s">
        <v>126</v>
      </c>
    </row>
    <row r="390" spans="2:13" ht="15.75">
      <c r="B390" s="16" t="s">
        <v>127</v>
      </c>
      <c r="C390" s="16"/>
      <c r="D390" s="16">
        <f>COUNTIF('Data Training'!$E$5:$E$123,"KURANG")</f>
        <v>5</v>
      </c>
      <c r="E390" s="16">
        <f>COUNTIFS('Data Training'!$H$5:$H$123,E389,'Data Training'!$E$5:$E$123,"KURANG")</f>
        <v>0</v>
      </c>
      <c r="F390" s="16">
        <f>COUNTIFS('Data Training'!$H$5:$H$123,F389,'Data Training'!$E$5:$E$123,"KURANG")</f>
        <v>5</v>
      </c>
      <c r="G390" s="16">
        <f>COUNTIFS('Data Training'!$F$5:$F$123,D390,'Data Training'!$H$5:$H$123,$F$31,'Data Training'!$E$5:$E$123,"CUKUP",'Data Training'!$G$5:$G$123,"KURANG")</f>
        <v>0</v>
      </c>
      <c r="H390" s="16"/>
    </row>
    <row r="391" spans="2:13" ht="15.75">
      <c r="B391" s="16" t="s">
        <v>2</v>
      </c>
      <c r="C391" s="16"/>
      <c r="D391" s="16"/>
      <c r="E391" s="16"/>
      <c r="F391" s="16"/>
      <c r="G391" s="17"/>
      <c r="H391" s="16"/>
    </row>
    <row r="392" spans="2:13" ht="15.75">
      <c r="B392" s="16"/>
      <c r="C392" s="16" t="s">
        <v>120</v>
      </c>
      <c r="D392" s="16">
        <f>COUNTIFS('Data Training'!$C$5:$C$123,C392,'Data Training'!$E$5:$E$123,"KURANG")</f>
        <v>4</v>
      </c>
      <c r="E392" s="16">
        <f>COUNTIFS('Data Training'!$C$5:$C$123,C392,'Data Training'!$H$5:$H$123,E389,'Data Training'!$E$5:$E$123,"KURANG")</f>
        <v>0</v>
      </c>
      <c r="F392" s="16">
        <f>COUNTIFS('Data Training'!$C$5:$C$123,C392,'Data Training'!$H$5:$H$123,F389,'Data Training'!$E$5:$E$123,"KURANG")</f>
        <v>4</v>
      </c>
      <c r="G392" s="17">
        <v>0</v>
      </c>
      <c r="H392" s="16"/>
    </row>
    <row r="393" spans="2:13" ht="15.75">
      <c r="B393" s="16"/>
      <c r="C393" s="16" t="s">
        <v>121</v>
      </c>
      <c r="D393" s="16">
        <f>COUNTIFS('Data Training'!$C$5:$C$123,C393,'Data Training'!$E$5:$E$123,"KURANG")</f>
        <v>1</v>
      </c>
      <c r="E393" s="16">
        <f>COUNTIFS('Data Training'!$C$5:$C$123,C393,'Data Training'!$H$5:$H$123,$E$31,'Data Training'!$E$5:$E$123,"KURANG")</f>
        <v>0</v>
      </c>
      <c r="F393" s="16">
        <f>COUNTIFS('Data Training'!$C$5:$C$123,C393,'Data Training'!$H$5:$H$123,$F$31,'Data Training'!$E$5:$E$123,"KURANG")</f>
        <v>1</v>
      </c>
      <c r="G393" s="17">
        <v>0</v>
      </c>
      <c r="H393" s="16"/>
    </row>
    <row r="394" spans="2:13" ht="15.75">
      <c r="B394" s="16" t="s">
        <v>128</v>
      </c>
      <c r="C394" s="16"/>
      <c r="D394" s="16"/>
      <c r="E394" s="16"/>
      <c r="F394" s="16"/>
      <c r="G394" s="17"/>
      <c r="H394" s="18">
        <f>($G$390)-((D395/$D$390)*G395+((D396/$D$390)*G396)+((D397/$D$390)*G397)+((D398/$D$390)*G398))</f>
        <v>0</v>
      </c>
    </row>
    <row r="395" spans="2:13" ht="15.75">
      <c r="B395" s="16"/>
      <c r="C395" s="16" t="s">
        <v>112</v>
      </c>
      <c r="D395" s="16">
        <f>COUNTIFS('Data Training'!$D$5:$D$123,C395,'Data Training'!$E$5:$E$123,"KURANG")</f>
        <v>0</v>
      </c>
      <c r="E395" s="16">
        <f>COUNTIFS('Data Training'!$D$5:$D$123,C395,'Data Training'!$H$5:$H$123,$E$31,'Data Training'!$E$5:$E$123,"KURANG")</f>
        <v>0</v>
      </c>
      <c r="F395" s="16">
        <f>COUNTIFS('Data Training'!$D$5:$D$123,C395,'Data Training'!$H$5:$H$123,$F$31,'Data Training'!$E$5:$E$123,"KURANG")</f>
        <v>0</v>
      </c>
      <c r="G395" s="17">
        <v>0</v>
      </c>
      <c r="H395" s="16"/>
    </row>
    <row r="396" spans="2:13" ht="15.75">
      <c r="B396" s="16"/>
      <c r="C396" s="16" t="s">
        <v>110</v>
      </c>
      <c r="D396" s="16">
        <f>COUNTIFS('Data Training'!$D$5:$D$123,C396,'Data Training'!$E$5:$E$123,"KURANG")</f>
        <v>0</v>
      </c>
      <c r="E396" s="16">
        <f>COUNTIFS('Data Training'!$D$5:$D$123,C396,'Data Training'!$H$5:$H$123,$E$31,'Data Training'!$E$5:$E$123,"KURANG")</f>
        <v>0</v>
      </c>
      <c r="F396" s="16">
        <f>COUNTIFS('Data Training'!$D$5:$D$123,C396,'Data Training'!$H$5:$H$123,$F$31,'Data Training'!$E$5:$E$123,"KURANG")</f>
        <v>0</v>
      </c>
      <c r="G396" s="17">
        <v>0</v>
      </c>
      <c r="H396" s="16"/>
    </row>
    <row r="397" spans="2:13" ht="15.75">
      <c r="B397" s="16"/>
      <c r="C397" s="16" t="s">
        <v>109</v>
      </c>
      <c r="D397" s="16">
        <f>COUNTIFS('Data Training'!$D$5:$D$123,C397,'Data Training'!$E$5:$E$123,"KURANG")</f>
        <v>4</v>
      </c>
      <c r="E397" s="16">
        <f>COUNTIFS('Data Training'!$D$5:$D$123,C397,'Data Training'!$H$5:$H$123,$E$31,'Data Training'!$E$5:$E$123,"KURANG")</f>
        <v>0</v>
      </c>
      <c r="F397" s="16">
        <f>COUNTIFS('Data Training'!$D$5:$D$123,C397,'Data Training'!$H$5:$H$123,$F$31,'Data Training'!$E$5:$E$123,"KURANG")</f>
        <v>4</v>
      </c>
      <c r="G397" s="17">
        <v>0</v>
      </c>
      <c r="H397" s="16"/>
    </row>
    <row r="398" spans="2:13" ht="15.75">
      <c r="B398" s="16"/>
      <c r="C398" s="16" t="s">
        <v>113</v>
      </c>
      <c r="D398" s="16">
        <f>COUNTIFS('Data Training'!$D$5:$D$123,C398,'Data Training'!$E$5:$E$123,"KURANG")</f>
        <v>1</v>
      </c>
      <c r="E398" s="16">
        <f>COUNTIFS('Data Training'!$D$5:$D$123,C398,'Data Training'!$H$5:$H$123,$E$31,'Data Training'!$E$5:$E$123,"KURANG")</f>
        <v>0</v>
      </c>
      <c r="F398" s="16">
        <f>COUNTIFS('Data Training'!$D$5:$D$123,C398,'Data Training'!$H$5:$H$123,$F$31,'Data Training'!$E$5:$E$123,"KURANG")</f>
        <v>1</v>
      </c>
      <c r="G398" s="17">
        <v>0</v>
      </c>
      <c r="H398" s="16"/>
    </row>
    <row r="399" spans="2:13" ht="15.75">
      <c r="B399" s="16" t="s">
        <v>130</v>
      </c>
      <c r="C399" s="16"/>
      <c r="D399" s="16"/>
      <c r="E399" s="16"/>
      <c r="F399" s="16"/>
      <c r="G399" s="17"/>
      <c r="H399" s="18">
        <f>($G$390)-((D400/$D$390)*G400+((D401/$D$390)*G401)+((D402/$D$390)*G402)+((D403/$D$390)*G403))</f>
        <v>0</v>
      </c>
    </row>
    <row r="400" spans="2:13" ht="15.75">
      <c r="B400" s="16"/>
      <c r="C400" s="16" t="s">
        <v>112</v>
      </c>
      <c r="D400" s="16">
        <f>COUNTIFS('Data Training'!$F$5:$F$123,C400,'Data Training'!$E$5:$E$123,"KURANG")</f>
        <v>0</v>
      </c>
      <c r="E400" s="16">
        <f>COUNTIFS('Data Training'!$F$5:$F$123,C400,'Data Training'!$H$5:$H$123,$E$31,'Data Training'!$E$5:$E$123,"KURANG")</f>
        <v>0</v>
      </c>
      <c r="F400" s="16">
        <f>COUNTIFS('Data Training'!$F$5:$F$123,C400,'Data Training'!$H$5:$H$123,$F$31,'Data Training'!$E$5:$E$123,"KURANG")</f>
        <v>0</v>
      </c>
      <c r="G400" s="17">
        <v>0</v>
      </c>
      <c r="H400" s="16"/>
    </row>
    <row r="401" spans="2:8" ht="15.75">
      <c r="B401" s="16"/>
      <c r="C401" s="16" t="s">
        <v>110</v>
      </c>
      <c r="D401" s="16">
        <f>COUNTIFS('Data Training'!$F$5:$F$123,C401,'Data Training'!$E$5:$E$123,"KURANG")</f>
        <v>2</v>
      </c>
      <c r="E401" s="16">
        <f>COUNTIFS('Data Training'!$F$5:$F$123,C401,'Data Training'!$H$5:$H$123,$E$31,'Data Training'!$E$5:$E$123,"KURANG")</f>
        <v>0</v>
      </c>
      <c r="F401" s="16">
        <f>COUNTIFS('Data Training'!$F$5:$F$123,C401,'Data Training'!$H$5:$H$123,$F$31,'Data Training'!$E$5:$E$123,"KURANG")</f>
        <v>2</v>
      </c>
      <c r="G401" s="17">
        <v>0</v>
      </c>
      <c r="H401" s="16"/>
    </row>
    <row r="402" spans="2:8" ht="15.75">
      <c r="B402" s="16"/>
      <c r="C402" s="16" t="s">
        <v>109</v>
      </c>
      <c r="D402" s="16">
        <f>COUNTIFS('Data Training'!$F$5:$F$123,C402,'Data Training'!$E$5:$E$123,"KURANG")</f>
        <v>2</v>
      </c>
      <c r="E402" s="16">
        <f>COUNTIFS('Data Training'!$F$5:$F$123,C402,'Data Training'!$H$5:$H$123,$E$31,'Data Training'!$E$5:$E$123,"KURANG")</f>
        <v>0</v>
      </c>
      <c r="F402" s="16">
        <f>COUNTIFS('Data Training'!$F$5:$F$123,C402,'Data Training'!$H$5:$H$123,$F$31,'Data Training'!$E$5:$E$123,"KURANG")</f>
        <v>2</v>
      </c>
      <c r="G402" s="17">
        <v>0</v>
      </c>
      <c r="H402" s="16"/>
    </row>
    <row r="403" spans="2:8" ht="15.75">
      <c r="B403" s="16"/>
      <c r="C403" s="16" t="s">
        <v>113</v>
      </c>
      <c r="D403" s="16">
        <f>COUNTIFS('Data Training'!$F$5:$F$123,C403,'Data Training'!$E$5:$E$123,"KURANG")</f>
        <v>1</v>
      </c>
      <c r="E403" s="16">
        <f>COUNTIFS('Data Training'!$F$5:$F$123,C403,'Data Training'!$H$5:$H$123,$E$31,'Data Training'!$E$5:$E$123,"KURANG")</f>
        <v>0</v>
      </c>
      <c r="F403" s="16">
        <f>COUNTIFS('Data Training'!$F$5:$F$123,C403,'Data Training'!$H$5:$H$123,$F$31,'Data Training'!$E$5:$E$123,"KURANG")</f>
        <v>1</v>
      </c>
      <c r="G403" s="17">
        <v>0</v>
      </c>
      <c r="H403" s="16"/>
    </row>
    <row r="404" spans="2:8" ht="15.75">
      <c r="B404" s="16" t="s">
        <v>131</v>
      </c>
      <c r="C404" s="16"/>
      <c r="D404" s="16"/>
      <c r="E404" s="16"/>
      <c r="F404" s="16"/>
      <c r="G404" s="17"/>
      <c r="H404" s="18">
        <f>($G$390)-((D405/$D$390)*G405+((D406/$D$390)*G406)+((D407/$D$390)*G407)+((D408/$D$390)*G408))</f>
        <v>0</v>
      </c>
    </row>
    <row r="405" spans="2:8" ht="15.75">
      <c r="B405" s="16"/>
      <c r="C405" s="16" t="s">
        <v>112</v>
      </c>
      <c r="D405" s="16">
        <f>COUNTIFS('Data Training'!$G$5:$G$123,C405,'Data Training'!$E$5:$E$123,"KURANG")</f>
        <v>2</v>
      </c>
      <c r="E405" s="16">
        <f>COUNTIFS('Data Training'!$G$5:$G$123,C405,'Data Training'!$H$5:$H$123,$E$31,'Data Training'!$E$5:$E$123,"KURANG")</f>
        <v>0</v>
      </c>
      <c r="F405" s="16">
        <f>COUNTIFS('Data Training'!$G$5:$G$123,C405,'Data Training'!$H$5:$H$123,$F$31,'Data Training'!$E$5:$E$123,"KURANG")</f>
        <v>2</v>
      </c>
      <c r="G405" s="17">
        <v>0</v>
      </c>
      <c r="H405" s="16"/>
    </row>
    <row r="406" spans="2:8" ht="15.75">
      <c r="B406" s="16"/>
      <c r="C406" s="16" t="s">
        <v>110</v>
      </c>
      <c r="D406" s="16">
        <f>COUNTIFS('Data Training'!$G$5:$G$123,C406,'Data Training'!$E$5:$E$123,"KURANG")</f>
        <v>0</v>
      </c>
      <c r="E406" s="16">
        <f>COUNTIFS('Data Training'!$G$5:$G$123,C406,'Data Training'!$H$5:$H$123,$E$31,'Data Training'!$E$5:$E$123,"KURANG")</f>
        <v>0</v>
      </c>
      <c r="F406" s="16">
        <f>COUNTIFS('Data Training'!$G$5:$G$123,C406,'Data Training'!$H$5:$H$123,$F$31,'Data Training'!$E$5:$E$123,"KURANG")</f>
        <v>0</v>
      </c>
      <c r="G406" s="17">
        <v>0</v>
      </c>
      <c r="H406" s="16"/>
    </row>
    <row r="407" spans="2:8" ht="15.75">
      <c r="B407" s="16"/>
      <c r="C407" s="16" t="s">
        <v>109</v>
      </c>
      <c r="D407" s="16">
        <f>COUNTIFS('Data Training'!$G$5:$G$123,C407,'Data Training'!$E$5:$E$123,"KURANG")</f>
        <v>2</v>
      </c>
      <c r="E407" s="16">
        <f>COUNTIFS('Data Training'!$G$5:$G$123,C407,'Data Training'!$H$5:$H$123,$E$31,'Data Training'!$E$5:$E$123,"KURANG")</f>
        <v>0</v>
      </c>
      <c r="F407" s="16">
        <f>COUNTIFS('Data Training'!$G$5:$G$123,C407,'Data Training'!$H$5:$H$123,$F$31,'Data Training'!$E$5:$E$123,"KURANG")</f>
        <v>2</v>
      </c>
      <c r="G407" s="17">
        <v>0</v>
      </c>
      <c r="H407" s="16"/>
    </row>
    <row r="408" spans="2:8" ht="15.75">
      <c r="B408" s="16"/>
      <c r="C408" s="16" t="s">
        <v>113</v>
      </c>
      <c r="D408" s="16">
        <f>COUNTIFS('Data Training'!$G$5:$G$123,C408,'Data Training'!$E$5:$E$123,"KURANG")</f>
        <v>1</v>
      </c>
      <c r="E408" s="16">
        <f>COUNTIFS('Data Training'!$G$5:$G$123,C408,'Data Training'!$H$5:$H$123,$E$31,'Data Training'!$E$5:$E$123,"KURANG")</f>
        <v>0</v>
      </c>
      <c r="F408" s="16">
        <f>COUNTIFS('Data Training'!$G$5:$G$123,C408,'Data Training'!$H$5:$H$123,$F$31,'Data Training'!$E$5:$E$123,"KURANG")</f>
        <v>1</v>
      </c>
      <c r="G408" s="17">
        <v>0</v>
      </c>
      <c r="H40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H3" sqref="H3"/>
    </sheetView>
  </sheetViews>
  <sheetFormatPr defaultRowHeight="14.25"/>
  <cols>
    <col min="1" max="1" width="14.25" bestFit="1" customWidth="1"/>
    <col min="2" max="2" width="25.375" style="30" customWidth="1"/>
    <col min="4" max="4" width="15.625" customWidth="1"/>
    <col min="5" max="5" width="16.375" customWidth="1"/>
    <col min="6" max="6" width="20.125" customWidth="1"/>
    <col min="7" max="7" width="19.125" customWidth="1"/>
  </cols>
  <sheetData>
    <row r="1" spans="1:8" ht="15">
      <c r="A1" s="32" t="s">
        <v>185</v>
      </c>
      <c r="B1" s="32" t="s">
        <v>186</v>
      </c>
      <c r="C1" s="32" t="s">
        <v>187</v>
      </c>
      <c r="D1" s="33" t="s">
        <v>188</v>
      </c>
      <c r="E1" s="33" t="s">
        <v>189</v>
      </c>
      <c r="F1" s="33" t="s">
        <v>190</v>
      </c>
      <c r="G1" s="33" t="s">
        <v>191</v>
      </c>
      <c r="H1" s="33" t="s">
        <v>192</v>
      </c>
    </row>
    <row r="2" spans="1:8">
      <c r="A2" s="1">
        <v>1</v>
      </c>
      <c r="B2" s="1">
        <v>2020804139</v>
      </c>
      <c r="C2" s="1" t="s">
        <v>193</v>
      </c>
      <c r="D2" s="34" t="s">
        <v>120</v>
      </c>
      <c r="E2" s="34">
        <v>3.7</v>
      </c>
      <c r="F2" s="34">
        <v>3.2</v>
      </c>
      <c r="G2" s="34">
        <v>2.8</v>
      </c>
      <c r="H2" s="34">
        <v>3.2</v>
      </c>
    </row>
    <row r="3" spans="1:8">
      <c r="A3" s="1">
        <v>2</v>
      </c>
      <c r="B3" s="1">
        <v>2020804149</v>
      </c>
      <c r="C3" s="1" t="s">
        <v>194</v>
      </c>
      <c r="D3" s="34" t="s">
        <v>120</v>
      </c>
      <c r="E3" s="34">
        <v>2.1</v>
      </c>
      <c r="F3" s="34">
        <v>2.5</v>
      </c>
      <c r="G3" s="34">
        <v>2.2000000000000002</v>
      </c>
      <c r="H3" s="34">
        <v>3.7</v>
      </c>
    </row>
    <row r="4" spans="1:8">
      <c r="A4" s="1">
        <v>3</v>
      </c>
      <c r="B4" s="1">
        <v>2020804134</v>
      </c>
      <c r="C4" s="1" t="s">
        <v>195</v>
      </c>
      <c r="D4" s="34" t="s">
        <v>121</v>
      </c>
      <c r="E4" s="34">
        <v>2.2999999999999998</v>
      </c>
      <c r="F4" s="34">
        <v>3.6</v>
      </c>
      <c r="G4" s="34">
        <v>3.5</v>
      </c>
      <c r="H4" s="34">
        <v>2.1</v>
      </c>
    </row>
    <row r="5" spans="1:8">
      <c r="A5" s="1">
        <v>4</v>
      </c>
      <c r="B5" s="1">
        <v>2020804142</v>
      </c>
      <c r="C5" s="1" t="s">
        <v>196</v>
      </c>
      <c r="D5" s="34" t="s">
        <v>121</v>
      </c>
      <c r="E5" s="34" t="s">
        <v>110</v>
      </c>
      <c r="F5" s="34" t="s">
        <v>112</v>
      </c>
      <c r="G5" s="34" t="s">
        <v>112</v>
      </c>
      <c r="H5" s="34" t="s">
        <v>110</v>
      </c>
    </row>
    <row r="6" spans="1:8">
      <c r="A6" s="1">
        <v>5</v>
      </c>
      <c r="B6" s="1">
        <v>2020804137</v>
      </c>
      <c r="C6" s="1" t="s">
        <v>197</v>
      </c>
      <c r="D6" s="34" t="s">
        <v>120</v>
      </c>
      <c r="E6" s="34" t="s">
        <v>110</v>
      </c>
      <c r="F6" s="34" t="s">
        <v>110</v>
      </c>
      <c r="G6" s="34" t="s">
        <v>112</v>
      </c>
      <c r="H6" s="34" t="s">
        <v>110</v>
      </c>
    </row>
    <row r="7" spans="1:8">
      <c r="B7"/>
    </row>
    <row r="8" spans="1:8">
      <c r="B8"/>
    </row>
    <row r="9" spans="1:8">
      <c r="B9"/>
    </row>
    <row r="10" spans="1:8">
      <c r="B10"/>
    </row>
    <row r="11" spans="1:8">
      <c r="B11"/>
    </row>
    <row r="12" spans="1:8">
      <c r="B12"/>
    </row>
    <row r="13" spans="1:8">
      <c r="B13"/>
    </row>
    <row r="14" spans="1:8">
      <c r="B14"/>
    </row>
    <row r="15" spans="1:8">
      <c r="B15"/>
    </row>
    <row r="16" spans="1:8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46" spans="2:2" ht="15.75">
      <c r="B46" s="29"/>
    </row>
    <row r="47" spans="2:2" ht="15.75">
      <c r="B47" s="29"/>
    </row>
    <row r="73" spans="2:2">
      <c r="B73" s="3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Training</vt:lpstr>
      <vt:lpstr>Perhitungan Manual</vt:lpstr>
      <vt:lpstr>RULE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Reksa Guritno</dc:creator>
  <cp:lastModifiedBy>Toto Iswanto</cp:lastModifiedBy>
  <dcterms:created xsi:type="dcterms:W3CDTF">2024-06-23T14:36:09Z</dcterms:created>
  <dcterms:modified xsi:type="dcterms:W3CDTF">2024-07-01T15:08:41Z</dcterms:modified>
</cp:coreProperties>
</file>