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16.xml" ContentType="application/vnd.openxmlformats-officedocument.drawingml.chart+xml"/>
  <Override PartName="/xl/drawings/drawing10.xml" ContentType="application/vnd.openxmlformats-officedocument.drawing+xml"/>
  <Override PartName="/xl/charts/chart17.xml" ContentType="application/vnd.openxmlformats-officedocument.drawingml.chart+xml"/>
  <Override PartName="/xl/drawings/drawing11.xml" ContentType="application/vnd.openxmlformats-officedocument.drawing+xml"/>
  <Override PartName="/xl/drawings/drawing12.xml" ContentType="application/vnd.openxmlformats-officedocument.drawing+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updateLinks="never" codeName="Questa_cartella_di_lavoro"/>
  <mc:AlternateContent xmlns:mc="http://schemas.openxmlformats.org/markup-compatibility/2006">
    <mc:Choice Requires="x15">
      <x15ac:absPath xmlns:x15ac="http://schemas.microsoft.com/office/spreadsheetml/2010/11/ac" url="D:\Dati\Lavori in corso\_EPB_Center\2022-06-08 - DHW Heat recovery\50 - Draft standard\"/>
    </mc:Choice>
  </mc:AlternateContent>
  <xr:revisionPtr revIDLastSave="0" documentId="13_ncr:1_{332AA3B7-796F-4131-8D37-A8D18343A23C}" xr6:coauthVersionLast="47" xr6:coauthVersionMax="47" xr10:uidLastSave="{00000000-0000-0000-0000-000000000000}"/>
  <bookViews>
    <workbookView xWindow="-27345" yWindow="165" windowWidth="23505" windowHeight="15105" firstSheet="1" activeTab="4" xr2:uid="{50E63183-325B-4BF9-AB64-DD9994218A09}"/>
  </bookViews>
  <sheets>
    <sheet name="INFO" sheetId="44" r:id="rId1"/>
    <sheet name="Explanation" sheetId="46" r:id="rId2"/>
    <sheet name="Data_tables" sheetId="62" r:id="rId3"/>
    <sheet name="Method_input" sheetId="47" r:id="rId4"/>
    <sheet name="Method_calculation" sheetId="61" r:id="rId5"/>
    <sheet name="Method_output" sheetId="32" r:id="rId6"/>
    <sheet name="Other_files-&gt;" sheetId="63" r:id="rId7"/>
    <sheet name="UK_SBEM" sheetId="51" r:id="rId8"/>
    <sheet name="A_B_C_Comparison" sheetId="52" r:id="rId9"/>
    <sheet name="A_B_C_Comparison_2" sheetId="53" r:id="rId10"/>
    <sheet name="A_B_C_Comparison 3" sheetId="55" r:id="rId11"/>
    <sheet name="Needs_others" sheetId="59" r:id="rId12"/>
    <sheet name="Symbols" sheetId="60" r:id="rId13"/>
    <sheet name="UK_SAP" sheetId="49" r:id="rId14"/>
    <sheet name="SAP_Database" sheetId="50" r:id="rId15"/>
    <sheet name="Foglio1" sheetId="64" r:id="rId16"/>
    <sheet name="Heat losses" sheetId="54" r:id="rId17"/>
    <sheet name="Tcold" sheetId="57" r:id="rId18"/>
    <sheet name="Mass loss" sheetId="58" r:id="rId19"/>
    <sheet name="Heat capacity" sheetId="56" r:id="rId20"/>
    <sheet name="Annex_B" sheetId="34" r:id="rId21"/>
    <sheet name="Lists_&amp;_data" sheetId="43" r:id="rId22"/>
    <sheet name="EN_Issues" sheetId="38" state="hidden" r:id="rId23"/>
    <sheet name="&lt;-OK | Archive-&gt;" sheetId="36" state="hidden" r:id="rId24"/>
    <sheet name="Spalma" sheetId="1" state="hidden" r:id="rId25"/>
    <sheet name="Profili_utilizzo_acs" sheetId="3" state="hidden" r:id="rId26"/>
    <sheet name="RES_SINGLE" sheetId="4" state="hidden" r:id="rId27"/>
    <sheet name="RES_APPBLOCK" sheetId="5" r:id="rId28"/>
    <sheet name="RES_ELDER" sheetId="6" state="hidden" r:id="rId29"/>
    <sheet name="RES_COLL" sheetId="7" state="hidden" r:id="rId30"/>
    <sheet name="RES_MOBIL" sheetId="8" state="hidden" r:id="rId31"/>
    <sheet name="RES_HOL" sheetId="9" state="hidden" r:id="rId32"/>
    <sheet name="EDUC_univ" sheetId="10" state="hidden" r:id="rId33"/>
    <sheet name="EDUC_second_rientri" sheetId="11" state="hidden" r:id="rId34"/>
    <sheet name="EDUC_second_matt" sheetId="12" state="hidden" r:id="rId35"/>
    <sheet name="EDUC_primarie_lunga" sheetId="13" state="hidden" r:id="rId36"/>
    <sheet name="EDUC_primarie_corta" sheetId="14" state="hidden" r:id="rId37"/>
    <sheet name="OFF" sheetId="15" state="hidden" r:id="rId38"/>
    <sheet name="OFF_settimana_lunga" sheetId="16" r:id="rId39"/>
    <sheet name="Sample_profile_1" sheetId="39" state="hidden" r:id="rId40"/>
    <sheet name="HOSP_DEG" sheetId="17" state="hidden" r:id="rId41"/>
    <sheet name="HOSP_DAY" sheetId="26" state="hidden" r:id="rId42"/>
    <sheet name="HOTEL" sheetId="18" state="hidden" r:id="rId43"/>
    <sheet name="HOTEL_LAV" sheetId="28" state="hidden" r:id="rId44"/>
    <sheet name="HOTEL_SAU" sheetId="29" state="hidden" r:id="rId45"/>
    <sheet name="REST" sheetId="19" state="hidden" r:id="rId46"/>
    <sheet name="BAR" sheetId="27" state="hidden" r:id="rId47"/>
    <sheet name="SPORT" sheetId="20" state="hidden" r:id="rId48"/>
    <sheet name="vendite dettaglio" sheetId="21" state="hidden" r:id="rId49"/>
    <sheet name="Vendite_grosse" sheetId="22" state="hidden" r:id="rId50"/>
    <sheet name="AMUSM" sheetId="23" state="hidden" r:id="rId51"/>
    <sheet name="REL" sheetId="24" state="hidden" r:id="rId52"/>
    <sheet name="INDUS" sheetId="25" state="hidden" r:id="rId53"/>
  </sheets>
  <externalReferences>
    <externalReference r:id="rId54"/>
    <externalReference r:id="rId55"/>
  </externalReferences>
  <definedNames>
    <definedName name="__123Graph_F" localSheetId="1" hidden="1">'[1]Costi lavori'!#REF!</definedName>
    <definedName name="__123Graph_F" hidden="1">'[1]Costi lavori'!#REF!</definedName>
    <definedName name="_language">[2]Language!$B$5</definedName>
  </definedNames>
  <calcPr calcId="18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9" i="61" l="1"/>
  <c r="E86" i="61"/>
  <c r="E83" i="61"/>
  <c r="E80" i="61"/>
  <c r="E77" i="61"/>
  <c r="E74" i="61"/>
  <c r="E177" i="61"/>
  <c r="E159" i="61"/>
  <c r="E158" i="61"/>
  <c r="A11" i="62"/>
  <c r="C12" i="62" s="1"/>
  <c r="E166" i="61" s="1"/>
  <c r="A20" i="62"/>
  <c r="C21" i="62" s="1"/>
  <c r="C20" i="62" s="1"/>
  <c r="E155" i="61"/>
  <c r="E153" i="61"/>
  <c r="E152" i="61"/>
  <c r="E35" i="61"/>
  <c r="E34" i="61"/>
  <c r="M33" i="61" s="1"/>
  <c r="E28" i="61"/>
  <c r="E27" i="61"/>
  <c r="E26" i="61"/>
  <c r="E25" i="61"/>
  <c r="E21" i="61"/>
  <c r="E19" i="61"/>
  <c r="E18" i="61"/>
  <c r="E17" i="61"/>
  <c r="E149" i="61"/>
  <c r="E148" i="61"/>
  <c r="E45" i="61" s="1"/>
  <c r="B26" i="62"/>
  <c r="D25" i="62"/>
  <c r="B25" i="62" s="1"/>
  <c r="B27" i="62"/>
  <c r="B24" i="62"/>
  <c r="B23" i="62"/>
  <c r="F80" i="61"/>
  <c r="F83" i="61" s="1"/>
  <c r="F86" i="61" s="1"/>
  <c r="F89" i="61" s="1"/>
  <c r="F79" i="61"/>
  <c r="F82" i="61" s="1"/>
  <c r="F85" i="61" s="1"/>
  <c r="F88" i="61" s="1"/>
  <c r="F78" i="61"/>
  <c r="F81" i="61" s="1"/>
  <c r="F84" i="61" s="1"/>
  <c r="F87" i="61" s="1"/>
  <c r="F31" i="64"/>
  <c r="G31" i="64"/>
  <c r="H31" i="64"/>
  <c r="I31" i="64"/>
  <c r="J31" i="64"/>
  <c r="F32" i="64"/>
  <c r="G32" i="64"/>
  <c r="H32" i="64"/>
  <c r="I32" i="64"/>
  <c r="J32" i="64"/>
  <c r="F33" i="64"/>
  <c r="G33" i="64"/>
  <c r="H33" i="64"/>
  <c r="I33" i="64"/>
  <c r="J33" i="64"/>
  <c r="F34" i="64"/>
  <c r="G34" i="64"/>
  <c r="H34" i="64"/>
  <c r="I34" i="64"/>
  <c r="J34" i="64"/>
  <c r="F35" i="64"/>
  <c r="G35" i="64"/>
  <c r="H35" i="64"/>
  <c r="I35" i="64"/>
  <c r="J35" i="64"/>
  <c r="F36" i="64"/>
  <c r="G36" i="64"/>
  <c r="H36" i="64"/>
  <c r="I36" i="64"/>
  <c r="J36" i="64"/>
  <c r="F37" i="64"/>
  <c r="G37" i="64"/>
  <c r="H37" i="64"/>
  <c r="I37" i="64"/>
  <c r="J37" i="64"/>
  <c r="F38" i="64"/>
  <c r="G38" i="64"/>
  <c r="H38" i="64"/>
  <c r="I38" i="64"/>
  <c r="J38" i="64"/>
  <c r="F39" i="64"/>
  <c r="G39" i="64"/>
  <c r="H39" i="64"/>
  <c r="I39" i="64"/>
  <c r="J39" i="64"/>
  <c r="F40" i="64"/>
  <c r="G40" i="64"/>
  <c r="H40" i="64"/>
  <c r="I40" i="64"/>
  <c r="J40" i="64"/>
  <c r="G30" i="64"/>
  <c r="H30" i="64"/>
  <c r="I30" i="64"/>
  <c r="J30" i="64"/>
  <c r="F30" i="64"/>
  <c r="F18" i="64"/>
  <c r="G18" i="64"/>
  <c r="H18" i="64"/>
  <c r="I18" i="64"/>
  <c r="J18" i="64"/>
  <c r="F19" i="64"/>
  <c r="G19" i="64"/>
  <c r="H19" i="64"/>
  <c r="I19" i="64"/>
  <c r="J19" i="64"/>
  <c r="F20" i="64"/>
  <c r="G20" i="64"/>
  <c r="H20" i="64"/>
  <c r="I20" i="64"/>
  <c r="J20" i="64"/>
  <c r="F21" i="64"/>
  <c r="G21" i="64"/>
  <c r="H21" i="64"/>
  <c r="I21" i="64"/>
  <c r="J21" i="64"/>
  <c r="F22" i="64"/>
  <c r="G22" i="64"/>
  <c r="H22" i="64"/>
  <c r="I22" i="64"/>
  <c r="J22" i="64"/>
  <c r="F23" i="64"/>
  <c r="G23" i="64"/>
  <c r="H23" i="64"/>
  <c r="I23" i="64"/>
  <c r="J23" i="64"/>
  <c r="F24" i="64"/>
  <c r="G24" i="64"/>
  <c r="H24" i="64"/>
  <c r="I24" i="64"/>
  <c r="J24" i="64"/>
  <c r="F25" i="64"/>
  <c r="G25" i="64"/>
  <c r="H25" i="64"/>
  <c r="I25" i="64"/>
  <c r="J25" i="64"/>
  <c r="F26" i="64"/>
  <c r="G26" i="64"/>
  <c r="H26" i="64"/>
  <c r="I26" i="64"/>
  <c r="J26" i="64"/>
  <c r="F27" i="64"/>
  <c r="G27" i="64"/>
  <c r="H27" i="64"/>
  <c r="I27" i="64"/>
  <c r="J27" i="64"/>
  <c r="F28" i="64"/>
  <c r="G28" i="64"/>
  <c r="H28" i="64"/>
  <c r="I28" i="64"/>
  <c r="J28" i="64"/>
  <c r="G17" i="64"/>
  <c r="H17" i="64"/>
  <c r="I17" i="64"/>
  <c r="J17" i="64"/>
  <c r="L4" i="64"/>
  <c r="F17" i="64"/>
  <c r="E13" i="61"/>
  <c r="E12" i="61"/>
  <c r="C15" i="62"/>
  <c r="C14" i="62"/>
  <c r="C13" i="62"/>
  <c r="E160" i="61" l="1"/>
  <c r="E116" i="61"/>
  <c r="E117" i="61" s="1"/>
  <c r="E32" i="47"/>
  <c r="E156" i="61" s="1"/>
  <c r="E157" i="61" s="1"/>
  <c r="E29" i="61"/>
  <c r="E73" i="61" s="1"/>
  <c r="E22" i="61"/>
  <c r="E23" i="61" s="1"/>
  <c r="E178" i="61" s="1"/>
  <c r="E38" i="61"/>
  <c r="C11" i="62"/>
  <c r="E46" i="61"/>
  <c r="E140" i="61"/>
  <c r="E141" i="61" s="1"/>
  <c r="E135" i="61"/>
  <c r="E136" i="61" s="1"/>
  <c r="I136" i="61" s="1"/>
  <c r="E128" i="61"/>
  <c r="I128" i="61" s="1"/>
  <c r="E127" i="61"/>
  <c r="N116" i="61"/>
  <c r="M114" i="61"/>
  <c r="E109" i="61"/>
  <c r="E110" i="61" s="1"/>
  <c r="E95" i="61"/>
  <c r="E94" i="61"/>
  <c r="N73" i="61"/>
  <c r="M71" i="61"/>
  <c r="E67" i="61"/>
  <c r="E68" i="61" s="1"/>
  <c r="E51" i="61"/>
  <c r="I51" i="61" s="1"/>
  <c r="E50" i="61"/>
  <c r="E48" i="61"/>
  <c r="I48" i="61" s="1"/>
  <c r="N38" i="61"/>
  <c r="M37" i="61"/>
  <c r="E150" i="61"/>
  <c r="E49" i="61"/>
  <c r="I49" i="61" s="1"/>
  <c r="I34" i="61"/>
  <c r="I148" i="61"/>
  <c r="I18" i="61"/>
  <c r="I35" i="61"/>
  <c r="I17" i="61"/>
  <c r="K30" i="52"/>
  <c r="J29" i="52"/>
  <c r="K59" i="52"/>
  <c r="J58" i="52"/>
  <c r="K88" i="52"/>
  <c r="J87" i="52"/>
  <c r="E47" i="59"/>
  <c r="F47" i="59"/>
  <c r="D47" i="59"/>
  <c r="E46" i="59"/>
  <c r="E48" i="59" s="1"/>
  <c r="E51" i="59" s="1"/>
  <c r="E52" i="59" s="1"/>
  <c r="E53" i="59" s="1"/>
  <c r="F46" i="59"/>
  <c r="F48" i="59" s="1"/>
  <c r="F51" i="59" s="1"/>
  <c r="F52" i="59" s="1"/>
  <c r="F53" i="59" s="1"/>
  <c r="D46" i="59"/>
  <c r="D39" i="59"/>
  <c r="D41" i="59" s="1"/>
  <c r="E38" i="59"/>
  <c r="E39" i="59" s="1"/>
  <c r="F38" i="59"/>
  <c r="F39" i="59" s="1"/>
  <c r="F40" i="59" s="1"/>
  <c r="D38" i="59"/>
  <c r="F23" i="59"/>
  <c r="F24" i="59" s="1"/>
  <c r="F25" i="59" s="1"/>
  <c r="F26" i="59" s="1"/>
  <c r="F27" i="59" s="1"/>
  <c r="F30" i="59" s="1"/>
  <c r="F31" i="59" s="1"/>
  <c r="F32" i="59" s="1"/>
  <c r="E23" i="59"/>
  <c r="E24" i="59" s="1"/>
  <c r="E25" i="59" s="1"/>
  <c r="E26" i="59" s="1"/>
  <c r="E27" i="59" s="1"/>
  <c r="E30" i="59" s="1"/>
  <c r="E31" i="59" s="1"/>
  <c r="E32" i="59" s="1"/>
  <c r="D23" i="59"/>
  <c r="D24" i="59" s="1"/>
  <c r="D25" i="59" s="1"/>
  <c r="D26" i="59" s="1"/>
  <c r="D27" i="59" s="1"/>
  <c r="D30" i="59" s="1"/>
  <c r="D31" i="59" s="1"/>
  <c r="D32" i="59" s="1"/>
  <c r="D15" i="59"/>
  <c r="E14" i="59"/>
  <c r="E15" i="59" s="1"/>
  <c r="D14" i="59"/>
  <c r="E12" i="59"/>
  <c r="F12" i="59"/>
  <c r="F14" i="59" s="1"/>
  <c r="F15" i="59" s="1"/>
  <c r="D12" i="59"/>
  <c r="E29" i="49"/>
  <c r="AD24" i="49"/>
  <c r="AD25" i="49"/>
  <c r="AD23" i="49"/>
  <c r="AD8" i="50"/>
  <c r="AE8" i="50"/>
  <c r="AF8" i="50"/>
  <c r="AG8" i="50"/>
  <c r="AH8" i="50"/>
  <c r="AD9" i="50"/>
  <c r="AE9" i="50"/>
  <c r="AF9" i="50"/>
  <c r="AG9" i="50"/>
  <c r="AH9" i="50"/>
  <c r="AD10" i="50"/>
  <c r="AE10" i="50"/>
  <c r="AF10" i="50"/>
  <c r="AG10" i="50"/>
  <c r="AH10" i="50"/>
  <c r="AD11" i="50"/>
  <c r="AE11" i="50"/>
  <c r="AF11" i="50"/>
  <c r="AG11" i="50"/>
  <c r="AH11" i="50"/>
  <c r="AD12" i="50"/>
  <c r="AE12" i="50"/>
  <c r="AF12" i="50"/>
  <c r="AG12" i="50"/>
  <c r="AH12" i="50"/>
  <c r="AD13" i="50"/>
  <c r="AE13" i="50"/>
  <c r="AF13" i="50"/>
  <c r="AG13" i="50"/>
  <c r="AH13" i="50"/>
  <c r="AD14" i="50"/>
  <c r="AE14" i="50"/>
  <c r="AF14" i="50"/>
  <c r="AG14" i="50"/>
  <c r="AH14" i="50"/>
  <c r="AD15" i="50"/>
  <c r="AE15" i="50"/>
  <c r="AF15" i="50"/>
  <c r="AG15" i="50"/>
  <c r="AH15" i="50"/>
  <c r="AC13" i="50"/>
  <c r="AC14" i="50"/>
  <c r="AC15" i="50"/>
  <c r="AC12" i="50"/>
  <c r="AC9" i="50"/>
  <c r="AC10" i="50"/>
  <c r="AC11" i="50"/>
  <c r="AC8" i="50"/>
  <c r="E161" i="61" l="1"/>
  <c r="E162" i="61" s="1"/>
  <c r="E39" i="47"/>
  <c r="E165" i="61" s="1"/>
  <c r="E55" i="61"/>
  <c r="N33" i="61" s="1"/>
  <c r="E39" i="61"/>
  <c r="E72" i="61"/>
  <c r="E75" i="61" s="1"/>
  <c r="E76" i="61" s="1"/>
  <c r="E180" i="61"/>
  <c r="E12" i="32" s="1"/>
  <c r="E179" i="61"/>
  <c r="I127" i="61"/>
  <c r="I94" i="61"/>
  <c r="I50" i="61"/>
  <c r="E111" i="61"/>
  <c r="D40" i="59"/>
  <c r="E137" i="61"/>
  <c r="I137" i="61" s="1"/>
  <c r="E69" i="61"/>
  <c r="E142" i="61"/>
  <c r="E52" i="61"/>
  <c r="E92" i="61"/>
  <c r="I95" i="61"/>
  <c r="E125" i="61"/>
  <c r="E126" i="61" s="1"/>
  <c r="I126" i="61" s="1"/>
  <c r="D48" i="59"/>
  <c r="D51" i="59" s="1"/>
  <c r="D52" i="59" s="1"/>
  <c r="D53" i="59" s="1"/>
  <c r="E40" i="59"/>
  <c r="E41" i="59"/>
  <c r="F41" i="59"/>
  <c r="E115" i="61" l="1"/>
  <c r="E118" i="61" s="1"/>
  <c r="E119" i="61" s="1"/>
  <c r="E131" i="61" s="1"/>
  <c r="E59" i="61"/>
  <c r="I92" i="61"/>
  <c r="E78" i="61"/>
  <c r="E79" i="61" s="1"/>
  <c r="E81" i="61" s="1"/>
  <c r="E82" i="61" s="1"/>
  <c r="E84" i="61" s="1"/>
  <c r="E85" i="61" s="1"/>
  <c r="E87" i="61" s="1"/>
  <c r="E88" i="61" s="1"/>
  <c r="E101" i="61" s="1"/>
  <c r="I125" i="61"/>
  <c r="E56" i="61"/>
  <c r="E53" i="61"/>
  <c r="E129" i="61"/>
  <c r="C47" i="58"/>
  <c r="C51" i="58" s="1"/>
  <c r="C8" i="58"/>
  <c r="C10" i="58" s="1"/>
  <c r="B19" i="57"/>
  <c r="B13" i="57"/>
  <c r="B7" i="57"/>
  <c r="D19" i="57"/>
  <c r="E17" i="57"/>
  <c r="E16" i="57"/>
  <c r="F16" i="57" s="1"/>
  <c r="G16" i="57" s="1"/>
  <c r="H16" i="57" s="1"/>
  <c r="I16" i="57" s="1"/>
  <c r="J16" i="57" s="1"/>
  <c r="E15" i="57"/>
  <c r="F15" i="57" s="1"/>
  <c r="G15" i="57" s="1"/>
  <c r="H15" i="57" s="1"/>
  <c r="I15" i="57" s="1"/>
  <c r="J15" i="57" s="1"/>
  <c r="D13" i="57"/>
  <c r="E11" i="57"/>
  <c r="F11" i="57" s="1"/>
  <c r="E10" i="57"/>
  <c r="F10" i="57" s="1"/>
  <c r="G10" i="57" s="1"/>
  <c r="H10" i="57" s="1"/>
  <c r="I10" i="57" s="1"/>
  <c r="J10" i="57" s="1"/>
  <c r="F9" i="57"/>
  <c r="G9" i="57" s="1"/>
  <c r="H9" i="57" s="1"/>
  <c r="I9" i="57" s="1"/>
  <c r="J9" i="57" s="1"/>
  <c r="E9" i="57"/>
  <c r="D7" i="57"/>
  <c r="F5" i="57"/>
  <c r="G5" i="57" s="1"/>
  <c r="H5" i="57" s="1"/>
  <c r="I5" i="57" s="1"/>
  <c r="J5" i="57" s="1"/>
  <c r="E5" i="57"/>
  <c r="E7" i="57" s="1"/>
  <c r="E4" i="57"/>
  <c r="F4" i="57" s="1"/>
  <c r="F3" i="57"/>
  <c r="G3" i="57" s="1"/>
  <c r="H3" i="57" s="1"/>
  <c r="I3" i="57" s="1"/>
  <c r="J3" i="57" s="1"/>
  <c r="E3" i="57"/>
  <c r="E25" i="55"/>
  <c r="C7" i="56"/>
  <c r="F79" i="53"/>
  <c r="G79" i="53" s="1"/>
  <c r="H79" i="53" s="1"/>
  <c r="I79" i="53" s="1"/>
  <c r="J79" i="53" s="1"/>
  <c r="K79" i="53" s="1"/>
  <c r="L79" i="53" s="1"/>
  <c r="M79" i="53" s="1"/>
  <c r="N79" i="53" s="1"/>
  <c r="O79" i="53" s="1"/>
  <c r="F57" i="53"/>
  <c r="G57" i="53" s="1"/>
  <c r="H57" i="53" s="1"/>
  <c r="I57" i="53" s="1"/>
  <c r="J57" i="53" s="1"/>
  <c r="K57" i="53" s="1"/>
  <c r="L57" i="53" s="1"/>
  <c r="M57" i="53" s="1"/>
  <c r="N57" i="53" s="1"/>
  <c r="O57" i="53" s="1"/>
  <c r="F28" i="53"/>
  <c r="G28" i="53" s="1"/>
  <c r="H28" i="53" s="1"/>
  <c r="I28" i="53" s="1"/>
  <c r="J28" i="53" s="1"/>
  <c r="K28" i="53" s="1"/>
  <c r="L28" i="53" s="1"/>
  <c r="M28" i="53" s="1"/>
  <c r="N28" i="53" s="1"/>
  <c r="O28" i="53" s="1"/>
  <c r="O84" i="53"/>
  <c r="O85" i="53" s="1"/>
  <c r="O75" i="53"/>
  <c r="O74" i="53"/>
  <c r="O46" i="53"/>
  <c r="O45" i="53"/>
  <c r="O24" i="53"/>
  <c r="O23" i="53"/>
  <c r="O21" i="53"/>
  <c r="O16" i="53"/>
  <c r="O44" i="53" s="1"/>
  <c r="O15" i="53"/>
  <c r="O14" i="53"/>
  <c r="O53" i="53" s="1"/>
  <c r="O12" i="53"/>
  <c r="N84" i="53"/>
  <c r="N85" i="53" s="1"/>
  <c r="N75" i="53"/>
  <c r="N74" i="53"/>
  <c r="N46" i="53"/>
  <c r="N45" i="53"/>
  <c r="N24" i="53"/>
  <c r="N23" i="53"/>
  <c r="N21" i="53"/>
  <c r="N16" i="53"/>
  <c r="N44" i="53" s="1"/>
  <c r="N15" i="53"/>
  <c r="N14" i="53"/>
  <c r="N54" i="53" s="1"/>
  <c r="N12" i="53"/>
  <c r="M84" i="53"/>
  <c r="M85" i="53" s="1"/>
  <c r="M75" i="53"/>
  <c r="M74" i="53"/>
  <c r="M46" i="53"/>
  <c r="M45" i="53"/>
  <c r="M24" i="53"/>
  <c r="M23" i="53"/>
  <c r="M21" i="53"/>
  <c r="M16" i="53"/>
  <c r="M44" i="53" s="1"/>
  <c r="M15" i="53"/>
  <c r="M14" i="53"/>
  <c r="M54" i="53" s="1"/>
  <c r="M12" i="53"/>
  <c r="E31" i="52"/>
  <c r="C73" i="52"/>
  <c r="C70" i="52"/>
  <c r="E106" i="55"/>
  <c r="E100" i="55"/>
  <c r="E101" i="55" s="1"/>
  <c r="E92" i="55"/>
  <c r="E91" i="55"/>
  <c r="F91" i="55" s="1"/>
  <c r="E78" i="55"/>
  <c r="E63" i="55"/>
  <c r="F63" i="55" s="1"/>
  <c r="E62" i="55"/>
  <c r="E49" i="55"/>
  <c r="E34" i="55"/>
  <c r="E33" i="55"/>
  <c r="F33" i="55" s="1"/>
  <c r="E31" i="55"/>
  <c r="F31" i="55" s="1"/>
  <c r="E21" i="55"/>
  <c r="E16" i="55"/>
  <c r="E61" i="55" s="1"/>
  <c r="F61" i="55" s="1"/>
  <c r="E15" i="55"/>
  <c r="E14" i="55"/>
  <c r="E12" i="55"/>
  <c r="F11" i="55"/>
  <c r="F9" i="55"/>
  <c r="F8" i="55"/>
  <c r="F7" i="55"/>
  <c r="F6" i="55"/>
  <c r="E108" i="52"/>
  <c r="E80" i="52"/>
  <c r="E106" i="52"/>
  <c r="E78" i="52"/>
  <c r="E49" i="52"/>
  <c r="E51" i="52" s="1"/>
  <c r="E52" i="52" s="1"/>
  <c r="E21" i="52"/>
  <c r="E22" i="52" s="1"/>
  <c r="C7" i="54"/>
  <c r="C3" i="54"/>
  <c r="E168" i="61" l="1"/>
  <c r="E134" i="61"/>
  <c r="E90" i="61"/>
  <c r="E167" i="61" s="1"/>
  <c r="E98" i="61"/>
  <c r="G4" i="57"/>
  <c r="F7" i="57"/>
  <c r="E80" i="55"/>
  <c r="E81" i="55" s="1"/>
  <c r="N52" i="53"/>
  <c r="C9" i="54"/>
  <c r="F15" i="55"/>
  <c r="M52" i="53"/>
  <c r="O52" i="53"/>
  <c r="E132" i="61"/>
  <c r="E130" i="61"/>
  <c r="E57" i="61"/>
  <c r="E51" i="55"/>
  <c r="E90" i="55"/>
  <c r="F90" i="55" s="1"/>
  <c r="E32" i="55"/>
  <c r="F32" i="55" s="1"/>
  <c r="E19" i="57"/>
  <c r="F17" i="57"/>
  <c r="G17" i="57" s="1"/>
  <c r="F19" i="57"/>
  <c r="E13" i="57"/>
  <c r="F13" i="57"/>
  <c r="G11" i="57"/>
  <c r="E108" i="55"/>
  <c r="E109" i="55" s="1"/>
  <c r="N55" i="53"/>
  <c r="N53" i="53"/>
  <c r="M55" i="53"/>
  <c r="O54" i="53"/>
  <c r="M53" i="53"/>
  <c r="O55" i="53"/>
  <c r="O22" i="53"/>
  <c r="O25" i="53" s="1"/>
  <c r="O26" i="53" s="1"/>
  <c r="N22" i="53"/>
  <c r="N25" i="53" s="1"/>
  <c r="N26" i="53" s="1"/>
  <c r="M22" i="53"/>
  <c r="M25" i="53" s="1"/>
  <c r="M26" i="53" s="1"/>
  <c r="O86" i="53"/>
  <c r="O72" i="53"/>
  <c r="O17" i="53"/>
  <c r="O73" i="53"/>
  <c r="N86" i="53"/>
  <c r="N72" i="53"/>
  <c r="N17" i="53"/>
  <c r="N73" i="53"/>
  <c r="M86" i="53"/>
  <c r="M72" i="53"/>
  <c r="M17" i="53"/>
  <c r="M73" i="53"/>
  <c r="E102" i="55"/>
  <c r="F102" i="55" s="1"/>
  <c r="F101" i="55"/>
  <c r="E89" i="55"/>
  <c r="F89" i="55" s="1"/>
  <c r="E22" i="55"/>
  <c r="F34" i="55"/>
  <c r="F62" i="55"/>
  <c r="F92" i="55"/>
  <c r="E17" i="55"/>
  <c r="F17" i="55" s="1"/>
  <c r="E52" i="55"/>
  <c r="E109" i="52"/>
  <c r="E81" i="52"/>
  <c r="L84" i="53"/>
  <c r="L85" i="53" s="1"/>
  <c r="L86" i="53" s="1"/>
  <c r="K84" i="53"/>
  <c r="K85" i="53" s="1"/>
  <c r="J84" i="53"/>
  <c r="J85" i="53" s="1"/>
  <c r="J72" i="53" s="1"/>
  <c r="L75" i="53"/>
  <c r="K75" i="53"/>
  <c r="J75" i="53"/>
  <c r="L74" i="53"/>
  <c r="K74" i="53"/>
  <c r="J74" i="53"/>
  <c r="L46" i="53"/>
  <c r="K46" i="53"/>
  <c r="J46" i="53"/>
  <c r="L45" i="53"/>
  <c r="K45" i="53"/>
  <c r="J45" i="53"/>
  <c r="L24" i="53"/>
  <c r="K24" i="53"/>
  <c r="J24" i="53"/>
  <c r="L23" i="53"/>
  <c r="K23" i="53"/>
  <c r="J23" i="53"/>
  <c r="L21" i="53"/>
  <c r="K21" i="53"/>
  <c r="J21" i="53"/>
  <c r="L16" i="53"/>
  <c r="L44" i="53" s="1"/>
  <c r="K16" i="53"/>
  <c r="K73" i="53" s="1"/>
  <c r="J16" i="53"/>
  <c r="J73" i="53" s="1"/>
  <c r="L15" i="53"/>
  <c r="K15" i="53"/>
  <c r="J15" i="53"/>
  <c r="L14" i="53"/>
  <c r="L52" i="53" s="1"/>
  <c r="K14" i="53"/>
  <c r="K52" i="53" s="1"/>
  <c r="J14" i="53"/>
  <c r="J52" i="53" s="1"/>
  <c r="L12" i="53"/>
  <c r="K12" i="53"/>
  <c r="J12" i="53"/>
  <c r="I84" i="53"/>
  <c r="I85" i="53" s="1"/>
  <c r="I75" i="53"/>
  <c r="I74" i="53"/>
  <c r="I46" i="53"/>
  <c r="I45" i="53"/>
  <c r="I24" i="53"/>
  <c r="I23" i="53"/>
  <c r="I21" i="53"/>
  <c r="I16" i="53"/>
  <c r="I44" i="53" s="1"/>
  <c r="I15" i="53"/>
  <c r="I14" i="53"/>
  <c r="I52" i="53" s="1"/>
  <c r="I12" i="53"/>
  <c r="H84" i="53"/>
  <c r="H85" i="53" s="1"/>
  <c r="H75" i="53"/>
  <c r="H74" i="53"/>
  <c r="H46" i="53"/>
  <c r="H45" i="53"/>
  <c r="H24" i="53"/>
  <c r="H23" i="53"/>
  <c r="H21" i="53"/>
  <c r="H16" i="53"/>
  <c r="H44" i="53" s="1"/>
  <c r="H15" i="53"/>
  <c r="H14" i="53"/>
  <c r="H52" i="53" s="1"/>
  <c r="H12" i="53"/>
  <c r="E12" i="53"/>
  <c r="F12" i="53"/>
  <c r="E14" i="53"/>
  <c r="E52" i="53" s="1"/>
  <c r="F14" i="53"/>
  <c r="F52" i="53" s="1"/>
  <c r="E15" i="53"/>
  <c r="F15" i="53"/>
  <c r="E16" i="53"/>
  <c r="E17" i="53" s="1"/>
  <c r="F16" i="53"/>
  <c r="F73" i="53" s="1"/>
  <c r="E21" i="53"/>
  <c r="F21" i="53"/>
  <c r="E23" i="53"/>
  <c r="F23" i="53"/>
  <c r="E24" i="53"/>
  <c r="F24" i="53"/>
  <c r="E44" i="53"/>
  <c r="F44" i="53"/>
  <c r="E45" i="53"/>
  <c r="F45" i="53"/>
  <c r="E46" i="53"/>
  <c r="F46" i="53"/>
  <c r="E74" i="53"/>
  <c r="F74" i="53"/>
  <c r="E75" i="53"/>
  <c r="F75" i="53"/>
  <c r="E84" i="53"/>
  <c r="E85" i="53" s="1"/>
  <c r="F84" i="53"/>
  <c r="F85" i="53" s="1"/>
  <c r="G84" i="53"/>
  <c r="G85" i="53" s="1"/>
  <c r="G75" i="53"/>
  <c r="G74" i="53"/>
  <c r="G46" i="53"/>
  <c r="G45" i="53"/>
  <c r="G24" i="53"/>
  <c r="G23" i="53"/>
  <c r="G21" i="53"/>
  <c r="G16" i="53"/>
  <c r="G44" i="53" s="1"/>
  <c r="G15" i="53"/>
  <c r="G14" i="53"/>
  <c r="G52" i="53" s="1"/>
  <c r="G12" i="53"/>
  <c r="T27" i="50"/>
  <c r="U27" i="50"/>
  <c r="V27" i="50"/>
  <c r="W27" i="50"/>
  <c r="X27" i="50"/>
  <c r="S27" i="50"/>
  <c r="E100" i="52"/>
  <c r="E92" i="52"/>
  <c r="F92" i="52" s="1"/>
  <c r="E91" i="52"/>
  <c r="F91" i="52" s="1"/>
  <c r="E170" i="61" l="1"/>
  <c r="E11" i="32" s="1"/>
  <c r="E169" i="61"/>
  <c r="E102" i="61"/>
  <c r="E93" i="61"/>
  <c r="H4" i="57"/>
  <c r="G7" i="57"/>
  <c r="E133" i="61"/>
  <c r="N71" i="61"/>
  <c r="I59" i="61"/>
  <c r="N37" i="61"/>
  <c r="E63" i="61"/>
  <c r="E60" i="61"/>
  <c r="E61" i="61" s="1"/>
  <c r="E35" i="55"/>
  <c r="G19" i="57"/>
  <c r="H17" i="57"/>
  <c r="G13" i="57"/>
  <c r="H11" i="57"/>
  <c r="G53" i="53"/>
  <c r="G55" i="53"/>
  <c r="G54" i="53"/>
  <c r="J54" i="53"/>
  <c r="J53" i="53"/>
  <c r="J55" i="53"/>
  <c r="E54" i="53"/>
  <c r="E55" i="53"/>
  <c r="E53" i="53"/>
  <c r="H53" i="53"/>
  <c r="H55" i="53"/>
  <c r="H54" i="53"/>
  <c r="I54" i="53"/>
  <c r="I53" i="53"/>
  <c r="I55" i="53"/>
  <c r="L53" i="53"/>
  <c r="L55" i="53"/>
  <c r="L54" i="53"/>
  <c r="F53" i="53"/>
  <c r="F54" i="53"/>
  <c r="F55" i="53"/>
  <c r="K53" i="53"/>
  <c r="K55" i="53"/>
  <c r="K54" i="53"/>
  <c r="M29" i="53"/>
  <c r="M32" i="53" s="1"/>
  <c r="M33" i="53" s="1"/>
  <c r="M34" i="53" s="1"/>
  <c r="M35" i="53" s="1"/>
  <c r="O29" i="53"/>
  <c r="O30" i="53" s="1"/>
  <c r="J22" i="53"/>
  <c r="J25" i="53" s="1"/>
  <c r="J26" i="53" s="1"/>
  <c r="N29" i="53"/>
  <c r="N32" i="53" s="1"/>
  <c r="N33" i="53" s="1"/>
  <c r="N34" i="53" s="1"/>
  <c r="N35" i="53" s="1"/>
  <c r="L17" i="53"/>
  <c r="I22" i="53"/>
  <c r="I25" i="53" s="1"/>
  <c r="I26" i="53" s="1"/>
  <c r="G22" i="53"/>
  <c r="G25" i="53" s="1"/>
  <c r="G26" i="53" s="1"/>
  <c r="N30" i="53"/>
  <c r="M30" i="53"/>
  <c r="L73" i="53"/>
  <c r="M76" i="53"/>
  <c r="H22" i="53"/>
  <c r="H25" i="53" s="1"/>
  <c r="H26" i="53" s="1"/>
  <c r="J44" i="53"/>
  <c r="J86" i="53"/>
  <c r="O76" i="53"/>
  <c r="J76" i="53"/>
  <c r="N76" i="53"/>
  <c r="E93" i="55"/>
  <c r="E94" i="55" s="1"/>
  <c r="K72" i="53"/>
  <c r="K76" i="53" s="1"/>
  <c r="K86" i="53"/>
  <c r="K22" i="53"/>
  <c r="K25" i="53" s="1"/>
  <c r="K26" i="53" s="1"/>
  <c r="J17" i="53"/>
  <c r="L22" i="53"/>
  <c r="L25" i="53" s="1"/>
  <c r="L26" i="53" s="1"/>
  <c r="K44" i="53"/>
  <c r="L72" i="53"/>
  <c r="K17" i="53"/>
  <c r="I86" i="53"/>
  <c r="I72" i="53"/>
  <c r="I17" i="53"/>
  <c r="I73" i="53"/>
  <c r="H86" i="53"/>
  <c r="H72" i="53"/>
  <c r="H17" i="53"/>
  <c r="H73" i="53"/>
  <c r="F72" i="53"/>
  <c r="F76" i="53" s="1"/>
  <c r="F86" i="53"/>
  <c r="E86" i="53"/>
  <c r="E72" i="53"/>
  <c r="F22" i="53"/>
  <c r="F25" i="53" s="1"/>
  <c r="F26" i="53" s="1"/>
  <c r="F17" i="53"/>
  <c r="E73" i="53"/>
  <c r="E22" i="53"/>
  <c r="E25" i="53" s="1"/>
  <c r="E26" i="53" s="1"/>
  <c r="G86" i="53"/>
  <c r="G72" i="53"/>
  <c r="G17" i="53"/>
  <c r="G73" i="53"/>
  <c r="E63" i="52"/>
  <c r="E62" i="52"/>
  <c r="E34" i="52"/>
  <c r="E33" i="52"/>
  <c r="F11" i="52"/>
  <c r="F6" i="52"/>
  <c r="F7" i="52"/>
  <c r="F31" i="52"/>
  <c r="F33" i="52"/>
  <c r="E172" i="61" l="1"/>
  <c r="E8" i="32"/>
  <c r="E171" i="61"/>
  <c r="F34" i="52"/>
  <c r="I4" i="57"/>
  <c r="H7" i="57"/>
  <c r="I134" i="61"/>
  <c r="E143" i="61"/>
  <c r="E62" i="61"/>
  <c r="I62" i="61" s="1"/>
  <c r="I61" i="61"/>
  <c r="M38" i="61"/>
  <c r="I63" i="61"/>
  <c r="E38" i="55"/>
  <c r="E36" i="55"/>
  <c r="I17" i="57"/>
  <c r="H19" i="57"/>
  <c r="I11" i="57"/>
  <c r="H13" i="57"/>
  <c r="O80" i="53"/>
  <c r="O83" i="53" s="1"/>
  <c r="O77" i="53"/>
  <c r="M80" i="53"/>
  <c r="M83" i="53" s="1"/>
  <c r="M77" i="53"/>
  <c r="F80" i="53"/>
  <c r="F81" i="53" s="1"/>
  <c r="F77" i="53"/>
  <c r="K80" i="53"/>
  <c r="K81" i="53" s="1"/>
  <c r="K77" i="53"/>
  <c r="N80" i="53"/>
  <c r="N81" i="53" s="1"/>
  <c r="N77" i="53"/>
  <c r="J80" i="53"/>
  <c r="J81" i="53" s="1"/>
  <c r="J77" i="53"/>
  <c r="G29" i="53"/>
  <c r="G30" i="53" s="1"/>
  <c r="L29" i="53"/>
  <c r="L30" i="53" s="1"/>
  <c r="I29" i="53"/>
  <c r="I30" i="53" s="1"/>
  <c r="K29" i="53"/>
  <c r="K32" i="53" s="1"/>
  <c r="K33" i="53" s="1"/>
  <c r="K34" i="53" s="1"/>
  <c r="K35" i="53" s="1"/>
  <c r="H29" i="53"/>
  <c r="F29" i="53"/>
  <c r="F30" i="53" s="1"/>
  <c r="E29" i="53"/>
  <c r="E30" i="53" s="1"/>
  <c r="O32" i="53"/>
  <c r="O33" i="53" s="1"/>
  <c r="O34" i="53" s="1"/>
  <c r="O35" i="53" s="1"/>
  <c r="J29" i="53"/>
  <c r="O81" i="53"/>
  <c r="E76" i="53"/>
  <c r="M81" i="53"/>
  <c r="H76" i="53"/>
  <c r="H30" i="53"/>
  <c r="H32" i="53"/>
  <c r="H33" i="53" s="1"/>
  <c r="H34" i="53" s="1"/>
  <c r="H35" i="53" s="1"/>
  <c r="L76" i="53"/>
  <c r="I76" i="53"/>
  <c r="G76" i="53"/>
  <c r="E96" i="55"/>
  <c r="E99" i="55" s="1"/>
  <c r="F99" i="55" s="1"/>
  <c r="E97" i="55"/>
  <c r="F83" i="53"/>
  <c r="F63" i="52"/>
  <c r="E16" i="52"/>
  <c r="E15" i="52"/>
  <c r="E14" i="52"/>
  <c r="F9" i="52"/>
  <c r="F8" i="52"/>
  <c r="E12" i="52"/>
  <c r="A144" i="51"/>
  <c r="E142" i="51"/>
  <c r="E140" i="51"/>
  <c r="A115" i="51"/>
  <c r="E113" i="51"/>
  <c r="E111" i="51"/>
  <c r="B86" i="51"/>
  <c r="B144" i="51" s="1"/>
  <c r="E84" i="51"/>
  <c r="W68" i="51"/>
  <c r="W66" i="51"/>
  <c r="N64" i="51"/>
  <c r="E63" i="51"/>
  <c r="R64" i="51" s="1"/>
  <c r="V42" i="51"/>
  <c r="E34" i="51"/>
  <c r="E29" i="51"/>
  <c r="V25" i="51"/>
  <c r="V20" i="51"/>
  <c r="E17" i="51"/>
  <c r="E19" i="51" s="1"/>
  <c r="E22" i="51" s="1"/>
  <c r="E13" i="51"/>
  <c r="E40" i="51" s="1"/>
  <c r="U12" i="51"/>
  <c r="T12" i="51"/>
  <c r="S12" i="51"/>
  <c r="R12" i="51"/>
  <c r="Q12" i="51"/>
  <c r="P12" i="51"/>
  <c r="O12" i="51"/>
  <c r="N12" i="51"/>
  <c r="M12" i="51"/>
  <c r="L12" i="51"/>
  <c r="K12" i="51"/>
  <c r="J12" i="51"/>
  <c r="V11" i="51"/>
  <c r="V10" i="51"/>
  <c r="E140" i="49"/>
  <c r="E111" i="49"/>
  <c r="A144" i="49"/>
  <c r="E142" i="49"/>
  <c r="A115" i="49"/>
  <c r="B86" i="49"/>
  <c r="E88" i="49" s="1"/>
  <c r="E113" i="49"/>
  <c r="E84" i="49"/>
  <c r="M2" i="50"/>
  <c r="N1" i="50" s="1"/>
  <c r="N5" i="50" s="1"/>
  <c r="C15" i="50"/>
  <c r="C11" i="50"/>
  <c r="C7" i="50"/>
  <c r="C14" i="50"/>
  <c r="C10" i="50"/>
  <c r="C6" i="50"/>
  <c r="C13" i="50"/>
  <c r="C9" i="50"/>
  <c r="C5" i="50"/>
  <c r="C12" i="50"/>
  <c r="C8" i="50"/>
  <c r="C4" i="50"/>
  <c r="C190" i="50"/>
  <c r="C191" i="50"/>
  <c r="C26" i="50"/>
  <c r="C29" i="50"/>
  <c r="C75" i="50"/>
  <c r="C76" i="50"/>
  <c r="C77" i="50"/>
  <c r="C78" i="50"/>
  <c r="C79" i="50"/>
  <c r="C80" i="50"/>
  <c r="C81" i="50"/>
  <c r="C83" i="50"/>
  <c r="C84" i="50"/>
  <c r="C85" i="50"/>
  <c r="C87" i="50"/>
  <c r="C73" i="50"/>
  <c r="C74" i="50"/>
  <c r="C90" i="50"/>
  <c r="C91" i="50"/>
  <c r="C92" i="50"/>
  <c r="C93" i="50"/>
  <c r="C94" i="50"/>
  <c r="C95" i="50"/>
  <c r="C96" i="50"/>
  <c r="C97" i="50"/>
  <c r="C98" i="50"/>
  <c r="C99" i="50"/>
  <c r="C100" i="50"/>
  <c r="C88" i="50"/>
  <c r="C89" i="50"/>
  <c r="C103" i="50"/>
  <c r="C104" i="50"/>
  <c r="C105" i="50"/>
  <c r="C106" i="50"/>
  <c r="C107" i="50"/>
  <c r="C108" i="50"/>
  <c r="C109" i="50"/>
  <c r="C110" i="50"/>
  <c r="C112" i="50"/>
  <c r="C113" i="50"/>
  <c r="C114" i="50"/>
  <c r="C116" i="50"/>
  <c r="C101" i="50"/>
  <c r="C102" i="50"/>
  <c r="C46" i="50"/>
  <c r="C47" i="50"/>
  <c r="C48" i="50"/>
  <c r="C49" i="50"/>
  <c r="C50" i="50"/>
  <c r="C51" i="50"/>
  <c r="C52" i="50"/>
  <c r="C44" i="50"/>
  <c r="C45" i="50"/>
  <c r="C55" i="50"/>
  <c r="C56" i="50"/>
  <c r="C57" i="50"/>
  <c r="C58" i="50"/>
  <c r="C59" i="50"/>
  <c r="C60" i="50"/>
  <c r="C61" i="50"/>
  <c r="C62" i="50"/>
  <c r="C63" i="50"/>
  <c r="C64" i="50"/>
  <c r="C65" i="50"/>
  <c r="C66" i="50"/>
  <c r="C53" i="50"/>
  <c r="C54" i="50"/>
  <c r="C123" i="50"/>
  <c r="C147" i="50"/>
  <c r="C156" i="50"/>
  <c r="C159" i="50"/>
  <c r="C162" i="50"/>
  <c r="C124" i="50"/>
  <c r="C148" i="50"/>
  <c r="C157" i="50"/>
  <c r="C160" i="50"/>
  <c r="C163" i="50"/>
  <c r="C125" i="50"/>
  <c r="C149" i="50"/>
  <c r="C158" i="50"/>
  <c r="C161" i="50"/>
  <c r="C164" i="50"/>
  <c r="C27" i="50"/>
  <c r="C30" i="50"/>
  <c r="C28" i="50"/>
  <c r="C31" i="50"/>
  <c r="C150" i="50"/>
  <c r="C165" i="50"/>
  <c r="C151" i="50"/>
  <c r="C166" i="50"/>
  <c r="C152" i="50"/>
  <c r="C167" i="50"/>
  <c r="C210" i="50"/>
  <c r="C211" i="50"/>
  <c r="C212" i="50"/>
  <c r="C86" i="50"/>
  <c r="C111" i="50"/>
  <c r="C38" i="50"/>
  <c r="C39" i="50"/>
  <c r="C40" i="50"/>
  <c r="C126" i="50"/>
  <c r="C153" i="50"/>
  <c r="C127" i="50"/>
  <c r="C154" i="50"/>
  <c r="C128" i="50"/>
  <c r="C155" i="50"/>
  <c r="C82" i="50"/>
  <c r="C115" i="50"/>
  <c r="C180" i="50"/>
  <c r="C183" i="50"/>
  <c r="C181" i="50"/>
  <c r="C184" i="50"/>
  <c r="C182" i="50"/>
  <c r="C185" i="50"/>
  <c r="C32" i="50"/>
  <c r="C35" i="50"/>
  <c r="C33" i="50"/>
  <c r="C36" i="50"/>
  <c r="C34" i="50"/>
  <c r="C37" i="50"/>
  <c r="C186" i="50"/>
  <c r="C174" i="50"/>
  <c r="C177" i="50"/>
  <c r="C187" i="50"/>
  <c r="C175" i="50"/>
  <c r="C178" i="50"/>
  <c r="C188" i="50"/>
  <c r="C176" i="50"/>
  <c r="C179" i="50"/>
  <c r="C135" i="50"/>
  <c r="C129" i="50"/>
  <c r="C132" i="50"/>
  <c r="C136" i="50"/>
  <c r="C130" i="50"/>
  <c r="C133" i="50"/>
  <c r="C137" i="50"/>
  <c r="C131" i="50"/>
  <c r="C134" i="50"/>
  <c r="C141" i="50"/>
  <c r="C144" i="50"/>
  <c r="C142" i="50"/>
  <c r="C145" i="50"/>
  <c r="C143" i="50"/>
  <c r="C146" i="50"/>
  <c r="C67" i="50"/>
  <c r="C69" i="50"/>
  <c r="C71" i="50"/>
  <c r="C117" i="50"/>
  <c r="C119" i="50"/>
  <c r="C68" i="50"/>
  <c r="C70" i="50"/>
  <c r="C72" i="50"/>
  <c r="C118" i="50"/>
  <c r="C120" i="50"/>
  <c r="C121" i="50"/>
  <c r="C122" i="50"/>
  <c r="C195" i="50"/>
  <c r="C198" i="50"/>
  <c r="C201" i="50"/>
  <c r="C196" i="50"/>
  <c r="C199" i="50"/>
  <c r="C202" i="50"/>
  <c r="C197" i="50"/>
  <c r="C200" i="50"/>
  <c r="C203" i="50"/>
  <c r="C20" i="50"/>
  <c r="C21" i="50"/>
  <c r="C22" i="50"/>
  <c r="C23" i="50"/>
  <c r="C24" i="50"/>
  <c r="C25" i="50"/>
  <c r="C41" i="50"/>
  <c r="C42" i="50"/>
  <c r="C43" i="50"/>
  <c r="C171" i="50"/>
  <c r="C168" i="50"/>
  <c r="C172" i="50"/>
  <c r="C169" i="50"/>
  <c r="C173" i="50"/>
  <c r="C170" i="50"/>
  <c r="C192" i="50"/>
  <c r="C193" i="50"/>
  <c r="C194" i="50"/>
  <c r="C138" i="50"/>
  <c r="C139" i="50"/>
  <c r="C140" i="50"/>
  <c r="C207" i="50"/>
  <c r="C204" i="50"/>
  <c r="C208" i="50"/>
  <c r="C205" i="50"/>
  <c r="C209" i="50"/>
  <c r="C206" i="50"/>
  <c r="C189" i="50"/>
  <c r="W68" i="49"/>
  <c r="W66" i="49"/>
  <c r="E63" i="49"/>
  <c r="T64" i="49" s="1"/>
  <c r="V42" i="49"/>
  <c r="E34" i="49"/>
  <c r="V25" i="49"/>
  <c r="V20" i="49"/>
  <c r="U12" i="49"/>
  <c r="T12" i="49"/>
  <c r="S12" i="49"/>
  <c r="R12" i="49"/>
  <c r="Q12" i="49"/>
  <c r="P12" i="49"/>
  <c r="O12" i="49"/>
  <c r="N12" i="49"/>
  <c r="M12" i="49"/>
  <c r="L12" i="49"/>
  <c r="K12" i="49"/>
  <c r="J12" i="49"/>
  <c r="V11" i="49"/>
  <c r="V10" i="49"/>
  <c r="E17" i="49"/>
  <c r="E13" i="49"/>
  <c r="E40" i="49" s="1"/>
  <c r="Y4" i="47"/>
  <c r="X4" i="47"/>
  <c r="W4" i="47"/>
  <c r="V4" i="47"/>
  <c r="U4" i="47"/>
  <c r="T4" i="47"/>
  <c r="S4" i="47"/>
  <c r="R4" i="47"/>
  <c r="Q4" i="47"/>
  <c r="E174" i="61" l="1"/>
  <c r="E9" i="32" s="1"/>
  <c r="J4" i="57"/>
  <c r="J7" i="57" s="1"/>
  <c r="I7" i="57"/>
  <c r="K83" i="53"/>
  <c r="E41" i="51"/>
  <c r="R43" i="51" s="1"/>
  <c r="E30" i="51"/>
  <c r="T32" i="51" s="1"/>
  <c r="T34" i="51" s="1"/>
  <c r="T35" i="51" s="1"/>
  <c r="I143" i="61"/>
  <c r="M116" i="61"/>
  <c r="F132" i="61"/>
  <c r="E39" i="55"/>
  <c r="E41" i="55"/>
  <c r="I19" i="57"/>
  <c r="J17" i="57"/>
  <c r="J19" i="57" s="1"/>
  <c r="I13" i="57"/>
  <c r="J11" i="57"/>
  <c r="J13" i="57" s="1"/>
  <c r="K30" i="53"/>
  <c r="I32" i="53"/>
  <c r="I33" i="53" s="1"/>
  <c r="I34" i="53" s="1"/>
  <c r="I35" i="53" s="1"/>
  <c r="J83" i="53"/>
  <c r="E32" i="53"/>
  <c r="E33" i="53" s="1"/>
  <c r="E34" i="53" s="1"/>
  <c r="E35" i="53" s="1"/>
  <c r="G80" i="53"/>
  <c r="G83" i="53" s="1"/>
  <c r="G77" i="53"/>
  <c r="L32" i="53"/>
  <c r="L33" i="53" s="1"/>
  <c r="L34" i="53" s="1"/>
  <c r="L35" i="53" s="1"/>
  <c r="I80" i="53"/>
  <c r="I81" i="53" s="1"/>
  <c r="I77" i="53"/>
  <c r="F32" i="53"/>
  <c r="F33" i="53" s="1"/>
  <c r="F34" i="53" s="1"/>
  <c r="F35" i="53" s="1"/>
  <c r="N83" i="53"/>
  <c r="H80" i="53"/>
  <c r="H83" i="53" s="1"/>
  <c r="H77" i="53"/>
  <c r="L80" i="53"/>
  <c r="L81" i="53" s="1"/>
  <c r="L77" i="53"/>
  <c r="G32" i="53"/>
  <c r="G33" i="53" s="1"/>
  <c r="G34" i="53" s="1"/>
  <c r="G35" i="53" s="1"/>
  <c r="E80" i="53"/>
  <c r="E81" i="53" s="1"/>
  <c r="E77" i="53"/>
  <c r="J32" i="53"/>
  <c r="J33" i="53" s="1"/>
  <c r="J34" i="53" s="1"/>
  <c r="J35" i="53" s="1"/>
  <c r="J30" i="53"/>
  <c r="E83" i="53"/>
  <c r="L83" i="53"/>
  <c r="E90" i="52"/>
  <c r="F90" i="52" s="1"/>
  <c r="E32" i="52"/>
  <c r="F32" i="52" s="1"/>
  <c r="E61" i="52"/>
  <c r="F61" i="52" s="1"/>
  <c r="B115" i="51"/>
  <c r="E117" i="51" s="1"/>
  <c r="F15" i="52"/>
  <c r="E17" i="52"/>
  <c r="F17" i="52" s="1"/>
  <c r="E35" i="52"/>
  <c r="L32" i="51"/>
  <c r="L34" i="51" s="1"/>
  <c r="L35" i="51" s="1"/>
  <c r="U32" i="51"/>
  <c r="U34" i="51" s="1"/>
  <c r="U35" i="51" s="1"/>
  <c r="M32" i="51"/>
  <c r="M34" i="51" s="1"/>
  <c r="M35" i="51" s="1"/>
  <c r="P32" i="51"/>
  <c r="P34" i="51" s="1"/>
  <c r="P35" i="51" s="1"/>
  <c r="E59" i="51"/>
  <c r="T43" i="51"/>
  <c r="O43" i="51"/>
  <c r="R22" i="51"/>
  <c r="N22" i="51"/>
  <c r="J22" i="51"/>
  <c r="U22" i="51"/>
  <c r="Q22" i="51"/>
  <c r="M22" i="51"/>
  <c r="S22" i="51"/>
  <c r="O22" i="51"/>
  <c r="K22" i="51"/>
  <c r="T22" i="51"/>
  <c r="P22" i="51"/>
  <c r="L22" i="51"/>
  <c r="E146" i="51"/>
  <c r="U64" i="51"/>
  <c r="Q64" i="51"/>
  <c r="M64" i="51"/>
  <c r="T64" i="51"/>
  <c r="P64" i="51"/>
  <c r="L64" i="51"/>
  <c r="S64" i="51"/>
  <c r="O64" i="51"/>
  <c r="K64" i="51"/>
  <c r="S32" i="51"/>
  <c r="S34" i="51" s="1"/>
  <c r="S35" i="51" s="1"/>
  <c r="O32" i="51"/>
  <c r="O34" i="51" s="1"/>
  <c r="O35" i="51" s="1"/>
  <c r="K32" i="51"/>
  <c r="K34" i="51" s="1"/>
  <c r="K35" i="51" s="1"/>
  <c r="R32" i="51"/>
  <c r="R34" i="51" s="1"/>
  <c r="R35" i="51" s="1"/>
  <c r="N32" i="51"/>
  <c r="N34" i="51" s="1"/>
  <c r="N35" i="51" s="1"/>
  <c r="J32" i="51"/>
  <c r="Q32" i="51"/>
  <c r="Q34" i="51" s="1"/>
  <c r="Q35" i="51" s="1"/>
  <c r="J64" i="51"/>
  <c r="E88" i="51"/>
  <c r="B115" i="49"/>
  <c r="B144" i="49"/>
  <c r="N15" i="50"/>
  <c r="N2" i="50"/>
  <c r="O1" i="50"/>
  <c r="O4" i="50" s="1"/>
  <c r="N12" i="50"/>
  <c r="N8" i="50"/>
  <c r="N4" i="50"/>
  <c r="N7" i="50"/>
  <c r="N11" i="50"/>
  <c r="N14" i="50"/>
  <c r="N10" i="50"/>
  <c r="N6" i="50"/>
  <c r="N13" i="50"/>
  <c r="N9" i="50"/>
  <c r="L64" i="49"/>
  <c r="P64" i="49"/>
  <c r="U64" i="49"/>
  <c r="M64" i="49"/>
  <c r="Q64" i="49"/>
  <c r="J64" i="49"/>
  <c r="N64" i="49"/>
  <c r="R64" i="49"/>
  <c r="K64" i="49"/>
  <c r="O64" i="49"/>
  <c r="S64" i="49"/>
  <c r="E41" i="49"/>
  <c r="E59" i="49" s="1"/>
  <c r="E30" i="49"/>
  <c r="E19" i="49"/>
  <c r="E22" i="49" s="1"/>
  <c r="B18" i="43" a="1"/>
  <c r="B88" i="43" s="1"/>
  <c r="E175" i="61" l="1"/>
  <c r="E10" i="32" s="1"/>
  <c r="K43" i="51"/>
  <c r="M43" i="51"/>
  <c r="J43" i="51"/>
  <c r="V43" i="51" s="1"/>
  <c r="S43" i="51"/>
  <c r="S44" i="51" s="1"/>
  <c r="Q43" i="51"/>
  <c r="N43" i="51"/>
  <c r="N44" i="51" s="1"/>
  <c r="P43" i="51"/>
  <c r="P44" i="51" s="1"/>
  <c r="L43" i="51"/>
  <c r="L44" i="51" s="1"/>
  <c r="U43" i="51"/>
  <c r="G81" i="53"/>
  <c r="E42" i="55"/>
  <c r="E43" i="55" s="1"/>
  <c r="F41" i="55"/>
  <c r="I83" i="53"/>
  <c r="H81" i="53"/>
  <c r="E38" i="52"/>
  <c r="E39" i="52" s="1"/>
  <c r="E36" i="52"/>
  <c r="T23" i="51"/>
  <c r="T48" i="51" s="1"/>
  <c r="T50" i="51" s="1"/>
  <c r="T54" i="51" s="1"/>
  <c r="T26" i="51"/>
  <c r="M23" i="51"/>
  <c r="M26" i="51"/>
  <c r="N26" i="51"/>
  <c r="N23" i="51"/>
  <c r="N48" i="51" s="1"/>
  <c r="N50" i="51" s="1"/>
  <c r="N54" i="51" s="1"/>
  <c r="K44" i="51"/>
  <c r="K26" i="51"/>
  <c r="K23" i="51"/>
  <c r="K48" i="51" s="1"/>
  <c r="K50" i="51" s="1"/>
  <c r="K54" i="51" s="1"/>
  <c r="Q23" i="51"/>
  <c r="Q48" i="51" s="1"/>
  <c r="Q50" i="51" s="1"/>
  <c r="Q54" i="51" s="1"/>
  <c r="Q26" i="51"/>
  <c r="R26" i="51"/>
  <c r="R23" i="51"/>
  <c r="M44" i="51"/>
  <c r="M48" i="51"/>
  <c r="M50" i="51" s="1"/>
  <c r="M54" i="51" s="1"/>
  <c r="L23" i="51"/>
  <c r="L26" i="51"/>
  <c r="O26" i="51"/>
  <c r="O23" i="51"/>
  <c r="O48" i="51" s="1"/>
  <c r="O50" i="51" s="1"/>
  <c r="O54" i="51" s="1"/>
  <c r="U23" i="51"/>
  <c r="U26" i="51"/>
  <c r="Q44" i="51"/>
  <c r="W64" i="51"/>
  <c r="V32" i="51"/>
  <c r="J34" i="51"/>
  <c r="P26" i="51"/>
  <c r="P23" i="51"/>
  <c r="S23" i="51"/>
  <c r="S26" i="51"/>
  <c r="J26" i="51"/>
  <c r="V22" i="51"/>
  <c r="J23" i="51"/>
  <c r="O44" i="51"/>
  <c r="T44" i="51"/>
  <c r="U44" i="51"/>
  <c r="U48" i="51"/>
  <c r="U50" i="51" s="1"/>
  <c r="U54" i="51" s="1"/>
  <c r="R48" i="51"/>
  <c r="R50" i="51" s="1"/>
  <c r="R54" i="51" s="1"/>
  <c r="R44" i="51"/>
  <c r="E146" i="49"/>
  <c r="E117" i="49"/>
  <c r="O12" i="50"/>
  <c r="O13" i="50"/>
  <c r="O6" i="50"/>
  <c r="O11" i="50"/>
  <c r="O9" i="50"/>
  <c r="O2" i="50"/>
  <c r="M4" i="50" s="1"/>
  <c r="O10" i="50"/>
  <c r="O15" i="50"/>
  <c r="O8" i="50"/>
  <c r="O5" i="50"/>
  <c r="O14" i="50"/>
  <c r="O7" i="50"/>
  <c r="W64" i="49"/>
  <c r="U43" i="49"/>
  <c r="Q43" i="49"/>
  <c r="M43" i="49"/>
  <c r="J43" i="49"/>
  <c r="T43" i="49"/>
  <c r="P43" i="49"/>
  <c r="L43" i="49"/>
  <c r="R43" i="49"/>
  <c r="N43" i="49"/>
  <c r="S43" i="49"/>
  <c r="O43" i="49"/>
  <c r="K43" i="49"/>
  <c r="U32" i="49"/>
  <c r="U34" i="49" s="1"/>
  <c r="U35" i="49" s="1"/>
  <c r="Q32" i="49"/>
  <c r="Q34" i="49" s="1"/>
  <c r="Q35" i="49" s="1"/>
  <c r="M32" i="49"/>
  <c r="M34" i="49" s="1"/>
  <c r="M35" i="49" s="1"/>
  <c r="J32" i="49"/>
  <c r="T32" i="49"/>
  <c r="T34" i="49" s="1"/>
  <c r="T35" i="49" s="1"/>
  <c r="P32" i="49"/>
  <c r="P34" i="49" s="1"/>
  <c r="P35" i="49" s="1"/>
  <c r="L32" i="49"/>
  <c r="L34" i="49" s="1"/>
  <c r="L35" i="49" s="1"/>
  <c r="S32" i="49"/>
  <c r="S34" i="49" s="1"/>
  <c r="S35" i="49" s="1"/>
  <c r="O32" i="49"/>
  <c r="O34" i="49" s="1"/>
  <c r="O35" i="49" s="1"/>
  <c r="K32" i="49"/>
  <c r="K34" i="49" s="1"/>
  <c r="K35" i="49" s="1"/>
  <c r="R32" i="49"/>
  <c r="R34" i="49" s="1"/>
  <c r="R35" i="49" s="1"/>
  <c r="N32" i="49"/>
  <c r="N34" i="49" s="1"/>
  <c r="N35" i="49" s="1"/>
  <c r="S22" i="49"/>
  <c r="O22" i="49"/>
  <c r="K22" i="49"/>
  <c r="R22" i="49"/>
  <c r="N22" i="49"/>
  <c r="J22" i="49"/>
  <c r="U22" i="49"/>
  <c r="Q22" i="49"/>
  <c r="M22" i="49"/>
  <c r="T22" i="49"/>
  <c r="P22" i="49"/>
  <c r="L22" i="49"/>
  <c r="B22" i="43"/>
  <c r="B26" i="43"/>
  <c r="B30" i="43"/>
  <c r="B34" i="43"/>
  <c r="B38" i="43"/>
  <c r="B42" i="43"/>
  <c r="B46" i="43"/>
  <c r="B50" i="43"/>
  <c r="B54" i="43"/>
  <c r="B58" i="43"/>
  <c r="B62" i="43"/>
  <c r="B66" i="43"/>
  <c r="B70" i="43"/>
  <c r="B74" i="43"/>
  <c r="B78" i="43"/>
  <c r="B82" i="43"/>
  <c r="B86" i="43"/>
  <c r="B19" i="43"/>
  <c r="B23" i="43"/>
  <c r="B27" i="43"/>
  <c r="B31" i="43"/>
  <c r="B35" i="43"/>
  <c r="B39" i="43"/>
  <c r="B43" i="43"/>
  <c r="B47" i="43"/>
  <c r="B51" i="43"/>
  <c r="B55" i="43"/>
  <c r="B59" i="43"/>
  <c r="B63" i="43"/>
  <c r="B67" i="43"/>
  <c r="B71" i="43"/>
  <c r="B75" i="43"/>
  <c r="B79" i="43"/>
  <c r="B83" i="43"/>
  <c r="B87" i="43"/>
  <c r="B18" i="43"/>
  <c r="B21" i="43"/>
  <c r="B25" i="43"/>
  <c r="B29" i="43"/>
  <c r="B33" i="43"/>
  <c r="B37" i="43"/>
  <c r="B41" i="43"/>
  <c r="B45" i="43"/>
  <c r="B49" i="43"/>
  <c r="B53" i="43"/>
  <c r="B57" i="43"/>
  <c r="B61" i="43"/>
  <c r="B65" i="43"/>
  <c r="B69" i="43"/>
  <c r="B73" i="43"/>
  <c r="B77" i="43"/>
  <c r="B81" i="43"/>
  <c r="B85" i="43"/>
  <c r="B20" i="43"/>
  <c r="B24" i="43"/>
  <c r="B28" i="43"/>
  <c r="B32" i="43"/>
  <c r="B36" i="43"/>
  <c r="B40" i="43"/>
  <c r="B44" i="43"/>
  <c r="B48" i="43"/>
  <c r="B52" i="43"/>
  <c r="B56" i="43"/>
  <c r="B60" i="43"/>
  <c r="B64" i="43"/>
  <c r="B68" i="43"/>
  <c r="B72" i="43"/>
  <c r="B76" i="43"/>
  <c r="B80" i="43"/>
  <c r="B84" i="43"/>
  <c r="A66" i="34"/>
  <c r="C160" i="34"/>
  <c r="S48" i="51" l="1"/>
  <c r="S50" i="51" s="1"/>
  <c r="S54" i="51" s="1"/>
  <c r="L48" i="51"/>
  <c r="L50" i="51" s="1"/>
  <c r="L54" i="51" s="1"/>
  <c r="P48" i="51"/>
  <c r="P50" i="51" s="1"/>
  <c r="P54" i="51" s="1"/>
  <c r="J44" i="51"/>
  <c r="F43" i="55"/>
  <c r="E44" i="55"/>
  <c r="F44" i="55" s="1"/>
  <c r="E41" i="52"/>
  <c r="M11" i="50"/>
  <c r="E116" i="51" s="1"/>
  <c r="J139" i="51"/>
  <c r="J81" i="51"/>
  <c r="J110" i="51"/>
  <c r="W26" i="51"/>
  <c r="P139" i="51"/>
  <c r="P141" i="51" s="1"/>
  <c r="P81" i="51"/>
  <c r="P83" i="51" s="1"/>
  <c r="P110" i="51"/>
  <c r="P112" i="51" s="1"/>
  <c r="U139" i="51"/>
  <c r="U141" i="51" s="1"/>
  <c r="U81" i="51"/>
  <c r="U83" i="51" s="1"/>
  <c r="U110" i="51"/>
  <c r="U112" i="51" s="1"/>
  <c r="L139" i="51"/>
  <c r="L141" i="51" s="1"/>
  <c r="L81" i="51"/>
  <c r="L83" i="51" s="1"/>
  <c r="L110" i="51"/>
  <c r="L112" i="51" s="1"/>
  <c r="M139" i="51"/>
  <c r="M141" i="51" s="1"/>
  <c r="M81" i="51"/>
  <c r="M83" i="51" s="1"/>
  <c r="M110" i="51"/>
  <c r="M112" i="51" s="1"/>
  <c r="M119" i="51" s="1"/>
  <c r="M120" i="51" s="1"/>
  <c r="S110" i="51"/>
  <c r="S112" i="51" s="1"/>
  <c r="S81" i="51"/>
  <c r="S83" i="51" s="1"/>
  <c r="S139" i="51"/>
  <c r="S141" i="51" s="1"/>
  <c r="J35" i="51"/>
  <c r="V34" i="51"/>
  <c r="E24" i="51"/>
  <c r="E57" i="51" s="1"/>
  <c r="V23" i="51"/>
  <c r="W44" i="51"/>
  <c r="R139" i="51"/>
  <c r="R141" i="51" s="1"/>
  <c r="R81" i="51"/>
  <c r="R83" i="51" s="1"/>
  <c r="R110" i="51"/>
  <c r="R112" i="51" s="1"/>
  <c r="K110" i="51"/>
  <c r="K112" i="51" s="1"/>
  <c r="K119" i="51" s="1"/>
  <c r="K120" i="51" s="1"/>
  <c r="K81" i="51"/>
  <c r="K83" i="51" s="1"/>
  <c r="K139" i="51"/>
  <c r="K141" i="51" s="1"/>
  <c r="T139" i="51"/>
  <c r="T141" i="51" s="1"/>
  <c r="T81" i="51"/>
  <c r="T83" i="51" s="1"/>
  <c r="T110" i="51"/>
  <c r="T112" i="51" s="1"/>
  <c r="O110" i="51"/>
  <c r="O112" i="51" s="1"/>
  <c r="O81" i="51"/>
  <c r="O83" i="51" s="1"/>
  <c r="O139" i="51"/>
  <c r="O141" i="51" s="1"/>
  <c r="Q139" i="51"/>
  <c r="Q141" i="51" s="1"/>
  <c r="Q81" i="51"/>
  <c r="Q83" i="51" s="1"/>
  <c r="Q110" i="51"/>
  <c r="Q112" i="51" s="1"/>
  <c r="N139" i="51"/>
  <c r="N141" i="51" s="1"/>
  <c r="N81" i="51"/>
  <c r="N83" i="51" s="1"/>
  <c r="N110" i="51"/>
  <c r="N112" i="51" s="1"/>
  <c r="M8" i="50"/>
  <c r="M14" i="50"/>
  <c r="M6" i="50"/>
  <c r="M7" i="50"/>
  <c r="E87" i="51" s="1"/>
  <c r="M15" i="50"/>
  <c r="M9" i="50"/>
  <c r="M10" i="50"/>
  <c r="M13" i="50"/>
  <c r="M5" i="50"/>
  <c r="E87" i="49" s="1"/>
  <c r="M12" i="50"/>
  <c r="P23" i="49"/>
  <c r="P48" i="49" s="1"/>
  <c r="P50" i="49" s="1"/>
  <c r="P54" i="49" s="1"/>
  <c r="P26" i="49"/>
  <c r="P139" i="49" s="1"/>
  <c r="P141" i="49" s="1"/>
  <c r="U23" i="49"/>
  <c r="U48" i="49" s="1"/>
  <c r="U50" i="49" s="1"/>
  <c r="U54" i="49" s="1"/>
  <c r="U26" i="49"/>
  <c r="U139" i="49" s="1"/>
  <c r="U141" i="49" s="1"/>
  <c r="K23" i="49"/>
  <c r="K26" i="49"/>
  <c r="K139" i="49" s="1"/>
  <c r="K141" i="49" s="1"/>
  <c r="T23" i="49"/>
  <c r="T26" i="49"/>
  <c r="T139" i="49" s="1"/>
  <c r="T141" i="49" s="1"/>
  <c r="J23" i="49"/>
  <c r="J26" i="49"/>
  <c r="J139" i="49" s="1"/>
  <c r="O23" i="49"/>
  <c r="O48" i="49" s="1"/>
  <c r="O50" i="49" s="1"/>
  <c r="O54" i="49" s="1"/>
  <c r="O26" i="49"/>
  <c r="O139" i="49" s="1"/>
  <c r="O141" i="49" s="1"/>
  <c r="M23" i="49"/>
  <c r="M48" i="49" s="1"/>
  <c r="M50" i="49" s="1"/>
  <c r="M54" i="49" s="1"/>
  <c r="M26" i="49"/>
  <c r="M139" i="49" s="1"/>
  <c r="M141" i="49" s="1"/>
  <c r="N23" i="49"/>
  <c r="N48" i="49" s="1"/>
  <c r="N50" i="49" s="1"/>
  <c r="N54" i="49" s="1"/>
  <c r="N26" i="49"/>
  <c r="N139" i="49" s="1"/>
  <c r="N141" i="49" s="1"/>
  <c r="S23" i="49"/>
  <c r="S48" i="49" s="1"/>
  <c r="S50" i="49" s="1"/>
  <c r="S54" i="49" s="1"/>
  <c r="S26" i="49"/>
  <c r="S139" i="49" s="1"/>
  <c r="S141" i="49" s="1"/>
  <c r="L23" i="49"/>
  <c r="L26" i="49"/>
  <c r="L139" i="49" s="1"/>
  <c r="L141" i="49" s="1"/>
  <c r="Q23" i="49"/>
  <c r="Q48" i="49" s="1"/>
  <c r="Q50" i="49" s="1"/>
  <c r="Q54" i="49" s="1"/>
  <c r="Q26" i="49"/>
  <c r="Q139" i="49" s="1"/>
  <c r="Q141" i="49" s="1"/>
  <c r="R23" i="49"/>
  <c r="R48" i="49" s="1"/>
  <c r="R50" i="49" s="1"/>
  <c r="R54" i="49" s="1"/>
  <c r="R26" i="49"/>
  <c r="R139" i="49" s="1"/>
  <c r="R141" i="49" s="1"/>
  <c r="O44" i="49"/>
  <c r="L44" i="49"/>
  <c r="L48" i="49"/>
  <c r="L50" i="49" s="1"/>
  <c r="L54" i="49" s="1"/>
  <c r="V43" i="49"/>
  <c r="J44" i="49"/>
  <c r="S44" i="49"/>
  <c r="P44" i="49"/>
  <c r="M44" i="49"/>
  <c r="N44" i="49"/>
  <c r="T44" i="49"/>
  <c r="T48" i="49"/>
  <c r="T50" i="49" s="1"/>
  <c r="T54" i="49" s="1"/>
  <c r="Q44" i="49"/>
  <c r="K48" i="49"/>
  <c r="K50" i="49" s="1"/>
  <c r="K54" i="49" s="1"/>
  <c r="K44" i="49"/>
  <c r="R44" i="49"/>
  <c r="U44" i="49"/>
  <c r="V32" i="49"/>
  <c r="J34" i="49"/>
  <c r="V22" i="49"/>
  <c r="C293" i="34"/>
  <c r="E42" i="52" l="1"/>
  <c r="E43" i="52" s="1"/>
  <c r="E44" i="52" s="1"/>
  <c r="F44" i="52" s="1"/>
  <c r="K58" i="52"/>
  <c r="K29" i="52"/>
  <c r="C42" i="52"/>
  <c r="E54" i="52"/>
  <c r="N119" i="51"/>
  <c r="N120" i="51" s="1"/>
  <c r="O119" i="51"/>
  <c r="O120" i="51" s="1"/>
  <c r="U119" i="51"/>
  <c r="U120" i="51" s="1"/>
  <c r="T119" i="51"/>
  <c r="T120" i="51" s="1"/>
  <c r="S119" i="51"/>
  <c r="S120" i="51" s="1"/>
  <c r="L119" i="51"/>
  <c r="L120" i="51" s="1"/>
  <c r="Q119" i="51"/>
  <c r="Q120" i="51" s="1"/>
  <c r="R119" i="51"/>
  <c r="R120" i="51" s="1"/>
  <c r="P119" i="51"/>
  <c r="P120" i="51" s="1"/>
  <c r="F41" i="52"/>
  <c r="F43" i="52"/>
  <c r="T90" i="51"/>
  <c r="T91" i="51" s="1"/>
  <c r="L90" i="51"/>
  <c r="L91" i="51" s="1"/>
  <c r="E145" i="51"/>
  <c r="N148" i="51" s="1"/>
  <c r="N149" i="51" s="1"/>
  <c r="E145" i="49"/>
  <c r="P148" i="49" s="1"/>
  <c r="P149" i="49" s="1"/>
  <c r="O90" i="51"/>
  <c r="O91" i="51" s="1"/>
  <c r="M90" i="51"/>
  <c r="M91" i="51" s="1"/>
  <c r="Q90" i="51"/>
  <c r="Q91" i="51" s="1"/>
  <c r="R90" i="51"/>
  <c r="R91" i="51" s="1"/>
  <c r="S90" i="51"/>
  <c r="S91" i="51" s="1"/>
  <c r="P90" i="51"/>
  <c r="P91" i="51" s="1"/>
  <c r="N90" i="51"/>
  <c r="N91" i="51" s="1"/>
  <c r="K90" i="51"/>
  <c r="K91" i="51" s="1"/>
  <c r="U90" i="51"/>
  <c r="U91" i="51" s="1"/>
  <c r="F62" i="52"/>
  <c r="E36" i="51"/>
  <c r="V35" i="51"/>
  <c r="J48" i="51"/>
  <c r="W110" i="51"/>
  <c r="J112" i="51"/>
  <c r="W81" i="51"/>
  <c r="J83" i="51"/>
  <c r="W139" i="51"/>
  <c r="J141" i="51"/>
  <c r="J141" i="49"/>
  <c r="W139" i="49"/>
  <c r="E116" i="49"/>
  <c r="Q110" i="49"/>
  <c r="Q112" i="49" s="1"/>
  <c r="Q81" i="49"/>
  <c r="Q83" i="49" s="1"/>
  <c r="Q90" i="49" s="1"/>
  <c r="Q91" i="49" s="1"/>
  <c r="M110" i="49"/>
  <c r="M112" i="49" s="1"/>
  <c r="M81" i="49"/>
  <c r="M83" i="49" s="1"/>
  <c r="M90" i="49" s="1"/>
  <c r="M91" i="49" s="1"/>
  <c r="P110" i="49"/>
  <c r="P112" i="49" s="1"/>
  <c r="P81" i="49"/>
  <c r="P83" i="49" s="1"/>
  <c r="P90" i="49" s="1"/>
  <c r="P91" i="49" s="1"/>
  <c r="S110" i="49"/>
  <c r="S112" i="49" s="1"/>
  <c r="S81" i="49"/>
  <c r="S83" i="49" s="1"/>
  <c r="S90" i="49" s="1"/>
  <c r="S91" i="49" s="1"/>
  <c r="K110" i="49"/>
  <c r="K112" i="49" s="1"/>
  <c r="K81" i="49"/>
  <c r="K83" i="49" s="1"/>
  <c r="K90" i="49" s="1"/>
  <c r="K91" i="49" s="1"/>
  <c r="R110" i="49"/>
  <c r="R112" i="49" s="1"/>
  <c r="R81" i="49"/>
  <c r="R83" i="49" s="1"/>
  <c r="R90" i="49" s="1"/>
  <c r="R91" i="49" s="1"/>
  <c r="L110" i="49"/>
  <c r="L112" i="49" s="1"/>
  <c r="L81" i="49"/>
  <c r="L83" i="49" s="1"/>
  <c r="L90" i="49" s="1"/>
  <c r="L91" i="49" s="1"/>
  <c r="N110" i="49"/>
  <c r="N112" i="49" s="1"/>
  <c r="N81" i="49"/>
  <c r="N83" i="49" s="1"/>
  <c r="N90" i="49" s="1"/>
  <c r="N91" i="49" s="1"/>
  <c r="O110" i="49"/>
  <c r="O112" i="49" s="1"/>
  <c r="O81" i="49"/>
  <c r="O83" i="49" s="1"/>
  <c r="O90" i="49" s="1"/>
  <c r="O91" i="49" s="1"/>
  <c r="T110" i="49"/>
  <c r="T112" i="49" s="1"/>
  <c r="T81" i="49"/>
  <c r="T83" i="49" s="1"/>
  <c r="T90" i="49" s="1"/>
  <c r="T91" i="49" s="1"/>
  <c r="U81" i="49"/>
  <c r="U83" i="49" s="1"/>
  <c r="U90" i="49" s="1"/>
  <c r="U91" i="49" s="1"/>
  <c r="U110" i="49"/>
  <c r="U112" i="49" s="1"/>
  <c r="J110" i="49"/>
  <c r="J81" i="49"/>
  <c r="J83" i="49" s="1"/>
  <c r="E24" i="49"/>
  <c r="E57" i="49" s="1"/>
  <c r="W44" i="49"/>
  <c r="V34" i="49"/>
  <c r="J35" i="49"/>
  <c r="J48" i="49" s="1"/>
  <c r="V23" i="49"/>
  <c r="O148" i="49" l="1"/>
  <c r="O149" i="49" s="1"/>
  <c r="J30" i="52"/>
  <c r="F54" i="52"/>
  <c r="R148" i="51"/>
  <c r="R149" i="51" s="1"/>
  <c r="Q148" i="51"/>
  <c r="Q149" i="51" s="1"/>
  <c r="R148" i="49"/>
  <c r="R149" i="49" s="1"/>
  <c r="L148" i="51"/>
  <c r="L149" i="51" s="1"/>
  <c r="P148" i="51"/>
  <c r="P149" i="51" s="1"/>
  <c r="T148" i="49"/>
  <c r="T149" i="49" s="1"/>
  <c r="K148" i="51"/>
  <c r="K149" i="51" s="1"/>
  <c r="S148" i="51"/>
  <c r="S149" i="51" s="1"/>
  <c r="O148" i="51"/>
  <c r="O149" i="51" s="1"/>
  <c r="Q148" i="49"/>
  <c r="Q149" i="49" s="1"/>
  <c r="M148" i="51"/>
  <c r="M149" i="51" s="1"/>
  <c r="T148" i="51"/>
  <c r="T149" i="51" s="1"/>
  <c r="U148" i="51"/>
  <c r="U149" i="51" s="1"/>
  <c r="J90" i="51"/>
  <c r="W83" i="51"/>
  <c r="E83" i="51" s="1"/>
  <c r="J50" i="51"/>
  <c r="V48" i="51"/>
  <c r="W141" i="51"/>
  <c r="E141" i="51" s="1"/>
  <c r="J148" i="51"/>
  <c r="W112" i="51"/>
  <c r="E112" i="51" s="1"/>
  <c r="J119" i="51"/>
  <c r="R37" i="51"/>
  <c r="N37" i="51"/>
  <c r="J37" i="51"/>
  <c r="U37" i="51"/>
  <c r="Q37" i="51"/>
  <c r="M37" i="51"/>
  <c r="O37" i="51"/>
  <c r="T37" i="51"/>
  <c r="L37" i="51"/>
  <c r="S37" i="51"/>
  <c r="K37" i="51"/>
  <c r="E58" i="51"/>
  <c r="P37" i="51"/>
  <c r="E47" i="51"/>
  <c r="W83" i="49"/>
  <c r="E83" i="49" s="1"/>
  <c r="T119" i="49"/>
  <c r="T120" i="49" s="1"/>
  <c r="N119" i="49"/>
  <c r="N120" i="49" s="1"/>
  <c r="O119" i="49"/>
  <c r="O120" i="49" s="1"/>
  <c r="L119" i="49"/>
  <c r="L120" i="49" s="1"/>
  <c r="K119" i="49"/>
  <c r="K120" i="49" s="1"/>
  <c r="P119" i="49"/>
  <c r="P120" i="49" s="1"/>
  <c r="Q119" i="49"/>
  <c r="Q120" i="49" s="1"/>
  <c r="W141" i="49"/>
  <c r="E141" i="49" s="1"/>
  <c r="J148" i="49"/>
  <c r="M148" i="49"/>
  <c r="M149" i="49" s="1"/>
  <c r="R119" i="49"/>
  <c r="R120" i="49" s="1"/>
  <c r="S119" i="49"/>
  <c r="S120" i="49" s="1"/>
  <c r="M119" i="49"/>
  <c r="M120" i="49" s="1"/>
  <c r="N148" i="49"/>
  <c r="N149" i="49" s="1"/>
  <c r="K148" i="49"/>
  <c r="K149" i="49" s="1"/>
  <c r="S148" i="49"/>
  <c r="S149" i="49" s="1"/>
  <c r="U119" i="49"/>
  <c r="U120" i="49" s="1"/>
  <c r="U148" i="49"/>
  <c r="U149" i="49" s="1"/>
  <c r="L148" i="49"/>
  <c r="L149" i="49" s="1"/>
  <c r="J112" i="49"/>
  <c r="W110" i="49"/>
  <c r="W81" i="49"/>
  <c r="J90" i="49"/>
  <c r="V48" i="49"/>
  <c r="J50" i="49"/>
  <c r="E36" i="49"/>
  <c r="V35" i="49"/>
  <c r="J91" i="49" l="1"/>
  <c r="G58" i="51"/>
  <c r="J120" i="51"/>
  <c r="W119" i="51"/>
  <c r="E119" i="51" s="1"/>
  <c r="W50" i="51"/>
  <c r="E51" i="51" s="1"/>
  <c r="J54" i="51"/>
  <c r="W54" i="51" s="1"/>
  <c r="W37" i="51"/>
  <c r="G59" i="51"/>
  <c r="G57" i="51"/>
  <c r="J149" i="51"/>
  <c r="W148" i="51"/>
  <c r="E148" i="51" s="1"/>
  <c r="W90" i="51"/>
  <c r="E90" i="51" s="1"/>
  <c r="J91" i="51"/>
  <c r="W148" i="49"/>
  <c r="E148" i="49" s="1"/>
  <c r="J149" i="49"/>
  <c r="W90" i="49"/>
  <c r="E90" i="49" s="1"/>
  <c r="W112" i="49"/>
  <c r="E112" i="49" s="1"/>
  <c r="J119" i="49"/>
  <c r="E47" i="49"/>
  <c r="E58" i="49"/>
  <c r="J54" i="49"/>
  <c r="W54" i="49" s="1"/>
  <c r="W50" i="49"/>
  <c r="E51" i="49" s="1"/>
  <c r="E52" i="49" s="1"/>
  <c r="W26" i="49"/>
  <c r="S37" i="49"/>
  <c r="O37" i="49"/>
  <c r="K37" i="49"/>
  <c r="T37" i="49"/>
  <c r="R37" i="49"/>
  <c r="N37" i="49"/>
  <c r="J37" i="49"/>
  <c r="Q37" i="49"/>
  <c r="P37" i="49"/>
  <c r="U37" i="49"/>
  <c r="M37" i="49"/>
  <c r="L37" i="49"/>
  <c r="E91" i="51" l="1"/>
  <c r="E92" i="51" s="1"/>
  <c r="E120" i="51"/>
  <c r="E121" i="51" s="1"/>
  <c r="E149" i="51"/>
  <c r="E150" i="51" s="1"/>
  <c r="E149" i="49"/>
  <c r="E150" i="49" s="1"/>
  <c r="W119" i="49"/>
  <c r="E119" i="49" s="1"/>
  <c r="E120" i="49" s="1"/>
  <c r="E121" i="49" s="1"/>
  <c r="J120" i="49"/>
  <c r="E91" i="49"/>
  <c r="E92" i="49" s="1"/>
  <c r="G58" i="49"/>
  <c r="G59" i="49"/>
  <c r="G57" i="49"/>
  <c r="W37" i="49"/>
  <c r="F194" i="34" l="1"/>
  <c r="E194" i="34"/>
  <c r="K160" i="34" l="1"/>
  <c r="J160" i="34"/>
  <c r="I194" i="34"/>
  <c r="H194" i="34"/>
  <c r="E293" i="34"/>
  <c r="D293" i="34"/>
  <c r="D194" i="34"/>
  <c r="H160" i="34"/>
  <c r="G160" i="34"/>
  <c r="F160" i="34"/>
  <c r="E160" i="34"/>
  <c r="D160" i="34"/>
  <c r="B149" i="34"/>
  <c r="B148" i="34"/>
  <c r="B147" i="34"/>
  <c r="B146" i="34"/>
  <c r="B145" i="34"/>
  <c r="B144" i="34"/>
  <c r="B143" i="34"/>
  <c r="B142" i="34"/>
  <c r="B141" i="34"/>
  <c r="B140" i="34"/>
  <c r="B139" i="34"/>
  <c r="B138" i="34"/>
  <c r="B137" i="34"/>
  <c r="B136" i="34"/>
  <c r="B135" i="34"/>
  <c r="B134" i="34"/>
  <c r="B133" i="34"/>
  <c r="B132" i="34"/>
  <c r="B131" i="34"/>
  <c r="B130" i="34"/>
  <c r="B129" i="34"/>
  <c r="B128" i="34"/>
  <c r="B127" i="34"/>
  <c r="B126" i="34"/>
  <c r="B120" i="34"/>
  <c r="B119" i="34"/>
  <c r="B118" i="34"/>
  <c r="B117" i="34"/>
  <c r="B116" i="34"/>
  <c r="B115" i="34"/>
  <c r="B114" i="34"/>
  <c r="B113" i="34"/>
  <c r="B112" i="34"/>
  <c r="B111" i="34"/>
  <c r="B110" i="34"/>
  <c r="B109" i="34"/>
  <c r="B108" i="34"/>
  <c r="B107" i="34"/>
  <c r="B106" i="34"/>
  <c r="B105" i="34"/>
  <c r="B104" i="34"/>
  <c r="B103" i="34"/>
  <c r="B102" i="34"/>
  <c r="B101" i="34"/>
  <c r="B100" i="34"/>
  <c r="B99" i="34"/>
  <c r="B98" i="34"/>
  <c r="B97" i="34"/>
  <c r="B91" i="34"/>
  <c r="B90" i="34"/>
  <c r="B89" i="34"/>
  <c r="B88" i="34"/>
  <c r="B87" i="34"/>
  <c r="B86" i="34"/>
  <c r="B85" i="34"/>
  <c r="B84" i="34"/>
  <c r="B83" i="34"/>
  <c r="B82" i="34"/>
  <c r="B81" i="34"/>
  <c r="B80" i="34"/>
  <c r="B79" i="34"/>
  <c r="B78" i="34"/>
  <c r="B77" i="34"/>
  <c r="B76" i="34"/>
  <c r="B75" i="34"/>
  <c r="B74" i="34"/>
  <c r="B73" i="34"/>
  <c r="B72" i="34"/>
  <c r="B71" i="34"/>
  <c r="B70" i="34"/>
  <c r="B69" i="34"/>
  <c r="B68" i="34"/>
  <c r="AM95" i="34"/>
  <c r="AL95" i="34"/>
  <c r="AK95" i="34"/>
  <c r="AJ95" i="34"/>
  <c r="AI95" i="34"/>
  <c r="AH95" i="34"/>
  <c r="AG95" i="34"/>
  <c r="AF95" i="34"/>
  <c r="AE95" i="34"/>
  <c r="AD95" i="34"/>
  <c r="AC95" i="34"/>
  <c r="AB95" i="34"/>
  <c r="AA95" i="34"/>
  <c r="Z95" i="34"/>
  <c r="Y95" i="34"/>
  <c r="X95" i="34"/>
  <c r="W95" i="34"/>
  <c r="V95" i="34"/>
  <c r="U95" i="34"/>
  <c r="T95" i="34"/>
  <c r="S95" i="34"/>
  <c r="R95" i="34"/>
  <c r="Q95" i="34"/>
  <c r="B95" i="34" s="1"/>
  <c r="Q124" i="34"/>
  <c r="B124" i="34" s="1"/>
  <c r="AM150" i="34"/>
  <c r="AL150" i="34"/>
  <c r="AK150" i="34"/>
  <c r="AJ150" i="34"/>
  <c r="AI150" i="34"/>
  <c r="AH150" i="34"/>
  <c r="AG150" i="34"/>
  <c r="AF150" i="34"/>
  <c r="AE150" i="34"/>
  <c r="AD150" i="34"/>
  <c r="AC150" i="34"/>
  <c r="AB150" i="34"/>
  <c r="AA150" i="34"/>
  <c r="Z150" i="34"/>
  <c r="Y150" i="34"/>
  <c r="X150" i="34"/>
  <c r="W150" i="34"/>
  <c r="V150" i="34"/>
  <c r="U150" i="34"/>
  <c r="T150" i="34"/>
  <c r="S150" i="34"/>
  <c r="R150" i="34"/>
  <c r="Q150"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AM92" i="34"/>
  <c r="AL92" i="34"/>
  <c r="AK92" i="34"/>
  <c r="AJ92" i="34"/>
  <c r="AI92" i="34"/>
  <c r="AH92" i="34"/>
  <c r="AG92" i="34"/>
  <c r="AF92" i="34"/>
  <c r="AE92" i="34"/>
  <c r="AD92" i="34"/>
  <c r="AC92" i="34"/>
  <c r="AB92" i="34"/>
  <c r="AA92" i="34"/>
  <c r="Z92" i="34"/>
  <c r="Y92" i="34"/>
  <c r="X92" i="34"/>
  <c r="W92" i="34"/>
  <c r="V92" i="34"/>
  <c r="U92" i="34"/>
  <c r="T92" i="34"/>
  <c r="S92" i="34"/>
  <c r="R92" i="34"/>
  <c r="Q92" i="34"/>
  <c r="B66" i="34"/>
  <c r="P150" i="34"/>
  <c r="O150" i="34"/>
  <c r="N150" i="34"/>
  <c r="M150" i="34"/>
  <c r="L150" i="34"/>
  <c r="K150" i="34"/>
  <c r="J150" i="34"/>
  <c r="I150" i="34"/>
  <c r="H150" i="34"/>
  <c r="G150" i="34"/>
  <c r="F150" i="34"/>
  <c r="E150" i="34"/>
  <c r="P121" i="34"/>
  <c r="O121" i="34"/>
  <c r="N121" i="34"/>
  <c r="M121" i="34"/>
  <c r="L121" i="34"/>
  <c r="K121" i="34"/>
  <c r="J121" i="34"/>
  <c r="I121" i="34"/>
  <c r="H121" i="34"/>
  <c r="G121" i="34"/>
  <c r="F121" i="34"/>
  <c r="E121" i="34"/>
  <c r="P92" i="34"/>
  <c r="O92" i="34"/>
  <c r="N92" i="34"/>
  <c r="M92" i="34"/>
  <c r="L92" i="34"/>
  <c r="K92" i="34"/>
  <c r="J92" i="34"/>
  <c r="I92" i="34"/>
  <c r="H92" i="34"/>
  <c r="G92" i="34"/>
  <c r="F92" i="34"/>
  <c r="E92" i="34"/>
  <c r="F31" i="34"/>
  <c r="G31" i="34"/>
  <c r="H31" i="34"/>
  <c r="I31" i="34"/>
  <c r="J31" i="34"/>
  <c r="K31" i="34"/>
  <c r="E31" i="34"/>
  <c r="F61" i="34"/>
  <c r="G61" i="34"/>
  <c r="H61" i="34"/>
  <c r="I61" i="34"/>
  <c r="E61" i="34"/>
  <c r="G277" i="34"/>
  <c r="H277" i="34"/>
  <c r="I277" i="34"/>
  <c r="J277" i="34"/>
  <c r="J279" i="34" s="1"/>
  <c r="K277" i="34"/>
  <c r="L277" i="34"/>
  <c r="M277" i="34"/>
  <c r="N277" i="34"/>
  <c r="O277" i="34"/>
  <c r="P277" i="34"/>
  <c r="Q277" i="34"/>
  <c r="R277" i="34"/>
  <c r="S277" i="34"/>
  <c r="T277" i="34"/>
  <c r="U277" i="34"/>
  <c r="V277" i="34"/>
  <c r="W277" i="34"/>
  <c r="X277" i="34"/>
  <c r="Y277" i="34"/>
  <c r="Z277" i="34"/>
  <c r="AA277" i="34"/>
  <c r="AA279" i="34" s="1"/>
  <c r="AB277" i="34"/>
  <c r="F277" i="34"/>
  <c r="G252" i="34"/>
  <c r="H252" i="34"/>
  <c r="I252" i="34"/>
  <c r="J252" i="34"/>
  <c r="K252" i="34"/>
  <c r="L252" i="34"/>
  <c r="M252" i="34"/>
  <c r="N252" i="34"/>
  <c r="O252" i="34"/>
  <c r="P252" i="34"/>
  <c r="Q252" i="34"/>
  <c r="R252" i="34"/>
  <c r="S252" i="34"/>
  <c r="T252" i="34"/>
  <c r="U252" i="34"/>
  <c r="V252" i="34"/>
  <c r="W252" i="34"/>
  <c r="X252" i="34"/>
  <c r="Y252" i="34"/>
  <c r="Z252" i="34"/>
  <c r="AA252" i="34"/>
  <c r="AB252" i="34"/>
  <c r="F252" i="34"/>
  <c r="AA278" i="34" l="1"/>
  <c r="AA281" i="34" s="1"/>
  <c r="J278" i="34"/>
  <c r="J281" i="34" s="1"/>
  <c r="B92" i="34"/>
  <c r="B121" i="34"/>
  <c r="B150" i="34"/>
  <c r="P253" i="34"/>
  <c r="P256" i="34" s="1"/>
  <c r="P254" i="34"/>
  <c r="H253" i="34"/>
  <c r="H256" i="34" s="1"/>
  <c r="H254" i="34"/>
  <c r="Z253" i="34"/>
  <c r="Z256" i="34" s="1"/>
  <c r="Z254" i="34"/>
  <c r="V253" i="34"/>
  <c r="V256" i="34" s="1"/>
  <c r="V254" i="34"/>
  <c r="R253" i="34"/>
  <c r="R256" i="34" s="1"/>
  <c r="R254" i="34"/>
  <c r="N253" i="34"/>
  <c r="N256" i="34" s="1"/>
  <c r="N254" i="34"/>
  <c r="J253" i="34"/>
  <c r="J256" i="34" s="1"/>
  <c r="J254" i="34"/>
  <c r="W278" i="34"/>
  <c r="W281" i="34" s="1"/>
  <c r="W279" i="34"/>
  <c r="S278" i="34"/>
  <c r="S281" i="34" s="1"/>
  <c r="S279" i="34"/>
  <c r="O278" i="34"/>
  <c r="O281" i="34" s="1"/>
  <c r="O279" i="34"/>
  <c r="K278" i="34"/>
  <c r="K281" i="34" s="1"/>
  <c r="K279" i="34"/>
  <c r="G278" i="34"/>
  <c r="G281" i="34" s="1"/>
  <c r="G279" i="34"/>
  <c r="F253" i="34"/>
  <c r="F256" i="34" s="1"/>
  <c r="F254" i="34"/>
  <c r="Y253" i="34"/>
  <c r="Y256" i="34" s="1"/>
  <c r="Y254" i="34"/>
  <c r="U253" i="34"/>
  <c r="U256" i="34" s="1"/>
  <c r="U254" i="34"/>
  <c r="Q253" i="34"/>
  <c r="Q256" i="34" s="1"/>
  <c r="Q254" i="34"/>
  <c r="M253" i="34"/>
  <c r="M256" i="34" s="1"/>
  <c r="M254" i="34"/>
  <c r="I253" i="34"/>
  <c r="I256" i="34" s="1"/>
  <c r="I254" i="34"/>
  <c r="Z278" i="34"/>
  <c r="Z281" i="34" s="1"/>
  <c r="Z279" i="34"/>
  <c r="V278" i="34"/>
  <c r="V281" i="34" s="1"/>
  <c r="V279" i="34"/>
  <c r="R278" i="34"/>
  <c r="R281" i="34" s="1"/>
  <c r="R279" i="34"/>
  <c r="N278" i="34"/>
  <c r="N281" i="34" s="1"/>
  <c r="N279" i="34"/>
  <c r="X253" i="34"/>
  <c r="X256" i="34" s="1"/>
  <c r="X254" i="34"/>
  <c r="F278" i="34"/>
  <c r="F281" i="34" s="1"/>
  <c r="F279" i="34"/>
  <c r="I278" i="34"/>
  <c r="I281" i="34" s="1"/>
  <c r="I279" i="34"/>
  <c r="AB253" i="34"/>
  <c r="AB256" i="34" s="1"/>
  <c r="AB254" i="34"/>
  <c r="T253" i="34"/>
  <c r="T256" i="34" s="1"/>
  <c r="T254" i="34"/>
  <c r="L253" i="34"/>
  <c r="L256" i="34" s="1"/>
  <c r="L254" i="34"/>
  <c r="Y278" i="34"/>
  <c r="Y281" i="34" s="1"/>
  <c r="Y279" i="34"/>
  <c r="U278" i="34"/>
  <c r="U281" i="34" s="1"/>
  <c r="U279" i="34"/>
  <c r="Q278" i="34"/>
  <c r="Q281" i="34" s="1"/>
  <c r="Q279" i="34"/>
  <c r="M278" i="34"/>
  <c r="M281" i="34" s="1"/>
  <c r="M279" i="34"/>
  <c r="AA253" i="34"/>
  <c r="AA256" i="34" s="1"/>
  <c r="AA254" i="34"/>
  <c r="W253" i="34"/>
  <c r="W256" i="34" s="1"/>
  <c r="W254" i="34"/>
  <c r="S253" i="34"/>
  <c r="S256" i="34" s="1"/>
  <c r="S254" i="34"/>
  <c r="O253" i="34"/>
  <c r="O256" i="34" s="1"/>
  <c r="O254" i="34"/>
  <c r="K253" i="34"/>
  <c r="K256" i="34" s="1"/>
  <c r="K254" i="34"/>
  <c r="G253" i="34"/>
  <c r="G256" i="34" s="1"/>
  <c r="G254" i="34"/>
  <c r="AB278" i="34"/>
  <c r="AB281" i="34" s="1"/>
  <c r="AB279" i="34"/>
  <c r="X278" i="34"/>
  <c r="X281" i="34" s="1"/>
  <c r="X279" i="34"/>
  <c r="T278" i="34"/>
  <c r="T281" i="34" s="1"/>
  <c r="T279" i="34"/>
  <c r="P278" i="34"/>
  <c r="P281" i="34" s="1"/>
  <c r="P279" i="34"/>
  <c r="L278" i="34"/>
  <c r="L281" i="34" s="1"/>
  <c r="L279" i="34"/>
  <c r="H278" i="34"/>
  <c r="H281" i="34" s="1"/>
  <c r="H279" i="34"/>
  <c r="N32" i="25" l="1"/>
  <c r="M32" i="25"/>
  <c r="L32" i="25"/>
  <c r="N31" i="25"/>
  <c r="M31" i="25"/>
  <c r="L31" i="25"/>
  <c r="N30" i="25"/>
  <c r="M30" i="25"/>
  <c r="L30" i="25"/>
  <c r="N29" i="25"/>
  <c r="M29" i="25"/>
  <c r="L29" i="25"/>
  <c r="N28" i="25"/>
  <c r="M28" i="25"/>
  <c r="L28" i="25"/>
  <c r="N27" i="25"/>
  <c r="M27" i="25"/>
  <c r="L27" i="25"/>
  <c r="N26" i="25"/>
  <c r="M26" i="25"/>
  <c r="L26" i="25"/>
  <c r="N25" i="25"/>
  <c r="M25" i="25"/>
  <c r="L25" i="25"/>
  <c r="N24" i="25"/>
  <c r="M24" i="25"/>
  <c r="L24" i="25"/>
  <c r="N23" i="25"/>
  <c r="M23" i="25"/>
  <c r="L23" i="25"/>
  <c r="N22" i="25"/>
  <c r="M22" i="25"/>
  <c r="L22" i="25"/>
  <c r="N21" i="25"/>
  <c r="M21" i="25"/>
  <c r="L21" i="25"/>
  <c r="N20" i="25"/>
  <c r="M20" i="25"/>
  <c r="L20" i="25"/>
  <c r="N19" i="25"/>
  <c r="M19" i="25"/>
  <c r="L19" i="25"/>
  <c r="N18" i="25"/>
  <c r="M18" i="25"/>
  <c r="L18" i="25"/>
  <c r="N17" i="25"/>
  <c r="M17" i="25"/>
  <c r="L17" i="25"/>
  <c r="N16" i="25"/>
  <c r="M16" i="25"/>
  <c r="L16" i="25"/>
  <c r="N15" i="25"/>
  <c r="M15" i="25"/>
  <c r="L15" i="25"/>
  <c r="N14" i="25"/>
  <c r="M14" i="25"/>
  <c r="L14" i="25"/>
  <c r="N13" i="25"/>
  <c r="M13" i="25"/>
  <c r="L13" i="25"/>
  <c r="N12" i="25"/>
  <c r="M12" i="25"/>
  <c r="L12" i="25"/>
  <c r="N11" i="25"/>
  <c r="M11" i="25"/>
  <c r="L11" i="25"/>
  <c r="N10" i="25"/>
  <c r="M10" i="25"/>
  <c r="L10" i="25"/>
  <c r="N9" i="25"/>
  <c r="M9" i="25"/>
  <c r="L9" i="25"/>
  <c r="L18" i="24"/>
  <c r="N32" i="24"/>
  <c r="M32" i="24"/>
  <c r="L32" i="24"/>
  <c r="N31" i="24"/>
  <c r="M31" i="24"/>
  <c r="L31" i="24"/>
  <c r="N30" i="24"/>
  <c r="M30" i="24"/>
  <c r="L30" i="24"/>
  <c r="N29" i="24"/>
  <c r="M29" i="24"/>
  <c r="L29" i="24"/>
  <c r="N28" i="24"/>
  <c r="M28" i="24"/>
  <c r="L28" i="24"/>
  <c r="N27" i="24"/>
  <c r="M27" i="24"/>
  <c r="L27" i="24"/>
  <c r="N26" i="24"/>
  <c r="M26" i="24"/>
  <c r="L26" i="24"/>
  <c r="N25" i="24"/>
  <c r="M25" i="24"/>
  <c r="L25" i="24"/>
  <c r="N24" i="24"/>
  <c r="M24" i="24"/>
  <c r="L24" i="24"/>
  <c r="N23" i="24"/>
  <c r="M23" i="24"/>
  <c r="L23" i="24"/>
  <c r="N22" i="24"/>
  <c r="M22" i="24"/>
  <c r="L22" i="24"/>
  <c r="N21" i="24"/>
  <c r="M21" i="24"/>
  <c r="L21" i="24"/>
  <c r="N20" i="24"/>
  <c r="M20" i="24"/>
  <c r="L20" i="24"/>
  <c r="N19" i="24"/>
  <c r="M19" i="24"/>
  <c r="L19" i="24"/>
  <c r="N18" i="24"/>
  <c r="M18" i="24"/>
  <c r="N17" i="24"/>
  <c r="M17" i="24"/>
  <c r="L17" i="24"/>
  <c r="N16" i="24"/>
  <c r="M16" i="24"/>
  <c r="L16" i="24"/>
  <c r="N15" i="24"/>
  <c r="M15" i="24"/>
  <c r="L15" i="24"/>
  <c r="N14" i="24"/>
  <c r="M14" i="24"/>
  <c r="L14" i="24"/>
  <c r="N13" i="24"/>
  <c r="M13" i="24"/>
  <c r="L13" i="24"/>
  <c r="N12" i="24"/>
  <c r="M12" i="24"/>
  <c r="L12" i="24"/>
  <c r="N11" i="24"/>
  <c r="M11" i="24"/>
  <c r="L11" i="24"/>
  <c r="N10" i="24"/>
  <c r="M10" i="24"/>
  <c r="L10" i="24"/>
  <c r="N9" i="24"/>
  <c r="M9" i="24"/>
  <c r="L9" i="24"/>
  <c r="N32" i="23"/>
  <c r="M32" i="23"/>
  <c r="L32" i="23"/>
  <c r="N31" i="23"/>
  <c r="M31" i="23"/>
  <c r="L31" i="23"/>
  <c r="N30" i="23"/>
  <c r="M30" i="23"/>
  <c r="L30" i="23"/>
  <c r="N29" i="23"/>
  <c r="M29" i="23"/>
  <c r="L29" i="23"/>
  <c r="N28" i="23"/>
  <c r="M28" i="23"/>
  <c r="L28" i="23"/>
  <c r="N27" i="23"/>
  <c r="M27" i="23"/>
  <c r="L27" i="23"/>
  <c r="N26" i="23"/>
  <c r="M26" i="23"/>
  <c r="L26" i="23"/>
  <c r="N25" i="23"/>
  <c r="M25" i="23"/>
  <c r="L25" i="23"/>
  <c r="N24" i="23"/>
  <c r="M24" i="23"/>
  <c r="L24" i="23"/>
  <c r="N23" i="23"/>
  <c r="M23" i="23"/>
  <c r="L23" i="23"/>
  <c r="N22" i="23"/>
  <c r="M22" i="23"/>
  <c r="L22" i="23"/>
  <c r="N21" i="23"/>
  <c r="M21" i="23"/>
  <c r="L21" i="23"/>
  <c r="N20" i="23"/>
  <c r="M20" i="23"/>
  <c r="L20" i="23"/>
  <c r="N19" i="23"/>
  <c r="M19" i="23"/>
  <c r="L19" i="23"/>
  <c r="N18" i="23"/>
  <c r="M18" i="23"/>
  <c r="L18" i="23"/>
  <c r="N17" i="23"/>
  <c r="M17" i="23"/>
  <c r="L17" i="23"/>
  <c r="N16" i="23"/>
  <c r="M16" i="23"/>
  <c r="L16" i="23"/>
  <c r="N15" i="23"/>
  <c r="M15" i="23"/>
  <c r="L15" i="23"/>
  <c r="N14" i="23"/>
  <c r="M14" i="23"/>
  <c r="L14" i="23"/>
  <c r="N13" i="23"/>
  <c r="M13" i="23"/>
  <c r="L13" i="23"/>
  <c r="N12" i="23"/>
  <c r="M12" i="23"/>
  <c r="L12" i="23"/>
  <c r="N11" i="23"/>
  <c r="M11" i="23"/>
  <c r="L11" i="23"/>
  <c r="N10" i="23"/>
  <c r="M10" i="23"/>
  <c r="L10" i="23"/>
  <c r="N9" i="23"/>
  <c r="M9" i="23"/>
  <c r="L9" i="23"/>
  <c r="N32" i="22"/>
  <c r="M32" i="22"/>
  <c r="L32" i="22"/>
  <c r="N31" i="22"/>
  <c r="M31" i="22"/>
  <c r="L31" i="22"/>
  <c r="N30" i="22"/>
  <c r="M30" i="22"/>
  <c r="L30" i="22"/>
  <c r="N29" i="22"/>
  <c r="M29" i="22"/>
  <c r="L29" i="22"/>
  <c r="N28" i="22"/>
  <c r="M28" i="22"/>
  <c r="L28" i="22"/>
  <c r="N27" i="22"/>
  <c r="M27" i="22"/>
  <c r="L27" i="22"/>
  <c r="N26" i="22"/>
  <c r="M26" i="22"/>
  <c r="L26" i="22"/>
  <c r="N25" i="22"/>
  <c r="M25" i="22"/>
  <c r="L25" i="22"/>
  <c r="N24" i="22"/>
  <c r="M24" i="22"/>
  <c r="L24" i="22"/>
  <c r="N23" i="22"/>
  <c r="M23" i="22"/>
  <c r="L23" i="22"/>
  <c r="N22" i="22"/>
  <c r="M22" i="22"/>
  <c r="L22" i="22"/>
  <c r="N21" i="22"/>
  <c r="M21" i="22"/>
  <c r="L21" i="22"/>
  <c r="N20" i="22"/>
  <c r="M20" i="22"/>
  <c r="L20" i="22"/>
  <c r="N19" i="22"/>
  <c r="M19" i="22"/>
  <c r="L19" i="22"/>
  <c r="N18" i="22"/>
  <c r="M18" i="22"/>
  <c r="L18" i="22"/>
  <c r="N17" i="22"/>
  <c r="M17" i="22"/>
  <c r="L17" i="22"/>
  <c r="N16" i="22"/>
  <c r="M16" i="22"/>
  <c r="L16" i="22"/>
  <c r="N15" i="22"/>
  <c r="M15" i="22"/>
  <c r="L15" i="22"/>
  <c r="N14" i="22"/>
  <c r="M14" i="22"/>
  <c r="L14" i="22"/>
  <c r="N13" i="22"/>
  <c r="M13" i="22"/>
  <c r="L13" i="22"/>
  <c r="N12" i="22"/>
  <c r="M12" i="22"/>
  <c r="L12" i="22"/>
  <c r="N11" i="22"/>
  <c r="M11" i="22"/>
  <c r="L11" i="22"/>
  <c r="N10" i="22"/>
  <c r="M10" i="22"/>
  <c r="L10" i="22"/>
  <c r="N9" i="22"/>
  <c r="M9" i="22"/>
  <c r="L9" i="22"/>
  <c r="N32" i="21"/>
  <c r="M32" i="21"/>
  <c r="L32" i="21"/>
  <c r="N31" i="21"/>
  <c r="M31" i="21"/>
  <c r="L31" i="21"/>
  <c r="N30" i="21"/>
  <c r="M30" i="21"/>
  <c r="L30" i="21"/>
  <c r="N29" i="21"/>
  <c r="M29" i="21"/>
  <c r="L29" i="21"/>
  <c r="N28" i="21"/>
  <c r="M28" i="21"/>
  <c r="L28" i="21"/>
  <c r="N27" i="21"/>
  <c r="M27" i="21"/>
  <c r="L27" i="21"/>
  <c r="N26" i="21"/>
  <c r="M26" i="21"/>
  <c r="L26" i="21"/>
  <c r="N25" i="21"/>
  <c r="M25" i="21"/>
  <c r="L25" i="21"/>
  <c r="N24" i="21"/>
  <c r="M24" i="21"/>
  <c r="L24" i="21"/>
  <c r="N23" i="21"/>
  <c r="M23" i="21"/>
  <c r="L23" i="21"/>
  <c r="N22" i="21"/>
  <c r="M22" i="21"/>
  <c r="L22" i="21"/>
  <c r="N21" i="21"/>
  <c r="M21" i="21"/>
  <c r="L21" i="21"/>
  <c r="N20" i="21"/>
  <c r="M20" i="21"/>
  <c r="L20" i="21"/>
  <c r="N19" i="21"/>
  <c r="M19" i="21"/>
  <c r="L19" i="21"/>
  <c r="N18" i="21"/>
  <c r="M18" i="21"/>
  <c r="L18" i="21"/>
  <c r="N17" i="21"/>
  <c r="M17" i="21"/>
  <c r="L17" i="21"/>
  <c r="N16" i="21"/>
  <c r="M16" i="21"/>
  <c r="L16" i="21"/>
  <c r="N15" i="21"/>
  <c r="M15" i="21"/>
  <c r="L15" i="21"/>
  <c r="N14" i="21"/>
  <c r="M14" i="21"/>
  <c r="L14" i="21"/>
  <c r="N13" i="21"/>
  <c r="M13" i="21"/>
  <c r="L13" i="21"/>
  <c r="N12" i="21"/>
  <c r="M12" i="21"/>
  <c r="L12" i="21"/>
  <c r="N11" i="21"/>
  <c r="M11" i="21"/>
  <c r="L11" i="21"/>
  <c r="N10" i="21"/>
  <c r="M10" i="21"/>
  <c r="L10" i="21"/>
  <c r="N9" i="21"/>
  <c r="M9" i="21"/>
  <c r="L9" i="21"/>
  <c r="N32" i="20"/>
  <c r="M32" i="20"/>
  <c r="L32" i="20"/>
  <c r="N31" i="20"/>
  <c r="M31" i="20"/>
  <c r="L31" i="20"/>
  <c r="N30" i="20"/>
  <c r="M30" i="20"/>
  <c r="L30" i="20"/>
  <c r="N29" i="20"/>
  <c r="M29" i="20"/>
  <c r="L29" i="20"/>
  <c r="N28" i="20"/>
  <c r="M28" i="20"/>
  <c r="L28" i="20"/>
  <c r="N27" i="20"/>
  <c r="M27" i="20"/>
  <c r="L27" i="20"/>
  <c r="N26" i="20"/>
  <c r="M26" i="20"/>
  <c r="L26" i="20"/>
  <c r="N25" i="20"/>
  <c r="M25" i="20"/>
  <c r="L25" i="20"/>
  <c r="N24" i="20"/>
  <c r="M24" i="20"/>
  <c r="L24" i="20"/>
  <c r="N23" i="20"/>
  <c r="M23" i="20"/>
  <c r="L23" i="20"/>
  <c r="N22" i="20"/>
  <c r="M22" i="20"/>
  <c r="L22" i="20"/>
  <c r="N21" i="20"/>
  <c r="M21" i="20"/>
  <c r="L21" i="20"/>
  <c r="N20" i="20"/>
  <c r="M20" i="20"/>
  <c r="L20" i="20"/>
  <c r="N19" i="20"/>
  <c r="M19" i="20"/>
  <c r="L19" i="20"/>
  <c r="N18" i="20"/>
  <c r="M18" i="20"/>
  <c r="L18" i="20"/>
  <c r="N17" i="20"/>
  <c r="M17" i="20"/>
  <c r="L17" i="20"/>
  <c r="N16" i="20"/>
  <c r="M16" i="20"/>
  <c r="L16" i="20"/>
  <c r="N15" i="20"/>
  <c r="M15" i="20"/>
  <c r="L15" i="20"/>
  <c r="N14" i="20"/>
  <c r="M14" i="20"/>
  <c r="L14" i="20"/>
  <c r="N13" i="20"/>
  <c r="M13" i="20"/>
  <c r="L13" i="20"/>
  <c r="N12" i="20"/>
  <c r="M12" i="20"/>
  <c r="L12" i="20"/>
  <c r="N11" i="20"/>
  <c r="M11" i="20"/>
  <c r="L11" i="20"/>
  <c r="N10" i="20"/>
  <c r="M10" i="20"/>
  <c r="L10" i="20"/>
  <c r="N9" i="20"/>
  <c r="M9" i="20"/>
  <c r="L9" i="20"/>
  <c r="N32" i="27"/>
  <c r="M32" i="27"/>
  <c r="L32" i="27"/>
  <c r="N31" i="27"/>
  <c r="M31" i="27"/>
  <c r="L31" i="27"/>
  <c r="N30" i="27"/>
  <c r="M30" i="27"/>
  <c r="L30" i="27"/>
  <c r="N29" i="27"/>
  <c r="M29" i="27"/>
  <c r="L29" i="27"/>
  <c r="N28" i="27"/>
  <c r="M28" i="27"/>
  <c r="L28" i="27"/>
  <c r="N27" i="27"/>
  <c r="M27" i="27"/>
  <c r="L27" i="27"/>
  <c r="N26" i="27"/>
  <c r="M26" i="27"/>
  <c r="L26" i="27"/>
  <c r="N25" i="27"/>
  <c r="M25" i="27"/>
  <c r="L25" i="27"/>
  <c r="N24" i="27"/>
  <c r="M24" i="27"/>
  <c r="L24" i="27"/>
  <c r="N23" i="27"/>
  <c r="M23" i="27"/>
  <c r="L23" i="27"/>
  <c r="N22" i="27"/>
  <c r="M22" i="27"/>
  <c r="L22" i="27"/>
  <c r="N21" i="27"/>
  <c r="M21" i="27"/>
  <c r="L21" i="27"/>
  <c r="N20" i="27"/>
  <c r="M20" i="27"/>
  <c r="L20" i="27"/>
  <c r="N19" i="27"/>
  <c r="M19" i="27"/>
  <c r="L19" i="27"/>
  <c r="N18" i="27"/>
  <c r="M18" i="27"/>
  <c r="L18" i="27"/>
  <c r="N17" i="27"/>
  <c r="M17" i="27"/>
  <c r="L17" i="27"/>
  <c r="N16" i="27"/>
  <c r="M16" i="27"/>
  <c r="L16" i="27"/>
  <c r="N15" i="27"/>
  <c r="M15" i="27"/>
  <c r="L15" i="27"/>
  <c r="N14" i="27"/>
  <c r="M14" i="27"/>
  <c r="L14" i="27"/>
  <c r="N13" i="27"/>
  <c r="M13" i="27"/>
  <c r="L13" i="27"/>
  <c r="N12" i="27"/>
  <c r="M12" i="27"/>
  <c r="L12" i="27"/>
  <c r="N11" i="27"/>
  <c r="M11" i="27"/>
  <c r="L11" i="27"/>
  <c r="N10" i="27"/>
  <c r="M10" i="27"/>
  <c r="L10" i="27"/>
  <c r="N9" i="27"/>
  <c r="M9" i="27"/>
  <c r="L9" i="27"/>
  <c r="N32" i="19"/>
  <c r="M32" i="19"/>
  <c r="L32" i="19"/>
  <c r="N31" i="19"/>
  <c r="M31" i="19"/>
  <c r="L31" i="19"/>
  <c r="N30" i="19"/>
  <c r="M30" i="19"/>
  <c r="L30" i="19"/>
  <c r="N29" i="19"/>
  <c r="M29" i="19"/>
  <c r="L29" i="19"/>
  <c r="N28" i="19"/>
  <c r="M28" i="19"/>
  <c r="L28" i="19"/>
  <c r="N27" i="19"/>
  <c r="M27" i="19"/>
  <c r="L27" i="19"/>
  <c r="N26" i="19"/>
  <c r="M26" i="19"/>
  <c r="L26" i="19"/>
  <c r="N25" i="19"/>
  <c r="M25" i="19"/>
  <c r="L25" i="19"/>
  <c r="N24" i="19"/>
  <c r="M24" i="19"/>
  <c r="L24" i="19"/>
  <c r="N23" i="19"/>
  <c r="M23" i="19"/>
  <c r="L23" i="19"/>
  <c r="N22" i="19"/>
  <c r="M22" i="19"/>
  <c r="L22" i="19"/>
  <c r="N21" i="19"/>
  <c r="M21" i="19"/>
  <c r="L21" i="19"/>
  <c r="N20" i="19"/>
  <c r="M20" i="19"/>
  <c r="L20" i="19"/>
  <c r="N19" i="19"/>
  <c r="M19" i="19"/>
  <c r="L19" i="19"/>
  <c r="N18" i="19"/>
  <c r="M18" i="19"/>
  <c r="L18" i="19"/>
  <c r="N17" i="19"/>
  <c r="M17" i="19"/>
  <c r="L17" i="19"/>
  <c r="N16" i="19"/>
  <c r="M16" i="19"/>
  <c r="L16" i="19"/>
  <c r="N15" i="19"/>
  <c r="M15" i="19"/>
  <c r="L15" i="19"/>
  <c r="N14" i="19"/>
  <c r="M14" i="19"/>
  <c r="L14" i="19"/>
  <c r="N13" i="19"/>
  <c r="M13" i="19"/>
  <c r="L13" i="19"/>
  <c r="N12" i="19"/>
  <c r="M12" i="19"/>
  <c r="L12" i="19"/>
  <c r="N11" i="19"/>
  <c r="M11" i="19"/>
  <c r="L11" i="19"/>
  <c r="N10" i="19"/>
  <c r="M10" i="19"/>
  <c r="L10" i="19"/>
  <c r="N9" i="19"/>
  <c r="M9" i="19"/>
  <c r="L9" i="19"/>
  <c r="N32" i="29"/>
  <c r="M32" i="29"/>
  <c r="L32" i="29"/>
  <c r="N31" i="29"/>
  <c r="M31" i="29"/>
  <c r="L31" i="29"/>
  <c r="N30" i="29"/>
  <c r="M30" i="29"/>
  <c r="L30" i="29"/>
  <c r="N29" i="29"/>
  <c r="M29" i="29"/>
  <c r="L29" i="29"/>
  <c r="N28" i="29"/>
  <c r="M28" i="29"/>
  <c r="L28" i="29"/>
  <c r="N27" i="29"/>
  <c r="M27" i="29"/>
  <c r="L27" i="29"/>
  <c r="N26" i="29"/>
  <c r="M26" i="29"/>
  <c r="L26" i="29"/>
  <c r="N25" i="29"/>
  <c r="M25" i="29"/>
  <c r="L25" i="29"/>
  <c r="N24" i="29"/>
  <c r="M24" i="29"/>
  <c r="L24" i="29"/>
  <c r="N23" i="29"/>
  <c r="M23" i="29"/>
  <c r="L23" i="29"/>
  <c r="N22" i="29"/>
  <c r="M22" i="29"/>
  <c r="L22" i="29"/>
  <c r="N21" i="29"/>
  <c r="M21" i="29"/>
  <c r="L21" i="29"/>
  <c r="N20" i="29"/>
  <c r="M20" i="29"/>
  <c r="L20" i="29"/>
  <c r="N19" i="29"/>
  <c r="M19" i="29"/>
  <c r="L19" i="29"/>
  <c r="N18" i="29"/>
  <c r="M18" i="29"/>
  <c r="L18" i="29"/>
  <c r="N17" i="29"/>
  <c r="M17" i="29"/>
  <c r="L17" i="29"/>
  <c r="N16" i="29"/>
  <c r="M16" i="29"/>
  <c r="L16" i="29"/>
  <c r="N15" i="29"/>
  <c r="M15" i="29"/>
  <c r="L15" i="29"/>
  <c r="N14" i="29"/>
  <c r="M14" i="29"/>
  <c r="L14" i="29"/>
  <c r="N13" i="29"/>
  <c r="M13" i="29"/>
  <c r="L13" i="29"/>
  <c r="N12" i="29"/>
  <c r="M12" i="29"/>
  <c r="L12" i="29"/>
  <c r="N11" i="29"/>
  <c r="M11" i="29"/>
  <c r="L11" i="29"/>
  <c r="N10" i="29"/>
  <c r="M10" i="29"/>
  <c r="L10" i="29"/>
  <c r="N9" i="29"/>
  <c r="M9" i="29"/>
  <c r="L9" i="29"/>
  <c r="N32" i="28"/>
  <c r="M32" i="28"/>
  <c r="L32" i="28"/>
  <c r="N31" i="28"/>
  <c r="M31" i="28"/>
  <c r="L31" i="28"/>
  <c r="N30" i="28"/>
  <c r="M30" i="28"/>
  <c r="L30" i="28"/>
  <c r="N29" i="28"/>
  <c r="M29" i="28"/>
  <c r="L29" i="28"/>
  <c r="N28" i="28"/>
  <c r="M28" i="28"/>
  <c r="L28" i="28"/>
  <c r="N27" i="28"/>
  <c r="M27" i="28"/>
  <c r="L27" i="28"/>
  <c r="N26" i="28"/>
  <c r="M26" i="28"/>
  <c r="L26" i="28"/>
  <c r="N25" i="28"/>
  <c r="M25" i="28"/>
  <c r="L25" i="28"/>
  <c r="N24" i="28"/>
  <c r="M24" i="28"/>
  <c r="L24" i="28"/>
  <c r="N23" i="28"/>
  <c r="M23" i="28"/>
  <c r="L23" i="28"/>
  <c r="N22" i="28"/>
  <c r="M22" i="28"/>
  <c r="L22" i="28"/>
  <c r="N21" i="28"/>
  <c r="M21" i="28"/>
  <c r="L21" i="28"/>
  <c r="N20" i="28"/>
  <c r="M20" i="28"/>
  <c r="L20" i="28"/>
  <c r="N19" i="28"/>
  <c r="M19" i="28"/>
  <c r="L19" i="28"/>
  <c r="N18" i="28"/>
  <c r="M18" i="28"/>
  <c r="L18" i="28"/>
  <c r="N17" i="28"/>
  <c r="M17" i="28"/>
  <c r="L17" i="28"/>
  <c r="N16" i="28"/>
  <c r="M16" i="28"/>
  <c r="L16" i="28"/>
  <c r="N15" i="28"/>
  <c r="M15" i="28"/>
  <c r="L15" i="28"/>
  <c r="N14" i="28"/>
  <c r="M14" i="28"/>
  <c r="L14" i="28"/>
  <c r="N13" i="28"/>
  <c r="M13" i="28"/>
  <c r="L13" i="28"/>
  <c r="N12" i="28"/>
  <c r="M12" i="28"/>
  <c r="L12" i="28"/>
  <c r="N11" i="28"/>
  <c r="M11" i="28"/>
  <c r="L11" i="28"/>
  <c r="N10" i="28"/>
  <c r="M10" i="28"/>
  <c r="L10" i="28"/>
  <c r="N9" i="28"/>
  <c r="M9" i="28"/>
  <c r="L9" i="28"/>
  <c r="N32" i="18"/>
  <c r="M32" i="18"/>
  <c r="L32" i="18"/>
  <c r="N31" i="18"/>
  <c r="M31" i="18"/>
  <c r="L31" i="18"/>
  <c r="N30" i="18"/>
  <c r="M30" i="18"/>
  <c r="L30" i="18"/>
  <c r="N29" i="18"/>
  <c r="M29" i="18"/>
  <c r="L29" i="18"/>
  <c r="N28" i="18"/>
  <c r="M28" i="18"/>
  <c r="L28" i="18"/>
  <c r="N27" i="18"/>
  <c r="M27" i="18"/>
  <c r="L27" i="18"/>
  <c r="N26" i="18"/>
  <c r="M26" i="18"/>
  <c r="L26" i="18"/>
  <c r="N25" i="18"/>
  <c r="M25" i="18"/>
  <c r="L25" i="18"/>
  <c r="N24" i="18"/>
  <c r="M24" i="18"/>
  <c r="L24" i="18"/>
  <c r="N23" i="18"/>
  <c r="M23" i="18"/>
  <c r="L23" i="18"/>
  <c r="N22" i="18"/>
  <c r="M22" i="18"/>
  <c r="L22" i="18"/>
  <c r="N21" i="18"/>
  <c r="M21" i="18"/>
  <c r="L21" i="18"/>
  <c r="N20" i="18"/>
  <c r="M20" i="18"/>
  <c r="L20" i="18"/>
  <c r="N19" i="18"/>
  <c r="M19" i="18"/>
  <c r="L19" i="18"/>
  <c r="N18" i="18"/>
  <c r="M18" i="18"/>
  <c r="L18" i="18"/>
  <c r="N17" i="18"/>
  <c r="M17" i="18"/>
  <c r="L17" i="18"/>
  <c r="N16" i="18"/>
  <c r="M16" i="18"/>
  <c r="L16" i="18"/>
  <c r="N15" i="18"/>
  <c r="M15" i="18"/>
  <c r="L15" i="18"/>
  <c r="N14" i="18"/>
  <c r="M14" i="18"/>
  <c r="L14" i="18"/>
  <c r="N13" i="18"/>
  <c r="M13" i="18"/>
  <c r="L13" i="18"/>
  <c r="N12" i="18"/>
  <c r="M12" i="18"/>
  <c r="L12" i="18"/>
  <c r="N11" i="18"/>
  <c r="M11" i="18"/>
  <c r="L11" i="18"/>
  <c r="N10" i="18"/>
  <c r="M10" i="18"/>
  <c r="L10" i="18"/>
  <c r="N9" i="18"/>
  <c r="M9" i="18"/>
  <c r="L9" i="18"/>
  <c r="N32" i="26"/>
  <c r="M32" i="26"/>
  <c r="L32" i="26"/>
  <c r="N31" i="26"/>
  <c r="M31" i="26"/>
  <c r="L31" i="26"/>
  <c r="N30" i="26"/>
  <c r="M30" i="26"/>
  <c r="L30" i="26"/>
  <c r="N29" i="26"/>
  <c r="M29" i="26"/>
  <c r="L29" i="26"/>
  <c r="N28" i="26"/>
  <c r="M28" i="26"/>
  <c r="L28" i="26"/>
  <c r="N27" i="26"/>
  <c r="M27" i="26"/>
  <c r="L27" i="26"/>
  <c r="N26" i="26"/>
  <c r="M26" i="26"/>
  <c r="L26" i="26"/>
  <c r="N25" i="26"/>
  <c r="M25" i="26"/>
  <c r="L25" i="26"/>
  <c r="N24" i="26"/>
  <c r="M24" i="26"/>
  <c r="L24" i="26"/>
  <c r="N23" i="26"/>
  <c r="M23" i="26"/>
  <c r="L23" i="26"/>
  <c r="N22" i="26"/>
  <c r="M22" i="26"/>
  <c r="L22" i="26"/>
  <c r="N21" i="26"/>
  <c r="M21" i="26"/>
  <c r="L21" i="26"/>
  <c r="N20" i="26"/>
  <c r="M20" i="26"/>
  <c r="L20" i="26"/>
  <c r="N19" i="26"/>
  <c r="M19" i="26"/>
  <c r="L19" i="26"/>
  <c r="N18" i="26"/>
  <c r="M18" i="26"/>
  <c r="L18" i="26"/>
  <c r="N17" i="26"/>
  <c r="M17" i="26"/>
  <c r="L17" i="26"/>
  <c r="N16" i="26"/>
  <c r="M16" i="26"/>
  <c r="L16" i="26"/>
  <c r="N15" i="26"/>
  <c r="M15" i="26"/>
  <c r="L15" i="26"/>
  <c r="N14" i="26"/>
  <c r="M14" i="26"/>
  <c r="L14" i="26"/>
  <c r="N13" i="26"/>
  <c r="M13" i="26"/>
  <c r="L13" i="26"/>
  <c r="N12" i="26"/>
  <c r="M12" i="26"/>
  <c r="L12" i="26"/>
  <c r="N11" i="26"/>
  <c r="M11" i="26"/>
  <c r="L11" i="26"/>
  <c r="N10" i="26"/>
  <c r="M10" i="26"/>
  <c r="L10" i="26"/>
  <c r="N9" i="26"/>
  <c r="M9" i="26"/>
  <c r="L9" i="26"/>
  <c r="N32" i="17"/>
  <c r="M32" i="17"/>
  <c r="L32" i="17"/>
  <c r="N31" i="17"/>
  <c r="M31" i="17"/>
  <c r="L31" i="17"/>
  <c r="N30" i="17"/>
  <c r="M30" i="17"/>
  <c r="L30" i="17"/>
  <c r="N29" i="17"/>
  <c r="M29" i="17"/>
  <c r="L29" i="17"/>
  <c r="N28" i="17"/>
  <c r="M28" i="17"/>
  <c r="L28" i="17"/>
  <c r="N27" i="17"/>
  <c r="M27" i="17"/>
  <c r="L27" i="17"/>
  <c r="N26" i="17"/>
  <c r="M26" i="17"/>
  <c r="L26" i="17"/>
  <c r="N25" i="17"/>
  <c r="M25" i="17"/>
  <c r="L25" i="17"/>
  <c r="N24" i="17"/>
  <c r="M24" i="17"/>
  <c r="L24" i="17"/>
  <c r="N23" i="17"/>
  <c r="M23" i="17"/>
  <c r="L23" i="17"/>
  <c r="N22" i="17"/>
  <c r="M22" i="17"/>
  <c r="L22" i="17"/>
  <c r="N21" i="17"/>
  <c r="M21" i="17"/>
  <c r="L21" i="17"/>
  <c r="N20" i="17"/>
  <c r="M20" i="17"/>
  <c r="L20" i="17"/>
  <c r="N19" i="17"/>
  <c r="M19" i="17"/>
  <c r="L19" i="17"/>
  <c r="N18" i="17"/>
  <c r="M18" i="17"/>
  <c r="L18" i="17"/>
  <c r="N17" i="17"/>
  <c r="M17" i="17"/>
  <c r="L17" i="17"/>
  <c r="N16" i="17"/>
  <c r="M16" i="17"/>
  <c r="L16" i="17"/>
  <c r="N15" i="17"/>
  <c r="M15" i="17"/>
  <c r="L15" i="17"/>
  <c r="N14" i="17"/>
  <c r="M14" i="17"/>
  <c r="L14" i="17"/>
  <c r="N13" i="17"/>
  <c r="M13" i="17"/>
  <c r="L13" i="17"/>
  <c r="N12" i="17"/>
  <c r="M12" i="17"/>
  <c r="L12" i="17"/>
  <c r="N11" i="17"/>
  <c r="M11" i="17"/>
  <c r="L11" i="17"/>
  <c r="N10" i="17"/>
  <c r="M10" i="17"/>
  <c r="L10" i="17"/>
  <c r="N9" i="17"/>
  <c r="M9" i="17"/>
  <c r="L9" i="17"/>
  <c r="N32" i="14"/>
  <c r="M32" i="14"/>
  <c r="L32" i="14"/>
  <c r="N31" i="14"/>
  <c r="M31" i="14"/>
  <c r="L31" i="14"/>
  <c r="N30" i="14"/>
  <c r="M30" i="14"/>
  <c r="L30" i="14"/>
  <c r="N29" i="14"/>
  <c r="M29" i="14"/>
  <c r="L29" i="14"/>
  <c r="N28" i="14"/>
  <c r="M28" i="14"/>
  <c r="L28" i="14"/>
  <c r="N27" i="14"/>
  <c r="M27" i="14"/>
  <c r="L27" i="14"/>
  <c r="N26" i="14"/>
  <c r="M26" i="14"/>
  <c r="L26" i="14"/>
  <c r="N25" i="14"/>
  <c r="M25" i="14"/>
  <c r="L25" i="14"/>
  <c r="N24" i="14"/>
  <c r="M24" i="14"/>
  <c r="L24" i="14"/>
  <c r="N23" i="14"/>
  <c r="M23" i="14"/>
  <c r="L23" i="14"/>
  <c r="N22" i="14"/>
  <c r="M22" i="14"/>
  <c r="L22" i="14"/>
  <c r="N21" i="14"/>
  <c r="M21" i="14"/>
  <c r="L21" i="14"/>
  <c r="N20" i="14"/>
  <c r="M20" i="14"/>
  <c r="L20" i="14"/>
  <c r="N19" i="14"/>
  <c r="M19" i="14"/>
  <c r="L19" i="14"/>
  <c r="N18" i="14"/>
  <c r="M18" i="14"/>
  <c r="L18" i="14"/>
  <c r="N17" i="14"/>
  <c r="M17" i="14"/>
  <c r="L17" i="14"/>
  <c r="N16" i="14"/>
  <c r="M16" i="14"/>
  <c r="L16" i="14"/>
  <c r="N15" i="14"/>
  <c r="M15" i="14"/>
  <c r="L15" i="14"/>
  <c r="N14" i="14"/>
  <c r="M14" i="14"/>
  <c r="L14" i="14"/>
  <c r="N13" i="14"/>
  <c r="M13" i="14"/>
  <c r="L13" i="14"/>
  <c r="N12" i="14"/>
  <c r="M12" i="14"/>
  <c r="L12" i="14"/>
  <c r="N11" i="14"/>
  <c r="M11" i="14"/>
  <c r="L11" i="14"/>
  <c r="N10" i="14"/>
  <c r="M10" i="14"/>
  <c r="L10" i="14"/>
  <c r="N9" i="14"/>
  <c r="M9" i="14"/>
  <c r="L9" i="14"/>
  <c r="N32" i="13"/>
  <c r="M32" i="13"/>
  <c r="L32" i="13"/>
  <c r="N31" i="13"/>
  <c r="M31" i="13"/>
  <c r="L31" i="13"/>
  <c r="N30" i="13"/>
  <c r="M30" i="13"/>
  <c r="L30" i="13"/>
  <c r="N29" i="13"/>
  <c r="M29" i="13"/>
  <c r="L29" i="13"/>
  <c r="N28" i="13"/>
  <c r="M28" i="13"/>
  <c r="L28" i="13"/>
  <c r="N27" i="13"/>
  <c r="M27" i="13"/>
  <c r="L27" i="13"/>
  <c r="N26" i="13"/>
  <c r="M26" i="13"/>
  <c r="L26" i="13"/>
  <c r="N25" i="13"/>
  <c r="M25" i="13"/>
  <c r="L25" i="13"/>
  <c r="N24" i="13"/>
  <c r="M24" i="13"/>
  <c r="L24" i="13"/>
  <c r="N23" i="13"/>
  <c r="M23" i="13"/>
  <c r="L23" i="13"/>
  <c r="N22" i="13"/>
  <c r="M22" i="13"/>
  <c r="L22" i="13"/>
  <c r="N21" i="13"/>
  <c r="M21" i="13"/>
  <c r="L21" i="13"/>
  <c r="N20" i="13"/>
  <c r="M20" i="13"/>
  <c r="L20" i="13"/>
  <c r="N19" i="13"/>
  <c r="M19" i="13"/>
  <c r="L19" i="13"/>
  <c r="N18" i="13"/>
  <c r="M18" i="13"/>
  <c r="L18" i="13"/>
  <c r="N17" i="13"/>
  <c r="M17" i="13"/>
  <c r="L17" i="13"/>
  <c r="N16" i="13"/>
  <c r="M16" i="13"/>
  <c r="L16" i="13"/>
  <c r="N15" i="13"/>
  <c r="M15" i="13"/>
  <c r="L15" i="13"/>
  <c r="N14" i="13"/>
  <c r="M14" i="13"/>
  <c r="L14" i="13"/>
  <c r="N13" i="13"/>
  <c r="M13" i="13"/>
  <c r="L13" i="13"/>
  <c r="N12" i="13"/>
  <c r="M12" i="13"/>
  <c r="L12" i="13"/>
  <c r="N11" i="13"/>
  <c r="M11" i="13"/>
  <c r="L11" i="13"/>
  <c r="N10" i="13"/>
  <c r="M10" i="13"/>
  <c r="L10" i="13"/>
  <c r="N9" i="13"/>
  <c r="M9" i="13"/>
  <c r="L9" i="13"/>
  <c r="N32" i="12"/>
  <c r="M32" i="12"/>
  <c r="L32" i="12"/>
  <c r="N31" i="12"/>
  <c r="M31" i="12"/>
  <c r="L31" i="12"/>
  <c r="N30" i="12"/>
  <c r="M30" i="12"/>
  <c r="L30" i="12"/>
  <c r="N29" i="12"/>
  <c r="M29" i="12"/>
  <c r="L29" i="12"/>
  <c r="N28" i="12"/>
  <c r="M28" i="12"/>
  <c r="L28" i="12"/>
  <c r="N27" i="12"/>
  <c r="M27" i="12"/>
  <c r="L27" i="12"/>
  <c r="N26" i="12"/>
  <c r="M26" i="12"/>
  <c r="L26" i="12"/>
  <c r="N25" i="12"/>
  <c r="M25" i="12"/>
  <c r="L25" i="12"/>
  <c r="N24" i="12"/>
  <c r="M24" i="12"/>
  <c r="L24" i="12"/>
  <c r="N23" i="12"/>
  <c r="M23" i="12"/>
  <c r="L23" i="12"/>
  <c r="N22" i="12"/>
  <c r="M22" i="12"/>
  <c r="L22" i="12"/>
  <c r="N21" i="12"/>
  <c r="M21" i="12"/>
  <c r="L21" i="12"/>
  <c r="N20" i="12"/>
  <c r="M20" i="12"/>
  <c r="L20" i="12"/>
  <c r="N19" i="12"/>
  <c r="M19" i="12"/>
  <c r="L19" i="12"/>
  <c r="N18" i="12"/>
  <c r="M18" i="12"/>
  <c r="L18" i="12"/>
  <c r="N17" i="12"/>
  <c r="M17" i="12"/>
  <c r="L17" i="12"/>
  <c r="N16" i="12"/>
  <c r="M16" i="12"/>
  <c r="L16" i="12"/>
  <c r="N15" i="12"/>
  <c r="M15" i="12"/>
  <c r="L15" i="12"/>
  <c r="N14" i="12"/>
  <c r="M14" i="12"/>
  <c r="L14" i="12"/>
  <c r="N13" i="12"/>
  <c r="M13" i="12"/>
  <c r="L13" i="12"/>
  <c r="N12" i="12"/>
  <c r="M12" i="12"/>
  <c r="L12" i="12"/>
  <c r="N11" i="12"/>
  <c r="M11" i="12"/>
  <c r="L11" i="12"/>
  <c r="N10" i="12"/>
  <c r="M10" i="12"/>
  <c r="L10" i="12"/>
  <c r="N9" i="12"/>
  <c r="M9" i="12"/>
  <c r="L9" i="12"/>
  <c r="N32" i="11"/>
  <c r="M32" i="11"/>
  <c r="L32" i="11"/>
  <c r="N31" i="11"/>
  <c r="M31" i="11"/>
  <c r="L31" i="11"/>
  <c r="N30" i="11"/>
  <c r="M30" i="11"/>
  <c r="L30" i="11"/>
  <c r="N29" i="11"/>
  <c r="M29" i="11"/>
  <c r="L29" i="11"/>
  <c r="N28" i="11"/>
  <c r="M28" i="11"/>
  <c r="L28" i="11"/>
  <c r="N27" i="11"/>
  <c r="M27" i="11"/>
  <c r="L27" i="11"/>
  <c r="N26" i="11"/>
  <c r="M26" i="11"/>
  <c r="L26" i="11"/>
  <c r="N25" i="11"/>
  <c r="M25" i="11"/>
  <c r="L25" i="11"/>
  <c r="N24" i="11"/>
  <c r="M24" i="11"/>
  <c r="L24" i="11"/>
  <c r="N23" i="11"/>
  <c r="M23" i="11"/>
  <c r="L23" i="11"/>
  <c r="N22" i="11"/>
  <c r="M22" i="11"/>
  <c r="L22" i="11"/>
  <c r="N21" i="11"/>
  <c r="M21" i="11"/>
  <c r="L21" i="11"/>
  <c r="N20" i="11"/>
  <c r="M20" i="11"/>
  <c r="L20" i="11"/>
  <c r="N19" i="11"/>
  <c r="M19" i="11"/>
  <c r="L19" i="11"/>
  <c r="N18" i="11"/>
  <c r="M18" i="11"/>
  <c r="L18" i="11"/>
  <c r="N17" i="11"/>
  <c r="M17" i="11"/>
  <c r="L17" i="11"/>
  <c r="N16" i="11"/>
  <c r="M16" i="11"/>
  <c r="L16" i="11"/>
  <c r="N15" i="11"/>
  <c r="M15" i="11"/>
  <c r="L15" i="11"/>
  <c r="N14" i="11"/>
  <c r="M14" i="11"/>
  <c r="L14" i="11"/>
  <c r="N13" i="11"/>
  <c r="M13" i="11"/>
  <c r="L13" i="11"/>
  <c r="N12" i="11"/>
  <c r="M12" i="11"/>
  <c r="L12" i="11"/>
  <c r="N11" i="11"/>
  <c r="M11" i="11"/>
  <c r="L11" i="11"/>
  <c r="N10" i="11"/>
  <c r="M10" i="11"/>
  <c r="L10" i="11"/>
  <c r="N9" i="11"/>
  <c r="M9" i="11"/>
  <c r="L9" i="11"/>
  <c r="N32" i="10"/>
  <c r="M32" i="10"/>
  <c r="L32" i="10"/>
  <c r="N31" i="10"/>
  <c r="M31" i="10"/>
  <c r="L31" i="10"/>
  <c r="N30" i="10"/>
  <c r="M30" i="10"/>
  <c r="L30" i="10"/>
  <c r="N29" i="10"/>
  <c r="M29" i="10"/>
  <c r="L29" i="10"/>
  <c r="N28" i="10"/>
  <c r="M28" i="10"/>
  <c r="L28" i="10"/>
  <c r="N27" i="10"/>
  <c r="M27" i="10"/>
  <c r="L27" i="10"/>
  <c r="N26" i="10"/>
  <c r="M26" i="10"/>
  <c r="L26" i="10"/>
  <c r="N25" i="10"/>
  <c r="M25" i="10"/>
  <c r="L25" i="10"/>
  <c r="N24" i="10"/>
  <c r="M24" i="10"/>
  <c r="L24" i="10"/>
  <c r="N23" i="10"/>
  <c r="M23" i="10"/>
  <c r="L23" i="10"/>
  <c r="N22" i="10"/>
  <c r="M22" i="10"/>
  <c r="L22" i="10"/>
  <c r="N21" i="10"/>
  <c r="M21" i="10"/>
  <c r="L21" i="10"/>
  <c r="N20" i="10"/>
  <c r="M20" i="10"/>
  <c r="L20" i="10"/>
  <c r="N19" i="10"/>
  <c r="M19" i="10"/>
  <c r="L19" i="10"/>
  <c r="N18" i="10"/>
  <c r="M18" i="10"/>
  <c r="L18" i="10"/>
  <c r="N17" i="10"/>
  <c r="M17" i="10"/>
  <c r="L17" i="10"/>
  <c r="N16" i="10"/>
  <c r="M16" i="10"/>
  <c r="L16" i="10"/>
  <c r="N15" i="10"/>
  <c r="M15" i="10"/>
  <c r="L15" i="10"/>
  <c r="N14" i="10"/>
  <c r="M14" i="10"/>
  <c r="L14" i="10"/>
  <c r="N13" i="10"/>
  <c r="M13" i="10"/>
  <c r="L13" i="10"/>
  <c r="N12" i="10"/>
  <c r="M12" i="10"/>
  <c r="L12" i="10"/>
  <c r="N11" i="10"/>
  <c r="M11" i="10"/>
  <c r="L11" i="10"/>
  <c r="N10" i="10"/>
  <c r="M10" i="10"/>
  <c r="L10" i="10"/>
  <c r="N9" i="10"/>
  <c r="M9" i="10"/>
  <c r="L9" i="10"/>
  <c r="N32" i="9"/>
  <c r="M32" i="9"/>
  <c r="L32" i="9"/>
  <c r="N31" i="9"/>
  <c r="M31" i="9"/>
  <c r="L31" i="9"/>
  <c r="N30" i="9"/>
  <c r="M30" i="9"/>
  <c r="L30" i="9"/>
  <c r="N29" i="9"/>
  <c r="M29" i="9"/>
  <c r="L29" i="9"/>
  <c r="N28" i="9"/>
  <c r="M28" i="9"/>
  <c r="L28" i="9"/>
  <c r="N27" i="9"/>
  <c r="M27" i="9"/>
  <c r="L27" i="9"/>
  <c r="N26" i="9"/>
  <c r="M26" i="9"/>
  <c r="L26" i="9"/>
  <c r="N25" i="9"/>
  <c r="M25" i="9"/>
  <c r="L25" i="9"/>
  <c r="N24" i="9"/>
  <c r="M24" i="9"/>
  <c r="L24" i="9"/>
  <c r="N23" i="9"/>
  <c r="M23" i="9"/>
  <c r="L23" i="9"/>
  <c r="N22" i="9"/>
  <c r="M22" i="9"/>
  <c r="L22" i="9"/>
  <c r="N21" i="9"/>
  <c r="M21" i="9"/>
  <c r="L21" i="9"/>
  <c r="N20" i="9"/>
  <c r="M20" i="9"/>
  <c r="L20" i="9"/>
  <c r="N19" i="9"/>
  <c r="M19" i="9"/>
  <c r="L19" i="9"/>
  <c r="N18" i="9"/>
  <c r="M18" i="9"/>
  <c r="L18" i="9"/>
  <c r="N17" i="9"/>
  <c r="M17" i="9"/>
  <c r="L17" i="9"/>
  <c r="N16" i="9"/>
  <c r="M16" i="9"/>
  <c r="L16" i="9"/>
  <c r="N15" i="9"/>
  <c r="M15" i="9"/>
  <c r="L15" i="9"/>
  <c r="N14" i="9"/>
  <c r="M14" i="9"/>
  <c r="L14" i="9"/>
  <c r="N13" i="9"/>
  <c r="M13" i="9"/>
  <c r="L13" i="9"/>
  <c r="N12" i="9"/>
  <c r="M12" i="9"/>
  <c r="L12" i="9"/>
  <c r="N11" i="9"/>
  <c r="M11" i="9"/>
  <c r="L11" i="9"/>
  <c r="N10" i="9"/>
  <c r="M10" i="9"/>
  <c r="L10" i="9"/>
  <c r="N9" i="9"/>
  <c r="M9" i="9"/>
  <c r="L9" i="9"/>
  <c r="N32" i="8"/>
  <c r="M32" i="8"/>
  <c r="L32" i="8"/>
  <c r="N31" i="8"/>
  <c r="M31" i="8"/>
  <c r="L31" i="8"/>
  <c r="N30" i="8"/>
  <c r="M30" i="8"/>
  <c r="L30" i="8"/>
  <c r="N29" i="8"/>
  <c r="M29" i="8"/>
  <c r="L29" i="8"/>
  <c r="N28" i="8"/>
  <c r="M28" i="8"/>
  <c r="L28" i="8"/>
  <c r="N27" i="8"/>
  <c r="M27" i="8"/>
  <c r="L27" i="8"/>
  <c r="N26" i="8"/>
  <c r="M26" i="8"/>
  <c r="L26" i="8"/>
  <c r="N25" i="8"/>
  <c r="M25" i="8"/>
  <c r="L25" i="8"/>
  <c r="N24" i="8"/>
  <c r="M24" i="8"/>
  <c r="L24" i="8"/>
  <c r="N23" i="8"/>
  <c r="M23" i="8"/>
  <c r="L23" i="8"/>
  <c r="N22" i="8"/>
  <c r="M22" i="8"/>
  <c r="L22" i="8"/>
  <c r="N21" i="8"/>
  <c r="M21" i="8"/>
  <c r="L21" i="8"/>
  <c r="N20" i="8"/>
  <c r="M20" i="8"/>
  <c r="L20" i="8"/>
  <c r="N19" i="8"/>
  <c r="M19" i="8"/>
  <c r="L19" i="8"/>
  <c r="N18" i="8"/>
  <c r="M18" i="8"/>
  <c r="L18" i="8"/>
  <c r="N17" i="8"/>
  <c r="M17" i="8"/>
  <c r="L17" i="8"/>
  <c r="N16" i="8"/>
  <c r="M16" i="8"/>
  <c r="L16" i="8"/>
  <c r="N15" i="8"/>
  <c r="M15" i="8"/>
  <c r="L15" i="8"/>
  <c r="N14" i="8"/>
  <c r="M14" i="8"/>
  <c r="L14" i="8"/>
  <c r="N13" i="8"/>
  <c r="M13" i="8"/>
  <c r="L13" i="8"/>
  <c r="N12" i="8"/>
  <c r="M12" i="8"/>
  <c r="L12" i="8"/>
  <c r="N11" i="8"/>
  <c r="M11" i="8"/>
  <c r="L11" i="8"/>
  <c r="N10" i="8"/>
  <c r="M10" i="8"/>
  <c r="L10" i="8"/>
  <c r="N9" i="8"/>
  <c r="M9" i="8"/>
  <c r="L9" i="8"/>
  <c r="N32" i="7"/>
  <c r="M32" i="7"/>
  <c r="L32" i="7"/>
  <c r="N31" i="7"/>
  <c r="M31" i="7"/>
  <c r="L31" i="7"/>
  <c r="N30" i="7"/>
  <c r="M30" i="7"/>
  <c r="L30" i="7"/>
  <c r="N29" i="7"/>
  <c r="M29" i="7"/>
  <c r="L29" i="7"/>
  <c r="N28" i="7"/>
  <c r="M28" i="7"/>
  <c r="L28" i="7"/>
  <c r="N27" i="7"/>
  <c r="M27" i="7"/>
  <c r="L27" i="7"/>
  <c r="N26" i="7"/>
  <c r="M26" i="7"/>
  <c r="L26" i="7"/>
  <c r="N25" i="7"/>
  <c r="M25" i="7"/>
  <c r="L25" i="7"/>
  <c r="N24" i="7"/>
  <c r="M24" i="7"/>
  <c r="L24" i="7"/>
  <c r="N23" i="7"/>
  <c r="M23" i="7"/>
  <c r="L23" i="7"/>
  <c r="N22" i="7"/>
  <c r="M22" i="7"/>
  <c r="L22" i="7"/>
  <c r="N21" i="7"/>
  <c r="M21" i="7"/>
  <c r="L21" i="7"/>
  <c r="N20" i="7"/>
  <c r="M20" i="7"/>
  <c r="L20" i="7"/>
  <c r="N19" i="7"/>
  <c r="M19" i="7"/>
  <c r="L19" i="7"/>
  <c r="N18" i="7"/>
  <c r="M18" i="7"/>
  <c r="L18" i="7"/>
  <c r="N17" i="7"/>
  <c r="M17" i="7"/>
  <c r="L17" i="7"/>
  <c r="N16" i="7"/>
  <c r="M16" i="7"/>
  <c r="L16" i="7"/>
  <c r="N15" i="7"/>
  <c r="M15" i="7"/>
  <c r="L15" i="7"/>
  <c r="N14" i="7"/>
  <c r="M14" i="7"/>
  <c r="L14" i="7"/>
  <c r="N13" i="7"/>
  <c r="M13" i="7"/>
  <c r="L13" i="7"/>
  <c r="N12" i="7"/>
  <c r="M12" i="7"/>
  <c r="L12" i="7"/>
  <c r="N11" i="7"/>
  <c r="M11" i="7"/>
  <c r="L11" i="7"/>
  <c r="N10" i="7"/>
  <c r="M10" i="7"/>
  <c r="L10" i="7"/>
  <c r="N9" i="7"/>
  <c r="M9" i="7"/>
  <c r="L9" i="7"/>
  <c r="N32" i="6"/>
  <c r="M32" i="6"/>
  <c r="L32" i="6"/>
  <c r="N31" i="6"/>
  <c r="M31" i="6"/>
  <c r="L31" i="6"/>
  <c r="N30" i="6"/>
  <c r="M30" i="6"/>
  <c r="L30" i="6"/>
  <c r="N29" i="6"/>
  <c r="M29" i="6"/>
  <c r="L29" i="6"/>
  <c r="N28" i="6"/>
  <c r="M28" i="6"/>
  <c r="L28" i="6"/>
  <c r="N27" i="6"/>
  <c r="M27" i="6"/>
  <c r="L27" i="6"/>
  <c r="N26" i="6"/>
  <c r="M26" i="6"/>
  <c r="L26" i="6"/>
  <c r="N25" i="6"/>
  <c r="M25" i="6"/>
  <c r="L25" i="6"/>
  <c r="N24" i="6"/>
  <c r="M24" i="6"/>
  <c r="L24" i="6"/>
  <c r="N23" i="6"/>
  <c r="M23" i="6"/>
  <c r="L23" i="6"/>
  <c r="N22" i="6"/>
  <c r="M22" i="6"/>
  <c r="L22" i="6"/>
  <c r="N21" i="6"/>
  <c r="M21" i="6"/>
  <c r="L21" i="6"/>
  <c r="N20" i="6"/>
  <c r="M20" i="6"/>
  <c r="L20" i="6"/>
  <c r="N19" i="6"/>
  <c r="M19" i="6"/>
  <c r="L19" i="6"/>
  <c r="N18" i="6"/>
  <c r="M18" i="6"/>
  <c r="L18" i="6"/>
  <c r="N17" i="6"/>
  <c r="M17" i="6"/>
  <c r="L17" i="6"/>
  <c r="N16" i="6"/>
  <c r="M16" i="6"/>
  <c r="L16" i="6"/>
  <c r="N15" i="6"/>
  <c r="M15" i="6"/>
  <c r="L15" i="6"/>
  <c r="N14" i="6"/>
  <c r="M14" i="6"/>
  <c r="L14" i="6"/>
  <c r="N13" i="6"/>
  <c r="M13" i="6"/>
  <c r="L13" i="6"/>
  <c r="N12" i="6"/>
  <c r="M12" i="6"/>
  <c r="L12" i="6"/>
  <c r="N11" i="6"/>
  <c r="M11" i="6"/>
  <c r="L11" i="6"/>
  <c r="N10" i="6"/>
  <c r="M10" i="6"/>
  <c r="L10" i="6"/>
  <c r="N9" i="6"/>
  <c r="M9" i="6"/>
  <c r="L9" i="6"/>
  <c r="N32" i="5"/>
  <c r="M32" i="5"/>
  <c r="L32" i="5"/>
  <c r="N31" i="5"/>
  <c r="M31" i="5"/>
  <c r="L31" i="5"/>
  <c r="N30" i="5"/>
  <c r="M30" i="5"/>
  <c r="L30" i="5"/>
  <c r="N29" i="5"/>
  <c r="M29" i="5"/>
  <c r="L29" i="5"/>
  <c r="N28" i="5"/>
  <c r="M28" i="5"/>
  <c r="L28" i="5"/>
  <c r="N27" i="5"/>
  <c r="M27" i="5"/>
  <c r="L27" i="5"/>
  <c r="N26" i="5"/>
  <c r="M26" i="5"/>
  <c r="L26" i="5"/>
  <c r="N25" i="5"/>
  <c r="M25" i="5"/>
  <c r="L25" i="5"/>
  <c r="N24" i="5"/>
  <c r="M24" i="5"/>
  <c r="L24" i="5"/>
  <c r="N23" i="5"/>
  <c r="M23" i="5"/>
  <c r="L23" i="5"/>
  <c r="N22" i="5"/>
  <c r="M22" i="5"/>
  <c r="L22" i="5"/>
  <c r="N21" i="5"/>
  <c r="M21" i="5"/>
  <c r="L21" i="5"/>
  <c r="N20" i="5"/>
  <c r="M20" i="5"/>
  <c r="L20" i="5"/>
  <c r="N19" i="5"/>
  <c r="M19" i="5"/>
  <c r="L19" i="5"/>
  <c r="N18" i="5"/>
  <c r="M18" i="5"/>
  <c r="L18" i="5"/>
  <c r="N17" i="5"/>
  <c r="M17" i="5"/>
  <c r="L17" i="5"/>
  <c r="N16" i="5"/>
  <c r="M16" i="5"/>
  <c r="L16" i="5"/>
  <c r="N15" i="5"/>
  <c r="M15" i="5"/>
  <c r="L15" i="5"/>
  <c r="N14" i="5"/>
  <c r="M14" i="5"/>
  <c r="L14" i="5"/>
  <c r="N13" i="5"/>
  <c r="M13" i="5"/>
  <c r="L13" i="5"/>
  <c r="N12" i="5"/>
  <c r="M12" i="5"/>
  <c r="L12" i="5"/>
  <c r="N11" i="5"/>
  <c r="M11" i="5"/>
  <c r="L11" i="5"/>
  <c r="N10" i="5"/>
  <c r="M10" i="5"/>
  <c r="L10" i="5"/>
  <c r="N9" i="5"/>
  <c r="M9" i="5"/>
  <c r="L9" i="5"/>
  <c r="N32" i="4"/>
  <c r="M32" i="4"/>
  <c r="L32" i="4"/>
  <c r="N31" i="4"/>
  <c r="M31" i="4"/>
  <c r="L31" i="4"/>
  <c r="N30" i="4"/>
  <c r="M30" i="4"/>
  <c r="L30" i="4"/>
  <c r="N29" i="4"/>
  <c r="M29" i="4"/>
  <c r="L29" i="4"/>
  <c r="N28" i="4"/>
  <c r="M28" i="4"/>
  <c r="L28" i="4"/>
  <c r="N27" i="4"/>
  <c r="M27" i="4"/>
  <c r="L27" i="4"/>
  <c r="N26" i="4"/>
  <c r="M26" i="4"/>
  <c r="L26" i="4"/>
  <c r="N25" i="4"/>
  <c r="M25" i="4"/>
  <c r="L25" i="4"/>
  <c r="N24" i="4"/>
  <c r="M24" i="4"/>
  <c r="L24" i="4"/>
  <c r="N23" i="4"/>
  <c r="M23" i="4"/>
  <c r="L23" i="4"/>
  <c r="N22" i="4"/>
  <c r="M22" i="4"/>
  <c r="L22" i="4"/>
  <c r="N21" i="4"/>
  <c r="M21" i="4"/>
  <c r="L21" i="4"/>
  <c r="N20" i="4"/>
  <c r="M20" i="4"/>
  <c r="L20" i="4"/>
  <c r="N19" i="4"/>
  <c r="M19" i="4"/>
  <c r="L19" i="4"/>
  <c r="N18" i="4"/>
  <c r="M18" i="4"/>
  <c r="L18" i="4"/>
  <c r="N17" i="4"/>
  <c r="M17" i="4"/>
  <c r="L17" i="4"/>
  <c r="N16" i="4"/>
  <c r="M16" i="4"/>
  <c r="L16" i="4"/>
  <c r="N15" i="4"/>
  <c r="M15" i="4"/>
  <c r="L15" i="4"/>
  <c r="N14" i="4"/>
  <c r="M14" i="4"/>
  <c r="L14" i="4"/>
  <c r="N13" i="4"/>
  <c r="M13" i="4"/>
  <c r="L13" i="4"/>
  <c r="N12" i="4"/>
  <c r="M12" i="4"/>
  <c r="L12" i="4"/>
  <c r="N11" i="4"/>
  <c r="M11" i="4"/>
  <c r="L11" i="4"/>
  <c r="N10" i="4"/>
  <c r="M10" i="4"/>
  <c r="L10" i="4"/>
  <c r="N9" i="4"/>
  <c r="M9" i="4"/>
  <c r="L9" i="4"/>
  <c r="N32" i="16"/>
  <c r="M32" i="16"/>
  <c r="L32" i="16"/>
  <c r="N31" i="16"/>
  <c r="M31" i="16"/>
  <c r="L31" i="16"/>
  <c r="N30" i="16"/>
  <c r="M30" i="16"/>
  <c r="L30" i="16"/>
  <c r="N29" i="16"/>
  <c r="M29" i="16"/>
  <c r="L29" i="16"/>
  <c r="N28" i="16"/>
  <c r="M28" i="16"/>
  <c r="L28" i="16"/>
  <c r="N27" i="16"/>
  <c r="M27" i="16"/>
  <c r="L27" i="16"/>
  <c r="N26" i="16"/>
  <c r="M26" i="16"/>
  <c r="L26" i="16"/>
  <c r="N25" i="16"/>
  <c r="M25" i="16"/>
  <c r="L25" i="16"/>
  <c r="N24" i="16"/>
  <c r="M24" i="16"/>
  <c r="L24" i="16"/>
  <c r="N23" i="16"/>
  <c r="M23" i="16"/>
  <c r="L23" i="16"/>
  <c r="N22" i="16"/>
  <c r="M22" i="16"/>
  <c r="L22" i="16"/>
  <c r="N21" i="16"/>
  <c r="M21" i="16"/>
  <c r="L21" i="16"/>
  <c r="N20" i="16"/>
  <c r="M20" i="16"/>
  <c r="L20" i="16"/>
  <c r="N19" i="16"/>
  <c r="M19" i="16"/>
  <c r="L19" i="16"/>
  <c r="N18" i="16"/>
  <c r="M18" i="16"/>
  <c r="L18" i="16"/>
  <c r="N17" i="16"/>
  <c r="M17" i="16"/>
  <c r="L17" i="16"/>
  <c r="N16" i="16"/>
  <c r="M16" i="16"/>
  <c r="L16" i="16"/>
  <c r="N15" i="16"/>
  <c r="M15" i="16"/>
  <c r="L15" i="16"/>
  <c r="N14" i="16"/>
  <c r="M14" i="16"/>
  <c r="L14" i="16"/>
  <c r="N13" i="16"/>
  <c r="M13" i="16"/>
  <c r="L13" i="16"/>
  <c r="N12" i="16"/>
  <c r="M12" i="16"/>
  <c r="L12" i="16"/>
  <c r="N11" i="16"/>
  <c r="M11" i="16"/>
  <c r="L11" i="16"/>
  <c r="N10" i="16"/>
  <c r="M10" i="16"/>
  <c r="L10" i="16"/>
  <c r="N9" i="16"/>
  <c r="M9" i="16"/>
  <c r="L9" i="16"/>
  <c r="N32" i="15" l="1"/>
  <c r="M32" i="15"/>
  <c r="L32" i="15"/>
  <c r="N31" i="15"/>
  <c r="M31" i="15"/>
  <c r="L31" i="15"/>
  <c r="N30" i="15"/>
  <c r="M30" i="15"/>
  <c r="L30" i="15"/>
  <c r="N29" i="15"/>
  <c r="M29" i="15"/>
  <c r="L29" i="15"/>
  <c r="N28" i="15"/>
  <c r="M28" i="15"/>
  <c r="L28" i="15"/>
  <c r="N27" i="15"/>
  <c r="M27" i="15"/>
  <c r="L27" i="15"/>
  <c r="N26" i="15"/>
  <c r="M26" i="15"/>
  <c r="L26" i="15"/>
  <c r="N25" i="15"/>
  <c r="M25" i="15"/>
  <c r="L25" i="15"/>
  <c r="N24" i="15"/>
  <c r="M24" i="15"/>
  <c r="L24" i="15"/>
  <c r="N23" i="15"/>
  <c r="M23" i="15"/>
  <c r="L23" i="15"/>
  <c r="N22" i="15"/>
  <c r="M22" i="15"/>
  <c r="L22" i="15"/>
  <c r="N21" i="15"/>
  <c r="M21" i="15"/>
  <c r="L21" i="15"/>
  <c r="N20" i="15"/>
  <c r="M20" i="15"/>
  <c r="L20" i="15"/>
  <c r="N19" i="15"/>
  <c r="M19" i="15"/>
  <c r="L19" i="15"/>
  <c r="N18" i="15"/>
  <c r="M18" i="15"/>
  <c r="L18" i="15"/>
  <c r="N17" i="15"/>
  <c r="M17" i="15"/>
  <c r="L17" i="15"/>
  <c r="N16" i="15"/>
  <c r="M16" i="15"/>
  <c r="L16" i="15"/>
  <c r="N15" i="15"/>
  <c r="M15" i="15"/>
  <c r="L15" i="15"/>
  <c r="N14" i="15"/>
  <c r="M14" i="15"/>
  <c r="L14" i="15"/>
  <c r="N13" i="15"/>
  <c r="M13" i="15"/>
  <c r="L13" i="15"/>
  <c r="N12" i="15"/>
  <c r="M12" i="15"/>
  <c r="L12" i="15"/>
  <c r="N11" i="15"/>
  <c r="M11" i="15"/>
  <c r="L11" i="15"/>
  <c r="N10" i="15"/>
  <c r="M10" i="15"/>
  <c r="L10" i="15"/>
  <c r="N9" i="15"/>
  <c r="M9" i="15"/>
  <c r="L9" i="15"/>
  <c r="D34" i="29"/>
  <c r="C34" i="29"/>
  <c r="B34" i="29"/>
  <c r="D34" i="28"/>
  <c r="C34" i="28"/>
  <c r="B34" i="28"/>
  <c r="D34" i="27"/>
  <c r="C34" i="27"/>
  <c r="B34" i="27"/>
  <c r="D34" i="26"/>
  <c r="C34" i="26"/>
  <c r="B34" i="26"/>
  <c r="D34" i="4"/>
  <c r="C34" i="4"/>
  <c r="D34" i="5"/>
  <c r="C34" i="5"/>
  <c r="D34" i="6"/>
  <c r="C34" i="6"/>
  <c r="D34" i="7"/>
  <c r="C34" i="7"/>
  <c r="D34" i="8"/>
  <c r="C34" i="8"/>
  <c r="D34" i="9"/>
  <c r="C34" i="9"/>
  <c r="D34" i="10"/>
  <c r="C34" i="10"/>
  <c r="D34" i="11"/>
  <c r="C34" i="11"/>
  <c r="D34" i="12"/>
  <c r="C34" i="12"/>
  <c r="D34" i="13"/>
  <c r="C34" i="13"/>
  <c r="D34" i="14"/>
  <c r="C34" i="14"/>
  <c r="D34" i="15"/>
  <c r="C34" i="15"/>
  <c r="D34" i="16"/>
  <c r="C34" i="16"/>
  <c r="D34" i="17"/>
  <c r="C34" i="17"/>
  <c r="D34" i="18"/>
  <c r="C34" i="18"/>
  <c r="D34" i="19"/>
  <c r="C34" i="19"/>
  <c r="D34" i="20"/>
  <c r="C34" i="20"/>
  <c r="D34" i="21"/>
  <c r="C34" i="21"/>
  <c r="D34" i="22"/>
  <c r="C34" i="22"/>
  <c r="D34" i="23"/>
  <c r="C34" i="23"/>
  <c r="D34" i="24"/>
  <c r="C34" i="24"/>
  <c r="D34" i="25"/>
  <c r="C34" i="25"/>
  <c r="B34" i="4"/>
  <c r="B34" i="5"/>
  <c r="B34" i="6"/>
  <c r="B34" i="7"/>
  <c r="B34" i="8"/>
  <c r="B34" i="9"/>
  <c r="B34" i="10"/>
  <c r="B34" i="11"/>
  <c r="B34" i="12"/>
  <c r="B34" i="13"/>
  <c r="B34" i="14"/>
  <c r="B34" i="15"/>
  <c r="B34" i="16"/>
  <c r="B34" i="17"/>
  <c r="B34" i="18"/>
  <c r="B34" i="19"/>
  <c r="B34" i="20"/>
  <c r="B34" i="21"/>
  <c r="B34" i="22"/>
  <c r="B34" i="23"/>
  <c r="B34" i="24"/>
  <c r="B34" i="25"/>
  <c r="H40" i="1" l="1"/>
  <c r="I41" i="1"/>
  <c r="G39" i="1"/>
  <c r="E10" i="1"/>
  <c r="E127" i="1" s="1"/>
  <c r="G45" i="1" l="1"/>
  <c r="G46" i="1"/>
  <c r="G47" i="1"/>
  <c r="G48" i="1"/>
  <c r="G44" i="1" l="1"/>
  <c r="G52" i="1" s="1"/>
  <c r="I50" i="1"/>
  <c r="I54" i="1" s="1"/>
  <c r="I61" i="1" s="1"/>
  <c r="H49" i="1"/>
  <c r="H53" i="1" s="1"/>
  <c r="H60" i="1" s="1"/>
  <c r="F55" i="1" l="1"/>
  <c r="G59" i="1"/>
  <c r="F62" i="1" s="1"/>
  <c r="E128" i="1" l="1"/>
  <c r="F66" i="1"/>
  <c r="I74" i="1" l="1"/>
  <c r="I105" i="1" s="1"/>
  <c r="I69" i="1"/>
  <c r="I100" i="1" s="1"/>
  <c r="I89" i="1"/>
  <c r="I120" i="1" s="1"/>
  <c r="I80" i="1"/>
  <c r="I111" i="1" s="1"/>
  <c r="I87" i="1"/>
  <c r="I118" i="1" s="1"/>
  <c r="H85" i="1"/>
  <c r="H116" i="1" s="1"/>
  <c r="I83" i="1"/>
  <c r="I114" i="1" s="1"/>
  <c r="I70" i="1"/>
  <c r="I101" i="1" s="1"/>
  <c r="G84" i="1"/>
  <c r="G115" i="1" s="1"/>
  <c r="G90" i="1"/>
  <c r="G121" i="1" s="1"/>
  <c r="I76" i="1"/>
  <c r="I107" i="1" s="1"/>
  <c r="H81" i="1"/>
  <c r="H112" i="1" s="1"/>
  <c r="G71" i="1"/>
  <c r="G102" i="1" s="1"/>
  <c r="H87" i="1"/>
  <c r="H118" i="1" s="1"/>
  <c r="I75" i="1"/>
  <c r="I106" i="1" s="1"/>
  <c r="I81" i="1"/>
  <c r="I112" i="1" s="1"/>
  <c r="G86" i="1"/>
  <c r="G117" i="1" s="1"/>
  <c r="H74" i="1"/>
  <c r="H105" i="1" s="1"/>
  <c r="I77" i="1"/>
  <c r="I108" i="1" s="1"/>
  <c r="I85" i="1"/>
  <c r="I116" i="1" s="1"/>
  <c r="G81" i="1"/>
  <c r="G112" i="1" s="1"/>
  <c r="H73" i="1"/>
  <c r="H104" i="1" s="1"/>
  <c r="G70" i="1"/>
  <c r="G101" i="1" s="1"/>
  <c r="H83" i="1"/>
  <c r="H114" i="1" s="1"/>
  <c r="G87" i="1"/>
  <c r="G118" i="1" s="1"/>
  <c r="G74" i="1"/>
  <c r="G105" i="1" s="1"/>
  <c r="G77" i="1"/>
  <c r="G108" i="1" s="1"/>
  <c r="H76" i="1"/>
  <c r="H107" i="1" s="1"/>
  <c r="I84" i="1"/>
  <c r="I115" i="1" s="1"/>
  <c r="G75" i="1"/>
  <c r="G106" i="1" s="1"/>
  <c r="G88" i="1"/>
  <c r="G119" i="1" s="1"/>
  <c r="H84" i="1"/>
  <c r="H115" i="1" s="1"/>
  <c r="G73" i="1"/>
  <c r="G104" i="1" s="1"/>
  <c r="G79" i="1"/>
  <c r="G110" i="1" s="1"/>
  <c r="H68" i="1"/>
  <c r="I68" i="1"/>
  <c r="G68" i="1"/>
  <c r="H86" i="1"/>
  <c r="H117" i="1" s="1"/>
  <c r="I78" i="1"/>
  <c r="I109" i="1" s="1"/>
  <c r="H80" i="1"/>
  <c r="H111" i="1" s="1"/>
  <c r="H90" i="1"/>
  <c r="H121" i="1" s="1"/>
  <c r="G89" i="1"/>
  <c r="G120" i="1" s="1"/>
  <c r="G76" i="1"/>
  <c r="G107" i="1" s="1"/>
  <c r="H89" i="1"/>
  <c r="H120" i="1" s="1"/>
  <c r="H82" i="1"/>
  <c r="H113" i="1" s="1"/>
  <c r="G80" i="1"/>
  <c r="G111" i="1" s="1"/>
  <c r="H78" i="1"/>
  <c r="H109" i="1" s="1"/>
  <c r="G69" i="1"/>
  <c r="G100" i="1" s="1"/>
  <c r="G72" i="1"/>
  <c r="G103" i="1" s="1"/>
  <c r="I90" i="1"/>
  <c r="I121" i="1" s="1"/>
  <c r="I79" i="1"/>
  <c r="I110" i="1" s="1"/>
  <c r="H91" i="1"/>
  <c r="H122" i="1" s="1"/>
  <c r="I91" i="1"/>
  <c r="I122" i="1" s="1"/>
  <c r="G82" i="1"/>
  <c r="G113" i="1" s="1"/>
  <c r="H70" i="1"/>
  <c r="H101" i="1" s="1"/>
  <c r="H77" i="1"/>
  <c r="H108" i="1" s="1"/>
  <c r="I72" i="1"/>
  <c r="I103" i="1" s="1"/>
  <c r="I71" i="1"/>
  <c r="I102" i="1" s="1"/>
  <c r="H69" i="1"/>
  <c r="H100" i="1" s="1"/>
  <c r="H71" i="1"/>
  <c r="H102" i="1" s="1"/>
  <c r="H79" i="1"/>
  <c r="H110" i="1" s="1"/>
  <c r="I86" i="1"/>
  <c r="I117" i="1" s="1"/>
  <c r="G91" i="1"/>
  <c r="G122" i="1" s="1"/>
  <c r="G78" i="1"/>
  <c r="G109" i="1" s="1"/>
  <c r="H72" i="1"/>
  <c r="H103" i="1" s="1"/>
  <c r="H75" i="1"/>
  <c r="H106" i="1" s="1"/>
  <c r="I88" i="1"/>
  <c r="I119" i="1" s="1"/>
  <c r="G85" i="1"/>
  <c r="G116" i="1" s="1"/>
  <c r="I73" i="1"/>
  <c r="I104" i="1" s="1"/>
  <c r="H88" i="1"/>
  <c r="H119" i="1" s="1"/>
  <c r="I82" i="1"/>
  <c r="I113" i="1" s="1"/>
  <c r="G83" i="1"/>
  <c r="G114" i="1" s="1"/>
  <c r="I99" i="1" l="1"/>
  <c r="I123" i="1" s="1"/>
  <c r="I125" i="1" s="1"/>
  <c r="I92" i="1"/>
  <c r="H99" i="1"/>
  <c r="H123" i="1" s="1"/>
  <c r="H125" i="1" s="1"/>
  <c r="H92" i="1"/>
  <c r="G99" i="1"/>
  <c r="G123" i="1" s="1"/>
  <c r="G125" i="1" s="1"/>
  <c r="G92" i="1"/>
  <c r="E125" i="1" l="1"/>
  <c r="E101" i="52" l="1"/>
  <c r="F101" i="52" s="1"/>
  <c r="E102" i="52" l="1"/>
  <c r="F102" i="52" s="1"/>
  <c r="E89" i="52"/>
  <c r="E93" i="52" l="1"/>
  <c r="F89" i="52"/>
  <c r="E96" i="52" l="1"/>
  <c r="E99" i="52" s="1"/>
  <c r="E94" i="52"/>
  <c r="F99" i="52" l="1"/>
  <c r="E111" i="52"/>
  <c r="E97" i="52"/>
  <c r="P9" i="16"/>
  <c r="P31" i="24"/>
  <c r="P20" i="5"/>
  <c r="R28" i="17"/>
  <c r="P25" i="17"/>
  <c r="P9" i="24"/>
  <c r="Q18" i="21"/>
  <c r="P27" i="7"/>
  <c r="P22" i="8"/>
  <c r="R28" i="19"/>
  <c r="Q30" i="18"/>
  <c r="P25" i="8"/>
  <c r="Q17" i="14"/>
  <c r="P27" i="14"/>
  <c r="R19" i="7"/>
  <c r="Q24" i="28"/>
  <c r="R30" i="20"/>
  <c r="P21" i="13"/>
  <c r="Q22" i="14"/>
  <c r="R28" i="20"/>
  <c r="R21" i="29"/>
  <c r="P24" i="7"/>
  <c r="R9" i="27"/>
  <c r="P32" i="25"/>
  <c r="P23" i="5"/>
  <c r="P22" i="19"/>
  <c r="Q26" i="9"/>
  <c r="P25" i="21"/>
  <c r="Q32" i="21"/>
  <c r="R9" i="7"/>
  <c r="Q30" i="11"/>
  <c r="P30" i="17"/>
  <c r="Q16" i="16"/>
  <c r="Q17" i="15"/>
  <c r="R22" i="8"/>
  <c r="R11" i="17"/>
  <c r="Q27" i="24"/>
  <c r="R9" i="26"/>
  <c r="R18" i="24"/>
  <c r="R20" i="18"/>
  <c r="Q11" i="11"/>
  <c r="R15" i="19"/>
  <c r="R20" i="19"/>
  <c r="R13" i="23"/>
  <c r="P17" i="26"/>
  <c r="P32" i="19"/>
  <c r="P30" i="21"/>
  <c r="P27" i="16"/>
  <c r="R22" i="11"/>
  <c r="Q17" i="10"/>
  <c r="Q24" i="7"/>
  <c r="R13" i="29"/>
  <c r="Q31" i="24"/>
  <c r="P24" i="8"/>
  <c r="R29" i="16"/>
  <c r="Q15" i="9"/>
  <c r="Q31" i="16"/>
  <c r="Q32" i="24"/>
  <c r="P12" i="29"/>
  <c r="Q21" i="26"/>
  <c r="R11" i="5"/>
  <c r="Q20" i="9"/>
  <c r="R19" i="19"/>
  <c r="Q25" i="29"/>
  <c r="Q13" i="10"/>
  <c r="R20" i="29"/>
  <c r="P23" i="12"/>
  <c r="P17" i="5"/>
  <c r="R15" i="18"/>
  <c r="R29" i="8"/>
  <c r="R24" i="15"/>
  <c r="P9" i="5"/>
  <c r="Q13" i="11"/>
  <c r="R23" i="5"/>
  <c r="R23" i="26"/>
  <c r="Q22" i="8"/>
  <c r="Q10" i="21"/>
  <c r="R22" i="19"/>
  <c r="P9" i="8"/>
  <c r="P17" i="7"/>
  <c r="Q23" i="23"/>
  <c r="Q17" i="6"/>
  <c r="R17" i="14"/>
  <c r="R30" i="9"/>
  <c r="Q28" i="5"/>
  <c r="P27" i="17"/>
  <c r="P26" i="11"/>
  <c r="Q9" i="4"/>
  <c r="Q17" i="24"/>
  <c r="R19" i="28"/>
  <c r="R24" i="8"/>
  <c r="R13" i="10"/>
  <c r="Q26" i="13"/>
  <c r="R20" i="15"/>
  <c r="P15" i="19"/>
  <c r="R22" i="26"/>
  <c r="R10" i="24"/>
  <c r="P18" i="27"/>
  <c r="Q31" i="20"/>
  <c r="Q25" i="27"/>
  <c r="R13" i="12"/>
  <c r="R32" i="7"/>
  <c r="Q32" i="26"/>
  <c r="Q19" i="17"/>
  <c r="P18" i="13"/>
  <c r="Q32" i="20"/>
  <c r="R23" i="16"/>
  <c r="R22" i="18"/>
  <c r="P18" i="16"/>
  <c r="R32" i="13"/>
  <c r="P23" i="26"/>
  <c r="Q29" i="12"/>
  <c r="R12" i="26"/>
  <c r="Q9" i="21"/>
  <c r="P19" i="6"/>
  <c r="Q25" i="23"/>
  <c r="P25" i="14"/>
  <c r="Q10" i="10"/>
  <c r="R25" i="15"/>
  <c r="R16" i="6"/>
  <c r="P17" i="19"/>
  <c r="R29" i="23"/>
  <c r="R23" i="8"/>
  <c r="P27" i="21"/>
  <c r="Q13" i="7"/>
  <c r="R10" i="15"/>
  <c r="Q11" i="6"/>
  <c r="Q14" i="29"/>
  <c r="P13" i="7"/>
  <c r="R10" i="12"/>
  <c r="R14" i="8"/>
  <c r="P12" i="17"/>
  <c r="P30" i="20"/>
  <c r="Q14" i="7"/>
  <c r="R29" i="5"/>
  <c r="Q17" i="26"/>
  <c r="R31" i="27"/>
  <c r="P25" i="16"/>
  <c r="Q21" i="25"/>
  <c r="Q13" i="6"/>
  <c r="Q17" i="28"/>
  <c r="Q32" i="25"/>
  <c r="P11" i="12"/>
  <c r="P20" i="8"/>
  <c r="P10" i="12"/>
  <c r="Q12" i="4"/>
  <c r="P11" i="27"/>
  <c r="Q26" i="14"/>
  <c r="Q13" i="13"/>
  <c r="R10" i="26"/>
  <c r="P24" i="6"/>
  <c r="R20" i="13"/>
  <c r="Q17" i="16"/>
  <c r="R24" i="14"/>
  <c r="Q27" i="17"/>
  <c r="Q30" i="7"/>
  <c r="R27" i="16"/>
  <c r="R31" i="23"/>
  <c r="P16" i="11"/>
  <c r="R10" i="23"/>
  <c r="R14" i="4"/>
  <c r="Q24" i="19"/>
  <c r="P23" i="13"/>
  <c r="R32" i="20"/>
  <c r="R28" i="16"/>
  <c r="P25" i="9"/>
  <c r="Q13" i="12"/>
  <c r="P20" i="19"/>
  <c r="R26" i="15"/>
  <c r="P18" i="29"/>
  <c r="R20" i="4"/>
  <c r="Q32" i="29"/>
  <c r="R23" i="24"/>
  <c r="Q26" i="18"/>
  <c r="P20" i="6"/>
  <c r="R25" i="21"/>
  <c r="R14" i="10"/>
  <c r="R27" i="17"/>
  <c r="R13" i="6"/>
  <c r="P24" i="10"/>
  <c r="R21" i="15"/>
  <c r="P22" i="29"/>
  <c r="R12" i="29"/>
  <c r="R27" i="25"/>
  <c r="P22" i="18"/>
  <c r="R18" i="11"/>
  <c r="Q10" i="26"/>
  <c r="R25" i="14"/>
  <c r="R26" i="5"/>
  <c r="P16" i="28"/>
  <c r="R26" i="11"/>
  <c r="Q15" i="24"/>
  <c r="R27" i="5"/>
  <c r="P30" i="18"/>
  <c r="R25" i="29"/>
  <c r="R21" i="12"/>
  <c r="P28" i="27"/>
  <c r="P24" i="9"/>
  <c r="P27" i="26"/>
  <c r="R14" i="22"/>
  <c r="Q11" i="15"/>
  <c r="P25" i="22"/>
  <c r="R17" i="28"/>
  <c r="R30" i="10"/>
  <c r="Q14" i="9"/>
  <c r="Q17" i="21"/>
  <c r="R30" i="5"/>
  <c r="R19" i="14"/>
  <c r="R30" i="8"/>
  <c r="R26" i="9"/>
  <c r="R18" i="15"/>
  <c r="R20" i="24"/>
  <c r="Q25" i="14"/>
  <c r="Q21" i="4"/>
  <c r="R9" i="29"/>
  <c r="R32" i="15"/>
  <c r="Q29" i="6"/>
  <c r="P32" i="20"/>
  <c r="P19" i="5"/>
  <c r="Q14" i="20"/>
  <c r="P31" i="10"/>
  <c r="Q31" i="12"/>
  <c r="R20" i="5"/>
  <c r="R28" i="8"/>
  <c r="R28" i="15"/>
  <c r="R16" i="5"/>
  <c r="Q23" i="20"/>
  <c r="Q28" i="25"/>
  <c r="R30" i="19"/>
  <c r="Q25" i="7"/>
  <c r="Q25" i="26"/>
  <c r="P12" i="12"/>
  <c r="Q16" i="12"/>
  <c r="P23" i="20"/>
  <c r="R24" i="11"/>
  <c r="P19" i="16"/>
  <c r="P18" i="6"/>
  <c r="R18" i="9"/>
  <c r="P11" i="18"/>
  <c r="Q19" i="26"/>
  <c r="R30" i="4"/>
  <c r="Q32" i="5"/>
  <c r="R29" i="27"/>
  <c r="P23" i="15"/>
  <c r="Q28" i="20"/>
  <c r="Q26" i="25"/>
  <c r="P28" i="13"/>
  <c r="Q26" i="11"/>
  <c r="R23" i="4"/>
  <c r="Q20" i="17"/>
  <c r="Q23" i="27"/>
  <c r="P29" i="13"/>
  <c r="P13" i="14"/>
  <c r="Q25" i="6"/>
  <c r="Q24" i="29"/>
  <c r="R20" i="9"/>
  <c r="P20" i="27"/>
  <c r="P29" i="14"/>
  <c r="R20" i="7"/>
  <c r="Q17" i="7"/>
  <c r="R22" i="4"/>
  <c r="P10" i="13"/>
  <c r="R26" i="6"/>
  <c r="R29" i="29"/>
  <c r="Q23" i="17"/>
  <c r="R14" i="14"/>
  <c r="Q25" i="19"/>
  <c r="R11" i="20"/>
  <c r="P15" i="11"/>
  <c r="R27" i="13"/>
  <c r="P9" i="10"/>
  <c r="P23" i="27"/>
  <c r="Q18" i="11"/>
  <c r="R17" i="9"/>
  <c r="Q14" i="16"/>
  <c r="R15" i="26"/>
  <c r="R29" i="20"/>
  <c r="Q28" i="7"/>
  <c r="R24" i="24"/>
  <c r="Q20" i="13"/>
  <c r="R25" i="23"/>
  <c r="Q12" i="28"/>
  <c r="Q19" i="13"/>
  <c r="P23" i="14"/>
  <c r="Q20" i="6"/>
  <c r="P14" i="16"/>
  <c r="R28" i="26"/>
  <c r="P15" i="9"/>
  <c r="P25" i="15"/>
  <c r="Q25" i="25"/>
  <c r="P32" i="5"/>
  <c r="Q12" i="16"/>
  <c r="P19" i="22"/>
  <c r="P26" i="24"/>
  <c r="R16" i="4"/>
  <c r="Q9" i="17"/>
  <c r="Q29" i="11"/>
  <c r="R27" i="10"/>
  <c r="Q14" i="13"/>
  <c r="Q21" i="11"/>
  <c r="Q10" i="4"/>
  <c r="Q20" i="4"/>
  <c r="Q21" i="14"/>
  <c r="Q23" i="10"/>
  <c r="Q10" i="9"/>
  <c r="R11" i="10"/>
  <c r="Q10" i="25"/>
  <c r="P28" i="22"/>
  <c r="P11" i="6"/>
  <c r="R22" i="27"/>
  <c r="P29" i="8"/>
  <c r="R15" i="13"/>
  <c r="R25" i="18"/>
  <c r="P9" i="26"/>
  <c r="R17" i="12"/>
  <c r="P18" i="24"/>
  <c r="P22" i="21"/>
  <c r="P17" i="24"/>
  <c r="Q23" i="22"/>
  <c r="P11" i="5"/>
  <c r="Q30" i="10"/>
  <c r="P12" i="15"/>
  <c r="P18" i="17"/>
  <c r="P17" i="6"/>
  <c r="P31" i="20"/>
  <c r="P27" i="4"/>
  <c r="P28" i="16"/>
  <c r="P22" i="4"/>
  <c r="P15" i="17"/>
  <c r="Q15" i="22"/>
  <c r="P31" i="19"/>
  <c r="P15" i="13"/>
  <c r="Q20" i="21"/>
  <c r="R17" i="17"/>
  <c r="Q16" i="7"/>
  <c r="P18" i="10"/>
  <c r="R21" i="21"/>
  <c r="R13" i="13"/>
  <c r="Q15" i="4"/>
  <c r="P24" i="12"/>
  <c r="P19" i="21"/>
  <c r="P12" i="5"/>
  <c r="P10" i="11"/>
  <c r="P20" i="12"/>
  <c r="P24" i="21"/>
  <c r="Q14" i="15"/>
  <c r="Q18" i="20"/>
  <c r="Q24" i="11"/>
  <c r="R24" i="26"/>
  <c r="Q19" i="15"/>
  <c r="Q28" i="9"/>
  <c r="P24" i="11"/>
  <c r="Q28" i="17"/>
  <c r="Q25" i="15"/>
  <c r="P22" i="20"/>
  <c r="R31" i="14"/>
  <c r="R28" i="10"/>
  <c r="R31" i="18"/>
  <c r="Q11" i="4"/>
  <c r="R17" i="24"/>
  <c r="P12" i="10"/>
  <c r="Q14" i="27"/>
  <c r="R21" i="28"/>
  <c r="P24" i="26"/>
  <c r="R29" i="4"/>
  <c r="R32" i="27"/>
  <c r="R9" i="9"/>
  <c r="Q29" i="9"/>
  <c r="P24" i="20"/>
  <c r="Q28" i="8"/>
  <c r="R28" i="25"/>
  <c r="P17" i="22"/>
  <c r="P18" i="26"/>
  <c r="Q25" i="10"/>
  <c r="Q31" i="25"/>
  <c r="P24" i="28"/>
  <c r="R21" i="22"/>
  <c r="P20" i="24"/>
  <c r="R15" i="5"/>
  <c r="R31" i="26"/>
  <c r="Q29" i="29"/>
  <c r="P9" i="22"/>
  <c r="P22" i="14"/>
  <c r="Q15" i="28"/>
  <c r="Q9" i="18"/>
  <c r="Q32" i="18"/>
  <c r="Q29" i="18"/>
  <c r="P31" i="7"/>
  <c r="R12" i="28"/>
  <c r="P11" i="15"/>
  <c r="Q14" i="4"/>
  <c r="Q24" i="23"/>
  <c r="Q29" i="15"/>
  <c r="P21" i="23"/>
  <c r="R10" i="5"/>
  <c r="P27" i="25"/>
  <c r="P17" i="11"/>
  <c r="Q19" i="6"/>
  <c r="P27" i="19"/>
  <c r="Q11" i="10"/>
  <c r="P27" i="12"/>
  <c r="R15" i="17"/>
  <c r="Q17" i="9"/>
  <c r="R12" i="24"/>
  <c r="P22" i="11"/>
  <c r="R26" i="8"/>
  <c r="P23" i="24"/>
  <c r="R18" i="18"/>
  <c r="P13" i="19"/>
  <c r="Q11" i="16"/>
  <c r="R29" i="17"/>
  <c r="Q18" i="8"/>
  <c r="Q21" i="20"/>
  <c r="R23" i="9"/>
  <c r="Q29" i="16"/>
  <c r="Q10" i="29"/>
  <c r="R21" i="5"/>
  <c r="R14" i="20"/>
  <c r="P21" i="14"/>
  <c r="P28" i="20"/>
  <c r="P29" i="9"/>
  <c r="R15" i="10"/>
  <c r="R9" i="17"/>
  <c r="P21" i="20"/>
  <c r="Q20" i="14"/>
  <c r="R28" i="24"/>
  <c r="Q29" i="5"/>
  <c r="R25" i="5"/>
  <c r="P31" i="14"/>
  <c r="R24" i="13"/>
  <c r="R13" i="19"/>
  <c r="Q14" i="23"/>
  <c r="Q31" i="13"/>
  <c r="Q29" i="28"/>
  <c r="Q11" i="28"/>
  <c r="Q15" i="8"/>
  <c r="P24" i="24"/>
  <c r="R19" i="10"/>
  <c r="R9" i="5"/>
  <c r="R21" i="17"/>
  <c r="R19" i="17"/>
  <c r="Q26" i="15"/>
  <c r="R14" i="28"/>
  <c r="Q23" i="21"/>
  <c r="P9" i="12"/>
  <c r="P31" i="26"/>
  <c r="Q23" i="25"/>
  <c r="R9" i="4"/>
  <c r="P26" i="18"/>
  <c r="Q19" i="24"/>
  <c r="P31" i="8"/>
  <c r="P16" i="6"/>
  <c r="P17" i="27"/>
  <c r="P11" i="29"/>
  <c r="Q16" i="17"/>
  <c r="P9" i="29"/>
  <c r="Q15" i="6"/>
  <c r="P29" i="10"/>
  <c r="R32" i="11"/>
  <c r="Q22" i="11"/>
  <c r="Q24" i="15"/>
  <c r="Q9" i="16"/>
  <c r="R12" i="12"/>
  <c r="P13" i="25"/>
  <c r="P29" i="7"/>
  <c r="R13" i="8"/>
  <c r="R26" i="18"/>
  <c r="R20" i="20"/>
  <c r="R28" i="29"/>
  <c r="R26" i="22"/>
  <c r="R11" i="24"/>
  <c r="R9" i="25"/>
  <c r="P22" i="9"/>
  <c r="R20" i="16"/>
  <c r="R26" i="23"/>
  <c r="P21" i="9"/>
  <c r="P15" i="21"/>
  <c r="R9" i="6"/>
  <c r="R15" i="12"/>
  <c r="P28" i="14"/>
  <c r="R15" i="20"/>
  <c r="Q18" i="24"/>
  <c r="Q25" i="18"/>
  <c r="P22" i="6"/>
  <c r="R18" i="4"/>
  <c r="Q28" i="19"/>
  <c r="Q9" i="23"/>
  <c r="Q31" i="6"/>
  <c r="R31" i="17"/>
  <c r="P11" i="4"/>
  <c r="Q28" i="18"/>
  <c r="P30" i="23"/>
  <c r="P32" i="14"/>
  <c r="P30" i="11"/>
  <c r="P11" i="21"/>
  <c r="P32" i="9"/>
  <c r="R23" i="15"/>
  <c r="R29" i="18"/>
  <c r="R17" i="27"/>
  <c r="Q14" i="6"/>
  <c r="R20" i="6"/>
  <c r="P19" i="20"/>
  <c r="R18" i="14"/>
  <c r="Q29" i="25"/>
  <c r="R20" i="12"/>
  <c r="R27" i="21"/>
  <c r="P24" i="22"/>
  <c r="R16" i="8"/>
  <c r="R31" i="9"/>
  <c r="P9" i="6"/>
  <c r="R9" i="21"/>
  <c r="Q18" i="25"/>
  <c r="Q29" i="24"/>
  <c r="R15" i="24"/>
  <c r="P26" i="5"/>
  <c r="P32" i="10"/>
  <c r="Q10" i="13"/>
  <c r="P19" i="14"/>
  <c r="Q12" i="21"/>
  <c r="Q11" i="22"/>
  <c r="P17" i="21"/>
  <c r="P30" i="6"/>
  <c r="R10" i="8"/>
  <c r="Q12" i="13"/>
  <c r="R22" i="10"/>
  <c r="R24" i="20"/>
  <c r="Q15" i="21"/>
  <c r="R17" i="8"/>
  <c r="Q27" i="10"/>
  <c r="Q14" i="26"/>
  <c r="R32" i="14"/>
  <c r="R26" i="10"/>
  <c r="Q17" i="18"/>
  <c r="R18" i="27"/>
  <c r="R24" i="10"/>
  <c r="P14" i="29"/>
  <c r="P22" i="25"/>
  <c r="Q26" i="19"/>
  <c r="Q12" i="26"/>
  <c r="P9" i="7"/>
  <c r="P22" i="27"/>
  <c r="P14" i="14"/>
  <c r="Q28" i="14"/>
  <c r="P30" i="26"/>
  <c r="Q13" i="17"/>
  <c r="P16" i="5"/>
  <c r="P28" i="5"/>
  <c r="R26" i="4"/>
  <c r="R30" i="28"/>
  <c r="P15" i="16"/>
  <c r="P24" i="19"/>
  <c r="Q9" i="12"/>
  <c r="R16" i="26"/>
  <c r="R30" i="6"/>
  <c r="R18" i="7"/>
  <c r="P26" i="29"/>
  <c r="P15" i="5"/>
  <c r="Q16" i="26"/>
  <c r="Q18" i="29"/>
  <c r="Q25" i="8"/>
  <c r="R23" i="14"/>
  <c r="P27" i="8"/>
  <c r="R25" i="9"/>
  <c r="Q19" i="7"/>
  <c r="Q25" i="21"/>
  <c r="R30" i="26"/>
  <c r="P17" i="17"/>
  <c r="R9" i="11"/>
  <c r="P26" i="9"/>
  <c r="Q22" i="12"/>
  <c r="Q32" i="16"/>
  <c r="Q32" i="4"/>
  <c r="Q11" i="21"/>
  <c r="Q30" i="19"/>
  <c r="P14" i="22"/>
  <c r="R21" i="16"/>
  <c r="Q23" i="7"/>
  <c r="R12" i="17"/>
  <c r="Q30" i="21"/>
  <c r="R27" i="15"/>
  <c r="P20" i="9"/>
  <c r="R28" i="7"/>
  <c r="Q31" i="22"/>
  <c r="Q16" i="10"/>
  <c r="P32" i="28"/>
  <c r="P14" i="13"/>
  <c r="P16" i="10"/>
  <c r="P24" i="29"/>
  <c r="P26" i="14"/>
  <c r="Q28" i="12"/>
  <c r="P17" i="10"/>
  <c r="P29" i="27"/>
  <c r="P9" i="15"/>
  <c r="P12" i="22"/>
  <c r="P14" i="5"/>
  <c r="P17" i="8"/>
  <c r="R14" i="16"/>
  <c r="R22" i="23"/>
  <c r="R26" i="12"/>
  <c r="R13" i="18"/>
  <c r="P13" i="15"/>
  <c r="R25" i="10"/>
  <c r="R13" i="25"/>
  <c r="R23" i="18"/>
  <c r="R12" i="7"/>
  <c r="R23" i="10"/>
  <c r="R14" i="9"/>
  <c r="P20" i="4"/>
  <c r="P13" i="16"/>
  <c r="R11" i="21"/>
  <c r="P14" i="7"/>
  <c r="P10" i="6"/>
  <c r="Q27" i="27"/>
  <c r="R16" i="20"/>
  <c r="R23" i="23"/>
  <c r="Q18" i="9"/>
  <c r="Q12" i="5"/>
  <c r="P24" i="23"/>
  <c r="R9" i="28"/>
  <c r="P14" i="24"/>
  <c r="R15" i="7"/>
  <c r="P20" i="25"/>
  <c r="Q24" i="20"/>
  <c r="P18" i="12"/>
  <c r="P29" i="15"/>
  <c r="Q30" i="25"/>
  <c r="R16" i="12"/>
  <c r="P16" i="12"/>
  <c r="R20" i="17"/>
  <c r="P28" i="17"/>
  <c r="Q11" i="7"/>
  <c r="R24" i="12"/>
  <c r="P13" i="21"/>
  <c r="P13" i="20"/>
  <c r="R31" i="11"/>
  <c r="R21" i="10"/>
  <c r="Q15" i="14"/>
  <c r="Q19" i="8"/>
  <c r="Q10" i="6"/>
  <c r="Q19" i="18"/>
  <c r="R15" i="22"/>
  <c r="R11" i="12"/>
  <c r="R28" i="23"/>
  <c r="Q20" i="26"/>
  <c r="P17" i="23"/>
  <c r="P28" i="11"/>
  <c r="R27" i="26"/>
  <c r="Q11" i="26"/>
  <c r="R10" i="27"/>
  <c r="Q27" i="5"/>
  <c r="Q27" i="21"/>
  <c r="P23" i="16"/>
  <c r="P31" i="17"/>
  <c r="R9" i="13"/>
  <c r="Q17" i="12"/>
  <c r="R10" i="19"/>
  <c r="R20" i="23"/>
  <c r="R27" i="9"/>
  <c r="P9" i="18"/>
  <c r="R17" i="19"/>
  <c r="P19" i="15"/>
  <c r="R26" i="13"/>
  <c r="R31" i="6"/>
  <c r="P24" i="5"/>
  <c r="R17" i="23"/>
  <c r="Q21" i="10"/>
  <c r="Q26" i="4"/>
  <c r="Q24" i="22"/>
  <c r="Q11" i="23"/>
  <c r="Q12" i="11"/>
  <c r="P12" i="9"/>
  <c r="R20" i="14"/>
  <c r="Q19" i="14"/>
  <c r="P11" i="28"/>
  <c r="Q18" i="4"/>
  <c r="R17" i="10"/>
  <c r="P27" i="20"/>
  <c r="R27" i="11"/>
  <c r="P31" i="27"/>
  <c r="P15" i="29"/>
  <c r="Q9" i="13"/>
  <c r="P29" i="6"/>
  <c r="P18" i="23"/>
  <c r="Q15" i="15"/>
  <c r="R18" i="5"/>
  <c r="Q10" i="8"/>
  <c r="R10" i="11"/>
  <c r="Q25" i="22"/>
  <c r="P19" i="10"/>
  <c r="P26" i="16"/>
  <c r="P10" i="28"/>
  <c r="P10" i="27"/>
  <c r="P18" i="11"/>
  <c r="Q15" i="10"/>
  <c r="Q24" i="8"/>
  <c r="R19" i="27"/>
  <c r="P22" i="15"/>
  <c r="R20" i="10"/>
  <c r="Q10" i="27"/>
  <c r="P16" i="8"/>
  <c r="Q15" i="19"/>
  <c r="Q30" i="29"/>
  <c r="R19" i="22"/>
  <c r="R31" i="22"/>
  <c r="R14" i="29"/>
  <c r="P10" i="5"/>
  <c r="R30" i="24"/>
  <c r="P27" i="13"/>
  <c r="P25" i="7"/>
  <c r="Q30" i="8"/>
  <c r="P21" i="11"/>
  <c r="Q19" i="9"/>
  <c r="Q27" i="7"/>
  <c r="R25" i="22"/>
  <c r="R10" i="20"/>
  <c r="Q24" i="18"/>
  <c r="R27" i="23"/>
  <c r="Q30" i="22"/>
  <c r="R10" i="28"/>
  <c r="R28" i="22"/>
  <c r="P14" i="23"/>
  <c r="P29" i="21"/>
  <c r="P14" i="21"/>
  <c r="P15" i="6"/>
  <c r="P14" i="28"/>
  <c r="R21" i="14"/>
  <c r="P16" i="7"/>
  <c r="Q25" i="5"/>
  <c r="Q28" i="21"/>
  <c r="P28" i="15"/>
  <c r="Q10" i="19"/>
  <c r="P15" i="20"/>
  <c r="Q12" i="8"/>
  <c r="R32" i="10"/>
  <c r="R24" i="25"/>
  <c r="Q32" i="7"/>
  <c r="P21" i="16"/>
  <c r="R16" i="28"/>
  <c r="P23" i="22"/>
  <c r="R19" i="16"/>
  <c r="P22" i="24"/>
  <c r="R28" i="13"/>
  <c r="R28" i="28"/>
  <c r="Q22" i="13"/>
  <c r="P24" i="18"/>
  <c r="P9" i="17"/>
  <c r="P23" i="18"/>
  <c r="R26" i="26"/>
  <c r="R9" i="18"/>
  <c r="P19" i="29"/>
  <c r="P24" i="4"/>
  <c r="R18" i="28"/>
  <c r="Q24" i="13"/>
  <c r="P15" i="24"/>
  <c r="Q16" i="24"/>
  <c r="P23" i="29"/>
  <c r="P31" i="4"/>
  <c r="Q26" i="6"/>
  <c r="P30" i="16"/>
  <c r="R17" i="7"/>
  <c r="R10" i="22"/>
  <c r="P11" i="23"/>
  <c r="Q24" i="26"/>
  <c r="Q23" i="13"/>
  <c r="Q23" i="28"/>
  <c r="R18" i="21"/>
  <c r="Q12" i="22"/>
  <c r="P12" i="23"/>
  <c r="Q31" i="29"/>
  <c r="Q32" i="19"/>
  <c r="Q29" i="27"/>
  <c r="Q27" i="28"/>
  <c r="R14" i="11"/>
  <c r="Q22" i="28"/>
  <c r="Q21" i="17"/>
  <c r="R15" i="28"/>
  <c r="Q29" i="20"/>
  <c r="P12" i="21"/>
  <c r="R31" i="28"/>
  <c r="R30" i="21"/>
  <c r="R25" i="17"/>
  <c r="P24" i="27"/>
  <c r="P32" i="6"/>
  <c r="P29" i="20"/>
  <c r="R11" i="11"/>
  <c r="R25" i="8"/>
  <c r="R29" i="19"/>
  <c r="Q15" i="27"/>
  <c r="Q19" i="27"/>
  <c r="Q19" i="4"/>
  <c r="P22" i="17"/>
  <c r="Q18" i="28"/>
  <c r="P28" i="12"/>
  <c r="Q31" i="18"/>
  <c r="Q30" i="13"/>
  <c r="Q14" i="21"/>
  <c r="P27" i="29"/>
  <c r="R22" i="6"/>
  <c r="Q18" i="26"/>
  <c r="Q19" i="29"/>
  <c r="P23" i="28"/>
  <c r="R21" i="19"/>
  <c r="P15" i="27"/>
  <c r="P31" i="28"/>
  <c r="R20" i="21"/>
  <c r="P11" i="16"/>
  <c r="R29" i="28"/>
  <c r="R16" i="21"/>
  <c r="R24" i="29"/>
  <c r="P31" i="12"/>
  <c r="Q15" i="29"/>
  <c r="R16" i="22"/>
  <c r="R24" i="4"/>
  <c r="P32" i="27"/>
  <c r="P16" i="17"/>
  <c r="Q12" i="27"/>
  <c r="Q11" i="25"/>
  <c r="R29" i="25"/>
  <c r="P10" i="20"/>
  <c r="P30" i="15"/>
  <c r="R17" i="18"/>
  <c r="R26" i="21"/>
  <c r="R17" i="13"/>
  <c r="Q22" i="4"/>
  <c r="R12" i="10"/>
  <c r="Q12" i="7"/>
  <c r="Q30" i="4"/>
  <c r="R10" i="17"/>
  <c r="Q32" i="15"/>
  <c r="P10" i="24"/>
  <c r="R24" i="17"/>
  <c r="P13" i="26"/>
  <c r="R28" i="11"/>
  <c r="P21" i="10"/>
  <c r="Q19" i="28"/>
  <c r="P23" i="8"/>
  <c r="Q22" i="22"/>
  <c r="R30" i="18"/>
  <c r="P20" i="20"/>
  <c r="R20" i="26"/>
  <c r="P9" i="25"/>
  <c r="Q23" i="14"/>
  <c r="Q27" i="22"/>
  <c r="P9" i="20"/>
  <c r="P18" i="7"/>
  <c r="R16" i="9"/>
  <c r="Q28" i="16"/>
  <c r="Q30" i="23"/>
  <c r="P30" i="24"/>
  <c r="R31" i="24"/>
  <c r="R24" i="5"/>
  <c r="R30" i="22"/>
  <c r="R20" i="28"/>
  <c r="R19" i="29"/>
  <c r="Q23" i="11"/>
  <c r="Q26" i="23"/>
  <c r="R23" i="11"/>
  <c r="Q16" i="8"/>
  <c r="P23" i="17"/>
  <c r="Q9" i="8"/>
  <c r="P13" i="11"/>
  <c r="R11" i="14"/>
  <c r="R9" i="10"/>
  <c r="Q21" i="8"/>
  <c r="Q25" i="13"/>
  <c r="R21" i="9"/>
  <c r="P11" i="19"/>
  <c r="Q22" i="24"/>
  <c r="R17" i="22"/>
  <c r="P9" i="9"/>
  <c r="Q22" i="25"/>
  <c r="Q30" i="12"/>
  <c r="R10" i="25"/>
  <c r="P13" i="17"/>
  <c r="R25" i="28"/>
  <c r="Q18" i="18"/>
  <c r="Q30" i="16"/>
  <c r="P18" i="18"/>
  <c r="R13" i="4"/>
  <c r="Q22" i="6"/>
  <c r="R12" i="22"/>
  <c r="P14" i="26"/>
  <c r="Q14" i="19"/>
  <c r="Q14" i="8"/>
  <c r="P27" i="5"/>
  <c r="P20" i="28"/>
  <c r="Q16" i="21"/>
  <c r="P12" i="16"/>
  <c r="R29" i="21"/>
  <c r="P12" i="4"/>
  <c r="Q26" i="20"/>
  <c r="Q10" i="28"/>
  <c r="P9" i="13"/>
  <c r="R28" i="14"/>
  <c r="Q22" i="27"/>
  <c r="Q21" i="6"/>
  <c r="P28" i="9"/>
  <c r="P31" i="15"/>
  <c r="P20" i="21"/>
  <c r="Q30" i="27"/>
  <c r="R25" i="7"/>
  <c r="R32" i="23"/>
  <c r="Q30" i="15"/>
  <c r="Q14" i="14"/>
  <c r="P12" i="24"/>
  <c r="R14" i="25"/>
  <c r="P20" i="16"/>
  <c r="P16" i="14"/>
  <c r="Q13" i="15"/>
  <c r="Q24" i="6"/>
  <c r="Q30" i="9"/>
  <c r="P27" i="10"/>
  <c r="P16" i="4"/>
  <c r="R19" i="20"/>
  <c r="Q31" i="9"/>
  <c r="P18" i="8"/>
  <c r="R17" i="21"/>
  <c r="P27" i="27"/>
  <c r="P23" i="10"/>
  <c r="Q13" i="26"/>
  <c r="R27" i="24"/>
  <c r="R14" i="6"/>
  <c r="P27" i="28"/>
  <c r="R21" i="18"/>
  <c r="P18" i="22"/>
  <c r="Q17" i="20"/>
  <c r="Q27" i="19"/>
  <c r="P11" i="11"/>
  <c r="P29" i="28"/>
  <c r="Q12" i="9"/>
  <c r="Q19" i="11"/>
  <c r="R9" i="15"/>
  <c r="R12" i="21"/>
  <c r="Q28" i="23"/>
  <c r="P27" i="24"/>
  <c r="R11" i="19"/>
  <c r="R30" i="23"/>
  <c r="R30" i="17"/>
  <c r="Q21" i="29"/>
  <c r="Q20" i="24"/>
  <c r="P19" i="9"/>
  <c r="Q27" i="23"/>
  <c r="Q26" i="5"/>
  <c r="R29" i="26"/>
  <c r="R17" i="29"/>
  <c r="P31" i="23"/>
  <c r="R22" i="24"/>
  <c r="R25" i="26"/>
  <c r="R28" i="12"/>
  <c r="Q29" i="21"/>
  <c r="R11" i="8"/>
  <c r="Q12" i="17"/>
  <c r="P21" i="7"/>
  <c r="R19" i="26"/>
  <c r="Q24" i="25"/>
  <c r="Q29" i="4"/>
  <c r="R12" i="18"/>
  <c r="Q17" i="17"/>
  <c r="P32" i="4"/>
  <c r="Q28" i="11"/>
  <c r="P22" i="7"/>
  <c r="Q29" i="26"/>
  <c r="P28" i="19"/>
  <c r="Q24" i="10"/>
  <c r="P23" i="21"/>
  <c r="R29" i="10"/>
  <c r="Q20" i="15"/>
  <c r="Q29" i="19"/>
  <c r="P31" i="13"/>
  <c r="Q20" i="29"/>
  <c r="R24" i="23"/>
  <c r="R19" i="5"/>
  <c r="P14" i="12"/>
  <c r="P13" i="29"/>
  <c r="R27" i="4"/>
  <c r="Q30" i="28"/>
  <c r="R23" i="7"/>
  <c r="R21" i="8"/>
  <c r="R12" i="23"/>
  <c r="P16" i="23"/>
  <c r="R29" i="6"/>
  <c r="R28" i="5"/>
  <c r="Q30" i="14"/>
  <c r="P14" i="20"/>
  <c r="P22" i="5"/>
  <c r="P26" i="21"/>
  <c r="P26" i="17"/>
  <c r="Q23" i="29"/>
  <c r="Q18" i="14"/>
  <c r="R11" i="26"/>
  <c r="Q19" i="21"/>
  <c r="Q14" i="24"/>
  <c r="R22" i="25"/>
  <c r="Q24" i="17"/>
  <c r="Q15" i="5"/>
  <c r="Q23" i="19"/>
  <c r="P21" i="22"/>
  <c r="R15" i="21"/>
  <c r="P25" i="5"/>
  <c r="R19" i="21"/>
  <c r="P24" i="15"/>
  <c r="Q27" i="14"/>
  <c r="R18" i="22"/>
  <c r="R15" i="16"/>
  <c r="Q22" i="21"/>
  <c r="Q22" i="23"/>
  <c r="R10" i="16"/>
  <c r="P11" i="14"/>
  <c r="P23" i="23"/>
  <c r="P26" i="4"/>
  <c r="P32" i="29"/>
  <c r="R32" i="26"/>
  <c r="R24" i="28"/>
  <c r="R22" i="28"/>
  <c r="P9" i="27"/>
  <c r="Q32" i="28"/>
  <c r="Q18" i="6"/>
  <c r="P22" i="10"/>
  <c r="Q24" i="21"/>
  <c r="P9" i="4"/>
  <c r="Q11" i="19"/>
  <c r="R26" i="7"/>
  <c r="P19" i="13"/>
  <c r="P14" i="25"/>
  <c r="R11" i="16"/>
  <c r="P22" i="16"/>
  <c r="R14" i="13"/>
  <c r="R16" i="23"/>
  <c r="R15" i="25"/>
  <c r="R28" i="18"/>
  <c r="P18" i="5"/>
  <c r="R19" i="4"/>
  <c r="Q21" i="21"/>
  <c r="Q31" i="8"/>
  <c r="Q13" i="20"/>
  <c r="R21" i="13"/>
  <c r="P21" i="28"/>
  <c r="P25" i="6"/>
  <c r="P26" i="13"/>
  <c r="R11" i="22"/>
  <c r="R28" i="9"/>
  <c r="P17" i="4"/>
  <c r="P32" i="21"/>
  <c r="Q27" i="12"/>
  <c r="P14" i="4"/>
  <c r="P10" i="7"/>
  <c r="P12" i="19"/>
  <c r="R32" i="25"/>
  <c r="P29" i="25"/>
  <c r="R24" i="16"/>
  <c r="R18" i="16"/>
  <c r="Q17" i="22"/>
  <c r="Q26" i="17"/>
  <c r="P26" i="20"/>
  <c r="R13" i="21"/>
  <c r="Q30" i="26"/>
  <c r="P11" i="22"/>
  <c r="Q20" i="10"/>
  <c r="R28" i="4"/>
  <c r="R23" i="20"/>
  <c r="P12" i="28"/>
  <c r="P30" i="4"/>
  <c r="Q27" i="8"/>
  <c r="Q16" i="15"/>
  <c r="Q25" i="20"/>
  <c r="P18" i="4"/>
  <c r="R12" i="19"/>
  <c r="P11" i="17"/>
  <c r="P19" i="18"/>
  <c r="R26" i="20"/>
  <c r="P14" i="19"/>
  <c r="P10" i="19"/>
  <c r="R11" i="29"/>
  <c r="Q21" i="22"/>
  <c r="Q11" i="17"/>
  <c r="Q30" i="20"/>
  <c r="P32" i="23"/>
  <c r="Q31" i="26"/>
  <c r="Q10" i="22"/>
  <c r="Q28" i="24"/>
  <c r="Q31" i="5"/>
  <c r="P28" i="29"/>
  <c r="Q15" i="18"/>
  <c r="P24" i="25"/>
  <c r="Q16" i="4"/>
  <c r="Q13" i="23"/>
  <c r="Q10" i="18"/>
  <c r="R28" i="21"/>
  <c r="R19" i="25"/>
  <c r="Q23" i="4"/>
  <c r="P26" i="23"/>
  <c r="R22" i="21"/>
  <c r="P15" i="22"/>
  <c r="P19" i="28"/>
  <c r="P26" i="25"/>
  <c r="Q25" i="4"/>
  <c r="R23" i="27"/>
  <c r="P13" i="22"/>
  <c r="Q13" i="28"/>
  <c r="R13" i="9"/>
  <c r="R17" i="25"/>
  <c r="P30" i="14"/>
  <c r="Q15" i="26"/>
  <c r="P29" i="16"/>
  <c r="R16" i="24"/>
  <c r="R22" i="5"/>
  <c r="R32" i="24"/>
  <c r="R19" i="11"/>
  <c r="R26" i="17"/>
  <c r="Q22" i="15"/>
  <c r="R29" i="11"/>
  <c r="R31" i="4"/>
  <c r="P10" i="26"/>
  <c r="Q11" i="27"/>
  <c r="Q10" i="20"/>
  <c r="P22" i="22"/>
  <c r="R21" i="27"/>
  <c r="P11" i="7"/>
  <c r="P30" i="12"/>
  <c r="P21" i="17"/>
  <c r="P14" i="18"/>
  <c r="Q10" i="15"/>
  <c r="P24" i="16"/>
  <c r="R27" i="29"/>
  <c r="Q9" i="24"/>
  <c r="P19" i="19"/>
  <c r="Q29" i="14"/>
  <c r="P18" i="14"/>
  <c r="R27" i="12"/>
  <c r="R23" i="19"/>
  <c r="Q23" i="24"/>
  <c r="P16" i="24"/>
  <c r="Q27" i="18"/>
  <c r="R13" i="5"/>
  <c r="R16" i="27"/>
  <c r="P14" i="15"/>
  <c r="Q23" i="5"/>
  <c r="R16" i="17"/>
  <c r="P29" i="19"/>
  <c r="R10" i="21"/>
  <c r="R10" i="14"/>
  <c r="R17" i="16"/>
  <c r="R24" i="6"/>
  <c r="R15" i="14"/>
  <c r="P28" i="24"/>
  <c r="P32" i="15"/>
  <c r="Q11" i="5"/>
  <c r="P31" i="25"/>
  <c r="R21" i="6"/>
  <c r="P29" i="11"/>
  <c r="P30" i="9"/>
  <c r="R22" i="29"/>
  <c r="P26" i="7"/>
  <c r="P20" i="26"/>
  <c r="Q26" i="16"/>
  <c r="P21" i="15"/>
  <c r="R26" i="25"/>
  <c r="R32" i="17"/>
  <c r="P26" i="22"/>
  <c r="P15" i="8"/>
  <c r="Q12" i="18"/>
  <c r="P32" i="24"/>
  <c r="P12" i="25"/>
  <c r="R9" i="16"/>
  <c r="Q12" i="25"/>
  <c r="P17" i="18"/>
  <c r="P16" i="27"/>
  <c r="P12" i="26"/>
  <c r="R25" i="24"/>
  <c r="P15" i="18"/>
  <c r="Q16" i="29"/>
  <c r="P31" i="5"/>
  <c r="P13" i="13"/>
  <c r="P25" i="29"/>
  <c r="R15" i="9"/>
  <c r="Q28" i="4"/>
  <c r="P20" i="29"/>
  <c r="Q15" i="7"/>
  <c r="R28" i="27"/>
  <c r="Q20" i="11"/>
  <c r="P19" i="8"/>
  <c r="R24" i="7"/>
  <c r="P22" i="26"/>
  <c r="P13" i="12"/>
  <c r="R21" i="23"/>
  <c r="P21" i="6"/>
  <c r="R27" i="27"/>
  <c r="Q21" i="24"/>
  <c r="P27" i="9"/>
  <c r="Q22" i="10"/>
  <c r="R19" i="15"/>
  <c r="P24" i="17"/>
  <c r="P14" i="9"/>
  <c r="Q23" i="26"/>
  <c r="Q9" i="10"/>
  <c r="P26" i="28"/>
  <c r="R22" i="14"/>
  <c r="Q21" i="19"/>
  <c r="Q31" i="17"/>
  <c r="R31" i="19"/>
  <c r="P11" i="9"/>
  <c r="Q11" i="24"/>
  <c r="Q28" i="26"/>
  <c r="P30" i="22"/>
  <c r="P25" i="4"/>
  <c r="Q14" i="10"/>
  <c r="R14" i="7"/>
  <c r="P13" i="9"/>
  <c r="P21" i="8"/>
  <c r="R21" i="26"/>
  <c r="R18" i="6"/>
  <c r="R30" i="12"/>
  <c r="R19" i="13"/>
  <c r="Q28" i="6"/>
  <c r="R9" i="24"/>
  <c r="R32" i="4"/>
  <c r="Q32" i="6"/>
  <c r="P30" i="25"/>
  <c r="Q29" i="17"/>
  <c r="P13" i="27"/>
  <c r="Q21" i="7"/>
  <c r="Q17" i="8"/>
  <c r="P12" i="11"/>
  <c r="P23" i="11"/>
  <c r="Q32" i="10"/>
  <c r="R31" i="15"/>
  <c r="P18" i="21"/>
  <c r="R26" i="28"/>
  <c r="Q9" i="11"/>
  <c r="Q20" i="12"/>
  <c r="P14" i="17"/>
  <c r="P29" i="29"/>
  <c r="P31" i="9"/>
  <c r="Q9" i="27"/>
  <c r="R19" i="8"/>
  <c r="P20" i="14"/>
  <c r="P31" i="21"/>
  <c r="Q19" i="20"/>
  <c r="R14" i="17"/>
  <c r="R30" i="13"/>
  <c r="Q22" i="20"/>
  <c r="P20" i="23"/>
  <c r="R30" i="14"/>
  <c r="P31" i="18"/>
  <c r="Q21" i="18"/>
  <c r="R18" i="26"/>
  <c r="Q13" i="16"/>
  <c r="R12" i="8"/>
  <c r="Q32" i="12"/>
  <c r="P10" i="23"/>
  <c r="R21" i="7"/>
  <c r="R21" i="24"/>
  <c r="P21" i="5"/>
  <c r="R20" i="8"/>
  <c r="R30" i="25"/>
  <c r="R31" i="7"/>
  <c r="R14" i="19"/>
  <c r="R32" i="8"/>
  <c r="P26" i="26"/>
  <c r="Q25" i="11"/>
  <c r="Q28" i="28"/>
  <c r="Q13" i="24"/>
  <c r="Q19" i="23"/>
  <c r="P16" i="25"/>
  <c r="R31" i="8"/>
  <c r="R24" i="9"/>
  <c r="Q31" i="28"/>
  <c r="P14" i="8"/>
  <c r="Q10" i="11"/>
  <c r="P14" i="6"/>
  <c r="R29" i="12"/>
  <c r="R9" i="23"/>
  <c r="P30" i="19"/>
  <c r="P30" i="7"/>
  <c r="P15" i="14"/>
  <c r="R12" i="25"/>
  <c r="P29" i="17"/>
  <c r="Q20" i="25"/>
  <c r="P9" i="14"/>
  <c r="P27" i="18"/>
  <c r="R31" i="12"/>
  <c r="P32" i="13"/>
  <c r="R22" i="22"/>
  <c r="P21" i="25"/>
  <c r="P17" i="29"/>
  <c r="R17" i="5"/>
  <c r="P12" i="14"/>
  <c r="Q13" i="14"/>
  <c r="R26" i="29"/>
  <c r="Q27" i="16"/>
  <c r="Q23" i="6"/>
  <c r="R15" i="8"/>
  <c r="Q15" i="13"/>
  <c r="P16" i="15"/>
  <c r="P17" i="12"/>
  <c r="R11" i="9"/>
  <c r="Q31" i="4"/>
  <c r="P29" i="22"/>
  <c r="P16" i="29"/>
  <c r="R19" i="12"/>
  <c r="Q9" i="28"/>
  <c r="R29" i="9"/>
  <c r="P20" i="11"/>
  <c r="P15" i="23"/>
  <c r="R11" i="4"/>
  <c r="R21" i="11"/>
  <c r="Q10" i="16"/>
  <c r="Q18" i="7"/>
  <c r="R25" i="20"/>
  <c r="R25" i="16"/>
  <c r="P19" i="24"/>
  <c r="Q31" i="11"/>
  <c r="Q14" i="28"/>
  <c r="Q27" i="4"/>
  <c r="Q24" i="9"/>
  <c r="R18" i="12"/>
  <c r="R28" i="6"/>
  <c r="R13" i="28"/>
  <c r="R14" i="26"/>
  <c r="R13" i="17"/>
  <c r="R29" i="15"/>
  <c r="Q28" i="27"/>
  <c r="R19" i="24"/>
  <c r="P29" i="4"/>
  <c r="R15" i="4"/>
  <c r="Q23" i="9"/>
  <c r="P13" i="28"/>
  <c r="R21" i="25"/>
  <c r="P18" i="20"/>
  <c r="Q9" i="26"/>
  <c r="R14" i="18"/>
  <c r="R12" i="13"/>
  <c r="Q13" i="5"/>
  <c r="P13" i="23"/>
  <c r="Q11" i="9"/>
  <c r="R18" i="20"/>
  <c r="P23" i="9"/>
  <c r="Q19" i="19"/>
  <c r="P28" i="28"/>
  <c r="R27" i="28"/>
  <c r="R24" i="27"/>
  <c r="P13" i="4"/>
  <c r="R29" i="22"/>
  <c r="P14" i="11"/>
  <c r="Q18" i="10"/>
  <c r="R31" i="10"/>
  <c r="R32" i="21"/>
  <c r="P19" i="25"/>
  <c r="R12" i="16"/>
  <c r="Q27" i="20"/>
  <c r="P29" i="26"/>
  <c r="R11" i="15"/>
  <c r="Q16" i="27"/>
  <c r="R9" i="8"/>
  <c r="P14" i="10"/>
  <c r="P11" i="8"/>
  <c r="Q20" i="7"/>
  <c r="R10" i="29"/>
  <c r="R16" i="19"/>
  <c r="Q28" i="29"/>
  <c r="Q13" i="27"/>
  <c r="R13" i="11"/>
  <c r="Q17" i="25"/>
  <c r="Q26" i="29"/>
  <c r="R23" i="25"/>
  <c r="R14" i="24"/>
  <c r="Q24" i="4"/>
  <c r="P28" i="10"/>
  <c r="R20" i="27"/>
  <c r="Q26" i="10"/>
  <c r="Q26" i="7"/>
  <c r="R32" i="12"/>
  <c r="R15" i="23"/>
  <c r="R9" i="12"/>
  <c r="Q27" i="29"/>
  <c r="R31" i="16"/>
  <c r="Q22" i="16"/>
  <c r="R11" i="7"/>
  <c r="Q20" i="5"/>
  <c r="R18" i="10"/>
  <c r="R9" i="22"/>
  <c r="R27" i="14"/>
  <c r="P31" i="29"/>
  <c r="R12" i="14"/>
  <c r="Q31" i="19"/>
  <c r="P32" i="8"/>
  <c r="P11" i="20"/>
  <c r="R16" i="16"/>
  <c r="Q14" i="11"/>
  <c r="R25" i="19"/>
  <c r="P25" i="28"/>
  <c r="P26" i="27"/>
  <c r="R27" i="19"/>
  <c r="P21" i="29"/>
  <c r="Q15" i="11"/>
  <c r="R32" i="5"/>
  <c r="Q26" i="26"/>
  <c r="Q9" i="29"/>
  <c r="Q25" i="24"/>
  <c r="R24" i="21"/>
  <c r="P23" i="4"/>
  <c r="Q25" i="17"/>
  <c r="Q20" i="8"/>
  <c r="R17" i="4"/>
  <c r="Q23" i="16"/>
  <c r="P13" i="8"/>
  <c r="Q27" i="15"/>
  <c r="Q32" i="9"/>
  <c r="P27" i="22"/>
  <c r="R14" i="27"/>
  <c r="Q12" i="6"/>
  <c r="P25" i="19"/>
  <c r="P24" i="14"/>
  <c r="Q10" i="23"/>
  <c r="Q18" i="13"/>
  <c r="R10" i="10"/>
  <c r="P17" i="9"/>
  <c r="R15" i="29"/>
  <c r="Q16" i="14"/>
  <c r="Q9" i="6"/>
  <c r="P26" i="10"/>
  <c r="P11" i="26"/>
  <c r="R21" i="4"/>
  <c r="R16" i="18"/>
  <c r="Q21" i="5"/>
  <c r="Q17" i="23"/>
  <c r="P12" i="6"/>
  <c r="Q32" i="22"/>
  <c r="Q18" i="22"/>
  <c r="Q26" i="21"/>
  <c r="R13" i="22"/>
  <c r="Q32" i="11"/>
  <c r="Q28" i="13"/>
  <c r="Q12" i="20"/>
  <c r="R22" i="7"/>
  <c r="R23" i="29"/>
  <c r="Q31" i="27"/>
  <c r="P19" i="27"/>
  <c r="R15" i="6"/>
  <c r="P26" i="8"/>
  <c r="Q18" i="27"/>
  <c r="Q29" i="8"/>
  <c r="P13" i="6"/>
  <c r="P11" i="24"/>
  <c r="R32" i="22"/>
  <c r="R31" i="21"/>
  <c r="Q21" i="23"/>
  <c r="Q12" i="15"/>
  <c r="P28" i="25"/>
  <c r="Q13" i="21"/>
  <c r="R15" i="27"/>
  <c r="Q18" i="15"/>
  <c r="R23" i="13"/>
  <c r="R31" i="29"/>
  <c r="P16" i="19"/>
  <c r="Q19" i="5"/>
  <c r="Q18" i="16"/>
  <c r="R10" i="4"/>
  <c r="Q16" i="22"/>
  <c r="P19" i="7"/>
  <c r="Q32" i="17"/>
  <c r="R30" i="15"/>
  <c r="P21" i="18"/>
  <c r="Q32" i="8"/>
  <c r="R18" i="8"/>
  <c r="P23" i="25"/>
  <c r="R23" i="21"/>
  <c r="R13" i="15"/>
  <c r="P25" i="23"/>
  <c r="R16" i="25"/>
  <c r="P20" i="13"/>
  <c r="R13" i="14"/>
  <c r="P28" i="8"/>
  <c r="Q22" i="9"/>
  <c r="Q29" i="10"/>
  <c r="Q11" i="29"/>
  <c r="Q16" i="28"/>
  <c r="R20" i="25"/>
  <c r="P10" i="9"/>
  <c r="Q30" i="24"/>
  <c r="R11" i="25"/>
  <c r="Q18" i="12"/>
  <c r="R16" i="11"/>
  <c r="R31" i="20"/>
  <c r="Q19" i="22"/>
  <c r="P20" i="17"/>
  <c r="Q26" i="27"/>
  <c r="P19" i="12"/>
  <c r="R23" i="12"/>
  <c r="R16" i="13"/>
  <c r="P10" i="15"/>
  <c r="Q21" i="13"/>
  <c r="P18" i="25"/>
  <c r="Q12" i="19"/>
  <c r="P17" i="14"/>
  <c r="R14" i="21"/>
  <c r="Q31" i="14"/>
  <c r="P25" i="25"/>
  <c r="P31" i="11"/>
  <c r="P19" i="23"/>
  <c r="Q18" i="23"/>
  <c r="R24" i="22"/>
  <c r="R23" i="17"/>
  <c r="P14" i="27"/>
  <c r="R12" i="5"/>
  <c r="P32" i="26"/>
  <c r="R11" i="23"/>
  <c r="Q9" i="9"/>
  <c r="R26" i="27"/>
  <c r="Q11" i="12"/>
  <c r="R27" i="18"/>
  <c r="R16" i="10"/>
  <c r="P30" i="8"/>
  <c r="Q28" i="15"/>
  <c r="R26" i="14"/>
  <c r="Q14" i="5"/>
  <c r="P22" i="23"/>
  <c r="P32" i="16"/>
  <c r="P25" i="13"/>
  <c r="P15" i="25"/>
  <c r="Q14" i="12"/>
  <c r="R24" i="19"/>
  <c r="Q32" i="27"/>
  <c r="Q31" i="10"/>
  <c r="R27" i="20"/>
  <c r="R16" i="29"/>
  <c r="Q9" i="7"/>
  <c r="Q21" i="28"/>
  <c r="R32" i="9"/>
  <c r="Q17" i="13"/>
  <c r="R17" i="11"/>
  <c r="Q11" i="20"/>
  <c r="Q21" i="15"/>
  <c r="P28" i="23"/>
  <c r="P27" i="6"/>
  <c r="Q19" i="25"/>
  <c r="P29" i="5"/>
  <c r="Q21" i="16"/>
  <c r="R11" i="13"/>
  <c r="Q10" i="24"/>
  <c r="P17" i="16"/>
  <c r="P30" i="13"/>
  <c r="R13" i="7"/>
  <c r="R24" i="18"/>
  <c r="R14" i="12"/>
  <c r="P28" i="26"/>
  <c r="P21" i="27"/>
  <c r="P19" i="4"/>
  <c r="Q31" i="7"/>
  <c r="P20" i="18"/>
  <c r="R26" i="19"/>
  <c r="P28" i="4"/>
  <c r="Q9" i="20"/>
  <c r="P16" i="16"/>
  <c r="Q13" i="19"/>
  <c r="R22" i="13"/>
  <c r="P15" i="28"/>
  <c r="R25" i="6"/>
  <c r="Q22" i="19"/>
  <c r="Q9" i="5"/>
  <c r="R23" i="6"/>
  <c r="Q16" i="13"/>
  <c r="P20" i="10"/>
  <c r="Q14" i="22"/>
  <c r="Q17" i="27"/>
  <c r="Q16" i="25"/>
  <c r="R26" i="16"/>
  <c r="P21" i="19"/>
  <c r="P11" i="13"/>
  <c r="R29" i="7"/>
  <c r="R11" i="27"/>
  <c r="P13" i="18"/>
  <c r="P17" i="20"/>
  <c r="P20" i="22"/>
  <c r="Q13" i="25"/>
  <c r="P32" i="18"/>
  <c r="P21" i="4"/>
  <c r="P9" i="11"/>
  <c r="R10" i="9"/>
  <c r="R18" i="25"/>
  <c r="Q29" i="13"/>
  <c r="R13" i="24"/>
  <c r="Q27" i="9"/>
  <c r="P12" i="18"/>
  <c r="P13" i="5"/>
  <c r="Q15" i="12"/>
  <c r="R14" i="15"/>
  <c r="P11" i="10"/>
  <c r="Q19" i="12"/>
  <c r="Q22" i="29"/>
  <c r="P12" i="13"/>
  <c r="R25" i="13"/>
  <c r="R11" i="6"/>
  <c r="R12" i="20"/>
  <c r="P20" i="15"/>
  <c r="P13" i="10"/>
  <c r="R31" i="5"/>
  <c r="P28" i="18"/>
  <c r="Q20" i="18"/>
  <c r="P10" i="22"/>
  <c r="P10" i="25"/>
  <c r="R30" i="16"/>
  <c r="R32" i="29"/>
  <c r="Q14" i="17"/>
  <c r="R18" i="17"/>
  <c r="P29" i="12"/>
  <c r="P28" i="6"/>
  <c r="R29" i="14"/>
  <c r="R17" i="20"/>
  <c r="P28" i="7"/>
  <c r="P18" i="19"/>
  <c r="P25" i="27"/>
  <c r="Q12" i="24"/>
  <c r="P27" i="11"/>
  <c r="R9" i="14"/>
  <c r="R16" i="14"/>
  <c r="R17" i="26"/>
  <c r="P15" i="7"/>
  <c r="R22" i="20"/>
  <c r="Q9" i="19"/>
  <c r="R11" i="28"/>
  <c r="Q26" i="12"/>
  <c r="P30" i="27"/>
  <c r="P16" i="20"/>
  <c r="Q24" i="14"/>
  <c r="P10" i="10"/>
  <c r="R20" i="11"/>
  <c r="R15" i="11"/>
  <c r="P25" i="24"/>
  <c r="R19" i="6"/>
  <c r="P31" i="6"/>
  <c r="P10" i="29"/>
  <c r="Q28" i="10"/>
  <c r="R15" i="15"/>
  <c r="P10" i="14"/>
  <c r="Q28" i="22"/>
  <c r="R13" i="20"/>
  <c r="P25" i="18"/>
  <c r="Q26" i="8"/>
  <c r="R29" i="24"/>
  <c r="R14" i="5"/>
  <c r="Q25" i="16"/>
  <c r="R31" i="13"/>
  <c r="R17" i="15"/>
  <c r="R22" i="15"/>
  <c r="R25" i="12"/>
  <c r="R26" i="24"/>
  <c r="Q12" i="10"/>
  <c r="P26" i="12"/>
  <c r="Q25" i="28"/>
  <c r="P31" i="22"/>
  <c r="P23" i="6"/>
  <c r="Q22" i="7"/>
  <c r="R31" i="25"/>
  <c r="Q24" i="12"/>
  <c r="R9" i="20"/>
  <c r="P10" i="18"/>
  <c r="Q16" i="11"/>
  <c r="R19" i="23"/>
  <c r="P25" i="10"/>
  <c r="P15" i="4"/>
  <c r="R12" i="11"/>
  <c r="Q20" i="22"/>
  <c r="Q19" i="10"/>
  <c r="P9" i="19"/>
  <c r="P15" i="10"/>
  <c r="Q32" i="23"/>
  <c r="Q17" i="5"/>
  <c r="R20" i="22"/>
  <c r="Q17" i="11"/>
  <c r="P28" i="21"/>
  <c r="Q17" i="4"/>
  <c r="Q16" i="20"/>
  <c r="Q31" i="23"/>
  <c r="P12" i="8"/>
  <c r="R21" i="20"/>
  <c r="P25" i="11"/>
  <c r="P16" i="18"/>
  <c r="R13" i="27"/>
  <c r="Q31" i="15"/>
  <c r="Q30" i="17"/>
  <c r="P16" i="22"/>
  <c r="Q16" i="19"/>
  <c r="P19" i="11"/>
  <c r="Q13" i="4"/>
  <c r="P27" i="15"/>
  <c r="P30" i="10"/>
  <c r="R19" i="18"/>
  <c r="P29" i="23"/>
  <c r="Q11" i="8"/>
  <c r="P17" i="13"/>
  <c r="Q18" i="17"/>
  <c r="P29" i="18"/>
  <c r="P32" i="22"/>
  <c r="Q25" i="9"/>
  <c r="Q22" i="18"/>
  <c r="Q26" i="28"/>
  <c r="Q20" i="16"/>
  <c r="Q13" i="29"/>
  <c r="R16" i="7"/>
  <c r="P24" i="13"/>
  <c r="P32" i="17"/>
  <c r="Q16" i="5"/>
  <c r="P27" i="23"/>
  <c r="P26" i="19"/>
  <c r="Q17" i="19"/>
  <c r="R18" i="13"/>
  <c r="Q23" i="15"/>
  <c r="Q24" i="16"/>
  <c r="P9" i="28"/>
  <c r="P12" i="20"/>
  <c r="R23" i="22"/>
  <c r="Q32" i="13"/>
  <c r="P21" i="26"/>
  <c r="P13" i="24"/>
  <c r="R32" i="28"/>
  <c r="Q18" i="5"/>
  <c r="Q11" i="13"/>
  <c r="P10" i="16"/>
  <c r="Q14" i="25"/>
  <c r="P32" i="11"/>
  <c r="Q10" i="14"/>
  <c r="P17" i="25"/>
  <c r="P18" i="9"/>
  <c r="Q11" i="14"/>
  <c r="Q13" i="22"/>
  <c r="R27" i="7"/>
  <c r="P19" i="17"/>
  <c r="P9" i="23"/>
  <c r="Q12" i="29"/>
  <c r="P15" i="26"/>
  <c r="Q27" i="6"/>
  <c r="P21" i="24"/>
  <c r="P15" i="15"/>
  <c r="R12" i="6"/>
  <c r="R12" i="27"/>
  <c r="R11" i="18"/>
  <c r="P25" i="20"/>
  <c r="R18" i="23"/>
  <c r="Q12" i="14"/>
  <c r="Q24" i="24"/>
  <c r="P26" i="6"/>
  <c r="Q31" i="21"/>
  <c r="Q20" i="27"/>
  <c r="Q26" i="24"/>
  <c r="P16" i="26"/>
  <c r="R9" i="19"/>
  <c r="P10" i="21"/>
  <c r="P32" i="12"/>
  <c r="Q23" i="8"/>
  <c r="R10" i="18"/>
  <c r="R30" i="7"/>
  <c r="R10" i="13"/>
  <c r="P17" i="15"/>
  <c r="P18" i="28"/>
  <c r="P16" i="21"/>
  <c r="R32" i="18"/>
  <c r="Q9" i="14"/>
  <c r="P25" i="12"/>
  <c r="P17" i="28"/>
  <c r="R27" i="8"/>
  <c r="P25" i="26"/>
  <c r="R22" i="9"/>
  <c r="Q27" i="11"/>
  <c r="Q21" i="9"/>
  <c r="R29" i="13"/>
  <c r="Q10" i="5"/>
  <c r="P10" i="4"/>
  <c r="R25" i="4"/>
  <c r="R32" i="16"/>
  <c r="R30" i="29"/>
  <c r="R27" i="6"/>
  <c r="Q27" i="25"/>
  <c r="Q24" i="5"/>
  <c r="P12" i="27"/>
  <c r="Q11" i="18"/>
  <c r="Q14" i="18"/>
  <c r="P18" i="15"/>
  <c r="P21" i="21"/>
  <c r="R12" i="4"/>
  <c r="R25" i="27"/>
  <c r="Q16" i="23"/>
  <c r="Q13" i="18"/>
  <c r="R10" i="6"/>
  <c r="P22" i="28"/>
  <c r="Q20" i="23"/>
  <c r="R22" i="16"/>
  <c r="P30" i="5"/>
  <c r="Q16" i="18"/>
  <c r="P29" i="24"/>
  <c r="R27" i="22"/>
  <c r="R19" i="9"/>
  <c r="Q25" i="12"/>
  <c r="Q27" i="26"/>
  <c r="P23" i="7"/>
  <c r="P15" i="12"/>
  <c r="P31" i="16"/>
  <c r="Q20" i="28"/>
  <c r="R25" i="25"/>
  <c r="P16" i="13"/>
  <c r="Q18" i="19"/>
  <c r="Q10" i="7"/>
  <c r="Q15" i="16"/>
  <c r="R23" i="28"/>
  <c r="R13" i="16"/>
  <c r="R18" i="29"/>
  <c r="R10" i="7"/>
  <c r="Q12" i="23"/>
  <c r="R32" i="6"/>
  <c r="R22" i="17"/>
  <c r="Q22" i="17"/>
  <c r="Q10" i="17"/>
  <c r="Q13" i="9"/>
  <c r="P9" i="21"/>
  <c r="Q30" i="5"/>
  <c r="R12" i="15"/>
  <c r="Q15" i="23"/>
  <c r="Q32" i="14"/>
  <c r="Q15" i="17"/>
  <c r="Q24" i="27"/>
  <c r="P21" i="12"/>
  <c r="R22" i="12"/>
  <c r="Q15" i="25"/>
  <c r="Q21" i="27"/>
  <c r="P10" i="8"/>
  <c r="P11" i="25"/>
  <c r="Q29" i="22"/>
  <c r="Q10" i="12"/>
  <c r="Q30" i="6"/>
  <c r="Q12" i="12"/>
  <c r="Q20" i="19"/>
  <c r="Q13" i="8"/>
  <c r="P20" i="7"/>
  <c r="Q22" i="5"/>
  <c r="P12" i="7"/>
  <c r="P26" i="15"/>
  <c r="Q29" i="23"/>
  <c r="Q9" i="25"/>
  <c r="R16" i="15"/>
  <c r="P22" i="12"/>
  <c r="Q23" i="18"/>
  <c r="Q19" i="16"/>
  <c r="R30" i="27"/>
  <c r="R25" i="11"/>
  <c r="Q9" i="15"/>
  <c r="P19" i="26"/>
  <c r="Q26" i="22"/>
  <c r="R14" i="23"/>
  <c r="Q22" i="26"/>
  <c r="R30" i="11"/>
  <c r="Q21" i="12"/>
  <c r="P10" i="17"/>
  <c r="Q15" i="20"/>
  <c r="Q16" i="9"/>
  <c r="R13" i="26"/>
  <c r="Q23" i="12"/>
  <c r="Q29" i="7"/>
  <c r="Q20" i="20"/>
  <c r="R12" i="9"/>
  <c r="P30" i="28"/>
  <c r="P16" i="9"/>
  <c r="P32" i="7"/>
  <c r="Q9" i="22"/>
  <c r="R32" i="19"/>
  <c r="R18" i="19"/>
  <c r="P23" i="19"/>
  <c r="P30" i="29"/>
  <c r="P22" i="13"/>
  <c r="R17" i="6"/>
  <c r="Q16" i="6"/>
  <c r="Q27" i="13"/>
  <c r="Q17" i="29"/>
  <c r="E112" i="52" l="1"/>
  <c r="J88" i="52"/>
  <c r="F111" i="52"/>
  <c r="I93" i="61" l="1"/>
  <c r="E96" i="61"/>
  <c r="E99" i="61" s="1"/>
  <c r="E100" i="61" s="1"/>
  <c r="N114" i="61" l="1"/>
  <c r="E103" i="61"/>
  <c r="I101" i="61"/>
  <c r="E104" i="61" l="1"/>
  <c r="G101" i="61" s="1"/>
  <c r="I103" i="61"/>
  <c r="I104" i="61" l="1"/>
  <c r="E112" i="61"/>
  <c r="M73" i="61" l="1"/>
  <c r="I112" i="61"/>
  <c r="J59" i="52" l="1"/>
  <c r="E60" i="52"/>
  <c r="F60" i="52"/>
  <c r="E64" i="52"/>
  <c r="C65" i="52"/>
  <c r="E65" i="52"/>
  <c r="E67" i="52"/>
  <c r="E68" i="52"/>
  <c r="E70" i="52"/>
  <c r="F70" i="52"/>
  <c r="B71" i="52"/>
  <c r="C71" i="52"/>
  <c r="E71" i="52"/>
  <c r="E72" i="52"/>
  <c r="F72" i="52"/>
  <c r="E73" i="52"/>
  <c r="F73" i="52"/>
  <c r="E83" i="52"/>
  <c r="F83" i="52"/>
  <c r="K87" i="52"/>
  <c r="E60" i="55"/>
  <c r="F60" i="55"/>
  <c r="E64" i="55"/>
  <c r="E65" i="55"/>
  <c r="E67" i="55"/>
  <c r="E68" i="55"/>
  <c r="E70" i="55"/>
  <c r="F70" i="55"/>
  <c r="E71" i="55"/>
  <c r="E72" i="55"/>
  <c r="F72" i="55"/>
  <c r="E73" i="55"/>
  <c r="F73" i="55"/>
  <c r="E43" i="53"/>
  <c r="F43" i="53"/>
  <c r="G43" i="53"/>
  <c r="H43" i="53"/>
  <c r="I43" i="53"/>
  <c r="J43" i="53"/>
  <c r="K43" i="53"/>
  <c r="L43" i="53"/>
  <c r="M43" i="53"/>
  <c r="N43" i="53"/>
  <c r="O43" i="53"/>
  <c r="E47" i="53"/>
  <c r="F47" i="53"/>
  <c r="G47" i="53"/>
  <c r="H47" i="53"/>
  <c r="I47" i="53"/>
  <c r="J47" i="53"/>
  <c r="K47" i="53"/>
  <c r="L47" i="53"/>
  <c r="M47" i="53"/>
  <c r="N47" i="53"/>
  <c r="O47" i="53"/>
  <c r="E58" i="53"/>
  <c r="F58" i="53"/>
  <c r="G58" i="53"/>
  <c r="H58" i="53"/>
  <c r="I58" i="53"/>
  <c r="J58" i="53"/>
  <c r="K58" i="53"/>
  <c r="L58" i="53"/>
  <c r="M58" i="53"/>
  <c r="N58" i="53"/>
  <c r="O58" i="53"/>
  <c r="E59" i="53"/>
  <c r="F59" i="53"/>
  <c r="G59" i="53"/>
  <c r="H59" i="53"/>
  <c r="I59" i="53"/>
  <c r="J59" i="53"/>
  <c r="K59" i="53"/>
  <c r="L59" i="53"/>
  <c r="M59" i="53"/>
  <c r="N59" i="53"/>
  <c r="O59" i="53"/>
  <c r="E61" i="53"/>
  <c r="F61" i="53"/>
  <c r="G61" i="53"/>
  <c r="H61" i="53"/>
  <c r="I61" i="53"/>
  <c r="J61" i="53"/>
  <c r="K61" i="53"/>
  <c r="L61" i="53"/>
  <c r="M61" i="53"/>
  <c r="N61" i="53"/>
  <c r="O61" i="53"/>
  <c r="E62" i="53"/>
  <c r="F62" i="53"/>
  <c r="G62" i="53"/>
  <c r="H62" i="53"/>
  <c r="I62" i="53"/>
  <c r="J62" i="53"/>
  <c r="K62" i="53"/>
  <c r="L62" i="53"/>
  <c r="M62" i="53"/>
  <c r="N62" i="53"/>
  <c r="O62" i="53"/>
  <c r="E63" i="53"/>
  <c r="F63" i="53"/>
  <c r="G63" i="53"/>
  <c r="H63" i="53"/>
  <c r="I63" i="53"/>
  <c r="J63" i="53"/>
  <c r="K63" i="53"/>
  <c r="L63" i="53"/>
  <c r="M63" i="53"/>
  <c r="N63" i="53"/>
  <c r="O63" i="53"/>
  <c r="E64" i="53"/>
  <c r="F64" i="53"/>
  <c r="G64" i="53"/>
  <c r="H64" i="53"/>
  <c r="I64" i="53"/>
  <c r="J64" i="53"/>
  <c r="K64" i="53"/>
  <c r="L64" i="53"/>
  <c r="M64" i="53"/>
  <c r="N64" i="53"/>
  <c r="O64" i="5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Laurent</author>
  </authors>
  <commentList>
    <comment ref="E4" authorId="0" shapeId="0" xr:uid="{6FE5C444-644A-462B-AEBC-F37E52486F5B}">
      <text>
        <r>
          <rPr>
            <b/>
            <sz val="8"/>
            <color indexed="81"/>
            <rFont val="Tahoma"/>
            <family val="2"/>
          </rPr>
          <t>Laurent:</t>
        </r>
        <r>
          <rPr>
            <sz val="8"/>
            <color indexed="81"/>
            <rFont val="Tahoma"/>
            <family val="2"/>
          </rPr>
          <t xml:space="preserve">
Actual value in this calculation step</t>
        </r>
      </text>
    </comment>
    <comment ref="F4" authorId="0" shapeId="0" xr:uid="{E5AF8740-F137-4D62-B01C-84F2F32C8880}">
      <text>
        <r>
          <rPr>
            <b/>
            <sz val="8"/>
            <color indexed="81"/>
            <rFont val="Tahoma"/>
            <family val="2"/>
          </rPr>
          <t>Laurent:</t>
        </r>
        <r>
          <rPr>
            <sz val="8"/>
            <color indexed="81"/>
            <rFont val="Tahoma"/>
            <family val="2"/>
          </rPr>
          <t xml:space="preserve">
Indicate the correct range for this value. This information can be used for input validation.</t>
        </r>
      </text>
    </comment>
    <comment ref="G4" authorId="0" shapeId="0" xr:uid="{FA393434-944B-41D5-A01B-D5E486070000}">
      <text>
        <r>
          <rPr>
            <b/>
            <sz val="8"/>
            <color indexed="81"/>
            <rFont val="Tahoma"/>
            <family val="2"/>
          </rPr>
          <t>Laurent:</t>
        </r>
        <r>
          <rPr>
            <sz val="8"/>
            <color indexed="81"/>
            <rFont val="Tahoma"/>
            <family val="2"/>
          </rPr>
          <t xml:space="preserve">
Mandatory to indicate either "local" or the code of the originating module or standard </t>
        </r>
      </text>
    </comment>
    <comment ref="H4" authorId="0" shapeId="0" xr:uid="{34800222-C4EE-47AC-A9ED-1646CA827E5B}">
      <text>
        <r>
          <rPr>
            <b/>
            <sz val="8"/>
            <color indexed="81"/>
            <rFont val="Tahoma"/>
            <family val="2"/>
          </rPr>
          <t>Laurent:</t>
        </r>
        <r>
          <rPr>
            <sz val="8"/>
            <color indexed="81"/>
            <rFont val="Tahoma"/>
            <family val="2"/>
          </rPr>
          <t xml:space="preserve">
Means if this value changes from one time-step to the other </t>
        </r>
      </text>
    </comment>
  </commentList>
</comments>
</file>

<file path=xl/sharedStrings.xml><?xml version="1.0" encoding="utf-8"?>
<sst xmlns="http://schemas.openxmlformats.org/spreadsheetml/2006/main" count="3443" uniqueCount="1288">
  <si>
    <t>Fabbisogno UNI TS 11300-2</t>
  </si>
  <si>
    <t>l/gg m²</t>
  </si>
  <si>
    <t>Fabbisogno specifico</t>
  </si>
  <si>
    <t>Fabbisogno giornaliero</t>
  </si>
  <si>
    <t>l/gg</t>
  </si>
  <si>
    <t>Lunedì</t>
  </si>
  <si>
    <t>Martedì</t>
  </si>
  <si>
    <t>Mercoledì</t>
  </si>
  <si>
    <t>Giovedì</t>
  </si>
  <si>
    <t>Venerdì</t>
  </si>
  <si>
    <t>Sabato</t>
  </si>
  <si>
    <t>Domenica</t>
  </si>
  <si>
    <t>Totale</t>
  </si>
  <si>
    <t>Ora</t>
  </si>
  <si>
    <t>Feriale</t>
  </si>
  <si>
    <t>Festivo</t>
  </si>
  <si>
    <t>Giorni</t>
  </si>
  <si>
    <t>n</t>
  </si>
  <si>
    <t>Unità</t>
  </si>
  <si>
    <t>Fattore di conversione medio</t>
  </si>
  <si>
    <t>p.u.</t>
  </si>
  <si>
    <t>&lt;-- valore relativo del fabbisogno nell'ora, unità di misura arbitraria purchè uniforme</t>
  </si>
  <si>
    <t>litri</t>
  </si>
  <si>
    <t>Faabisogno annuale spalmato</t>
  </si>
  <si>
    <t>Totale unità</t>
  </si>
  <si>
    <t>Totale giorni</t>
  </si>
  <si>
    <t>Fabbigno annuale con gionro medio</t>
  </si>
  <si>
    <t>Simbolo</t>
  </si>
  <si>
    <t>UM</t>
  </si>
  <si>
    <t>Valore</t>
  </si>
  <si>
    <t>Descrizione</t>
  </si>
  <si>
    <t>Calcolo fabbisogno giornaliero</t>
  </si>
  <si>
    <t>Equazione/note</t>
  </si>
  <si>
    <t>A persone o unità  (m²)</t>
  </si>
  <si>
    <t>Persone o unità</t>
  </si>
  <si>
    <r>
      <t>N</t>
    </r>
    <r>
      <rPr>
        <vertAlign val="subscript"/>
        <sz val="11"/>
        <color theme="1"/>
        <rFont val="Calibri"/>
        <family val="2"/>
      </rPr>
      <t>P</t>
    </r>
    <r>
      <rPr>
        <sz val="11"/>
        <color theme="1"/>
        <rFont val="Calibri"/>
        <family val="2"/>
      </rPr>
      <t xml:space="preserve"> / f</t>
    </r>
  </si>
  <si>
    <t>Numero di unità o persone</t>
  </si>
  <si>
    <t>Carico relativo dell'ora</t>
  </si>
  <si>
    <r>
      <t>V</t>
    </r>
    <r>
      <rPr>
        <vertAlign val="subscript"/>
        <sz val="11"/>
        <color theme="1"/>
        <rFont val="Calibri"/>
        <family val="2"/>
      </rPr>
      <t>W;P;day</t>
    </r>
    <r>
      <rPr>
        <sz val="11"/>
        <color theme="1"/>
        <rFont val="Calibri"/>
        <family val="2"/>
      </rPr>
      <t xml:space="preserve"> / V</t>
    </r>
    <r>
      <rPr>
        <vertAlign val="subscript"/>
        <sz val="11"/>
        <color theme="1"/>
        <rFont val="Calibri"/>
        <family val="2"/>
      </rPr>
      <t>W;f;day</t>
    </r>
  </si>
  <si>
    <r>
      <t>V</t>
    </r>
    <r>
      <rPr>
        <vertAlign val="subscript"/>
        <sz val="11"/>
        <color theme="1"/>
        <rFont val="Calibri"/>
        <family val="2"/>
      </rPr>
      <t>W;day</t>
    </r>
    <r>
      <rPr>
        <sz val="11"/>
        <color theme="1"/>
        <rFont val="Calibri"/>
        <family val="2"/>
      </rPr>
      <t/>
    </r>
  </si>
  <si>
    <t>any</t>
  </si>
  <si>
    <t>Media / tot</t>
  </si>
  <si>
    <r>
      <t>k</t>
    </r>
    <r>
      <rPr>
        <vertAlign val="subscript"/>
        <sz val="11"/>
        <color theme="1"/>
        <rFont val="Calibri"/>
        <family val="2"/>
      </rPr>
      <t>W;wrk;h,i</t>
    </r>
  </si>
  <si>
    <r>
      <t>k</t>
    </r>
    <r>
      <rPr>
        <vertAlign val="subscript"/>
        <sz val="11"/>
        <color theme="1"/>
        <rFont val="Calibri"/>
        <family val="2"/>
      </rPr>
      <t>W;sat;h,i</t>
    </r>
  </si>
  <si>
    <r>
      <t>k</t>
    </r>
    <r>
      <rPr>
        <vertAlign val="subscript"/>
        <sz val="11"/>
        <color theme="1"/>
        <rFont val="Calibri"/>
        <family val="2"/>
      </rPr>
      <t>W;hol;h,i</t>
    </r>
  </si>
  <si>
    <t>Profili orari per giorni settimana, prefestivo e festivo</t>
  </si>
  <si>
    <t>Distributione tipologia di giorni</t>
  </si>
  <si>
    <r>
      <t>n</t>
    </r>
    <r>
      <rPr>
        <vertAlign val="subscript"/>
        <sz val="11"/>
        <color theme="1"/>
        <rFont val="Calibri"/>
        <family val="2"/>
      </rPr>
      <t>day;wrk</t>
    </r>
  </si>
  <si>
    <r>
      <t>n</t>
    </r>
    <r>
      <rPr>
        <vertAlign val="subscript"/>
        <sz val="11"/>
        <color theme="1"/>
        <rFont val="Calibri"/>
        <family val="2"/>
      </rPr>
      <t>day;sat</t>
    </r>
  </si>
  <si>
    <r>
      <t>n</t>
    </r>
    <r>
      <rPr>
        <vertAlign val="subscript"/>
        <sz val="11"/>
        <color theme="1"/>
        <rFont val="Calibri"/>
        <family val="2"/>
      </rPr>
      <t>day;hol</t>
    </r>
  </si>
  <si>
    <r>
      <t>n</t>
    </r>
    <r>
      <rPr>
        <vertAlign val="subscript"/>
        <sz val="11"/>
        <color theme="1"/>
        <rFont val="Calibri"/>
        <family val="2"/>
      </rPr>
      <t>day;tot</t>
    </r>
  </si>
  <si>
    <t>Calcolo unità totali dell'anno</t>
  </si>
  <si>
    <r>
      <t>k</t>
    </r>
    <r>
      <rPr>
        <vertAlign val="subscript"/>
        <sz val="11"/>
        <color theme="1"/>
        <rFont val="Calibri"/>
        <family val="2"/>
      </rPr>
      <t>W;wrk;tot</t>
    </r>
  </si>
  <si>
    <r>
      <t>k</t>
    </r>
    <r>
      <rPr>
        <vertAlign val="subscript"/>
        <sz val="11"/>
        <color theme="1"/>
        <rFont val="Calibri"/>
        <family val="2"/>
      </rPr>
      <t>W;sat;tot</t>
    </r>
  </si>
  <si>
    <r>
      <t>k</t>
    </r>
    <r>
      <rPr>
        <vertAlign val="subscript"/>
        <sz val="11"/>
        <color theme="1"/>
        <rFont val="Calibri"/>
        <family val="2"/>
      </rPr>
      <t>W;hol;tot</t>
    </r>
  </si>
  <si>
    <r>
      <t>k</t>
    </r>
    <r>
      <rPr>
        <vertAlign val="subscript"/>
        <sz val="11"/>
        <color theme="1"/>
        <rFont val="Calibri"/>
        <family val="2"/>
      </rPr>
      <t>W;tot</t>
    </r>
  </si>
  <si>
    <r>
      <t>k</t>
    </r>
    <r>
      <rPr>
        <vertAlign val="subscript"/>
        <sz val="11"/>
        <color theme="1"/>
        <rFont val="Calibri"/>
        <family val="2"/>
      </rPr>
      <t>W;wrk;day</t>
    </r>
  </si>
  <si>
    <r>
      <t>k</t>
    </r>
    <r>
      <rPr>
        <vertAlign val="subscript"/>
        <sz val="11"/>
        <color theme="1"/>
        <rFont val="Calibri"/>
        <family val="2"/>
      </rPr>
      <t>W;sat;day</t>
    </r>
  </si>
  <si>
    <r>
      <t>k</t>
    </r>
    <r>
      <rPr>
        <vertAlign val="subscript"/>
        <sz val="11"/>
        <color theme="1"/>
        <rFont val="Calibri"/>
        <family val="2"/>
      </rPr>
      <t>W;hol;day</t>
    </r>
  </si>
  <si>
    <t>Frazione oraria di fabbisogno</t>
  </si>
  <si>
    <r>
      <t>x</t>
    </r>
    <r>
      <rPr>
        <vertAlign val="subscript"/>
        <sz val="11"/>
        <color theme="1"/>
        <rFont val="Calibri"/>
        <family val="2"/>
      </rPr>
      <t>h;wrk,i</t>
    </r>
  </si>
  <si>
    <r>
      <t>x</t>
    </r>
    <r>
      <rPr>
        <vertAlign val="subscript"/>
        <sz val="11"/>
        <color theme="1"/>
        <rFont val="Calibri"/>
        <family val="2"/>
      </rPr>
      <t>h;sat,i</t>
    </r>
  </si>
  <si>
    <r>
      <t>x</t>
    </r>
    <r>
      <rPr>
        <vertAlign val="subscript"/>
        <sz val="11"/>
        <color theme="1"/>
        <rFont val="Calibri"/>
        <family val="2"/>
      </rPr>
      <t>h;hol,i</t>
    </r>
  </si>
  <si>
    <r>
      <t>k</t>
    </r>
    <r>
      <rPr>
        <vertAlign val="subscript"/>
        <sz val="11"/>
        <color theme="1"/>
        <rFont val="Calibri"/>
        <family val="2"/>
      </rPr>
      <t>x;avg</t>
    </r>
  </si>
  <si>
    <t>Vw;h,i</t>
  </si>
  <si>
    <t>Fabbisogni orari spalmati nelle ore del giorno</t>
  </si>
  <si>
    <t>Vw,day x 365</t>
  </si>
  <si>
    <t>Somma orari</t>
  </si>
  <si>
    <t>Fabbisogno giornaliero riferimento</t>
  </si>
  <si>
    <t>l</t>
  </si>
  <si>
    <t>Dimostrazione coefficiente di spalmatura per avere l'equivalenza mensile / orario</t>
  </si>
  <si>
    <t>Type</t>
  </si>
  <si>
    <t>BLDNGCAT_RES_SINGLE</t>
  </si>
  <si>
    <t>Description</t>
  </si>
  <si>
    <t>Single-family houses of different types</t>
  </si>
  <si>
    <t>Comments</t>
  </si>
  <si>
    <t>E.1.(1)</t>
  </si>
  <si>
    <t>Occupants</t>
  </si>
  <si>
    <t>Weekdays</t>
  </si>
  <si>
    <t>Saturday</t>
  </si>
  <si>
    <t>Sunday / festivity</t>
  </si>
  <si>
    <t>h</t>
  </si>
  <si>
    <t>BLDNGCAT_RES_APPBLOCK</t>
  </si>
  <si>
    <t>Apartment blocks</t>
  </si>
  <si>
    <t>BLDNGCAT_RES_ELDER</t>
  </si>
  <si>
    <t>Homes for elderly and disabled people</t>
  </si>
  <si>
    <t>E.3</t>
  </si>
  <si>
    <t>BLDNGCAT_RES_COLL</t>
  </si>
  <si>
    <t>Residence for collective use</t>
  </si>
  <si>
    <t>BLDNGCAT_RES_MOBIL</t>
  </si>
  <si>
    <t>Mobile home</t>
  </si>
  <si>
    <t>BLDNGCAT_RES_HOL</t>
  </si>
  <si>
    <t>Holiday home</t>
  </si>
  <si>
    <t>E.1.(2)</t>
  </si>
  <si>
    <t>BLDNGCAT_EDUC_UNIV</t>
  </si>
  <si>
    <t>Educational buildings</t>
  </si>
  <si>
    <t>E.7</t>
  </si>
  <si>
    <t>Notes</t>
  </si>
  <si>
    <t>Università</t>
  </si>
  <si>
    <t>BLDNGCAT_EDUC_SECOND_rientri</t>
  </si>
  <si>
    <t>Secondaria - Rientri</t>
  </si>
  <si>
    <t>BLDNGCAT_EDUC_matt</t>
  </si>
  <si>
    <t>Secondaria - Solo mattino</t>
  </si>
  <si>
    <t>BLDNGCAT_EDUC_primarie_lunga</t>
  </si>
  <si>
    <t>Scuola primaria - Settimana lunga</t>
  </si>
  <si>
    <t>BLDNGCAT_EDUC_primarie_corta</t>
  </si>
  <si>
    <t>Scuola primaria - Settimana corta</t>
  </si>
  <si>
    <t>BLDNGCAT_OFF</t>
  </si>
  <si>
    <t>Offices</t>
  </si>
  <si>
    <t>E.2</t>
  </si>
  <si>
    <t xml:space="preserve">Offices </t>
  </si>
  <si>
    <t>long week</t>
  </si>
  <si>
    <t>BLDNGCAT_RES_HOSP</t>
  </si>
  <si>
    <t>Hospitals</t>
  </si>
  <si>
    <t>BLDNGCAT_HOTEL</t>
  </si>
  <si>
    <t>Hotels</t>
  </si>
  <si>
    <t>E.1.(3)</t>
  </si>
  <si>
    <t>BLDNGCAT_REST</t>
  </si>
  <si>
    <t xml:space="preserve">Restaurants </t>
  </si>
  <si>
    <t>Bar</t>
  </si>
  <si>
    <t>E.4.(3)</t>
  </si>
  <si>
    <t>BLDNGCAT_SPORT</t>
  </si>
  <si>
    <t>Sports facilities</t>
  </si>
  <si>
    <t>E.6</t>
  </si>
  <si>
    <t>BLDNGCAT_RETAIL</t>
  </si>
  <si>
    <t>dettaglio</t>
  </si>
  <si>
    <t>E.5</t>
  </si>
  <si>
    <t>centro commerciale</t>
  </si>
  <si>
    <t>BLDNGCAT_AMUSM</t>
  </si>
  <si>
    <t>Cinema, theatres and amusement buildings</t>
  </si>
  <si>
    <t xml:space="preserve">E.4.(1) - E.4.(3)
</t>
  </si>
  <si>
    <t>BLDNGCAT_REL</t>
  </si>
  <si>
    <t>Religious buildings</t>
  </si>
  <si>
    <t>E.4.(2)</t>
  </si>
  <si>
    <t>BLDNGCAT_INDUS</t>
  </si>
  <si>
    <t>Industrial - Warehouse - Workshops -Etc.</t>
  </si>
  <si>
    <t>E.8</t>
  </si>
  <si>
    <t>RES_SINGLE</t>
  </si>
  <si>
    <t>RES_APPBLOCK</t>
  </si>
  <si>
    <t>RES_ELDER</t>
  </si>
  <si>
    <t>RES_COLL</t>
  </si>
  <si>
    <t>RES_MOBIL</t>
  </si>
  <si>
    <t>RES_HOL</t>
  </si>
  <si>
    <t>EDUC_UNIV</t>
  </si>
  <si>
    <t>EDUC_second_rientri</t>
  </si>
  <si>
    <t>EDUC_second_matt</t>
  </si>
  <si>
    <t>EDUC_primarie_lunga</t>
  </si>
  <si>
    <t>EDUC_primarie_corta</t>
  </si>
  <si>
    <t>OFF</t>
  </si>
  <si>
    <t>OFF_settimana_lunga</t>
  </si>
  <si>
    <t>HOTEL</t>
  </si>
  <si>
    <t>REST</t>
  </si>
  <si>
    <t>SPORT</t>
  </si>
  <si>
    <t>vendite dettaglio</t>
  </si>
  <si>
    <t>Vendite_grosse</t>
  </si>
  <si>
    <t>AMUSM</t>
  </si>
  <si>
    <t>REL</t>
  </si>
  <si>
    <t>INDUS</t>
  </si>
  <si>
    <t xml:space="preserve">E.1 (3) - Dormitori, Residence e B&amp;B </t>
  </si>
  <si>
    <t xml:space="preserve">E.1 (3) - Hotel fino a *** </t>
  </si>
  <si>
    <t>E.1 (3) - Hotel **** e oltre</t>
  </si>
  <si>
    <t>E.3 - Attività ospedaliera con pernotto</t>
  </si>
  <si>
    <t>E.3 - Attività ospedaliera day hospital (senza pernotto)</t>
  </si>
  <si>
    <t>E.7 - Scuole e istruzione</t>
  </si>
  <si>
    <t>E.7 - Scuole materne e asili nido</t>
  </si>
  <si>
    <t>E.6 (2) - Attività sportive/palestre</t>
  </si>
  <si>
    <t>E.6 (3) - Spogliatoi di stabilimenti</t>
  </si>
  <si>
    <t>E.2 - Uffici</t>
  </si>
  <si>
    <t>E.5 - Esercizio Commerciale senza obbligo di servizi igienici per il pubblico</t>
  </si>
  <si>
    <t>E.5 - Esercizio Commerciale con obbligo di servizi igienici per il pubblico</t>
  </si>
  <si>
    <t>E.4 (3) - Ristoranti – Caffetterie</t>
  </si>
  <si>
    <t>E.4 (3) - Catering, self service, Bar</t>
  </si>
  <si>
    <t>n.d. - Servizio lavanderia</t>
  </si>
  <si>
    <t>n.d. - Centri benessere</t>
  </si>
  <si>
    <t>n.d. - Altro</t>
  </si>
  <si>
    <t>RESID</t>
  </si>
  <si>
    <t>HOSP_DEG</t>
  </si>
  <si>
    <t>HOSP_DAY</t>
  </si>
  <si>
    <t>EDUC_ASILI</t>
  </si>
  <si>
    <t>Tabella equivalenza categorie</t>
  </si>
  <si>
    <t>&lt;-- Manca in 52000-1 IT</t>
  </si>
  <si>
    <t>&lt;-- Aumentare fabbisogni a m²</t>
  </si>
  <si>
    <t>CAT 52000-1 IT</t>
  </si>
  <si>
    <t>CAT Fabbisogni complessivi UNI-TS 11300-2</t>
  </si>
  <si>
    <t>SAUNA</t>
  </si>
  <si>
    <t>CLEAN</t>
  </si>
  <si>
    <t>&lt;-- Manca in UNI-TS 11300-2</t>
  </si>
  <si>
    <t>Musei e mostre permanenti</t>
  </si>
  <si>
    <t>Fiere</t>
  </si>
  <si>
    <t>TOT</t>
  </si>
  <si>
    <t>BLDNGCAT_BAR</t>
  </si>
  <si>
    <t xml:space="preserve">Prelievo acqua calda sanitaria </t>
  </si>
  <si>
    <t>HS operation</t>
  </si>
  <si>
    <t>DHW operation</t>
  </si>
  <si>
    <t>Funziona se qualcuno è presente</t>
  </si>
  <si>
    <t>Anticipo</t>
  </si>
  <si>
    <r>
      <rPr>
        <b/>
        <sz val="10"/>
        <color rgb="FFFF0000"/>
        <rFont val="Arial"/>
        <family val="2"/>
      </rPr>
      <t>THIS IS A MANDATORY SHEET</t>
    </r>
    <r>
      <rPr>
        <b/>
        <sz val="10"/>
        <rFont val="Arial"/>
        <family val="2"/>
      </rPr>
      <t xml:space="preserve">
All input data for the method shall be listed here.</t>
    </r>
    <r>
      <rPr>
        <sz val="10"/>
        <rFont val="Arial"/>
        <family val="2"/>
      </rPr>
      <t xml:space="preserve">
In the simplest version, values for data input in column D (both green and blue background) may be inserted manually.
Varying data (green background) can be fed from the "</t>
    </r>
    <r>
      <rPr>
        <b/>
        <i/>
        <sz val="10"/>
        <rFont val="Arial"/>
        <family val="2"/>
      </rPr>
      <t>input_series</t>
    </r>
    <r>
      <rPr>
        <sz val="10"/>
        <rFont val="Arial"/>
        <family val="2"/>
      </rPr>
      <t>" sheet.
In this sample data sheet, product data (blue background) is linked to a sample catalogue built in the "</t>
    </r>
    <r>
      <rPr>
        <b/>
        <i/>
        <sz val="10"/>
        <rFont val="Arial"/>
        <family val="2"/>
      </rPr>
      <t>Detailed_input</t>
    </r>
    <r>
      <rPr>
        <sz val="10"/>
        <rFont val="Arial"/>
        <family val="2"/>
      </rPr>
      <t>" sheet</t>
    </r>
  </si>
  <si>
    <t>Name</t>
  </si>
  <si>
    <t>Symbol</t>
  </si>
  <si>
    <t>Software name</t>
  </si>
  <si>
    <t>Unit</t>
  </si>
  <si>
    <t>Value</t>
  </si>
  <si>
    <t>Range</t>
  </si>
  <si>
    <t>Origin</t>
  </si>
  <si>
    <t>Varying</t>
  </si>
  <si>
    <t xml:space="preserve">    Arrays indexes</t>
  </si>
  <si>
    <t>Operating conditions data</t>
  </si>
  <si>
    <t>°C</t>
  </si>
  <si>
    <t xml:space="preserve"> </t>
  </si>
  <si>
    <t>Product data</t>
  </si>
  <si>
    <t xml:space="preserve">Product description data </t>
  </si>
  <si>
    <t xml:space="preserve">Product technical data </t>
  </si>
  <si>
    <t>System design data</t>
  </si>
  <si>
    <t>Process design</t>
  </si>
  <si>
    <t>m²</t>
  </si>
  <si>
    <t>Formula ref</t>
  </si>
  <si>
    <t>Formula</t>
  </si>
  <si>
    <t xml:space="preserve">    Arrays indexes and values</t>
  </si>
  <si>
    <t>kWh</t>
  </si>
  <si>
    <r>
      <rPr>
        <b/>
        <sz val="10"/>
        <color rgb="FFFF0000"/>
        <rFont val="Arial"/>
        <family val="2"/>
      </rPr>
      <t>THIS IS A MANDATORY SHEET</t>
    </r>
    <r>
      <rPr>
        <sz val="10"/>
        <rFont val="Arial"/>
        <family val="2"/>
      </rPr>
      <t xml:space="preserve">
Output of one step calculation shall be indicated here.
Each cell in the column value shall be a reference to a single cell in the "</t>
    </r>
    <r>
      <rPr>
        <b/>
        <i/>
        <sz val="10"/>
        <rFont val="Arial"/>
        <family val="2"/>
      </rPr>
      <t>Method_calculation</t>
    </r>
    <r>
      <rPr>
        <sz val="10"/>
        <rFont val="Arial"/>
        <family val="2"/>
      </rPr>
      <t>" sheet.
The macro will take the calculation step results and fill the values table in the "</t>
    </r>
    <r>
      <rPr>
        <b/>
        <i/>
        <sz val="10"/>
        <rFont val="Arial"/>
        <family val="2"/>
      </rPr>
      <t>Output_series"</t>
    </r>
    <r>
      <rPr>
        <sz val="10"/>
        <rFont val="Arial"/>
        <family val="2"/>
      </rPr>
      <t xml:space="preserve"> sheet.</t>
    </r>
  </si>
  <si>
    <t>Intended destination</t>
  </si>
  <si>
    <t>Energy flow data</t>
  </si>
  <si>
    <t xml:space="preserve">0:00 &lt;=t&lt; 1:00 </t>
  </si>
  <si>
    <t xml:space="preserve">1:00 &lt;=t&lt; 2:00 </t>
  </si>
  <si>
    <t xml:space="preserve">2:00 &lt;=t&lt; 3:00 </t>
  </si>
  <si>
    <t xml:space="preserve">3:00 &lt;=t&lt; 4:00 </t>
  </si>
  <si>
    <t xml:space="preserve">4:00 &lt;=t&lt; 5:00 </t>
  </si>
  <si>
    <t xml:space="preserve">5:00 &lt;=t&lt; 6:00 </t>
  </si>
  <si>
    <t xml:space="preserve">6:00 &lt;=t&lt; 7:00 </t>
  </si>
  <si>
    <t xml:space="preserve">7:00 &lt;=t&lt; 8:00 </t>
  </si>
  <si>
    <t xml:space="preserve">8:00 &lt;=t&lt; 9:00 </t>
  </si>
  <si>
    <t xml:space="preserve">  9:00 &lt;=t&lt; 10:00 </t>
  </si>
  <si>
    <t xml:space="preserve">10:00 &lt;=t&lt; 11:00 </t>
  </si>
  <si>
    <t xml:space="preserve">   11:00 &lt;=t&lt; 12:00 </t>
  </si>
  <si>
    <t xml:space="preserve">12:00 &lt;=t&lt; 13:00 </t>
  </si>
  <si>
    <t xml:space="preserve">13:00 &lt;=t&lt; 14:00 </t>
  </si>
  <si>
    <t xml:space="preserve">   14:00 &lt;=t&lt; 15:00 </t>
  </si>
  <si>
    <t xml:space="preserve">15:00 &lt;=t&lt; 16:00 </t>
  </si>
  <si>
    <t xml:space="preserve">16:00 &lt;=t&lt; 17:00 </t>
  </si>
  <si>
    <t xml:space="preserve">   17:00 &lt;=t&lt; 18:00 </t>
  </si>
  <si>
    <t xml:space="preserve">18:00 &lt;=t&lt; 19:00 </t>
  </si>
  <si>
    <t xml:space="preserve">19:00 &lt;=t&lt; 20:00 </t>
  </si>
  <si>
    <t xml:space="preserve">20:00 &lt;=t&lt; 21:00 </t>
  </si>
  <si>
    <t xml:space="preserve">21:00 &lt;=t&lt; 22:00 </t>
  </si>
  <si>
    <t xml:space="preserve">22:00 &lt;=t&lt; 23:00 </t>
  </si>
  <si>
    <t xml:space="preserve">23:00 &lt;=t&lt;  0:00 </t>
  </si>
  <si>
    <t xml:space="preserve">single family dwelling </t>
  </si>
  <si>
    <t xml:space="preserve">Student residence </t>
  </si>
  <si>
    <t xml:space="preserve">Hospital </t>
  </si>
  <si>
    <t xml:space="preserve">Volume fraction [%] </t>
  </si>
  <si>
    <t xml:space="preserve">Reference area </t>
  </si>
  <si>
    <t xml:space="preserve">Type of usage </t>
  </si>
  <si>
    <t xml:space="preserve">Usage dependent </t>
  </si>
  <si>
    <t xml:space="preserve">Area-specific </t>
  </si>
  <si>
    <t>Office buildings</t>
  </si>
  <si>
    <t>office floor area</t>
  </si>
  <si>
    <t>Hospital ward or  patient’s room</t>
  </si>
  <si>
    <t>wards and rooms</t>
  </si>
  <si>
    <t>School without showers</t>
  </si>
  <si>
    <t>classrooms</t>
  </si>
  <si>
    <t>School with showers</t>
  </si>
  <si>
    <t>Retail shop/department store</t>
  </si>
  <si>
    <t>sales areas</t>
  </si>
  <si>
    <t>Workshop, industrial facility (for washing and showering)</t>
  </si>
  <si>
    <t>Modest hotel</t>
  </si>
  <si>
    <t>hotel bedrooms</t>
  </si>
  <si>
    <t>Medium-class hotel</t>
  </si>
  <si>
    <t>Luxury-class hotel</t>
  </si>
  <si>
    <t>Restaurant, inn/pub</t>
  </si>
  <si>
    <t>public rooms</t>
  </si>
  <si>
    <t>Home (for the aged, orphanage etc.)</t>
  </si>
  <si>
    <t>rooms</t>
  </si>
  <si>
    <t>Barracks</t>
  </si>
  <si>
    <t>Sports facility with showers</t>
  </si>
  <si>
    <t>-</t>
  </si>
  <si>
    <t>Bakery</t>
  </si>
  <si>
    <t>Hairdresser/barber</t>
  </si>
  <si>
    <t>Butcher with production</t>
  </si>
  <si>
    <t>Laundry</t>
  </si>
  <si>
    <t>Brewery</t>
  </si>
  <si>
    <t>Dairy</t>
  </si>
  <si>
    <t xml:space="preserve">Table B.3 — Net energy demand for water heating per day </t>
  </si>
  <si>
    <t xml:space="preserve">Table B.4 — Values for calculation of domestic hot water requirements per day  </t>
  </si>
  <si>
    <t xml:space="preserve">Type of activity </t>
  </si>
  <si>
    <t xml:space="preserve">Accommodation  </t>
  </si>
  <si>
    <t xml:space="preserve">Health establishment without accommodation  </t>
  </si>
  <si>
    <t xml:space="preserve">Education </t>
  </si>
  <si>
    <t xml:space="preserve">Theatres and lecture theatres </t>
  </si>
  <si>
    <t xml:space="preserve">Shops </t>
  </si>
  <si>
    <t xml:space="preserve">Catering, 2 meals per day.  Traditional cuisine  </t>
  </si>
  <si>
    <t xml:space="preserve">Catering, 2 meals per day.  Self service  </t>
  </si>
  <si>
    <t xml:space="preserve">Catering, 1 meal per day.  Traditional cuisine </t>
  </si>
  <si>
    <t xml:space="preserve">Catering, 1 meal per day.  Self service  </t>
  </si>
  <si>
    <t xml:space="preserve">Hotel, 1-star, without laundry  </t>
  </si>
  <si>
    <t xml:space="preserve">Hotel, 1-star, with laundry  </t>
  </si>
  <si>
    <t xml:space="preserve">Hotel, 2-star, without laundry  </t>
  </si>
  <si>
    <t xml:space="preserve">Hotel, 2-star, with laundry  </t>
  </si>
  <si>
    <t xml:space="preserve">Hotel, 3-star, without laundry  </t>
  </si>
  <si>
    <t xml:space="preserve">Hotel, 3-star, with laundry  </t>
  </si>
  <si>
    <t xml:space="preserve">Hotel, 4-star and GC, without laundry  </t>
  </si>
  <si>
    <t xml:space="preserve">Hotel, 4-star and GC, with laundry  </t>
  </si>
  <si>
    <t xml:space="preserve">Sports establishment  </t>
  </si>
  <si>
    <t xml:space="preserve">Storage </t>
  </si>
  <si>
    <t xml:space="preserve">Industry </t>
  </si>
  <si>
    <t xml:space="preserve">Transport </t>
  </si>
  <si>
    <t xml:space="preserve">Other </t>
  </si>
  <si>
    <t xml:space="preserve">Table B.5 — Values for calculation of domestic hot water requirements per day  </t>
  </si>
  <si>
    <t xml:space="preserve">Type of building </t>
  </si>
  <si>
    <t xml:space="preserve">residential buildings (simple housing) </t>
  </si>
  <si>
    <t>25 - 60</t>
  </si>
  <si>
    <t xml:space="preserve">residential buildings (luxury housing) </t>
  </si>
  <si>
    <t>60 - 100</t>
  </si>
  <si>
    <t xml:space="preserve">single family dwellings  </t>
  </si>
  <si>
    <t>40 - 70</t>
  </si>
  <si>
    <t xml:space="preserve">apartment dwellings  </t>
  </si>
  <si>
    <t>25 - 30</t>
  </si>
  <si>
    <t>Table B.6 — DHW delivery temperature, cold water supply temperature</t>
  </si>
  <si>
    <t>DHW delivery temperature = minimum temperature of the mixed water drawn at the tap (needs temperature)</t>
  </si>
  <si>
    <t>cold water temperature at the entry of the building</t>
  </si>
  <si>
    <t>Cold water temperature</t>
  </si>
  <si>
    <t>Area of building</t>
  </si>
  <si>
    <t>Max number of per</t>
  </si>
  <si>
    <t>Number of persons</t>
  </si>
  <si>
    <t>Liters / persone day</t>
  </si>
  <si>
    <t xml:space="preserve">XXS </t>
  </si>
  <si>
    <t xml:space="preserve">XS </t>
  </si>
  <si>
    <t xml:space="preserve">S </t>
  </si>
  <si>
    <t xml:space="preserve">M </t>
  </si>
  <si>
    <t xml:space="preserve">L </t>
  </si>
  <si>
    <t xml:space="preserve">XL </t>
  </si>
  <si>
    <t xml:space="preserve">XXL </t>
  </si>
  <si>
    <r>
      <t>Volume fraction [%]</t>
    </r>
    <r>
      <rPr>
        <b/>
        <sz val="9"/>
        <color rgb="FF000000"/>
        <rFont val="Calibri"/>
        <family val="2"/>
      </rPr>
      <t xml:space="preserve"> </t>
    </r>
  </si>
  <si>
    <r>
      <t xml:space="preserve">Health establishment with accommodation </t>
    </r>
    <r>
      <rPr>
        <sz val="9"/>
        <color rgb="FF000000"/>
        <rFont val="Calibri"/>
        <family val="2"/>
      </rPr>
      <t xml:space="preserve">− </t>
    </r>
    <r>
      <rPr>
        <sz val="9.5"/>
        <color rgb="FF000000"/>
        <rFont val="Calibri"/>
        <family val="2"/>
      </rPr>
      <t xml:space="preserve">without laundry  </t>
    </r>
  </si>
  <si>
    <r>
      <t xml:space="preserve">Health establishment with accommodation </t>
    </r>
    <r>
      <rPr>
        <sz val="9"/>
        <color rgb="FF000000"/>
        <rFont val="Calibri"/>
        <family val="2"/>
      </rPr>
      <t xml:space="preserve">− </t>
    </r>
    <r>
      <rPr>
        <sz val="9.5"/>
        <color rgb="FF000000"/>
        <rFont val="Calibri"/>
        <family val="2"/>
      </rPr>
      <t xml:space="preserve">with laundry </t>
    </r>
  </si>
  <si>
    <r>
      <t>[litres DHW per person per day]</t>
    </r>
    <r>
      <rPr>
        <b/>
        <sz val="10.5"/>
        <color rgb="FF000000"/>
        <rFont val="Calibri"/>
        <family val="2"/>
      </rPr>
      <t xml:space="preserve"> </t>
    </r>
  </si>
  <si>
    <r>
      <t>ϑ</t>
    </r>
    <r>
      <rPr>
        <sz val="8.5"/>
        <color rgb="FF000000"/>
        <rFont val="Calibri"/>
        <family val="2"/>
      </rPr>
      <t>w,draw</t>
    </r>
  </si>
  <si>
    <r>
      <t>ϑ</t>
    </r>
    <r>
      <rPr>
        <sz val="8.5"/>
        <color rgb="FF000000"/>
        <rFont val="Calibri"/>
        <family val="2"/>
      </rPr>
      <t>w,c</t>
    </r>
  </si>
  <si>
    <t>appartment dwelling</t>
  </si>
  <si>
    <t xml:space="preserve">residential home for the elderly </t>
  </si>
  <si>
    <t>wh/m²d</t>
  </si>
  <si>
    <t>Usage</t>
  </si>
  <si>
    <t>kWh/unit d</t>
  </si>
  <si>
    <t>unit</t>
  </si>
  <si>
    <t>person</t>
  </si>
  <si>
    <t>bed</t>
  </si>
  <si>
    <t>employee</t>
  </si>
  <si>
    <t>meal</t>
  </si>
  <si>
    <t>Commercial catering kitchen, canteen</t>
  </si>
  <si>
    <t>100 kg laundry</t>
  </si>
  <si>
    <t xml:space="preserve"> 100 l beer</t>
  </si>
  <si>
    <t>100 l milk</t>
  </si>
  <si>
    <t>&lt;-- These are production, not relevant for EPBD</t>
  </si>
  <si>
    <t>&lt;-- not taking into account customers…</t>
  </si>
  <si>
    <t>&lt;-- SUM is not 100…</t>
  </si>
  <si>
    <t>Table B.1 — Hourly values of the relative hot-water demand based on volumeprofiles from EN 50440</t>
  </si>
  <si>
    <t>Beds</t>
  </si>
  <si>
    <t>Students</t>
  </si>
  <si>
    <t>Employees</t>
  </si>
  <si>
    <t>Seats</t>
  </si>
  <si>
    <t>&lt;-- The reference temperature shall ALWAYS be specified</t>
  </si>
  <si>
    <t>GENERAL DATA</t>
  </si>
  <si>
    <t>Supplementary tables for Saturdays</t>
  </si>
  <si>
    <t>Supplementary tables for Sundays and holidays</t>
  </si>
  <si>
    <t>IT
EDUC Primary</t>
  </si>
  <si>
    <t>Your profile 1</t>
  </si>
  <si>
    <t>Your profile 2</t>
  </si>
  <si>
    <t>Your profile 3</t>
  </si>
  <si>
    <t>Your profile 4</t>
  </si>
  <si>
    <t>Your profile 5</t>
  </si>
  <si>
    <t>Your profile 6</t>
  </si>
  <si>
    <t>Your profile 7</t>
  </si>
  <si>
    <t>Your profile 8</t>
  </si>
  <si>
    <t>Your profile 9</t>
  </si>
  <si>
    <t>Your profile 10</t>
  </si>
  <si>
    <t>Your profile 11</t>
  </si>
  <si>
    <t>Your profile 12</t>
  </si>
  <si>
    <t>Your profile 13</t>
  </si>
  <si>
    <t>Your profile 14</t>
  </si>
  <si>
    <t>Your profile 15</t>
  </si>
  <si>
    <t>Your profile 16</t>
  </si>
  <si>
    <t>Your profile 17</t>
  </si>
  <si>
    <t>Your profile 18</t>
  </si>
  <si>
    <t>Your profile 19</t>
  </si>
  <si>
    <t>Your profile 20</t>
  </si>
  <si>
    <t>Your category 1</t>
  </si>
  <si>
    <t>Your category 2</t>
  </si>
  <si>
    <t>Your category 3</t>
  </si>
  <si>
    <t>Your category 4</t>
  </si>
  <si>
    <t>Your category 5</t>
  </si>
  <si>
    <t>area of …</t>
  </si>
  <si>
    <t>Last category</t>
  </si>
  <si>
    <t>&lt;-- Usually it is the yearly average external temperature</t>
  </si>
  <si>
    <t>&lt;-- Usually 40…42 °C</t>
  </si>
  <si>
    <t>Control design</t>
  </si>
  <si>
    <t>Selected
 for input</t>
  </si>
  <si>
    <t>Index</t>
  </si>
  <si>
    <t>TOTAL</t>
  </si>
  <si>
    <t>Relative volume fraction</t>
  </si>
  <si>
    <t>IT 
office long week</t>
  </si>
  <si>
    <t>Your selection:</t>
  </si>
  <si>
    <t>&lt;-- See Method input sheet</t>
  </si>
  <si>
    <r>
      <t xml:space="preserve">Specific energy need for domestic hot water supply </t>
    </r>
    <r>
      <rPr>
        <b/>
        <i/>
        <sz val="12"/>
        <color rgb="FF000000"/>
        <rFont val="Calibri"/>
        <family val="2"/>
      </rPr>
      <t>q</t>
    </r>
    <r>
      <rPr>
        <b/>
        <vertAlign val="subscript"/>
        <sz val="12"/>
        <color rgb="FF000000"/>
        <rFont val="Calibri"/>
        <family val="2"/>
      </rPr>
      <t>w,b,d</t>
    </r>
    <r>
      <rPr>
        <b/>
        <sz val="12"/>
        <color rgb="FF000000"/>
        <rFont val="Calibri"/>
        <family val="2"/>
      </rPr>
      <t xml:space="preserve"> </t>
    </r>
  </si>
  <si>
    <t>&lt;-- Start of data from table B.3</t>
  </si>
  <si>
    <t>&lt;-- Special case to be handled</t>
  </si>
  <si>
    <t xml:space="preserve">ORIGINAL Table B.5 — Values for calculation of domestic hot water requirements per day  </t>
  </si>
  <si>
    <t>&lt;-- Data shall be a value,  cannot be a range…</t>
  </si>
  <si>
    <t>Your category 6</t>
  </si>
  <si>
    <t>Your category 7</t>
  </si>
  <si>
    <t>Your category 8</t>
  </si>
  <si>
    <t>residential buildings (simple housing), MIN</t>
  </si>
  <si>
    <t>residential buildings (simple housing), MAX</t>
  </si>
  <si>
    <t xml:space="preserve">residential buildings (luxury housing) MIN </t>
  </si>
  <si>
    <t>residential buildings (luxury housing) MAX</t>
  </si>
  <si>
    <t>apartment dwellings  MAX</t>
  </si>
  <si>
    <t>apartment dwellings  MIN</t>
  </si>
  <si>
    <t>single family dwellings  MAX</t>
  </si>
  <si>
    <t>single family dwellings  MIN</t>
  </si>
  <si>
    <t>Value
[°C]</t>
  </si>
  <si>
    <t xml:space="preserve">Guests per meal </t>
  </si>
  <si>
    <t xml:space="preserve">[l/ unit d] </t>
  </si>
  <si>
    <t>Specific need</t>
  </si>
  <si>
    <t>Type of unit</t>
  </si>
  <si>
    <t>Reference delivery temp.</t>
  </si>
  <si>
    <t>&lt;-- Reference delivery temperature has been added to have data consistent</t>
  </si>
  <si>
    <t>Reference cold temp.</t>
  </si>
  <si>
    <t>Area</t>
  </si>
  <si>
    <t>A</t>
  </si>
  <si>
    <t>&lt;-- Units shall always be kWh</t>
  </si>
  <si>
    <t>installed showers</t>
  </si>
  <si>
    <t>Array</t>
  </si>
  <si>
    <t>This type of input is not relevant for this standard</t>
  </si>
  <si>
    <t>%</t>
  </si>
  <si>
    <t>Water density</t>
  </si>
  <si>
    <t>Water specific heat</t>
  </si>
  <si>
    <t>kg/m³</t>
  </si>
  <si>
    <t>kWh/kg K</t>
  </si>
  <si>
    <t>m³</t>
  </si>
  <si>
    <t>Method selection</t>
  </si>
  <si>
    <t>kWh based on floor area</t>
  </si>
  <si>
    <t>kWh based on number of units</t>
  </si>
  <si>
    <t>Calc</t>
  </si>
  <si>
    <t>Dwelling , single family</t>
  </si>
  <si>
    <t>Dwelling , apartments</t>
  </si>
  <si>
    <t>Daily volume</t>
  </si>
  <si>
    <t>Use correlation B.5</t>
  </si>
  <si>
    <t>Use table B.5</t>
  </si>
  <si>
    <t>Monthly energy need</t>
  </si>
  <si>
    <t>Hour</t>
  </si>
  <si>
    <t>Date</t>
  </si>
  <si>
    <t>Author</t>
  </si>
  <si>
    <t>LS</t>
  </si>
  <si>
    <t>max instead on MIN in formula XX</t>
  </si>
  <si>
    <t>Fixed?</t>
  </si>
  <si>
    <t>Yes in equation</t>
  </si>
  <si>
    <t>area of workshop</t>
  </si>
  <si>
    <r>
      <rPr>
        <b/>
        <sz val="11"/>
        <color theme="1"/>
        <rFont val="Calibri"/>
        <family val="2"/>
      </rPr>
      <t xml:space="preserve">ORIGINALTable B.1 </t>
    </r>
    <r>
      <rPr>
        <sz val="11"/>
        <color theme="1"/>
        <rFont val="Calibri"/>
        <family val="2"/>
      </rPr>
      <t>— Hourly values of the relative hot-water demand based on volume. Adapted load profiles from EN 50440</t>
    </r>
  </si>
  <si>
    <r>
      <rPr>
        <b/>
        <sz val="11"/>
        <color theme="1"/>
        <rFont val="Calibri"/>
        <family val="2"/>
      </rPr>
      <t>ORIGINAL Table B.2</t>
    </r>
    <r>
      <rPr>
        <sz val="11"/>
        <color theme="1"/>
        <rFont val="Calibri"/>
        <family val="2"/>
      </rPr>
      <t xml:space="preserve"> — Hourly values of the relative hot-water demand based on volume for different building categories</t>
    </r>
  </si>
  <si>
    <t>Other custom profiles</t>
  </si>
  <si>
    <t>Dwelling area m²</t>
  </si>
  <si>
    <t xml:space="preserve"> np</t>
  </si>
  <si>
    <t xml:space="preserve"> l/d</t>
  </si>
  <si>
    <t>Volume needs [l/d]</t>
  </si>
  <si>
    <t>Number of persons [n]</t>
  </si>
  <si>
    <t>Single family houses</t>
  </si>
  <si>
    <t>Title</t>
  </si>
  <si>
    <t>X</t>
  </si>
  <si>
    <t>Ysec</t>
  </si>
  <si>
    <t>Ymain</t>
  </si>
  <si>
    <t>DHW volume need per day with table B.5</t>
  </si>
  <si>
    <t>DHW volume need per day with eq. (B.5)</t>
  </si>
  <si>
    <t>Apartements</t>
  </si>
  <si>
    <t>Sunday Holiday</t>
  </si>
  <si>
    <t>Value of relative needs [%]</t>
  </si>
  <si>
    <t>Domestic hot water profile: office, long week</t>
  </si>
  <si>
    <t>Constants and physical data</t>
  </si>
  <si>
    <t>Input lists</t>
  </si>
  <si>
    <t>Identifier</t>
  </si>
  <si>
    <t>KWH_U</t>
  </si>
  <si>
    <t>KWH_A</t>
  </si>
  <si>
    <t>VOL_C</t>
  </si>
  <si>
    <t>Volume based on type of building</t>
  </si>
  <si>
    <t>Selection of calculation method for dwellings</t>
  </si>
  <si>
    <t>COR</t>
  </si>
  <si>
    <t>TAB</t>
  </si>
  <si>
    <t>List of hourly profiles to display on the selection combo box</t>
  </si>
  <si>
    <t>Days</t>
  </si>
  <si>
    <r>
      <t>c</t>
    </r>
    <r>
      <rPr>
        <vertAlign val="subscript"/>
        <sz val="11"/>
        <rFont val="Calibri"/>
        <family val="2"/>
        <scheme val="minor"/>
      </rPr>
      <t>W</t>
    </r>
  </si>
  <si>
    <r>
      <t>ρ</t>
    </r>
    <r>
      <rPr>
        <vertAlign val="subscript"/>
        <sz val="11"/>
        <rFont val="Calibri"/>
        <family val="2"/>
        <scheme val="minor"/>
      </rPr>
      <t>W</t>
    </r>
  </si>
  <si>
    <t>residential buildings (simple housing), AVG</t>
  </si>
  <si>
    <t>residential buildings (luxury housing) AVG</t>
  </si>
  <si>
    <t>single family dwellings  AVG</t>
  </si>
  <si>
    <t>apartment dwellings  AVG</t>
  </si>
  <si>
    <t xml:space="preserve">The values in table B.3 do not include the heat losses arising from intermittently used draw-off lines. </t>
  </si>
  <si>
    <t>This table is not used in the calculation, it is here for reference</t>
  </si>
  <si>
    <t>Tables from EN 12831-3, corrected, assembled and extra profiles added</t>
  </si>
  <si>
    <t>These data are used in the calculation</t>
  </si>
  <si>
    <t>This is not consistent with other tables of the same standard</t>
  </si>
  <si>
    <t xml:space="preserve">The values in Table B.4 are based on a domestic hot water delivery temperature of 60 °C, and a cold water supply temperature of 13.5 °C. </t>
  </si>
  <si>
    <t>The values in Table B.4 do not include the heat losses arising from intermittently used draw-off lines.</t>
  </si>
  <si>
    <t>Max number of persons (B.1)</t>
  </si>
  <si>
    <t>Number of persons (B.2)</t>
  </si>
  <si>
    <t>B.1</t>
  </si>
  <si>
    <t>B.2</t>
  </si>
  <si>
    <t>Single family dwellings</t>
  </si>
  <si>
    <t>Apartment dwellings</t>
  </si>
  <si>
    <t>B.3</t>
  </si>
  <si>
    <t>B.4</t>
  </si>
  <si>
    <t>B.5</t>
  </si>
  <si>
    <t>Void</t>
  </si>
  <si>
    <t>Yes</t>
  </si>
  <si>
    <t>No</t>
  </si>
  <si>
    <t>This spreadsheet:</t>
  </si>
  <si>
    <t>This spreadsheet is part of a series, to support the implementation and use of the set of (CEN, ISO) EPB standards</t>
  </si>
  <si>
    <t>(see below)</t>
  </si>
  <si>
    <t>Main related standard(s):</t>
  </si>
  <si>
    <t>Spreadsheet created by:</t>
  </si>
  <si>
    <t>Contact:</t>
  </si>
  <si>
    <t>https://epb.center/contact/</t>
  </si>
  <si>
    <t>Date:</t>
  </si>
  <si>
    <t>Detailed info:</t>
  </si>
  <si>
    <t>See sheet "Explanation"</t>
  </si>
  <si>
    <t>The series of spreadsheets to support the implementation and use of the set of EPB standards:</t>
  </si>
  <si>
    <t>EPB spreadsheets:</t>
  </si>
  <si>
    <t>This spreadsheet is part of a series of spreadsheets to support the implementation and use of the set of (CEN, ISO) EPB standards</t>
  </si>
  <si>
    <t>Each of these spreadsheets complies with a specific template and follows specific rules</t>
  </si>
  <si>
    <t>Main purpose:</t>
  </si>
  <si>
    <t>The main purpose of these EPB spreadsheets is to support the implementation and use of the standards.</t>
  </si>
  <si>
    <t>They aim to demonstrate the validity of the calculation procedures and the required input and provided output data defined in the standard.</t>
  </si>
  <si>
    <t>They support the expert user of the standards, in particular those who want to review the content of the standard and those who want to translate the standard into software, to understand the correct interpretation of the formulae and calculation steps in the standard, or e.g. to explore the sensitivity for variations in input values.</t>
  </si>
  <si>
    <t>Some spreadsheets have been further developed to include more advanced features or to become more user friendly (see sheet "Explanation")</t>
  </si>
  <si>
    <t>Limitations:</t>
  </si>
  <si>
    <t>In general, these spreadsheets do not cover the full range of calculation options that are possible according to the standard to which it applies. This concerns e.g. the number of instances of a variable, the number of time intervals and/or special calculation cases.</t>
  </si>
  <si>
    <t>These spreadsheets cover only a single or a cluster of EPB standards and are not meant to perform a full energy performance calculation.</t>
  </si>
  <si>
    <t xml:space="preserve">Note also that these spreadsheets are mainly intended for testing and demonstration and therefore not aiming to be user friendly or to be protected against wrong or improper use. </t>
  </si>
  <si>
    <t>The spreadsheets related to the EPB standards are provided to demonstrate specific elements of the calculation procedures in the relevant standard(s). Consequently, they do not replace the EPB standards, but they shall be used along with the EPB standards.</t>
  </si>
  <si>
    <t>Responsible:</t>
  </si>
  <si>
    <t>In general, the preparation of the spreadsheet is a collective process in which several experts (including main developers of the standard) are involved</t>
  </si>
  <si>
    <t>See "Background" below for information on the first versions of (most of) these spreadsheets</t>
  </si>
  <si>
    <t>Acknowledgement:</t>
  </si>
  <si>
    <t>The EPB spreadsheets produced or upgraded after 2018 have been prepared under a contract with the European Union, represented by the European Commission (Service contract ENER/C3/2017-437/SI2-785.185). Start: 21 September 2018 for 3 years. 
See  "Background" for information on previous (2012-2017) versions of many of these spreadsheets</t>
  </si>
  <si>
    <t>Disclaimer:</t>
  </si>
  <si>
    <t>Although these spreadsheets have been developed with care, neither the authors or contributors warrant that the calculations and procedures in this spreadsheet are free of errors. The EPB Center expressly disclaims any liability or responsibility arising from use of this spreadsheet, or any consequences thereof. Any responsibility arising from the use of this spreadsheet lies with the user.</t>
  </si>
  <si>
    <t>The information and views set out in this document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</si>
  <si>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Terms of use:</t>
  </si>
  <si>
    <t>The user is not allowed to redistribute a modified version of this spreadsheet.</t>
  </si>
  <si>
    <r>
      <t xml:space="preserve">The author(s) would appreciate your feed back on the spreadsheet (see </t>
    </r>
    <r>
      <rPr>
        <b/>
        <sz val="11"/>
        <rFont val="Cambria"/>
        <family val="1"/>
      </rPr>
      <t xml:space="preserve">Contact </t>
    </r>
    <r>
      <rPr>
        <sz val="11"/>
        <rFont val="Cambria"/>
        <family val="1"/>
      </rPr>
      <t>above)</t>
    </r>
  </si>
  <si>
    <t>More information:</t>
  </si>
  <si>
    <t>www.epb.center</t>
  </si>
  <si>
    <t>Background:</t>
  </si>
  <si>
    <t>First published versions of these spreadsheets were developed during 2012-2017, in the framework of the preparation and revision of the set of EN or ISO standards on the energy performance of buildings, to support the European "Energy Performance of Buildings Directive" recast 2010, under Mandate M/480 of the European Commission to CEN.</t>
  </si>
  <si>
    <t xml:space="preserve">These first versions were meant for use by  CEN and ISO Technical Committee(s) and the Working Group(s) working on the preparation or revision of the EPB-standard to which this spreadsheet applies. </t>
  </si>
  <si>
    <t>These first public versions of the spreadsheets were mainly intended to support checking  that all formulae in the standard under development were consistent and could be linked with other relevant (EPB) standards.</t>
  </si>
  <si>
    <t>Many of these spreadsheets have been developed parallel to the preparation of the set of EPB standards under the M/480 mandate from the European Commission (2012 - 2017) and do not necessarily reflect the final status of the standard.</t>
  </si>
  <si>
    <t xml:space="preserve">More information: </t>
  </si>
  <si>
    <t>https://epb.center/epb-standards/background/</t>
  </si>
  <si>
    <t>EPB standard:</t>
  </si>
  <si>
    <t>Responsible in ISO and/or CEN:</t>
  </si>
  <si>
    <t>Convention:</t>
  </si>
  <si>
    <t>Font colors and/or cell shading on calculation sheet(s):</t>
  </si>
  <si>
    <t>Run:</t>
  </si>
  <si>
    <t>Status:</t>
  </si>
  <si>
    <t>Main features:</t>
  </si>
  <si>
    <t>Time intervals and period:</t>
  </si>
  <si>
    <t>Main limitations:</t>
  </si>
  <si>
    <t>Protection:</t>
  </si>
  <si>
    <t>Why a macro?</t>
  </si>
  <si>
    <t>Links:</t>
  </si>
  <si>
    <t>includes also links to published articles and more</t>
  </si>
  <si>
    <t>Overview of the meaning of each sheet in this file</t>
  </si>
  <si>
    <t>Sheet</t>
  </si>
  <si>
    <t xml:space="preserve">Tab colour coding is used to facilitate navigation:
</t>
  </si>
  <si>
    <t>INFO</t>
  </si>
  <si>
    <t>Common info for all EPB spreadsheets, including DISCLAIMER</t>
  </si>
  <si>
    <t>Red tab colour (do not touch) for INFO, Explanation and History</t>
  </si>
  <si>
    <t>Explanation</t>
  </si>
  <si>
    <t>Method_input</t>
  </si>
  <si>
    <t>Method_output</t>
  </si>
  <si>
    <t>History of this spreadsheet</t>
  </si>
  <si>
    <t>Developer</t>
  </si>
  <si>
    <t>Laurent Socal (EPB Center expert)</t>
  </si>
  <si>
    <r>
      <rPr>
        <sz val="11"/>
        <rFont val="Cambria"/>
        <family val="1"/>
      </rPr>
      <t xml:space="preserve">Replaces file: </t>
    </r>
    <r>
      <rPr>
        <sz val="11"/>
        <color rgb="FFFF0000"/>
        <rFont val="Cambria"/>
        <family val="1"/>
      </rPr>
      <t>N.A.</t>
    </r>
    <r>
      <rPr>
        <sz val="11"/>
        <rFont val="Cambria"/>
        <family val="1"/>
      </rPr>
      <t xml:space="preserve">    Date: </t>
    </r>
    <r>
      <rPr>
        <sz val="11"/>
        <color rgb="FFFF0000"/>
        <rFont val="Cambria"/>
        <family val="1"/>
      </rPr>
      <t>N.A.</t>
    </r>
  </si>
  <si>
    <t>Yellow background</t>
  </si>
  <si>
    <t>Input data</t>
  </si>
  <si>
    <t>black upright font</t>
  </si>
  <si>
    <t>Calculated, headings</t>
  </si>
  <si>
    <t>Italic</t>
  </si>
  <si>
    <t>General comment</t>
  </si>
  <si>
    <t>Italic red</t>
  </si>
  <si>
    <t>Comment on spreadsheet</t>
  </si>
  <si>
    <t>Italic blue</t>
  </si>
  <si>
    <t>Comments on supported standard</t>
  </si>
  <si>
    <t>Files needed:</t>
  </si>
  <si>
    <t>This file has no input from other files</t>
  </si>
  <si>
    <t>The main reason is to prevent uncontrolled use and to keep technical support manageable</t>
  </si>
  <si>
    <t>Green tab colour for Main sheets</t>
  </si>
  <si>
    <t>Laurent Socal</t>
  </si>
  <si>
    <t>First issue</t>
  </si>
  <si>
    <t>To be done</t>
  </si>
  <si>
    <t>NOTES</t>
  </si>
  <si>
    <t>CEN/TC 228</t>
  </si>
  <si>
    <t>There are no macros in this file</t>
  </si>
  <si>
    <t>A calendar is generated below the data input interface</t>
  </si>
  <si>
    <t>https://epb.center/documents/centr-12831-3/</t>
  </si>
  <si>
    <t>&lt;-- Page under construction</t>
  </si>
  <si>
    <t>https://epb.center/documents/centr-12831-4/</t>
  </si>
  <si>
    <t>Complete data input set</t>
  </si>
  <si>
    <t>Method_calcualation</t>
  </si>
  <si>
    <t>Calculation of daily needs</t>
  </si>
  <si>
    <t>Output data set of the standard</t>
  </si>
  <si>
    <t xml:space="preserve">There is no macro in this spreadsheet </t>
  </si>
  <si>
    <t>Draw off temperature</t>
  </si>
  <si>
    <t>Type of hydraulic connection of the WWHR</t>
  </si>
  <si>
    <t>Number of showers</t>
  </si>
  <si>
    <t>Noutlets</t>
  </si>
  <si>
    <t>Shower flow rate</t>
  </si>
  <si>
    <t>l/min</t>
  </si>
  <si>
    <t>Number of baths</t>
  </si>
  <si>
    <t>Nbaths</t>
  </si>
  <si>
    <t xml:space="preserve">Total floor area </t>
  </si>
  <si>
    <t>TFA</t>
  </si>
  <si>
    <t xml:space="preserve">Number of occupants </t>
  </si>
  <si>
    <t>N</t>
  </si>
  <si>
    <t>There are baths?</t>
  </si>
  <si>
    <t>Number of showers per day</t>
  </si>
  <si>
    <t>Behaviour factor</t>
  </si>
  <si>
    <t>Shower duration</t>
  </si>
  <si>
    <t>Table J5 (changes according to month, nearly 1)</t>
  </si>
  <si>
    <t>min</t>
  </si>
  <si>
    <t>J1</t>
  </si>
  <si>
    <t>Text</t>
  </si>
  <si>
    <t>Not strictly relevant. Used to average according to the type of showers. Type of showers influecnes the dhw needs.</t>
  </si>
  <si>
    <t>Water volume at the tap</t>
  </si>
  <si>
    <t>Needs are at 41 °C</t>
  </si>
  <si>
    <t>Reference temperature for distribution</t>
  </si>
  <si>
    <t>Ttap</t>
  </si>
  <si>
    <t>Tdistr</t>
  </si>
  <si>
    <t>Tcold,m</t>
  </si>
  <si>
    <t>Table J1, monthly values</t>
  </si>
  <si>
    <t>Tank</t>
  </si>
  <si>
    <t>Main</t>
  </si>
  <si>
    <t>Average</t>
  </si>
  <si>
    <t>Water volume from distribution</t>
  </si>
  <si>
    <t>J3</t>
  </si>
  <si>
    <t>l/day</t>
  </si>
  <si>
    <t>Yearly average</t>
  </si>
  <si>
    <t>Days in the month</t>
  </si>
  <si>
    <t>l/month</t>
  </si>
  <si>
    <t>There are showers?</t>
  </si>
  <si>
    <t>Number of baths per day</t>
  </si>
  <si>
    <t>Bath volume</t>
  </si>
  <si>
    <t>Design under 125 l/day?</t>
  </si>
  <si>
    <t>Corrected water volume at the tap</t>
  </si>
  <si>
    <t xml:space="preserve">Yes </t>
  </si>
  <si>
    <t>Reference temperature at the tap fore shower</t>
  </si>
  <si>
    <t>Reference temperature at the tap for bath</t>
  </si>
  <si>
    <t>Volume of hot water from distribution (bath)</t>
  </si>
  <si>
    <t>Total</t>
  </si>
  <si>
    <t>J10</t>
  </si>
  <si>
    <t>J9</t>
  </si>
  <si>
    <t>J8</t>
  </si>
  <si>
    <t>J5</t>
  </si>
  <si>
    <t>J4</t>
  </si>
  <si>
    <t>Other uses</t>
  </si>
  <si>
    <t>Daily dhw use</t>
  </si>
  <si>
    <t>J11</t>
  </si>
  <si>
    <t>Corrected dhw use others</t>
  </si>
  <si>
    <t>Monthly correction</t>
  </si>
  <si>
    <t>Monthly volume other uses</t>
  </si>
  <si>
    <t>Vd,shower,m</t>
  </si>
  <si>
    <t>Vd,shower,ave</t>
  </si>
  <si>
    <t>Vd,bath,m</t>
  </si>
  <si>
    <t>Vd,bath,ave</t>
  </si>
  <si>
    <t>Vd;other,ave</t>
  </si>
  <si>
    <t>Vd;other,m</t>
  </si>
  <si>
    <t>Volume of hot water from distribution (other)</t>
  </si>
  <si>
    <t>Annual average dhw use</t>
  </si>
  <si>
    <t>Vd,ave</t>
  </si>
  <si>
    <t>It is at 52 °C</t>
  </si>
  <si>
    <t>Monthly water usage</t>
  </si>
  <si>
    <t>Vd,m</t>
  </si>
  <si>
    <t>Qw,nd,m</t>
  </si>
  <si>
    <t>kWh/month</t>
  </si>
  <si>
    <t>Distribution heat losses</t>
  </si>
  <si>
    <t>p.u</t>
  </si>
  <si>
    <t>Distribution of needs</t>
  </si>
  <si>
    <t>Shower</t>
  </si>
  <si>
    <t>Bath</t>
  </si>
  <si>
    <t>Other</t>
  </si>
  <si>
    <t>Cilinder (storage) loss factor</t>
  </si>
  <si>
    <t>kWh/day</t>
  </si>
  <si>
    <t>Temperature factor</t>
  </si>
  <si>
    <t>Table 2b</t>
  </si>
  <si>
    <t>Energy lost</t>
  </si>
  <si>
    <t>Distribution losses</t>
  </si>
  <si>
    <t>Solar contribution</t>
  </si>
  <si>
    <t>Volume going to HR</t>
  </si>
  <si>
    <t>J2</t>
  </si>
  <si>
    <t>Volume at 52 °C</t>
  </si>
  <si>
    <t>At 52 °C</t>
  </si>
  <si>
    <t>Volume of hot water at the tap</t>
  </si>
  <si>
    <t>At 41°C</t>
  </si>
  <si>
    <t>Inlet to showers</t>
  </si>
  <si>
    <t>Vww,k,m</t>
  </si>
  <si>
    <t>Showersave, Recoh-vert RV3 , System A</t>
  </si>
  <si>
    <t>Details</t>
  </si>
  <si>
    <t>Showersave, Recoh-vert RV3 , System B</t>
  </si>
  <si>
    <t>Showersave, Recoh-vert RV3 , System C</t>
  </si>
  <si>
    <t>ITHO, SHRU 50 , System A</t>
  </si>
  <si>
    <t>ITHO, SHRU 60 , System A</t>
  </si>
  <si>
    <t>Power-pipe, R2-24 , System A</t>
  </si>
  <si>
    <t>Power-pipe, R2-30 , System A</t>
  </si>
  <si>
    <t>Power-pipe, R2-36 , System A</t>
  </si>
  <si>
    <t>Power-pipe, R2-42 , System A</t>
  </si>
  <si>
    <t>Power-pipe, R2-48 , System A</t>
  </si>
  <si>
    <t>Power-pipe, R2-54 , System A</t>
  </si>
  <si>
    <t>Power-pipe, R2-60 , System A</t>
  </si>
  <si>
    <t>Power-pipe, R2-66 , System A</t>
  </si>
  <si>
    <t>Power-pipe, R2-72 , System A</t>
  </si>
  <si>
    <t>Power-pipe, R2-84 , System A</t>
  </si>
  <si>
    <t>Power-pipe, R2-96 , System A</t>
  </si>
  <si>
    <t>Power-pipe, R2-108 , System A</t>
  </si>
  <si>
    <t>Power-pipe, R2-120 , System A</t>
  </si>
  <si>
    <t>Power-pipe, R3-24 , System A</t>
  </si>
  <si>
    <t>Power-pipe, R3-30 , System A</t>
  </si>
  <si>
    <t>Power-pipe, R3-36 , System A</t>
  </si>
  <si>
    <t>Power-pipe, R3-42 , System A</t>
  </si>
  <si>
    <t>Power-pipe, R3-48 , System A</t>
  </si>
  <si>
    <t>Power-pipe, R3-54 , System A</t>
  </si>
  <si>
    <t>Power-pipe, R3-60 , System A</t>
  </si>
  <si>
    <t>Power-pipe, R3-66 , System A</t>
  </si>
  <si>
    <t>Power-pipe, R3-72 , System A</t>
  </si>
  <si>
    <t>Power-pipe, R3-84 , System A</t>
  </si>
  <si>
    <t>Power-pipe, R3-96 , System A</t>
  </si>
  <si>
    <t>Power-pipe, R3-108 , System A</t>
  </si>
  <si>
    <t>Power-pipe, R3-120 , System A</t>
  </si>
  <si>
    <t>Power-pipe, R4-18 , System A</t>
  </si>
  <si>
    <t>Power-pipe, R4-24 , System A</t>
  </si>
  <si>
    <t>Power-pipe, R4-30 , System A</t>
  </si>
  <si>
    <t>Power-pipe, R4-36 , System A</t>
  </si>
  <si>
    <t>Power-pipe, R4-42 , System A</t>
  </si>
  <si>
    <t>Power-pipe, R4-48 , System A</t>
  </si>
  <si>
    <t>Power-pipe, R4-54 , System A</t>
  </si>
  <si>
    <t>Power-pipe, R4-60 , System A</t>
  </si>
  <si>
    <t>Power-pipe, R4-66 , System A</t>
  </si>
  <si>
    <t>Power-pipe, R4-72 , System A</t>
  </si>
  <si>
    <t>Power-pipe, R4-84 , System A</t>
  </si>
  <si>
    <t>Power-pipe, R4-96 , System A</t>
  </si>
  <si>
    <t>Power-pipe, R4-108 , System A</t>
  </si>
  <si>
    <t>Power-pipe, R4-120 , System A</t>
  </si>
  <si>
    <t>Power-pipe, C3-30 , System A</t>
  </si>
  <si>
    <t>Power-pipe, C3-36 , System A</t>
  </si>
  <si>
    <t>Power-pipe, C3-48 , System A</t>
  </si>
  <si>
    <t>Power-pipe, C3-60 , System A</t>
  </si>
  <si>
    <t>Power-pipe, C3-72 , System A</t>
  </si>
  <si>
    <t>Power-pipe, C3-84 , System A</t>
  </si>
  <si>
    <t>Power-pipe, C3-96 , System A</t>
  </si>
  <si>
    <t>Power-pipe, C3-108 , System A</t>
  </si>
  <si>
    <t>Power-pipe, C3-120 , System A</t>
  </si>
  <si>
    <t>Power-pipe, C4-30 , System A</t>
  </si>
  <si>
    <t>Power-pipe, C4-36 , System A</t>
  </si>
  <si>
    <t>Power-pipe, C4-42 , System A</t>
  </si>
  <si>
    <t>Power-pipe, C4-48 , System A</t>
  </si>
  <si>
    <t>Power-pipe, C4-54 , System A</t>
  </si>
  <si>
    <t>Power-pipe, C4-60 , System A</t>
  </si>
  <si>
    <t>Power-pipe, C4-66 , System A</t>
  </si>
  <si>
    <t>Power-pipe, C4-72 , System A</t>
  </si>
  <si>
    <t>Power-pipe, C4-78 , System A</t>
  </si>
  <si>
    <t>Power-pipe, C4-84 , System A</t>
  </si>
  <si>
    <t>Power-pipe, C4-90 , System A</t>
  </si>
  <si>
    <t>Power-pipe, C4-96 , System A</t>
  </si>
  <si>
    <t>Power-pipe, C4-108 , System A</t>
  </si>
  <si>
    <t>Power-pipe, C4-120 , System A</t>
  </si>
  <si>
    <t>RECOUP, Drain+ , System A</t>
  </si>
  <si>
    <t>RECOUP, Pipe+ , System A</t>
  </si>
  <si>
    <t>RECOUP, Propipe+ , System A</t>
  </si>
  <si>
    <t>RECOUP, Retrofit+ , System A</t>
  </si>
  <si>
    <t>RECOUP, Tray+ , System A</t>
  </si>
  <si>
    <t>RECOUP, Drain+ , System B</t>
  </si>
  <si>
    <t>RECOUP, Pipe+ , System B</t>
  </si>
  <si>
    <t>RECOUP, Propipe+ , System B</t>
  </si>
  <si>
    <t>RECOUP, Retrofit+ , System B</t>
  </si>
  <si>
    <t>RECOUP, Tray+ , System B</t>
  </si>
  <si>
    <t>RECOUP, Drain+ , System C</t>
  </si>
  <si>
    <t>RECOUP, Pipe+ , System C</t>
  </si>
  <si>
    <t>RECOUP, Propipe+ , System C</t>
  </si>
  <si>
    <t>RECOUP, Retrofit+ , System C</t>
  </si>
  <si>
    <t>RECOUP, Tray+ , System C</t>
  </si>
  <si>
    <t>ITHO, SHRU 50 , System B</t>
  </si>
  <si>
    <t>ITHO, SHRU 60 , System B</t>
  </si>
  <si>
    <t>ITHO, SHRU 50 , System C</t>
  </si>
  <si>
    <t>ITHO, SHRU 60 , System C</t>
  </si>
  <si>
    <t>Recoup, Pipe+ HE , System A</t>
  </si>
  <si>
    <t>Recoup, Tray+ DSS-S2 , System A</t>
  </si>
  <si>
    <t>Recoup, Pipe+ HE , System B</t>
  </si>
  <si>
    <t>Recoup, Tray+ DSS-S2 , System B</t>
  </si>
  <si>
    <t>Recoup, Pipe+ HE , System C</t>
  </si>
  <si>
    <t>Recoup, Tray+ DSS-S2 , System C</t>
  </si>
  <si>
    <t>Zypho, Z6DWUK , System A</t>
  </si>
  <si>
    <t>Zypho, Z6DWUK , System B</t>
  </si>
  <si>
    <t>Zypho, Z6DWUK , System C</t>
  </si>
  <si>
    <t>Power-Pipe, R2-84 , System B</t>
  </si>
  <si>
    <t>Power-Pipe, R4-60 , System B</t>
  </si>
  <si>
    <t>Megaflo, SHRU 60 , System A</t>
  </si>
  <si>
    <t>Megaflo, SHRU 60 , System B</t>
  </si>
  <si>
    <t>Megaflo, SHRU 60 , System C</t>
  </si>
  <si>
    <t>RECOUP, Drain+ Compact , System A</t>
  </si>
  <si>
    <t>RECOUP, Pipe+ HF , System A</t>
  </si>
  <si>
    <t>RECOUP, Drain+ Compact , System B</t>
  </si>
  <si>
    <t>RECOUP, Pipe+ HF , System B</t>
  </si>
  <si>
    <t>RECOUP, Drain+ Compact , System C</t>
  </si>
  <si>
    <t>RECOUP, Pipe+ HF , System C</t>
  </si>
  <si>
    <t>Power-Pipe, R2-60 , System B</t>
  </si>
  <si>
    <t>Power-Pipe, R4-84 , System B</t>
  </si>
  <si>
    <t>Showersave, QB1-21 , System A</t>
  </si>
  <si>
    <t>Showersave, QB1-21C , System A</t>
  </si>
  <si>
    <t>Showersave, QB1-21 , System B</t>
  </si>
  <si>
    <t>Showersave, QB1-21C , System B</t>
  </si>
  <si>
    <t>Showersave, QB1-21 , System C</t>
  </si>
  <si>
    <t>Showersave, QB1-21C , System C</t>
  </si>
  <si>
    <t>Megaflo, Horizontal SHRU IZI 8kW 7036160 , System A</t>
  </si>
  <si>
    <t>Megaflo, Horizontal SHRU STD 8kW 7036150 , System A</t>
  </si>
  <si>
    <t>Megaflo, Horizontal SHRU IZI 8kW 7036160 , System B</t>
  </si>
  <si>
    <t>Megaflo, Horizontal SHRU STD 8kW 7036150 , System B</t>
  </si>
  <si>
    <t>Megaflo, Horizontal SHRU IZI 8kW 7036160 , System C</t>
  </si>
  <si>
    <t>Megaflo, Horizontal SHRU STD 8kW 7036150 , System C</t>
  </si>
  <si>
    <t>Showersave, QB1-21D , System A</t>
  </si>
  <si>
    <t>Showersave, Linear Drain J3-630-3P , System A</t>
  </si>
  <si>
    <t>Showersave, Linear Drain J3-630-5P , System A</t>
  </si>
  <si>
    <t>Showersave, QB1-21D , System B</t>
  </si>
  <si>
    <t>Showersave, Linear Drain J3-630-3P , System B</t>
  </si>
  <si>
    <t>Showersave, Linear Drain J3-630-5P , System B</t>
  </si>
  <si>
    <t>Showersave, QB1-21D , System C</t>
  </si>
  <si>
    <t>Showersave, Linear Drain J3-630-3P , System C</t>
  </si>
  <si>
    <t>Showersave, Linear Drain J3-630-5P , System C</t>
  </si>
  <si>
    <t>RECOUP, Easyfit+ , System A</t>
  </si>
  <si>
    <t>RECOUP, Drain+ Duo , System A</t>
  </si>
  <si>
    <t>RECOUP, Drain+ Duo HE , System A</t>
  </si>
  <si>
    <t>RECOUP, Easyfit+ , System B</t>
  </si>
  <si>
    <t>RECOUP, Drain+ Duo , System B</t>
  </si>
  <si>
    <t>RECOUP, Drain+ Duo HE , System B</t>
  </si>
  <si>
    <t>RECOUP, Easyfit+ , System C</t>
  </si>
  <si>
    <t>RECOUP, Drain+ Duo , System C</t>
  </si>
  <si>
    <t>RECOUP, Drain+ Duo HE , System C</t>
  </si>
  <si>
    <t>Recoup, Pipe HEX , System A</t>
  </si>
  <si>
    <t>Recoup, Pipe HEX-Rd , System A</t>
  </si>
  <si>
    <t>Recoup, Pipe HEX , System B</t>
  </si>
  <si>
    <t>Recoup, Pipe HEX-Rd , System B</t>
  </si>
  <si>
    <t>Recoup, Pipe HEX , System C</t>
  </si>
  <si>
    <t>Recoup, Pipe HEX-Rd , System C</t>
  </si>
  <si>
    <t>Power-Pipe, E2-36 , System A</t>
  </si>
  <si>
    <t>Power-Pipe, E2-60 , System A</t>
  </si>
  <si>
    <t>Power-Pipe, E2-84 , System A</t>
  </si>
  <si>
    <t>Power-Pipe, X2-36 , System A</t>
  </si>
  <si>
    <t>Power-Pipe, X2-60 , System A</t>
  </si>
  <si>
    <t>Power-Pipe, E2-36 , System B</t>
  </si>
  <si>
    <t>Power-Pipe, E2-60 , System B</t>
  </si>
  <si>
    <t>Power-Pipe, E2-84 , System B</t>
  </si>
  <si>
    <t>Power-Pipe, X2-36 , System B</t>
  </si>
  <si>
    <t>Power-Pipe, X2-60 , System B</t>
  </si>
  <si>
    <t>Power-Pipe, X2-84 , System A</t>
  </si>
  <si>
    <t>Power-Pipe, X2-84 , System B</t>
  </si>
  <si>
    <t>Zypho, iZi 30 , System A</t>
  </si>
  <si>
    <t>Zypho, iZi 40 , System A</t>
  </si>
  <si>
    <t>Zypho, PiPe 65 , System A</t>
  </si>
  <si>
    <t>Zypho, iZi 30 , System B</t>
  </si>
  <si>
    <t>Zypho, iZi 40 , System B</t>
  </si>
  <si>
    <t>Zypho, PiPe 65 , System B</t>
  </si>
  <si>
    <t>Zypho, iZi 30 , System C</t>
  </si>
  <si>
    <t>Zypho, iZi 40 , System C</t>
  </si>
  <si>
    <t>Zypho, PiPe 65 , System C</t>
  </si>
  <si>
    <t>Baxi, Assure HSHRU , System A</t>
  </si>
  <si>
    <t>Baxi, Assure HSHRU , System B</t>
  </si>
  <si>
    <t>Baxi, Assure HSHRU , System C</t>
  </si>
  <si>
    <t>Baxi, Assure VSHRU , System A</t>
  </si>
  <si>
    <t>Baxi, Assure VSHRU , System B</t>
  </si>
  <si>
    <t>Baxi, Assure VSHRU , System C</t>
  </si>
  <si>
    <t>Mira Showers, HeatCapture , System A</t>
  </si>
  <si>
    <t>Mira Showers, HeatCapture , System B</t>
  </si>
  <si>
    <t>Mira Showers, HeatCapture , System C</t>
  </si>
  <si>
    <t>Showersave, Blue QB1-21D , System A</t>
  </si>
  <si>
    <t>Showersave, Blue QB1-21 , System A</t>
  </si>
  <si>
    <t>Showersave, Blue QB1-21D , System B</t>
  </si>
  <si>
    <t>Showersave, Blue QB1-21 , System B</t>
  </si>
  <si>
    <t>Showersave, Blue QB1-21D , System C</t>
  </si>
  <si>
    <t>Showersave, Blue QB1-21 , System C</t>
  </si>
  <si>
    <t>Showersave, Showersave QB1-21 Cyclone , System A</t>
  </si>
  <si>
    <t>Showersave, Showersave QB1-21 Cyclone , System B</t>
  </si>
  <si>
    <t>Showersave, Showersave QB1-21 Cyclone , System C</t>
  </si>
  <si>
    <t>Recoup, Pipe Active , System A</t>
  </si>
  <si>
    <t>Recoup, Pipe Active , System B</t>
  </si>
  <si>
    <t>Recoup, Pipe Active , System C</t>
  </si>
  <si>
    <t>Zypho, Slim DW50 , System A</t>
  </si>
  <si>
    <t>Zypho, PiPe 75 , System A</t>
  </si>
  <si>
    <t>Zypho, Slim DW50 , System B</t>
  </si>
  <si>
    <t>Zypho, PiPe 75 , System B</t>
  </si>
  <si>
    <t>Zypho, Slim DW50 , System C</t>
  </si>
  <si>
    <t>Zypho, PiPe 75 , System C</t>
  </si>
  <si>
    <t>Flow rate</t>
  </si>
  <si>
    <t>Efficiency</t>
  </si>
  <si>
    <t>FULL DATA BASE</t>
  </si>
  <si>
    <t>Select device</t>
  </si>
  <si>
    <t>Inlet temperature to wwhr device</t>
  </si>
  <si>
    <t>Energy contents of inlet</t>
  </si>
  <si>
    <t>Utilisation factor</t>
  </si>
  <si>
    <t>Recovered heat</t>
  </si>
  <si>
    <t>kWh/year</t>
  </si>
  <si>
    <t>Yearly energy needs</t>
  </si>
  <si>
    <t>TYPE A</t>
  </si>
  <si>
    <t>TYPE B</t>
  </si>
  <si>
    <t>TYPE C</t>
  </si>
  <si>
    <t>Correction to WWHR efficiency</t>
  </si>
  <si>
    <t>Reference temperature at the tap for shower</t>
  </si>
  <si>
    <t>Temperature at the distribution (storage)</t>
  </si>
  <si>
    <t>Distribution flow rate</t>
  </si>
  <si>
    <t>Temperature at shower drain</t>
  </si>
  <si>
    <t>kW</t>
  </si>
  <si>
    <t>Maximum recoverable power</t>
  </si>
  <si>
    <t>Shower power</t>
  </si>
  <si>
    <t>Fraction of mass flow at the drain</t>
  </si>
  <si>
    <t>Power at the drain</t>
  </si>
  <si>
    <t>Power at the drain, no mass losses</t>
  </si>
  <si>
    <t>Flow rate at the drain</t>
  </si>
  <si>
    <t>Inlet cold temperature</t>
  </si>
  <si>
    <t>Inlet high temperature</t>
  </si>
  <si>
    <t>Heated flow rate</t>
  </si>
  <si>
    <t>Drain flow rate</t>
  </si>
  <si>
    <t>Fraction of water to storage</t>
  </si>
  <si>
    <t>Flow rate through store</t>
  </si>
  <si>
    <t>Flow rate on cold water to tap</t>
  </si>
  <si>
    <t>WWHR heated water outlet temperature</t>
  </si>
  <si>
    <t>Heat recovery global efficiency</t>
  </si>
  <si>
    <t>WWHR exchanger actual efficiency</t>
  </si>
  <si>
    <t>Recovered power</t>
  </si>
  <si>
    <r>
      <rPr>
        <sz val="10"/>
        <rFont val="Symbol"/>
        <family val="1"/>
        <charset val="2"/>
      </rPr>
      <t>q</t>
    </r>
    <r>
      <rPr>
        <i/>
        <sz val="10"/>
        <rFont val="Arial"/>
        <family val="2"/>
      </rPr>
      <t>w;dis</t>
    </r>
  </si>
  <si>
    <r>
      <rPr>
        <sz val="10"/>
        <rFont val="Symbol"/>
        <family val="1"/>
        <charset val="2"/>
      </rPr>
      <t>q</t>
    </r>
    <r>
      <rPr>
        <i/>
        <sz val="10"/>
        <rFont val="Arial"/>
        <family val="2"/>
      </rPr>
      <t>w;draw</t>
    </r>
  </si>
  <si>
    <r>
      <rPr>
        <sz val="10"/>
        <rFont val="Symbol"/>
        <family val="1"/>
        <charset val="2"/>
      </rPr>
      <t>q</t>
    </r>
    <r>
      <rPr>
        <i/>
        <sz val="10"/>
        <rFont val="Arial"/>
        <family val="2"/>
      </rPr>
      <t>w;cold</t>
    </r>
  </si>
  <si>
    <r>
      <t>V'</t>
    </r>
    <r>
      <rPr>
        <i/>
        <sz val="10"/>
        <rFont val="Arial"/>
        <family val="2"/>
      </rPr>
      <t>w;draw</t>
    </r>
  </si>
  <si>
    <r>
      <t>x</t>
    </r>
    <r>
      <rPr>
        <i/>
        <sz val="10"/>
        <rFont val="Arial"/>
        <family val="2"/>
      </rPr>
      <t>w;drain</t>
    </r>
  </si>
  <si>
    <r>
      <rPr>
        <sz val="10"/>
        <rFont val="Symbol"/>
        <family val="1"/>
        <charset val="2"/>
      </rPr>
      <t>q</t>
    </r>
    <r>
      <rPr>
        <i/>
        <sz val="10"/>
        <rFont val="Arial"/>
        <family val="2"/>
      </rPr>
      <t>w;drain</t>
    </r>
  </si>
  <si>
    <r>
      <rPr>
        <sz val="10"/>
        <rFont val="Symbol"/>
        <family val="1"/>
        <charset val="2"/>
      </rPr>
      <t>F</t>
    </r>
    <r>
      <rPr>
        <i/>
        <sz val="10"/>
        <rFont val="Arial"/>
        <family val="2"/>
      </rPr>
      <t>w;draw</t>
    </r>
  </si>
  <si>
    <r>
      <rPr>
        <sz val="10"/>
        <rFont val="Symbol"/>
        <family val="1"/>
        <charset val="2"/>
      </rPr>
      <t>F</t>
    </r>
    <r>
      <rPr>
        <i/>
        <sz val="10"/>
        <rFont val="Arial"/>
        <family val="2"/>
      </rPr>
      <t>w;drain</t>
    </r>
  </si>
  <si>
    <r>
      <t>V'</t>
    </r>
    <r>
      <rPr>
        <i/>
        <sz val="10"/>
        <rFont val="Arial"/>
        <family val="2"/>
      </rPr>
      <t>w;drain</t>
    </r>
  </si>
  <si>
    <r>
      <rPr>
        <sz val="10"/>
        <rFont val="Symbol"/>
        <family val="1"/>
        <charset val="2"/>
      </rPr>
      <t>F</t>
    </r>
    <r>
      <rPr>
        <i/>
        <sz val="10"/>
        <rFont val="Arial"/>
        <family val="2"/>
      </rPr>
      <t>w;drain;max</t>
    </r>
  </si>
  <si>
    <r>
      <t>V'</t>
    </r>
    <r>
      <rPr>
        <i/>
        <sz val="10"/>
        <rFont val="Arial"/>
        <family val="2"/>
      </rPr>
      <t>w;wwhr</t>
    </r>
  </si>
  <si>
    <t>l/h</t>
  </si>
  <si>
    <t>Water temperature</t>
  </si>
  <si>
    <t>Ambient temperature</t>
  </si>
  <si>
    <t>Linear transmittance</t>
  </si>
  <si>
    <t>W/mK</t>
  </si>
  <si>
    <t>Heat loss</t>
  </si>
  <si>
    <t>W/m</t>
  </si>
  <si>
    <t>Heat capacity</t>
  </si>
  <si>
    <t>Wh/lK</t>
  </si>
  <si>
    <t>K/m</t>
  </si>
  <si>
    <t>Water temperature drop</t>
  </si>
  <si>
    <t>Dhw need for a showering event</t>
  </si>
  <si>
    <t>Volume needs</t>
  </si>
  <si>
    <t>Energy needs</t>
  </si>
  <si>
    <t>Volume of water in the shower basin and drain</t>
  </si>
  <si>
    <t>Volume of water in the wwhr device</t>
  </si>
  <si>
    <t>Length of the pipes for preheated water</t>
  </si>
  <si>
    <t>m</t>
  </si>
  <si>
    <t>Inner diameter of pipes</t>
  </si>
  <si>
    <t>Volume of preheated water</t>
  </si>
  <si>
    <t>Total volume of preheated water</t>
  </si>
  <si>
    <r>
      <t xml:space="preserve">TYPE B - </t>
    </r>
    <r>
      <rPr>
        <sz val="10"/>
        <rFont val="Symbol"/>
        <family val="1"/>
        <charset val="2"/>
      </rPr>
      <t>h</t>
    </r>
    <r>
      <rPr>
        <sz val="10"/>
        <rFont val="Arial"/>
        <family val="2"/>
        <charset val="238"/>
      </rPr>
      <t xml:space="preserve"> 75%</t>
    </r>
  </si>
  <si>
    <r>
      <t xml:space="preserve">TYPE B - </t>
    </r>
    <r>
      <rPr>
        <sz val="10"/>
        <rFont val="Symbol"/>
        <family val="1"/>
        <charset val="2"/>
      </rPr>
      <t>h</t>
    </r>
    <r>
      <rPr>
        <sz val="10"/>
        <rFont val="Arial"/>
        <family val="2"/>
        <charset val="238"/>
      </rPr>
      <t xml:space="preserve"> 50%</t>
    </r>
  </si>
  <si>
    <r>
      <t xml:space="preserve">TYPE B - </t>
    </r>
    <r>
      <rPr>
        <sz val="10"/>
        <rFont val="Symbol"/>
        <family val="1"/>
        <charset val="2"/>
      </rPr>
      <t>h</t>
    </r>
    <r>
      <rPr>
        <sz val="10"/>
        <rFont val="Arial"/>
        <family val="2"/>
        <charset val="238"/>
      </rPr>
      <t xml:space="preserve"> 25%</t>
    </r>
  </si>
  <si>
    <r>
      <t xml:space="preserve">TYPE A - </t>
    </r>
    <r>
      <rPr>
        <sz val="10"/>
        <rFont val="Symbol"/>
        <family val="1"/>
        <charset val="2"/>
      </rPr>
      <t>h</t>
    </r>
    <r>
      <rPr>
        <sz val="10"/>
        <rFont val="Arial"/>
        <family val="2"/>
        <charset val="238"/>
      </rPr>
      <t xml:space="preserve"> 75%</t>
    </r>
  </si>
  <si>
    <r>
      <t xml:space="preserve">TYPE A - </t>
    </r>
    <r>
      <rPr>
        <sz val="10"/>
        <rFont val="Symbol"/>
        <family val="1"/>
        <charset val="2"/>
      </rPr>
      <t>h</t>
    </r>
    <r>
      <rPr>
        <sz val="10"/>
        <rFont val="Arial"/>
        <family val="2"/>
        <charset val="238"/>
      </rPr>
      <t xml:space="preserve"> 50%</t>
    </r>
  </si>
  <si>
    <r>
      <t xml:space="preserve">TYPE A - </t>
    </r>
    <r>
      <rPr>
        <sz val="10"/>
        <rFont val="Symbol"/>
        <family val="1"/>
        <charset val="2"/>
      </rPr>
      <t>h</t>
    </r>
    <r>
      <rPr>
        <sz val="10"/>
        <rFont val="Arial"/>
        <family val="2"/>
        <charset val="238"/>
      </rPr>
      <t xml:space="preserve"> 25%</t>
    </r>
  </si>
  <si>
    <r>
      <t xml:space="preserve">TYPE C - </t>
    </r>
    <r>
      <rPr>
        <sz val="10"/>
        <rFont val="Symbol"/>
        <family val="1"/>
        <charset val="2"/>
      </rPr>
      <t>h</t>
    </r>
    <r>
      <rPr>
        <sz val="10"/>
        <rFont val="Arial"/>
        <family val="2"/>
        <charset val="238"/>
      </rPr>
      <t xml:space="preserve"> 75%</t>
    </r>
  </si>
  <si>
    <r>
      <t xml:space="preserve">TYPE C - </t>
    </r>
    <r>
      <rPr>
        <sz val="10"/>
        <rFont val="Symbol"/>
        <family val="1"/>
        <charset val="2"/>
      </rPr>
      <t>h</t>
    </r>
    <r>
      <rPr>
        <sz val="10"/>
        <rFont val="Arial"/>
        <family val="2"/>
        <charset val="238"/>
      </rPr>
      <t xml:space="preserve"> 50%</t>
    </r>
  </si>
  <si>
    <r>
      <t xml:space="preserve">TYPE C - </t>
    </r>
    <r>
      <rPr>
        <sz val="10"/>
        <rFont val="Symbol"/>
        <family val="1"/>
        <charset val="2"/>
      </rPr>
      <t>h</t>
    </r>
    <r>
      <rPr>
        <sz val="10"/>
        <rFont val="Arial"/>
        <family val="2"/>
        <charset val="238"/>
      </rPr>
      <t xml:space="preserve"> 25%</t>
    </r>
  </si>
  <si>
    <t>Mass of material</t>
  </si>
  <si>
    <t>kg</t>
  </si>
  <si>
    <t>Material</t>
  </si>
  <si>
    <t>Cu</t>
  </si>
  <si>
    <t>Specific heat</t>
  </si>
  <si>
    <t>kJ/kgK</t>
  </si>
  <si>
    <t>Specific heatr of water</t>
  </si>
  <si>
    <t>Equivalent water</t>
  </si>
  <si>
    <r>
      <t xml:space="preserve">TYPE B - eff </t>
    </r>
    <r>
      <rPr>
        <sz val="10"/>
        <rFont val="Arial"/>
        <family val="2"/>
        <charset val="238"/>
      </rPr>
      <t>25%</t>
    </r>
  </si>
  <si>
    <r>
      <t>TYPE B - eff</t>
    </r>
    <r>
      <rPr>
        <sz val="10"/>
        <rFont val="Arial"/>
        <family val="2"/>
        <charset val="238"/>
      </rPr>
      <t xml:space="preserve"> 50%</t>
    </r>
  </si>
  <si>
    <r>
      <t>TYPE B - eff</t>
    </r>
    <r>
      <rPr>
        <sz val="10"/>
        <rFont val="Arial"/>
        <family val="2"/>
        <charset val="238"/>
      </rPr>
      <t xml:space="preserve"> 75%</t>
    </r>
  </si>
  <si>
    <r>
      <t xml:space="preserve">TYPE B - eff </t>
    </r>
    <r>
      <rPr>
        <sz val="10"/>
        <rFont val="Arial"/>
        <family val="2"/>
        <charset val="238"/>
      </rPr>
      <t>100%</t>
    </r>
  </si>
  <si>
    <r>
      <t>TYPE B - eff</t>
    </r>
    <r>
      <rPr>
        <sz val="10"/>
        <rFont val="Arial"/>
        <family val="2"/>
        <charset val="238"/>
      </rPr>
      <t xml:space="preserve"> 100%</t>
    </r>
  </si>
  <si>
    <t>Shower drain temperature</t>
  </si>
  <si>
    <t>Max recoverable</t>
  </si>
  <si>
    <t>Max recoverable  heat</t>
  </si>
  <si>
    <t>Cold water temperature °C</t>
  </si>
  <si>
    <t>Mass loss rate</t>
  </si>
  <si>
    <t>kg/s m²</t>
  </si>
  <si>
    <t>Vapour pressure</t>
  </si>
  <si>
    <t>Pa</t>
  </si>
  <si>
    <t>Ambient partial pressure</t>
  </si>
  <si>
    <t>Molecular weight</t>
  </si>
  <si>
    <t>R constant</t>
  </si>
  <si>
    <t>J/mol K</t>
  </si>
  <si>
    <t>Temperature</t>
  </si>
  <si>
    <t>K</t>
  </si>
  <si>
    <t>The amount of evaporated water can be expressed as:</t>
  </si>
  <si>
    <r>
      <t>g</t>
    </r>
    <r>
      <rPr>
        <i/>
        <vertAlign val="subscript"/>
        <sz val="11"/>
        <color rgb="FF000000"/>
        <rFont val="Arial"/>
        <family val="2"/>
      </rPr>
      <t>s</t>
    </r>
    <r>
      <rPr>
        <i/>
        <sz val="11"/>
        <color rgb="FF000000"/>
        <rFont val="Arial"/>
        <family val="2"/>
      </rPr>
      <t> = Θ A (x</t>
    </r>
    <r>
      <rPr>
        <i/>
        <vertAlign val="subscript"/>
        <sz val="11"/>
        <color rgb="FF000000"/>
        <rFont val="Arial"/>
        <family val="2"/>
      </rPr>
      <t>s</t>
    </r>
    <r>
      <rPr>
        <i/>
        <sz val="11"/>
        <color rgb="FF000000"/>
        <rFont val="Arial"/>
        <family val="2"/>
      </rPr>
      <t> - x) / 3600                                 (1)</t>
    </r>
  </si>
  <si>
    <t>or</t>
  </si>
  <si>
    <r>
      <t>g</t>
    </r>
    <r>
      <rPr>
        <i/>
        <vertAlign val="subscript"/>
        <sz val="11"/>
        <color rgb="FF000000"/>
        <rFont val="Arial"/>
        <family val="2"/>
      </rPr>
      <t>h</t>
    </r>
    <r>
      <rPr>
        <i/>
        <sz val="11"/>
        <color rgb="FF000000"/>
        <rFont val="Arial"/>
        <family val="2"/>
      </rPr>
      <t> = Θ A (x</t>
    </r>
    <r>
      <rPr>
        <i/>
        <vertAlign val="subscript"/>
        <sz val="11"/>
        <color rgb="FF000000"/>
        <rFont val="Arial"/>
        <family val="2"/>
      </rPr>
      <t>s</t>
    </r>
    <r>
      <rPr>
        <i/>
        <sz val="11"/>
        <color rgb="FF000000"/>
        <rFont val="Arial"/>
        <family val="2"/>
      </rPr>
      <t> - x)</t>
    </r>
  </si>
  <si>
    <t>where</t>
  </si>
  <si>
    <r>
      <t>g</t>
    </r>
    <r>
      <rPr>
        <i/>
        <vertAlign val="subscript"/>
        <sz val="11"/>
        <color rgb="FF000000"/>
        <rFont val="Arial"/>
        <family val="2"/>
      </rPr>
      <t>s</t>
    </r>
    <r>
      <rPr>
        <i/>
        <sz val="11"/>
        <color rgb="FF000000"/>
        <rFont val="Arial"/>
        <family val="2"/>
      </rPr>
      <t> = amount of evaporated water per second (kg/s)</t>
    </r>
  </si>
  <si>
    <r>
      <t>g</t>
    </r>
    <r>
      <rPr>
        <i/>
        <vertAlign val="subscript"/>
        <sz val="11"/>
        <color rgb="FF000000"/>
        <rFont val="Arial"/>
        <family val="2"/>
      </rPr>
      <t>h</t>
    </r>
    <r>
      <rPr>
        <i/>
        <sz val="11"/>
        <color rgb="FF000000"/>
        <rFont val="Arial"/>
        <family val="2"/>
      </rPr>
      <t> = amount of evaporated water per hour (kg/h)</t>
    </r>
  </si>
  <si>
    <r>
      <t>Θ = (25 + 19 v) = evaporation coefficient (kg/m</t>
    </r>
    <r>
      <rPr>
        <i/>
        <vertAlign val="superscript"/>
        <sz val="11"/>
        <color rgb="FF000000"/>
        <rFont val="Arial"/>
        <family val="2"/>
      </rPr>
      <t>2</t>
    </r>
    <r>
      <rPr>
        <i/>
        <sz val="11"/>
        <color rgb="FF000000"/>
        <rFont val="Arial"/>
        <family val="2"/>
      </rPr>
      <t>h)</t>
    </r>
  </si>
  <si>
    <t>v = velocity of air above the water surface (m/s)</t>
  </si>
  <si>
    <r>
      <t>A = water surface area (m</t>
    </r>
    <r>
      <rPr>
        <i/>
        <vertAlign val="superscript"/>
        <sz val="11"/>
        <color rgb="FF000000"/>
        <rFont val="Arial"/>
        <family val="2"/>
      </rPr>
      <t>2</t>
    </r>
    <r>
      <rPr>
        <i/>
        <sz val="11"/>
        <color rgb="FF000000"/>
        <rFont val="Arial"/>
        <family val="2"/>
      </rPr>
      <t>)</t>
    </r>
  </si>
  <si>
    <t>xs = maximum humidity ratio of saturated air at the same temperature as the water surface (kg/kg)  (kg H2O in kg Dry Air)</t>
  </si>
  <si>
    <t>x = humidity ratio air (kg/kg) (kg H2O in kg Dry Air)</t>
  </si>
  <si>
    <t>Air speed V</t>
  </si>
  <si>
    <t>m/s</t>
  </si>
  <si>
    <t>Evaporation coefficient</t>
  </si>
  <si>
    <t>kg/m²h</t>
  </si>
  <si>
    <t>Xs (35°C)</t>
  </si>
  <si>
    <t>kg/kg</t>
  </si>
  <si>
    <t>X amb (22°C - 80%)</t>
  </si>
  <si>
    <t>Evaporation rate</t>
  </si>
  <si>
    <t>kg/h</t>
  </si>
  <si>
    <t>Type A</t>
  </si>
  <si>
    <t>Type B</t>
  </si>
  <si>
    <t>Type C</t>
  </si>
  <si>
    <t>kWh/m² year</t>
  </si>
  <si>
    <t>Spain</t>
  </si>
  <si>
    <t>Peersons</t>
  </si>
  <si>
    <t>l/day p</t>
  </si>
  <si>
    <t>Ref temperatura</t>
  </si>
  <si>
    <t xml:space="preserve">Cold water temperatura </t>
  </si>
  <si>
    <t>Energy per day</t>
  </si>
  <si>
    <t>Energy per year</t>
  </si>
  <si>
    <t>Specific</t>
  </si>
  <si>
    <t>kWh/m² y</t>
  </si>
  <si>
    <t>Bed Rooms</t>
  </si>
  <si>
    <t>France</t>
  </si>
  <si>
    <t>Default needs</t>
  </si>
  <si>
    <t>l/week person</t>
  </si>
  <si>
    <t>Surface</t>
  </si>
  <si>
    <t>Ngr,em max</t>
  </si>
  <si>
    <t>Nu</t>
  </si>
  <si>
    <t>a</t>
  </si>
  <si>
    <t>Besoins</t>
  </si>
  <si>
    <t xml:space="preserve">l/week </t>
  </si>
  <si>
    <t>Refernce temperature</t>
  </si>
  <si>
    <t>kWh/yr</t>
  </si>
  <si>
    <t>kWh/m²yr</t>
  </si>
  <si>
    <t>Netherlands</t>
  </si>
  <si>
    <t>kWh/yr person</t>
  </si>
  <si>
    <t>N of persons</t>
  </si>
  <si>
    <t>Italy</t>
  </si>
  <si>
    <t xml:space="preserve">Hot temperatura </t>
  </si>
  <si>
    <t xml:space="preserve">Cold temperatura </t>
  </si>
  <si>
    <t>b</t>
  </si>
  <si>
    <t>Final drain temperatura</t>
  </si>
  <si>
    <t>Drain</t>
  </si>
  <si>
    <t>Primary</t>
  </si>
  <si>
    <t>Secondary</t>
  </si>
  <si>
    <t>Final drain temperature</t>
  </si>
  <si>
    <t>0…100</t>
  </si>
  <si>
    <t>0…10</t>
  </si>
  <si>
    <t>Process design data</t>
  </si>
  <si>
    <t>Type of hydraulic connection</t>
  </si>
  <si>
    <t>WWHR_CONN</t>
  </si>
  <si>
    <t>B</t>
  </si>
  <si>
    <t>C</t>
  </si>
  <si>
    <t>Preheats cold water to shower and heater</t>
  </si>
  <si>
    <t>Preheats cold water to shower only</t>
  </si>
  <si>
    <t>Preheats cold water to heater only</t>
  </si>
  <si>
    <t>Un-balanced efficiency 1 of WWHR device</t>
  </si>
  <si>
    <r>
      <rPr>
        <sz val="10"/>
        <rFont val="Symbol"/>
        <family val="1"/>
        <charset val="2"/>
      </rPr>
      <t>q</t>
    </r>
    <r>
      <rPr>
        <i/>
        <vertAlign val="subscript"/>
        <sz val="10"/>
        <rFont val="Arial"/>
        <family val="2"/>
      </rPr>
      <t>W;draw</t>
    </r>
  </si>
  <si>
    <r>
      <rPr>
        <sz val="10"/>
        <rFont val="Symbol"/>
        <family val="1"/>
        <charset val="2"/>
      </rPr>
      <t>q</t>
    </r>
    <r>
      <rPr>
        <i/>
        <vertAlign val="subscript"/>
        <sz val="10"/>
        <rFont val="Arial"/>
        <family val="2"/>
      </rPr>
      <t>W;dis</t>
    </r>
  </si>
  <si>
    <t>Text display</t>
  </si>
  <si>
    <t>Data transfer</t>
  </si>
  <si>
    <t>Images</t>
  </si>
  <si>
    <t>Equation</t>
  </si>
  <si>
    <r>
      <rPr>
        <sz val="10"/>
        <rFont val="Symbol"/>
        <family val="1"/>
        <charset val="2"/>
      </rPr>
      <t>q</t>
    </r>
    <r>
      <rPr>
        <i/>
        <vertAlign val="subscript"/>
        <sz val="10"/>
        <rFont val="Arial"/>
        <family val="2"/>
      </rPr>
      <t>W;cold,ci</t>
    </r>
  </si>
  <si>
    <t>May vary depending on calculation interval</t>
  </si>
  <si>
    <r>
      <t>Q</t>
    </r>
    <r>
      <rPr>
        <i/>
        <vertAlign val="subscript"/>
        <sz val="10"/>
        <rFont val="Arial"/>
        <family val="2"/>
      </rPr>
      <t>W;nd,ci</t>
    </r>
  </si>
  <si>
    <t>Dhw needs (energy)</t>
  </si>
  <si>
    <t>X.1</t>
  </si>
  <si>
    <t>Fraction of needs related to WWHR</t>
  </si>
  <si>
    <t>Dhw needs related to showering and wwhr (energy)</t>
  </si>
  <si>
    <t>Dhw needs related to showering and wwhr (volume)</t>
  </si>
  <si>
    <t>This may be replaced by a function or a specific profile depending on calculation intervals</t>
  </si>
  <si>
    <t>X.2</t>
  </si>
  <si>
    <r>
      <t>k</t>
    </r>
    <r>
      <rPr>
        <i/>
        <vertAlign val="subscript"/>
        <sz val="10"/>
        <rFont val="Arial"/>
        <family val="2"/>
      </rPr>
      <t>W;nd;shw</t>
    </r>
  </si>
  <si>
    <t>Recoverable fraction of needs</t>
  </si>
  <si>
    <r>
      <t>k</t>
    </r>
    <r>
      <rPr>
        <i/>
        <vertAlign val="subscript"/>
        <sz val="10"/>
        <rFont val="Arial"/>
        <family val="2"/>
      </rPr>
      <t>wwhr;rbl;A,ci</t>
    </r>
  </si>
  <si>
    <t>Common data</t>
  </si>
  <si>
    <r>
      <rPr>
        <sz val="10"/>
        <rFont val="Symbol"/>
        <family val="1"/>
        <charset val="2"/>
      </rPr>
      <t>q</t>
    </r>
    <r>
      <rPr>
        <i/>
        <vertAlign val="subscript"/>
        <sz val="10"/>
        <rFont val="Arial"/>
        <family val="2"/>
      </rPr>
      <t>W;drain</t>
    </r>
  </si>
  <si>
    <t>Sample two points interpolation</t>
  </si>
  <si>
    <r>
      <rPr>
        <sz val="10"/>
        <rFont val="Symbol"/>
        <family val="1"/>
        <charset val="2"/>
      </rPr>
      <t>h</t>
    </r>
    <r>
      <rPr>
        <i/>
        <vertAlign val="subscript"/>
        <sz val="10"/>
        <rFont val="Arial"/>
        <family val="2"/>
      </rPr>
      <t>wwhr;A</t>
    </r>
  </si>
  <si>
    <r>
      <rPr>
        <sz val="10"/>
        <rFont val="Symbol"/>
        <family val="1"/>
        <charset val="2"/>
      </rPr>
      <t>h</t>
    </r>
    <r>
      <rPr>
        <i/>
        <vertAlign val="subscript"/>
        <sz val="10"/>
        <rFont val="Arial"/>
        <family val="2"/>
      </rPr>
      <t>wwhr;B</t>
    </r>
  </si>
  <si>
    <t>Efficiency at balanced condition B</t>
  </si>
  <si>
    <t>Efficiency at balanced condition A</t>
  </si>
  <si>
    <t>Flow rate at balanced condition A</t>
  </si>
  <si>
    <r>
      <rPr>
        <i/>
        <sz val="10"/>
        <rFont val="Arial"/>
        <family val="2"/>
      </rPr>
      <t>V'</t>
    </r>
    <r>
      <rPr>
        <i/>
        <vertAlign val="subscript"/>
        <sz val="10"/>
        <rFont val="Arial"/>
        <family val="2"/>
      </rPr>
      <t>wwhr;A</t>
    </r>
  </si>
  <si>
    <t>Flow rate at balanced condition B</t>
  </si>
  <si>
    <r>
      <t>V'</t>
    </r>
    <r>
      <rPr>
        <i/>
        <vertAlign val="subscript"/>
        <sz val="10"/>
        <rFont val="Arial"/>
        <family val="2"/>
      </rPr>
      <t>wwhr;B</t>
    </r>
  </si>
  <si>
    <t>Efficiency at balanced actual shower flow rate</t>
  </si>
  <si>
    <r>
      <rPr>
        <sz val="10"/>
        <rFont val="Symbol"/>
        <family val="1"/>
        <charset val="2"/>
      </rPr>
      <t>h</t>
    </r>
    <r>
      <rPr>
        <i/>
        <vertAlign val="subscript"/>
        <sz val="10"/>
        <rFont val="Arial"/>
        <family val="2"/>
      </rPr>
      <t>wwhr,ci</t>
    </r>
  </si>
  <si>
    <r>
      <t>NTU</t>
    </r>
    <r>
      <rPr>
        <i/>
        <vertAlign val="subscript"/>
        <sz val="10"/>
        <rFont val="Arial"/>
        <family val="2"/>
      </rPr>
      <t>wwhr;0</t>
    </r>
  </si>
  <si>
    <t>Start with balanced flow rate: C*=1</t>
  </si>
  <si>
    <r>
      <t>C*</t>
    </r>
    <r>
      <rPr>
        <vertAlign val="subscript"/>
        <sz val="10"/>
        <rFont val="Arial"/>
        <family val="2"/>
      </rPr>
      <t>wwhr,0</t>
    </r>
  </si>
  <si>
    <t>NTU second iteration</t>
  </si>
  <si>
    <r>
      <t>NTU</t>
    </r>
    <r>
      <rPr>
        <i/>
        <vertAlign val="subscript"/>
        <sz val="10"/>
        <rFont val="Arial"/>
        <family val="2"/>
      </rPr>
      <t>wwhr;2</t>
    </r>
  </si>
  <si>
    <t>Relative flow rate on secondary, initial value</t>
  </si>
  <si>
    <t>NTU first iteration</t>
  </si>
  <si>
    <r>
      <t>NTU</t>
    </r>
    <r>
      <rPr>
        <i/>
        <vertAlign val="subscript"/>
        <sz val="10"/>
        <rFont val="Arial"/>
        <family val="2"/>
      </rPr>
      <t>wwhr;1</t>
    </r>
  </si>
  <si>
    <t>Efficiency first iteration</t>
  </si>
  <si>
    <r>
      <rPr>
        <sz val="10"/>
        <rFont val="Symbol"/>
        <family val="1"/>
        <charset val="2"/>
      </rPr>
      <t>h</t>
    </r>
    <r>
      <rPr>
        <i/>
        <vertAlign val="subscript"/>
        <sz val="10"/>
        <rFont val="Arial"/>
        <family val="2"/>
      </rPr>
      <t>wwhr,ci;0</t>
    </r>
  </si>
  <si>
    <t>Calculate relative flow rate which is also C* value because the flow rate on primary is constant</t>
  </si>
  <si>
    <t>Calculate a new NTU assuming constant heat exchange coefficient UA (leading coefficient on primary side)</t>
  </si>
  <si>
    <r>
      <rPr>
        <sz val="10"/>
        <rFont val="Symbol"/>
        <family val="1"/>
        <charset val="2"/>
      </rPr>
      <t>h</t>
    </r>
    <r>
      <rPr>
        <i/>
        <vertAlign val="subscript"/>
        <sz val="10"/>
        <rFont val="Arial"/>
        <family val="2"/>
      </rPr>
      <t>wwhr,ci;1</t>
    </r>
  </si>
  <si>
    <t>Calculate a new efficiency</t>
  </si>
  <si>
    <t>Relative flow rate on secondary,first iteration</t>
  </si>
  <si>
    <r>
      <t>C*</t>
    </r>
    <r>
      <rPr>
        <vertAlign val="subscript"/>
        <sz val="10"/>
        <rFont val="Arial"/>
        <family val="2"/>
      </rPr>
      <t>wwhr,1</t>
    </r>
  </si>
  <si>
    <t>Efficiency second iteration</t>
  </si>
  <si>
    <r>
      <rPr>
        <sz val="10"/>
        <rFont val="Symbol"/>
        <family val="1"/>
        <charset val="2"/>
      </rPr>
      <t>h</t>
    </r>
    <r>
      <rPr>
        <i/>
        <vertAlign val="subscript"/>
        <sz val="10"/>
        <rFont val="Arial"/>
        <family val="2"/>
      </rPr>
      <t>wwhr,ci;2</t>
    </r>
  </si>
  <si>
    <t>Relative flow rate on secondary, second iteration</t>
  </si>
  <si>
    <t>NTU third iteration</t>
  </si>
  <si>
    <t>Relative flow rate on secondary, third iteration</t>
  </si>
  <si>
    <t>Efficiency third iteration</t>
  </si>
  <si>
    <t>NTU fourth iteration</t>
  </si>
  <si>
    <t>Efficiency fourth iteration</t>
  </si>
  <si>
    <t>Relative flow rate on secondary, fourth first iteration</t>
  </si>
  <si>
    <t>NTU fifth iteration</t>
  </si>
  <si>
    <t>Efficiency fifth iteration</t>
  </si>
  <si>
    <t>Relative flow rate on secondary, fifth iteration</t>
  </si>
  <si>
    <r>
      <t>k</t>
    </r>
    <r>
      <rPr>
        <i/>
        <vertAlign val="subscript"/>
        <sz val="10"/>
        <rFont val="Arial"/>
        <family val="2"/>
      </rPr>
      <t>wwhr;rbl;B,ci</t>
    </r>
  </si>
  <si>
    <r>
      <t>C*</t>
    </r>
    <r>
      <rPr>
        <vertAlign val="subscript"/>
        <sz val="10"/>
        <rFont val="Arial"/>
        <family val="2"/>
      </rPr>
      <t>wwhr,2</t>
    </r>
  </si>
  <si>
    <r>
      <t>NTU</t>
    </r>
    <r>
      <rPr>
        <i/>
        <vertAlign val="subscript"/>
        <sz val="10"/>
        <rFont val="Arial"/>
        <family val="2"/>
      </rPr>
      <t>wwhr;3</t>
    </r>
  </si>
  <si>
    <r>
      <rPr>
        <sz val="10"/>
        <rFont val="Symbol"/>
        <family val="1"/>
        <charset val="2"/>
      </rPr>
      <t>h</t>
    </r>
    <r>
      <rPr>
        <i/>
        <vertAlign val="subscript"/>
        <sz val="10"/>
        <rFont val="Arial"/>
        <family val="2"/>
      </rPr>
      <t>wwhr,ci;3</t>
    </r>
  </si>
  <si>
    <r>
      <t>C*</t>
    </r>
    <r>
      <rPr>
        <vertAlign val="subscript"/>
        <sz val="10"/>
        <rFont val="Arial"/>
        <family val="2"/>
      </rPr>
      <t>wwhr,3</t>
    </r>
  </si>
  <si>
    <r>
      <t>NTU</t>
    </r>
    <r>
      <rPr>
        <i/>
        <vertAlign val="subscript"/>
        <sz val="10"/>
        <rFont val="Arial"/>
        <family val="2"/>
      </rPr>
      <t>wwhr;4</t>
    </r>
  </si>
  <si>
    <r>
      <rPr>
        <sz val="10"/>
        <rFont val="Symbol"/>
        <family val="1"/>
        <charset val="2"/>
      </rPr>
      <t>h</t>
    </r>
    <r>
      <rPr>
        <i/>
        <vertAlign val="subscript"/>
        <sz val="10"/>
        <rFont val="Arial"/>
        <family val="2"/>
      </rPr>
      <t>wwhr,ci;4</t>
    </r>
  </si>
  <si>
    <r>
      <t>C*</t>
    </r>
    <r>
      <rPr>
        <vertAlign val="subscript"/>
        <sz val="10"/>
        <rFont val="Arial"/>
        <family val="2"/>
      </rPr>
      <t>wwhr,4</t>
    </r>
  </si>
  <si>
    <r>
      <t>NTU</t>
    </r>
    <r>
      <rPr>
        <i/>
        <vertAlign val="subscript"/>
        <sz val="10"/>
        <rFont val="Arial"/>
        <family val="2"/>
      </rPr>
      <t>wwhr;5</t>
    </r>
  </si>
  <si>
    <r>
      <rPr>
        <sz val="10"/>
        <rFont val="Symbol"/>
        <family val="1"/>
        <charset val="2"/>
      </rPr>
      <t>h</t>
    </r>
    <r>
      <rPr>
        <i/>
        <vertAlign val="subscript"/>
        <sz val="10"/>
        <rFont val="Arial"/>
        <family val="2"/>
      </rPr>
      <t>wwhr,ci;5</t>
    </r>
  </si>
  <si>
    <r>
      <t>C*</t>
    </r>
    <r>
      <rPr>
        <vertAlign val="subscript"/>
        <sz val="10"/>
        <rFont val="Arial"/>
        <family val="2"/>
      </rPr>
      <t>wwhr,5</t>
    </r>
  </si>
  <si>
    <t>Balanced  NTU</t>
  </si>
  <si>
    <r>
      <t>NTU</t>
    </r>
    <r>
      <rPr>
        <i/>
        <vertAlign val="subscript"/>
        <sz val="10"/>
        <rFont val="Arial"/>
        <family val="2"/>
      </rPr>
      <t>wwhr;C</t>
    </r>
  </si>
  <si>
    <t xml:space="preserve"> Unbalanced NTU</t>
  </si>
  <si>
    <r>
      <rPr>
        <sz val="10"/>
        <rFont val="Symbol"/>
        <family val="1"/>
        <charset val="2"/>
      </rPr>
      <t>h</t>
    </r>
    <r>
      <rPr>
        <i/>
        <vertAlign val="subscript"/>
        <sz val="10"/>
        <rFont val="Arial"/>
        <family val="2"/>
      </rPr>
      <t>wwhr,ci;C</t>
    </r>
  </si>
  <si>
    <r>
      <t>k</t>
    </r>
    <r>
      <rPr>
        <i/>
        <vertAlign val="subscript"/>
        <sz val="10"/>
        <rFont val="Arial"/>
        <family val="2"/>
      </rPr>
      <t>wwhr;rbl;C,ci</t>
    </r>
  </si>
  <si>
    <t>Relative flow rate on secondary</t>
  </si>
  <si>
    <r>
      <t>C*</t>
    </r>
    <r>
      <rPr>
        <vertAlign val="subscript"/>
        <sz val="10"/>
        <rFont val="Arial"/>
        <family val="2"/>
      </rPr>
      <t>wwhr,C</t>
    </r>
  </si>
  <si>
    <t>Eff</t>
  </si>
  <si>
    <t>NTU</t>
  </si>
  <si>
    <t>UA</t>
  </si>
  <si>
    <t>Auxiliary data for the figure</t>
  </si>
  <si>
    <t>Shower and drain flow rate</t>
  </si>
  <si>
    <t>Shower event flow rate</t>
  </si>
  <si>
    <t>Shower event duration</t>
  </si>
  <si>
    <t>Shower event volume</t>
  </si>
  <si>
    <r>
      <t>t</t>
    </r>
    <r>
      <rPr>
        <i/>
        <vertAlign val="subscript"/>
        <sz val="10"/>
        <rFont val="Arial"/>
        <family val="2"/>
      </rPr>
      <t>shw,ci</t>
    </r>
  </si>
  <si>
    <r>
      <t>V'</t>
    </r>
    <r>
      <rPr>
        <i/>
        <vertAlign val="subscript"/>
        <sz val="10"/>
        <rFont val="Arial"/>
        <family val="2"/>
      </rPr>
      <t>shw,ci</t>
    </r>
  </si>
  <si>
    <r>
      <t>V</t>
    </r>
    <r>
      <rPr>
        <i/>
        <vertAlign val="subscript"/>
        <sz val="10"/>
        <rFont val="Arial"/>
        <family val="2"/>
      </rPr>
      <t>shw,ci</t>
    </r>
  </si>
  <si>
    <t>Fraction of water to heater</t>
  </si>
  <si>
    <t>Flow rate through heater</t>
  </si>
  <si>
    <t>Balanced operation efficiency</t>
  </si>
  <si>
    <t>Balanced operation NTU</t>
  </si>
  <si>
    <t>Assuming UA = constant</t>
  </si>
  <si>
    <t>Efficiency of thr wwhr device</t>
  </si>
  <si>
    <t>data transfer</t>
  </si>
  <si>
    <t>Specific heat of the heat exchanger material</t>
  </si>
  <si>
    <t>Copper</t>
  </si>
  <si>
    <t>WWHR_CP</t>
  </si>
  <si>
    <t>Stainless steel</t>
  </si>
  <si>
    <t>kJ/kg·K</t>
  </si>
  <si>
    <t>Last</t>
  </si>
  <si>
    <t>_CU</t>
  </si>
  <si>
    <t>_INOX</t>
  </si>
  <si>
    <t>_PLA</t>
  </si>
  <si>
    <t>kWh/kg·K</t>
  </si>
  <si>
    <t>PP, PE</t>
  </si>
  <si>
    <t>_PP_PE</t>
  </si>
  <si>
    <t>Water</t>
  </si>
  <si>
    <t>_H2O</t>
  </si>
  <si>
    <r>
      <t>V</t>
    </r>
    <r>
      <rPr>
        <i/>
        <vertAlign val="subscript"/>
        <sz val="10"/>
        <rFont val="Arial"/>
        <family val="2"/>
      </rPr>
      <t>shw,box</t>
    </r>
  </si>
  <si>
    <t>Volume of water in the shower box  and drain</t>
  </si>
  <si>
    <r>
      <t>V</t>
    </r>
    <r>
      <rPr>
        <i/>
        <vertAlign val="subscript"/>
        <sz val="10"/>
        <rFont val="Arial"/>
        <family val="2"/>
      </rPr>
      <t>wwhr;W</t>
    </r>
  </si>
  <si>
    <r>
      <t>m</t>
    </r>
    <r>
      <rPr>
        <i/>
        <vertAlign val="subscript"/>
        <sz val="10"/>
        <rFont val="Arial"/>
        <family val="2"/>
      </rPr>
      <t>wwhr;exc</t>
    </r>
  </si>
  <si>
    <r>
      <t>c</t>
    </r>
    <r>
      <rPr>
        <i/>
        <vertAlign val="subscript"/>
        <sz val="10"/>
        <rFont val="Arial"/>
        <family val="2"/>
      </rPr>
      <t>wwhr;exc</t>
    </r>
  </si>
  <si>
    <r>
      <t>V</t>
    </r>
    <r>
      <rPr>
        <i/>
        <vertAlign val="subscript"/>
        <sz val="10"/>
        <rFont val="Arial"/>
        <family val="2"/>
      </rPr>
      <t>wwhr;eq;W</t>
    </r>
  </si>
  <si>
    <t>Equivalent volume of water for heat exchanger heat capacity</t>
  </si>
  <si>
    <r>
      <t>l</t>
    </r>
    <r>
      <rPr>
        <i/>
        <vertAlign val="subscript"/>
        <sz val="10"/>
        <rFont val="Arial"/>
        <family val="2"/>
      </rPr>
      <t>pre</t>
    </r>
  </si>
  <si>
    <r>
      <t>V</t>
    </r>
    <r>
      <rPr>
        <i/>
        <vertAlign val="subscript"/>
        <sz val="10"/>
        <rFont val="Arial"/>
        <family val="2"/>
      </rPr>
      <t>pre</t>
    </r>
  </si>
  <si>
    <r>
      <t>d</t>
    </r>
    <r>
      <rPr>
        <i/>
        <vertAlign val="subscript"/>
        <sz val="10"/>
        <rFont val="Arial"/>
        <family val="2"/>
      </rPr>
      <t>in;pre</t>
    </r>
  </si>
  <si>
    <t>Equivalent volume of preheated water lost because of transient operation per shower event</t>
  </si>
  <si>
    <r>
      <t>V</t>
    </r>
    <r>
      <rPr>
        <i/>
        <vertAlign val="subscript"/>
        <sz val="10"/>
        <rFont val="Arial"/>
        <family val="2"/>
      </rPr>
      <t>trans</t>
    </r>
  </si>
  <si>
    <t>Utilisation factor for transient operation</t>
  </si>
  <si>
    <r>
      <t>k</t>
    </r>
    <r>
      <rPr>
        <i/>
        <vertAlign val="subscript"/>
        <sz val="10"/>
        <rFont val="Arial"/>
        <family val="2"/>
      </rPr>
      <t>wwhr;use</t>
    </r>
  </si>
  <si>
    <t>Connection type</t>
  </si>
  <si>
    <t>Selection is made in "table" sheet</t>
  </si>
  <si>
    <t>Fraction of recoverable heat for selected connection</t>
  </si>
  <si>
    <r>
      <t>k</t>
    </r>
    <r>
      <rPr>
        <i/>
        <vertAlign val="subscript"/>
        <sz val="10"/>
        <rFont val="Arial"/>
        <family val="2"/>
      </rPr>
      <t>wwhr;rbl</t>
    </r>
  </si>
  <si>
    <t>Index of selected option</t>
  </si>
  <si>
    <t>Index of selection</t>
  </si>
  <si>
    <t>Data selection</t>
  </si>
  <si>
    <t>Heat exchanger efficiency for the selected connection</t>
  </si>
  <si>
    <t>Steady state efficiency of the wwhr device</t>
  </si>
  <si>
    <t>Recovered heat through the shower mixer</t>
  </si>
  <si>
    <t>Recovered heat through the shower mixer, case A</t>
  </si>
  <si>
    <r>
      <t>Q</t>
    </r>
    <r>
      <rPr>
        <i/>
        <vertAlign val="subscript"/>
        <sz val="10"/>
        <rFont val="Arial"/>
        <family val="2"/>
      </rPr>
      <t>W;wwhr;rvd,ci</t>
    </r>
  </si>
  <si>
    <t>Preheated water temperature</t>
  </si>
  <si>
    <r>
      <rPr>
        <sz val="10"/>
        <rFont val="Symbol"/>
        <family val="1"/>
        <charset val="2"/>
      </rPr>
      <t>q</t>
    </r>
    <r>
      <rPr>
        <i/>
        <vertAlign val="subscript"/>
        <sz val="10"/>
        <rFont val="Arial"/>
        <family val="2"/>
      </rPr>
      <t>W;pre,ci</t>
    </r>
  </si>
  <si>
    <t>Recovered heat through the shower mixer, case B</t>
  </si>
  <si>
    <t>Recovered heat through the shower mixer, case C</t>
  </si>
  <si>
    <t>Recovered heat through the shower mixer (selected value)</t>
  </si>
  <si>
    <t>Recovered heat through the water heater</t>
  </si>
  <si>
    <r>
      <t>Q</t>
    </r>
    <r>
      <rPr>
        <i/>
        <vertAlign val="subscript"/>
        <sz val="10"/>
        <rFont val="Arial"/>
        <family val="2"/>
      </rPr>
      <t>W;wwhr;rvd;shw;A,ci</t>
    </r>
  </si>
  <si>
    <r>
      <t>Q</t>
    </r>
    <r>
      <rPr>
        <i/>
        <vertAlign val="subscript"/>
        <sz val="10"/>
        <rFont val="Arial"/>
        <family val="2"/>
      </rPr>
      <t>W;wwhr;rvd;shw;B,ci</t>
    </r>
  </si>
  <si>
    <r>
      <t>Q</t>
    </r>
    <r>
      <rPr>
        <i/>
        <vertAlign val="subscript"/>
        <sz val="10"/>
        <rFont val="Arial"/>
        <family val="2"/>
      </rPr>
      <t>W;wwhr;rvd;shw;C,ci</t>
    </r>
  </si>
  <si>
    <r>
      <t>Q</t>
    </r>
    <r>
      <rPr>
        <i/>
        <vertAlign val="subscript"/>
        <sz val="10"/>
        <rFont val="Arial"/>
        <family val="2"/>
      </rPr>
      <t>W;wwhr;rvd;shw,ci</t>
    </r>
  </si>
  <si>
    <r>
      <t>Q</t>
    </r>
    <r>
      <rPr>
        <i/>
        <vertAlign val="subscript"/>
        <sz val="10"/>
        <rFont val="Arial"/>
        <family val="2"/>
      </rPr>
      <t>W;wwhr;rvd,wh,ci</t>
    </r>
  </si>
  <si>
    <t>Total recovered heat</t>
  </si>
  <si>
    <t>Power of auxiliaries</t>
  </si>
  <si>
    <r>
      <t>P</t>
    </r>
    <r>
      <rPr>
        <i/>
        <vertAlign val="subscript"/>
        <sz val="10"/>
        <rFont val="Arial"/>
        <family val="2"/>
      </rPr>
      <t>wwhr;aux</t>
    </r>
  </si>
  <si>
    <t>Operation time of auxiliaries</t>
  </si>
  <si>
    <r>
      <t>t</t>
    </r>
    <r>
      <rPr>
        <i/>
        <vertAlign val="subscript"/>
        <sz val="10"/>
        <rFont val="Arial"/>
        <family val="2"/>
      </rPr>
      <t>wwhr;aux,ci</t>
    </r>
  </si>
  <si>
    <t>Energy for auxilairies</t>
  </si>
  <si>
    <t>For comparison</t>
  </si>
  <si>
    <r>
      <t>W</t>
    </r>
    <r>
      <rPr>
        <i/>
        <vertAlign val="subscript"/>
        <sz val="10"/>
        <rFont val="Arial"/>
        <family val="2"/>
      </rPr>
      <t>wwhr;aux,ci</t>
    </r>
  </si>
  <si>
    <t>From general part EN 15316-1</t>
  </si>
  <si>
    <t>From dhw needs EN 12831-3</t>
  </si>
  <si>
    <t>0,00…1,00</t>
  </si>
  <si>
    <t>0…1000</t>
  </si>
  <si>
    <r>
      <t>V'</t>
    </r>
    <r>
      <rPr>
        <i/>
        <vertAlign val="subscript"/>
        <sz val="10"/>
        <color theme="0" tint="-0.34998626667073579"/>
        <rFont val="Arial"/>
        <family val="2"/>
      </rPr>
      <t>W;shw,ci</t>
    </r>
  </si>
  <si>
    <r>
      <rPr>
        <sz val="10"/>
        <color theme="0" tint="-0.34998626667073579"/>
        <rFont val="Symbol"/>
        <family val="1"/>
        <charset val="2"/>
      </rPr>
      <t>F</t>
    </r>
    <r>
      <rPr>
        <i/>
        <sz val="10"/>
        <color theme="0" tint="-0.34998626667073579"/>
        <rFont val="Arial"/>
        <family val="2"/>
      </rPr>
      <t>w;draw</t>
    </r>
  </si>
  <si>
    <r>
      <t>V'</t>
    </r>
    <r>
      <rPr>
        <i/>
        <sz val="10"/>
        <color theme="0" tint="-0.34998626667073579"/>
        <rFont val="Arial"/>
        <family val="2"/>
      </rPr>
      <t>w;drain</t>
    </r>
  </si>
  <si>
    <r>
      <t>V'</t>
    </r>
    <r>
      <rPr>
        <i/>
        <sz val="10"/>
        <color theme="0" tint="-0.34998626667073579"/>
        <rFont val="Arial"/>
        <family val="2"/>
      </rPr>
      <t>w;wwhr</t>
    </r>
  </si>
  <si>
    <r>
      <rPr>
        <sz val="10"/>
        <color theme="0" tint="-0.34998626667073579"/>
        <rFont val="Symbol"/>
        <family val="1"/>
        <charset val="2"/>
      </rPr>
      <t>q</t>
    </r>
    <r>
      <rPr>
        <i/>
        <sz val="10"/>
        <color theme="0" tint="-0.34998626667073579"/>
        <rFont val="Arial"/>
        <family val="2"/>
      </rPr>
      <t>w;cold</t>
    </r>
  </si>
  <si>
    <r>
      <rPr>
        <sz val="10"/>
        <color theme="0" tint="-0.34998626667073579"/>
        <rFont val="Symbol"/>
        <family val="1"/>
        <charset val="2"/>
      </rPr>
      <t>q</t>
    </r>
    <r>
      <rPr>
        <i/>
        <sz val="10"/>
        <color theme="0" tint="-0.34998626667073579"/>
        <rFont val="Arial"/>
        <family val="2"/>
      </rPr>
      <t>w;drain</t>
    </r>
  </si>
  <si>
    <t>Volume of water in the WWHR device</t>
  </si>
  <si>
    <t>Material of the heat exchanger</t>
  </si>
  <si>
    <t>Un-balanced primary flow rate of WWHR device</t>
  </si>
  <si>
    <t>Un-balanced secondary flow rate of WWHR device</t>
  </si>
  <si>
    <t>Possible future addition</t>
  </si>
  <si>
    <t>For interface with storage module</t>
  </si>
  <si>
    <t>Energy for auxiliaries</t>
  </si>
  <si>
    <t xml:space="preserve">EN 15316-X-X Energy performance of buildings. Method for calculation of system energy requirements and system efficiencies - Shower waste water heat recovery </t>
  </si>
  <si>
    <t>This spreadsheet demonstrates how to calculate the energy perfomance of an instananeous waste water hedat recovery device.
This spreadsheet is intended to be the basis for the develoment of a corresponding EN-EPB module.</t>
  </si>
  <si>
    <t>EN 15316-X-X ?</t>
  </si>
  <si>
    <t xml:space="preserve"> Energy performance of buildings. Method for calculation of system energy requirements and system efficiencies - Shower waste water heat recovery</t>
  </si>
  <si>
    <t xml:space="preserve">This sheet has no calculation macro yet </t>
  </si>
  <si>
    <t>This sheet provides output intended to be used by several other modules.</t>
  </si>
  <si>
    <t>These modules will have to be updated to use them.</t>
  </si>
  <si>
    <t>Proposal</t>
  </si>
  <si>
    <t>The purpose of this spreadsheet is to test trhe procedure in one calculation interval</t>
  </si>
  <si>
    <t xml:space="preserve">No difference between hourly and monthly calcualtion is foreseen </t>
  </si>
  <si>
    <r>
      <t xml:space="preserve">The sheet </t>
    </r>
    <r>
      <rPr>
        <b/>
        <i/>
        <sz val="11"/>
        <color theme="1"/>
        <rFont val="Cambria"/>
        <family val="1"/>
      </rPr>
      <t>"Data tables"</t>
    </r>
    <r>
      <rPr>
        <sz val="11"/>
        <color theme="1"/>
        <rFont val="Cambria"/>
        <family val="1"/>
      </rPr>
      <t xml:space="preserve"> contains tabular input data</t>
    </r>
  </si>
  <si>
    <r>
      <t>The sheet "</t>
    </r>
    <r>
      <rPr>
        <b/>
        <i/>
        <sz val="11"/>
        <color theme="1"/>
        <rFont val="Cambria"/>
        <family val="1"/>
      </rPr>
      <t>Method_input</t>
    </r>
    <r>
      <rPr>
        <sz val="11"/>
        <color theme="1"/>
        <rFont val="Cambria"/>
        <family val="1"/>
      </rPr>
      <t>" demonstrates the whole input data set.</t>
    </r>
  </si>
  <si>
    <r>
      <t>The sheet "</t>
    </r>
    <r>
      <rPr>
        <b/>
        <i/>
        <sz val="11"/>
        <color theme="1"/>
        <rFont val="Cambria"/>
        <family val="1"/>
      </rPr>
      <t>Method_calculation</t>
    </r>
    <r>
      <rPr>
        <sz val="11"/>
        <color theme="1"/>
        <rFont val="Cambria"/>
        <family val="1"/>
      </rPr>
      <t>" is the demonstration of the calculation procedure</t>
    </r>
  </si>
  <si>
    <r>
      <t>The sheet "</t>
    </r>
    <r>
      <rPr>
        <b/>
        <i/>
        <sz val="11"/>
        <color theme="1"/>
        <rFont val="Cambria"/>
        <family val="1"/>
      </rPr>
      <t>Method_output</t>
    </r>
    <r>
      <rPr>
        <sz val="11"/>
        <color theme="1"/>
        <rFont val="Cambria"/>
        <family val="1"/>
      </rPr>
      <t>" is the standard output data set.</t>
    </r>
  </si>
  <si>
    <t>Horuly and monthly</t>
  </si>
  <si>
    <t>Only istantaneous waste water heat recovery</t>
  </si>
  <si>
    <t>Sheets have been protected without password</t>
  </si>
  <si>
    <t>2023.05.12</t>
  </si>
  <si>
    <t>Data_tables</t>
  </si>
  <si>
    <t xml:space="preserve">Explanation on this spreadsheet </t>
  </si>
  <si>
    <t>Grey tab  for auxiliary sheets</t>
  </si>
  <si>
    <t>Data tables and identifiers</t>
  </si>
  <si>
    <t>Steady state efficiency of the WWHR device at balanced test condition A</t>
  </si>
  <si>
    <t>Primary and secondary flow rate at balanced test condition A</t>
  </si>
  <si>
    <t>Steady state efficiency of the WWHR device at balanced test condition B</t>
  </si>
  <si>
    <t>Primary and secondary flow rate at balanced test condition B</t>
  </si>
  <si>
    <t>Auxiliary power</t>
  </si>
  <si>
    <t>Mass of the wwhr heat exchanger</t>
  </si>
  <si>
    <t>Draw-off temperature</t>
  </si>
  <si>
    <t>Domestic hot water distribution temperature</t>
  </si>
  <si>
    <t>Domestic hot water needs in the calculation interval</t>
  </si>
  <si>
    <t>5.5.1 - Determine the share of needs related to WWHR device</t>
  </si>
  <si>
    <t>Get domestic hot water needs (energy)</t>
  </si>
  <si>
    <t>Get constants</t>
  </si>
  <si>
    <r>
      <t>Q</t>
    </r>
    <r>
      <rPr>
        <i/>
        <vertAlign val="subscript"/>
        <sz val="10"/>
        <rFont val="Arial"/>
        <family val="2"/>
      </rPr>
      <t>W;nd;shw,ci</t>
    </r>
  </si>
  <si>
    <r>
      <t>V</t>
    </r>
    <r>
      <rPr>
        <i/>
        <vertAlign val="subscript"/>
        <sz val="10"/>
        <rFont val="Arial"/>
        <family val="2"/>
      </rPr>
      <t>W;nd;shw,ci</t>
    </r>
  </si>
  <si>
    <r>
      <rPr>
        <sz val="10"/>
        <rFont val="Symbol"/>
        <family val="1"/>
        <charset val="2"/>
      </rPr>
      <t>h</t>
    </r>
    <r>
      <rPr>
        <i/>
        <vertAlign val="subscript"/>
        <sz val="10"/>
        <rFont val="Arial"/>
        <family val="2"/>
      </rPr>
      <t>wwhr,ci;A</t>
    </r>
  </si>
  <si>
    <t>5.5.2 - Determine balanced flow rate efficiency of the wwhr device</t>
  </si>
  <si>
    <t>5.5.3 -  Determine actual flow rates, recoverable heat and efficiency depending on the type of connection and water temperatures</t>
  </si>
  <si>
    <t>5.5.3.2 TYPE A connection</t>
  </si>
  <si>
    <t>5.5.3.3 TYPE B connection</t>
  </si>
  <si>
    <t>5.5.3.4 TYPE C connection</t>
  </si>
  <si>
    <t xml:space="preserve">5.5.4 -  Determine the correction factor for transient operation </t>
  </si>
  <si>
    <t>5.5.5 -  Calculate recovered heat</t>
  </si>
  <si>
    <t>5.5.6 -  Calculate auxiliary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</si>
</sst>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0.000"/>
    <numFmt numFmtId="166" formatCode="#,##0.00000"/>
    <numFmt numFmtId="167" formatCode="#,##0.0"/>
    <numFmt numFmtId="168" formatCode="0.0000"/>
    <numFmt numFmtId="169" formatCode="0.0%"/>
    <numFmt numFmtId="170" formatCode="0.000000000"/>
    <numFmt numFmtId="171" formatCode="0.00000"/>
    <numFmt numFmtId="172" formatCode="0.000000"/>
    <numFmt numFmtId="173" formatCode="0.0000000"/>
  </numFmts>
  <fonts count="95">
    <font>
      <sz val="11"/>
      <color theme="1"/>
      <name val="Calibri"/>
      <family val="2"/>
    </font>
    <font>
      <sz val="11"/>
      <color theme="1"/>
      <name val="Calibri"/>
      <family val="2"/>
      <scheme val="minor"/>
    </font>
    <font>
      <sz val="11"/>
      <color theme="1"/>
      <name val="Calibri"/>
      <family val="2"/>
      <scheme val="minor"/>
    </font>
    <font>
      <b/>
      <sz val="11"/>
      <color theme="1"/>
      <name val="Calibri"/>
      <family val="2"/>
    </font>
    <font>
      <b/>
      <sz val="14"/>
      <color rgb="FFFF0000"/>
      <name val="Calibri"/>
      <family val="2"/>
    </font>
    <font>
      <vertAlign val="subscript"/>
      <sz val="11"/>
      <color theme="1"/>
      <name val="Calibri"/>
      <family val="2"/>
    </font>
    <font>
      <sz val="9"/>
      <name val="Calibri"/>
      <family val="2"/>
    </font>
    <font>
      <b/>
      <sz val="14"/>
      <color theme="1"/>
      <name val="Calibri"/>
      <family val="2"/>
    </font>
    <font>
      <sz val="11"/>
      <color theme="1"/>
      <name val="Calibri"/>
      <family val="2"/>
      <scheme val="minor"/>
    </font>
    <font>
      <b/>
      <sz val="11"/>
      <color theme="1"/>
      <name val="Calibri"/>
      <family val="2"/>
      <scheme val="minor"/>
    </font>
    <font>
      <sz val="10"/>
      <name val="Arial"/>
      <family val="2"/>
      <charset val="238"/>
    </font>
    <font>
      <sz val="10"/>
      <name val="Arial"/>
      <family val="2"/>
    </font>
    <font>
      <b/>
      <sz val="10"/>
      <color rgb="FFFF0000"/>
      <name val="Arial"/>
      <family val="2"/>
    </font>
    <font>
      <b/>
      <sz val="10"/>
      <name val="Arial"/>
      <family val="2"/>
    </font>
    <font>
      <b/>
      <i/>
      <sz val="10"/>
      <name val="Arial"/>
      <family val="2"/>
    </font>
    <font>
      <b/>
      <sz val="11"/>
      <name val="Arial"/>
      <family val="2"/>
    </font>
    <font>
      <i/>
      <sz val="10"/>
      <name val="Arial"/>
      <family val="2"/>
    </font>
    <font>
      <i/>
      <vertAlign val="subscript"/>
      <sz val="10"/>
      <name val="Arial"/>
      <family val="2"/>
    </font>
    <font>
      <vertAlign val="subscript"/>
      <sz val="10"/>
      <name val="Arial"/>
      <family val="2"/>
    </font>
    <font>
      <sz val="11"/>
      <color rgb="FF9C0006"/>
      <name val="Calibri"/>
      <family val="2"/>
      <scheme val="minor"/>
    </font>
    <font>
      <sz val="11"/>
      <name val="Calibri"/>
      <family val="2"/>
      <scheme val="minor"/>
    </font>
    <font>
      <sz val="11"/>
      <color rgb="FF006100"/>
      <name val="Calibri"/>
      <family val="2"/>
      <scheme val="minor"/>
    </font>
    <font>
      <sz val="8"/>
      <name val="Arial"/>
      <family val="2"/>
    </font>
    <font>
      <i/>
      <sz val="10"/>
      <name val="Arial"/>
      <family val="2"/>
      <charset val="238"/>
    </font>
    <font>
      <b/>
      <sz val="8"/>
      <color indexed="81"/>
      <name val="Tahoma"/>
      <family val="2"/>
    </font>
    <font>
      <sz val="8"/>
      <color indexed="81"/>
      <name val="Tahoma"/>
      <family val="2"/>
    </font>
    <font>
      <sz val="11"/>
      <color theme="1"/>
      <name val="Calibri"/>
      <family val="2"/>
      <charset val="238"/>
      <scheme val="minor"/>
    </font>
    <font>
      <b/>
      <sz val="10"/>
      <name val="Arial"/>
      <family val="2"/>
      <charset val="238"/>
    </font>
    <font>
      <sz val="10"/>
      <color theme="1"/>
      <name val="Arial Narrow"/>
      <family val="2"/>
    </font>
    <font>
      <b/>
      <sz val="9"/>
      <color rgb="FF000000"/>
      <name val="Calibri"/>
      <family val="2"/>
    </font>
    <font>
      <sz val="9"/>
      <color rgb="FF000000"/>
      <name val="Calibri"/>
      <family val="2"/>
    </font>
    <font>
      <b/>
      <sz val="10.5"/>
      <color rgb="FF000000"/>
      <name val="Calibri"/>
      <family val="2"/>
    </font>
    <font>
      <sz val="10.5"/>
      <color rgb="FF000000"/>
      <name val="Calibri"/>
      <family val="2"/>
    </font>
    <font>
      <sz val="9.5"/>
      <color rgb="FF000000"/>
      <name val="Calibri"/>
      <family val="2"/>
    </font>
    <font>
      <vertAlign val="superscript"/>
      <sz val="16"/>
      <color rgb="FF000000"/>
      <name val="Calibri"/>
      <family val="2"/>
    </font>
    <font>
      <sz val="8.5"/>
      <color rgb="FF000000"/>
      <name val="Calibri"/>
      <family val="2"/>
    </font>
    <font>
      <b/>
      <sz val="11"/>
      <color rgb="FFFF0000"/>
      <name val="Calibri"/>
      <family val="2"/>
    </font>
    <font>
      <sz val="9"/>
      <color rgb="FFFF0000"/>
      <name val="Calibri"/>
      <family val="2"/>
    </font>
    <font>
      <sz val="10.5"/>
      <color rgb="FF000000"/>
      <name val="Arial Narrow"/>
      <family val="2"/>
    </font>
    <font>
      <b/>
      <sz val="9"/>
      <color rgb="FF000000"/>
      <name val="Arial Narrow"/>
      <family val="2"/>
    </font>
    <font>
      <sz val="8"/>
      <name val="Calibri"/>
      <family val="2"/>
    </font>
    <font>
      <b/>
      <i/>
      <sz val="11"/>
      <color theme="1"/>
      <name val="Calibri"/>
      <family val="2"/>
    </font>
    <font>
      <b/>
      <sz val="10.5"/>
      <color rgb="FF000000"/>
      <name val="Arial Narrow"/>
      <family val="2"/>
    </font>
    <font>
      <sz val="11"/>
      <color theme="1"/>
      <name val="Arial Narrow"/>
      <family val="2"/>
    </font>
    <font>
      <b/>
      <sz val="12"/>
      <color rgb="FF000000"/>
      <name val="Calibri"/>
      <family val="2"/>
    </font>
    <font>
      <b/>
      <i/>
      <sz val="12"/>
      <color rgb="FF000000"/>
      <name val="Calibri"/>
      <family val="2"/>
    </font>
    <font>
      <b/>
      <vertAlign val="subscript"/>
      <sz val="12"/>
      <color rgb="FF000000"/>
      <name val="Calibri"/>
      <family val="2"/>
    </font>
    <font>
      <b/>
      <sz val="12"/>
      <color theme="1"/>
      <name val="Calibri"/>
      <family val="2"/>
    </font>
    <font>
      <sz val="8"/>
      <color rgb="FF000000"/>
      <name val="Calibri"/>
      <family val="2"/>
    </font>
    <font>
      <sz val="8"/>
      <color theme="1"/>
      <name val="Calibri"/>
      <family val="2"/>
    </font>
    <font>
      <i/>
      <sz val="11"/>
      <color theme="1"/>
      <name val="Calibri"/>
      <family val="2"/>
    </font>
    <font>
      <i/>
      <sz val="11"/>
      <color rgb="FFFF0000"/>
      <name val="Calibri"/>
      <family val="2"/>
    </font>
    <font>
      <sz val="11"/>
      <color rgb="FFFF0000"/>
      <name val="Calibri"/>
      <family val="2"/>
    </font>
    <font>
      <vertAlign val="subscript"/>
      <sz val="11"/>
      <name val="Calibri"/>
      <family val="2"/>
      <scheme val="minor"/>
    </font>
    <font>
      <u/>
      <sz val="11"/>
      <color theme="10"/>
      <name val="Calibri"/>
      <family val="2"/>
    </font>
    <font>
      <sz val="11"/>
      <name val="Cambria"/>
      <family val="1"/>
    </font>
    <font>
      <b/>
      <sz val="14"/>
      <name val="Cambria"/>
      <family val="1"/>
    </font>
    <font>
      <b/>
      <i/>
      <sz val="11"/>
      <name val="Cambria"/>
      <family val="1"/>
    </font>
    <font>
      <i/>
      <sz val="11"/>
      <name val="Cambria"/>
      <family val="1"/>
    </font>
    <font>
      <b/>
      <sz val="11"/>
      <name val="Cambria"/>
      <family val="1"/>
    </font>
    <font>
      <b/>
      <sz val="11"/>
      <color rgb="FFFF0000"/>
      <name val="Cambria"/>
      <family val="1"/>
    </font>
    <font>
      <sz val="11"/>
      <color rgb="FFFF0000"/>
      <name val="Cambria"/>
      <family val="1"/>
    </font>
    <font>
      <sz val="11"/>
      <color rgb="FF00B050"/>
      <name val="Cambria"/>
      <family val="1"/>
    </font>
    <font>
      <u/>
      <sz val="11"/>
      <color theme="10"/>
      <name val="Calibri"/>
      <family val="2"/>
      <scheme val="minor"/>
    </font>
    <font>
      <b/>
      <sz val="11"/>
      <color theme="1"/>
      <name val="Cambria"/>
      <family val="1"/>
    </font>
    <font>
      <sz val="11"/>
      <color theme="1"/>
      <name val="Cambria"/>
      <family val="1"/>
    </font>
    <font>
      <sz val="11"/>
      <color theme="1"/>
      <name val="Arial"/>
      <family val="2"/>
    </font>
    <font>
      <i/>
      <sz val="11"/>
      <color theme="1"/>
      <name val="Cambria"/>
      <family val="1"/>
    </font>
    <font>
      <i/>
      <sz val="11"/>
      <color rgb="FFFF0000"/>
      <name val="Cambria"/>
      <family val="1"/>
    </font>
    <font>
      <sz val="11"/>
      <color rgb="FF0000FF"/>
      <name val="Cambria"/>
      <family val="1"/>
    </font>
    <font>
      <i/>
      <sz val="11"/>
      <color rgb="FF0000FF"/>
      <name val="Cambria"/>
      <family val="1"/>
    </font>
    <font>
      <b/>
      <i/>
      <sz val="11"/>
      <color theme="1"/>
      <name val="Cambria"/>
      <family val="1"/>
    </font>
    <font>
      <sz val="11"/>
      <color theme="1"/>
      <name val="Calibri"/>
      <family val="2"/>
    </font>
    <font>
      <i/>
      <sz val="9"/>
      <color rgb="FFFF0000"/>
      <name val="Arial"/>
      <family val="2"/>
    </font>
    <font>
      <sz val="10"/>
      <color rgb="FF0000FF"/>
      <name val="Arial"/>
      <family val="2"/>
      <charset val="238"/>
    </font>
    <font>
      <i/>
      <sz val="9"/>
      <color rgb="FF0000FF"/>
      <name val="Arial"/>
      <family val="2"/>
    </font>
    <font>
      <b/>
      <i/>
      <sz val="9"/>
      <color rgb="FFFF0000"/>
      <name val="Arial"/>
      <family val="2"/>
    </font>
    <font>
      <sz val="10"/>
      <color rgb="FF000000"/>
      <name val="Arial"/>
      <family val="2"/>
    </font>
    <font>
      <sz val="10"/>
      <name val="Symbol"/>
      <family val="1"/>
      <charset val="2"/>
    </font>
    <font>
      <i/>
      <sz val="10"/>
      <name val="Arial"/>
      <family val="1"/>
      <charset val="2"/>
    </font>
    <font>
      <sz val="11"/>
      <color rgb="FF000000"/>
      <name val="Arial"/>
      <family val="2"/>
    </font>
    <font>
      <i/>
      <sz val="11"/>
      <color rgb="FF000000"/>
      <name val="Arial"/>
      <family val="2"/>
    </font>
    <font>
      <i/>
      <vertAlign val="subscript"/>
      <sz val="11"/>
      <color rgb="FF000000"/>
      <name val="Arial"/>
      <family val="2"/>
    </font>
    <font>
      <i/>
      <vertAlign val="superscript"/>
      <sz val="11"/>
      <color rgb="FF000000"/>
      <name val="Arial"/>
      <family val="2"/>
    </font>
    <font>
      <sz val="11"/>
      <color rgb="FFFF0000"/>
      <name val="Calibri"/>
      <family val="2"/>
      <scheme val="minor"/>
    </font>
    <font>
      <sz val="10"/>
      <color theme="0" tint="-0.34998626667073579"/>
      <name val="Arial"/>
      <family val="2"/>
      <charset val="238"/>
    </font>
    <font>
      <i/>
      <sz val="10"/>
      <color theme="0" tint="-0.34998626667073579"/>
      <name val="Arial"/>
      <family val="1"/>
      <charset val="2"/>
    </font>
    <font>
      <i/>
      <vertAlign val="subscript"/>
      <sz val="10"/>
      <color theme="0" tint="-0.34998626667073579"/>
      <name val="Arial"/>
      <family val="2"/>
    </font>
    <font>
      <sz val="10"/>
      <color theme="0" tint="-0.34998626667073579"/>
      <name val="Symbol"/>
      <family val="1"/>
      <charset val="2"/>
    </font>
    <font>
      <i/>
      <sz val="10"/>
      <color theme="0" tint="-0.34998626667073579"/>
      <name val="Arial"/>
      <family val="2"/>
    </font>
    <font>
      <b/>
      <sz val="10"/>
      <color theme="0" tint="-0.34998626667073579"/>
      <name val="Arial"/>
      <family val="2"/>
    </font>
    <font>
      <i/>
      <sz val="9"/>
      <color theme="0" tint="-0.34998626667073579"/>
      <name val="Arial"/>
      <family val="2"/>
    </font>
    <font>
      <sz val="10"/>
      <color theme="0" tint="-0.34998626667073579"/>
      <name val="Arial"/>
      <family val="2"/>
    </font>
    <font>
      <i/>
      <sz val="11"/>
      <color rgb="FF9C0006"/>
      <name val="Calibri"/>
      <family val="2"/>
      <scheme val="minor"/>
    </font>
    <font>
      <b/>
      <sz val="12"/>
      <name val="Cambria"/>
      <family val="1"/>
    </font>
  </fonts>
  <fills count="22">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patternFill>
    </fill>
    <fill>
      <patternFill patternType="solid">
        <fgColor rgb="FFFFC7CE"/>
      </patternFill>
    </fill>
    <fill>
      <patternFill patternType="solid">
        <fgColor theme="9"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9F9F"/>
        <bgColor indexed="64"/>
      </patternFill>
    </fill>
    <fill>
      <patternFill patternType="solid">
        <fgColor rgb="FF92D050"/>
        <bgColor indexed="64"/>
      </patternFill>
    </fill>
    <fill>
      <patternFill patternType="solid">
        <fgColor rgb="FFFFFFFF"/>
        <bgColor indexed="64"/>
      </patternFill>
    </fill>
    <fill>
      <patternFill patternType="solid">
        <fgColor rgb="FFE0F1FA"/>
        <bgColor indexed="64"/>
      </patternFill>
    </fill>
    <fill>
      <patternFill patternType="solid">
        <fgColor rgb="FFCCFFCC"/>
        <bgColor indexed="64"/>
      </patternFill>
    </fill>
    <fill>
      <patternFill patternType="solid">
        <fgColor theme="7" tint="0.79998168889431442"/>
        <bgColor indexed="64"/>
      </patternFill>
    </fill>
    <fill>
      <patternFill patternType="solid">
        <fgColor theme="0" tint="-4.9989318521683403E-2"/>
        <bgColor indexed="64"/>
      </patternFill>
    </fill>
  </fills>
  <borders count="1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dotted">
        <color auto="1"/>
      </bottom>
      <diagonal/>
    </border>
    <border>
      <left/>
      <right/>
      <top style="thin">
        <color indexed="64"/>
      </top>
      <bottom style="dotted">
        <color auto="1"/>
      </bottom>
      <diagonal/>
    </border>
    <border>
      <left/>
      <right style="thin">
        <color indexed="64"/>
      </right>
      <top style="thin">
        <color indexed="64"/>
      </top>
      <bottom style="dotted">
        <color auto="1"/>
      </bottom>
      <diagonal/>
    </border>
    <border>
      <left style="thin">
        <color indexed="64"/>
      </left>
      <right style="thin">
        <color indexed="64"/>
      </right>
      <top/>
      <bottom style="thin">
        <color indexed="64"/>
      </bottom>
      <diagonal/>
    </border>
    <border>
      <left style="thin">
        <color indexed="64"/>
      </left>
      <right style="hair">
        <color auto="1"/>
      </right>
      <top style="dotted">
        <color auto="1"/>
      </top>
      <bottom style="dotted">
        <color auto="1"/>
      </bottom>
      <diagonal/>
    </border>
    <border>
      <left style="hair">
        <color auto="1"/>
      </left>
      <right style="hair">
        <color auto="1"/>
      </right>
      <top style="dotted">
        <color auto="1"/>
      </top>
      <bottom style="dotted">
        <color auto="1"/>
      </bottom>
      <diagonal/>
    </border>
    <border>
      <left style="hair">
        <color auto="1"/>
      </left>
      <right style="thin">
        <color indexed="64"/>
      </right>
      <top style="dotted">
        <color auto="1"/>
      </top>
      <bottom style="dotted">
        <color auto="1"/>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hair">
        <color auto="1"/>
      </right>
      <top style="dotted">
        <color auto="1"/>
      </top>
      <bottom style="thin">
        <color indexed="64"/>
      </bottom>
      <diagonal/>
    </border>
    <border>
      <left style="hair">
        <color auto="1"/>
      </left>
      <right style="hair">
        <color auto="1"/>
      </right>
      <top style="dotted">
        <color auto="1"/>
      </top>
      <bottom style="thin">
        <color indexed="64"/>
      </bottom>
      <diagonal/>
    </border>
    <border>
      <left style="hair">
        <color auto="1"/>
      </left>
      <right style="thin">
        <color indexed="64"/>
      </right>
      <top style="dotted">
        <color auto="1"/>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medium">
        <color indexed="64"/>
      </right>
      <top/>
      <bottom/>
      <diagonal/>
    </border>
    <border>
      <left/>
      <right style="hair">
        <color auto="1"/>
      </right>
      <top style="dotted">
        <color auto="1"/>
      </top>
      <bottom style="dotted">
        <color auto="1"/>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hair">
        <color auto="1"/>
      </right>
      <top style="thin">
        <color indexed="64"/>
      </top>
      <bottom style="dotted">
        <color auto="1"/>
      </bottom>
      <diagonal/>
    </border>
    <border>
      <left style="hair">
        <color auto="1"/>
      </left>
      <right style="hair">
        <color auto="1"/>
      </right>
      <top style="thin">
        <color indexed="64"/>
      </top>
      <bottom style="dotted">
        <color auto="1"/>
      </bottom>
      <diagonal/>
    </border>
    <border>
      <left style="hair">
        <color auto="1"/>
      </left>
      <right style="thin">
        <color indexed="64"/>
      </right>
      <top style="thin">
        <color indexed="64"/>
      </top>
      <bottom style="dotted">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hair">
        <color auto="1"/>
      </right>
      <top style="thin">
        <color indexed="64"/>
      </top>
      <bottom style="thin">
        <color indexed="64"/>
      </bottom>
      <diagonal/>
    </border>
    <border>
      <left style="thin">
        <color indexed="64"/>
      </left>
      <right style="thin">
        <color indexed="64"/>
      </right>
      <top style="hair">
        <color auto="1"/>
      </top>
      <bottom style="hair">
        <color auto="1"/>
      </bottom>
      <diagonal/>
    </border>
    <border>
      <left style="thin">
        <color indexed="64"/>
      </left>
      <right style="thin">
        <color indexed="64"/>
      </right>
      <top style="hair">
        <color auto="1"/>
      </top>
      <bottom style="thin">
        <color auto="1"/>
      </bottom>
      <diagonal/>
    </border>
    <border>
      <left style="thin">
        <color indexed="64"/>
      </left>
      <right style="thin">
        <color indexed="64"/>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medium">
        <color indexed="64"/>
      </left>
      <right style="thin">
        <color indexed="64"/>
      </right>
      <top style="medium">
        <color indexed="64"/>
      </top>
      <bottom style="dashed">
        <color indexed="64"/>
      </bottom>
      <diagonal/>
    </border>
    <border>
      <left style="thin">
        <color indexed="64"/>
      </left>
      <right style="medium">
        <color indexed="64"/>
      </right>
      <top style="medium">
        <color indexed="64"/>
      </top>
      <bottom style="dashed">
        <color indexed="64"/>
      </bottom>
      <diagonal/>
    </border>
    <border>
      <left style="medium">
        <color indexed="64"/>
      </left>
      <right style="thin">
        <color indexed="64"/>
      </right>
      <top style="dashed">
        <color indexed="64"/>
      </top>
      <bottom style="hair">
        <color indexed="64"/>
      </bottom>
      <diagonal/>
    </border>
    <border>
      <left style="thin">
        <color indexed="64"/>
      </left>
      <right style="medium">
        <color indexed="64"/>
      </right>
      <top style="dashed">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hair">
        <color indexed="64"/>
      </right>
      <top style="thin">
        <color indexed="64"/>
      </top>
      <bottom style="hair">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hair">
        <color auto="1"/>
      </right>
      <top style="dotted">
        <color auto="1"/>
      </top>
      <bottom/>
      <diagonal/>
    </border>
    <border>
      <left style="hair">
        <color auto="1"/>
      </left>
      <right style="hair">
        <color auto="1"/>
      </right>
      <top style="dotted">
        <color auto="1"/>
      </top>
      <bottom/>
      <diagonal/>
    </border>
    <border>
      <left style="thin">
        <color indexed="64"/>
      </left>
      <right style="hair">
        <color auto="1"/>
      </right>
      <top/>
      <bottom style="dotted">
        <color auto="1"/>
      </bottom>
      <diagonal/>
    </border>
    <border>
      <left style="hair">
        <color auto="1"/>
      </left>
      <right style="hair">
        <color auto="1"/>
      </right>
      <top/>
      <bottom style="dotted">
        <color auto="1"/>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dotted">
        <color indexed="64"/>
      </bottom>
      <diagonal/>
    </border>
    <border>
      <left style="thin">
        <color indexed="64"/>
      </left>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thin">
        <color indexed="64"/>
      </left>
      <right style="medium">
        <color indexed="64"/>
      </right>
      <top/>
      <bottom/>
      <diagonal/>
    </border>
    <border>
      <left style="medium">
        <color indexed="64"/>
      </left>
      <right style="thin">
        <color indexed="64"/>
      </right>
      <top style="dotted">
        <color indexed="64"/>
      </top>
      <bottom style="medium">
        <color indexed="64"/>
      </bottom>
      <diagonal/>
    </border>
    <border>
      <left style="thin">
        <color indexed="64"/>
      </left>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style="medium">
        <color indexed="64"/>
      </right>
      <top/>
      <bottom style="dotted">
        <color indexed="64"/>
      </bottom>
      <diagonal/>
    </border>
    <border>
      <left/>
      <right style="medium">
        <color indexed="64"/>
      </right>
      <top style="dotted">
        <color indexed="64"/>
      </top>
      <bottom style="medium">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medium">
        <color indexed="64"/>
      </bottom>
      <diagonal/>
    </border>
  </borders>
  <cellStyleXfs count="17">
    <xf numFmtId="0" fontId="0" fillId="0" borderId="0"/>
    <xf numFmtId="0" fontId="8" fillId="0" borderId="0"/>
    <xf numFmtId="0" fontId="10" fillId="0" borderId="0"/>
    <xf numFmtId="0" fontId="19" fillId="10" borderId="0" applyNumberFormat="0" applyBorder="0" applyAlignment="0" applyProtection="0"/>
    <xf numFmtId="0" fontId="21" fillId="9" borderId="0" applyNumberFormat="0" applyBorder="0" applyAlignment="0" applyProtection="0"/>
    <xf numFmtId="0" fontId="10" fillId="0" borderId="0"/>
    <xf numFmtId="0" fontId="26" fillId="0" borderId="0"/>
    <xf numFmtId="0" fontId="28" fillId="0" borderId="0"/>
    <xf numFmtId="0" fontId="22" fillId="0" borderId="0"/>
    <xf numFmtId="0" fontId="11" fillId="0" borderId="0"/>
    <xf numFmtId="0" fontId="11" fillId="0" borderId="0"/>
    <xf numFmtId="0" fontId="54" fillId="0" borderId="0" applyNumberFormat="0" applyFill="0" applyBorder="0" applyAlignment="0" applyProtection="0"/>
    <xf numFmtId="0" fontId="11" fillId="0" borderId="0"/>
    <xf numFmtId="0" fontId="63" fillId="0" borderId="0" applyNumberFormat="0" applyFill="0" applyBorder="0" applyAlignment="0" applyProtection="0"/>
    <xf numFmtId="0" fontId="1" fillId="0" borderId="0"/>
    <xf numFmtId="0" fontId="66" fillId="0" borderId="0"/>
    <xf numFmtId="9" fontId="72" fillId="0" borderId="0" applyFont="0" applyFill="0" applyBorder="0" applyAlignment="0" applyProtection="0"/>
  </cellStyleXfs>
  <cellXfs count="830">
    <xf numFmtId="0" fontId="0" fillId="0" borderId="0" xfId="0"/>
    <xf numFmtId="0" fontId="0" fillId="0" borderId="0" xfId="0" applyAlignment="1">
      <alignment horizontal="center"/>
    </xf>
    <xf numFmtId="164" fontId="0" fillId="0" borderId="0" xfId="0" applyNumberForma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0" fillId="3" borderId="0" xfId="0" applyFill="1" applyAlignment="1">
      <alignment horizontal="center"/>
    </xf>
    <xf numFmtId="3" fontId="0" fillId="0" borderId="0" xfId="0" applyNumberFormat="1" applyAlignment="1">
      <alignment horizontal="center"/>
    </xf>
    <xf numFmtId="0" fontId="3" fillId="0" borderId="0" xfId="0" applyFont="1"/>
    <xf numFmtId="0" fontId="3" fillId="3" borderId="0" xfId="0" applyFont="1" applyFill="1"/>
    <xf numFmtId="164" fontId="0" fillId="3" borderId="0" xfId="0" applyNumberFormat="1" applyFill="1" applyAlignment="1">
      <alignment horizontal="center"/>
    </xf>
    <xf numFmtId="165" fontId="4" fillId="0" borderId="0" xfId="0" applyNumberFormat="1" applyFont="1" applyAlignment="1">
      <alignment horizontal="center"/>
    </xf>
    <xf numFmtId="0" fontId="0" fillId="4" borderId="0" xfId="0" applyFill="1" applyAlignment="1">
      <alignment horizontal="center"/>
    </xf>
    <xf numFmtId="0" fontId="0" fillId="4" borderId="0" xfId="0" applyFill="1"/>
    <xf numFmtId="0" fontId="0" fillId="5" borderId="0" xfId="0" applyFill="1" applyAlignment="1">
      <alignment horizontal="center"/>
    </xf>
    <xf numFmtId="0" fontId="0" fillId="5" borderId="0" xfId="0" applyFill="1"/>
    <xf numFmtId="0" fontId="3" fillId="5" borderId="0" xfId="0" applyFont="1" applyFill="1"/>
    <xf numFmtId="164" fontId="3" fillId="3" borderId="0" xfId="0" applyNumberFormat="1" applyFont="1" applyFill="1" applyAlignment="1">
      <alignment horizontal="center"/>
    </xf>
    <xf numFmtId="165" fontId="0" fillId="0" borderId="0" xfId="0" applyNumberFormat="1" applyAlignment="1">
      <alignment horizontal="center"/>
    </xf>
    <xf numFmtId="0" fontId="3" fillId="0" borderId="1" xfId="0" applyFont="1" applyBorder="1"/>
    <xf numFmtId="0" fontId="0" fillId="0" borderId="2" xfId="0" applyBorder="1"/>
    <xf numFmtId="0" fontId="0" fillId="2" borderId="2" xfId="0" applyFill="1" applyBorder="1" applyAlignment="1">
      <alignment horizontal="center"/>
    </xf>
    <xf numFmtId="0" fontId="0" fillId="0" borderId="3" xfId="0" applyBorder="1"/>
    <xf numFmtId="0" fontId="0" fillId="0" borderId="4" xfId="0" applyBorder="1"/>
    <xf numFmtId="0" fontId="0" fillId="5" borderId="5" xfId="0" applyFill="1" applyBorder="1"/>
    <xf numFmtId="0" fontId="0" fillId="5" borderId="5" xfId="0" applyFill="1" applyBorder="1" applyAlignment="1">
      <alignment horizontal="center"/>
    </xf>
    <xf numFmtId="0" fontId="0" fillId="0" borderId="5" xfId="0" applyBorder="1"/>
    <xf numFmtId="0" fontId="0" fillId="4" borderId="5" xfId="0" applyFill="1" applyBorder="1" applyAlignment="1">
      <alignment horizontal="center"/>
    </xf>
    <xf numFmtId="0" fontId="0" fillId="0" borderId="6" xfId="0" applyBorder="1"/>
    <xf numFmtId="0" fontId="0" fillId="0" borderId="7" xfId="0" applyBorder="1"/>
    <xf numFmtId="0" fontId="0" fillId="0" borderId="7" xfId="0" applyBorder="1" applyAlignment="1">
      <alignment horizontal="center"/>
    </xf>
    <xf numFmtId="0" fontId="0" fillId="4" borderId="7" xfId="0" applyFill="1" applyBorder="1" applyAlignment="1">
      <alignment horizontal="center"/>
    </xf>
    <xf numFmtId="0" fontId="0" fillId="0" borderId="8" xfId="0" applyBorder="1"/>
    <xf numFmtId="0" fontId="3" fillId="6" borderId="0" xfId="0" applyFont="1" applyFill="1"/>
    <xf numFmtId="3" fontId="3" fillId="6" borderId="0" xfId="0" applyNumberFormat="1" applyFont="1" applyFill="1" applyAlignment="1">
      <alignment horizontal="center" vertical="center"/>
    </xf>
    <xf numFmtId="0" fontId="7" fillId="0" borderId="0" xfId="0" applyFont="1"/>
    <xf numFmtId="0" fontId="6" fillId="0" borderId="0" xfId="0" applyFont="1" applyAlignment="1">
      <alignment horizontal="center" vertical="center"/>
    </xf>
    <xf numFmtId="0" fontId="9" fillId="7" borderId="9" xfId="1" applyFont="1" applyFill="1" applyBorder="1"/>
    <xf numFmtId="0" fontId="9" fillId="7" borderId="0" xfId="1" applyFont="1" applyFill="1"/>
    <xf numFmtId="0" fontId="8" fillId="7" borderId="0" xfId="1" applyFill="1"/>
    <xf numFmtId="0" fontId="9" fillId="7" borderId="10" xfId="1" applyFont="1" applyFill="1" applyBorder="1" applyAlignment="1">
      <alignment horizontal="center"/>
    </xf>
    <xf numFmtId="0" fontId="9" fillId="7" borderId="10" xfId="1" applyFont="1" applyFill="1" applyBorder="1"/>
    <xf numFmtId="164" fontId="8" fillId="7" borderId="10" xfId="1" applyNumberFormat="1" applyFill="1" applyBorder="1"/>
    <xf numFmtId="0" fontId="8" fillId="0" borderId="0" xfId="1"/>
    <xf numFmtId="0" fontId="9" fillId="0" borderId="9" xfId="1" applyFont="1" applyBorder="1"/>
    <xf numFmtId="0" fontId="9" fillId="0" borderId="0" xfId="1" applyFont="1"/>
    <xf numFmtId="0" fontId="9" fillId="0" borderId="10" xfId="1" applyFont="1" applyBorder="1"/>
    <xf numFmtId="164" fontId="8" fillId="0" borderId="10" xfId="1" applyNumberFormat="1" applyBorder="1"/>
    <xf numFmtId="0" fontId="8" fillId="7" borderId="0" xfId="1" applyFill="1" applyAlignment="1">
      <alignment wrapText="1"/>
    </xf>
    <xf numFmtId="0" fontId="0" fillId="2" borderId="0" xfId="0" applyFill="1"/>
    <xf numFmtId="0" fontId="6" fillId="0" borderId="0" xfId="0" applyFont="1"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horizontal="center" vertical="center"/>
    </xf>
    <xf numFmtId="0" fontId="0" fillId="0" borderId="0" xfId="0" applyAlignment="1">
      <alignment horizontal="center" vertical="center"/>
    </xf>
    <xf numFmtId="0" fontId="0" fillId="2" borderId="0" xfId="0" applyFill="1" applyAlignment="1">
      <alignment vertical="center"/>
    </xf>
    <xf numFmtId="0" fontId="0" fillId="8" borderId="0" xfId="0" applyFill="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0" fillId="8" borderId="0" xfId="0" applyFill="1" applyAlignment="1">
      <alignment vertical="center"/>
    </xf>
    <xf numFmtId="0" fontId="8" fillId="7" borderId="10" xfId="1" applyFill="1" applyBorder="1"/>
    <xf numFmtId="0" fontId="8" fillId="0" borderId="10" xfId="1" applyBorder="1"/>
    <xf numFmtId="0" fontId="0" fillId="7" borderId="0" xfId="0" applyFill="1"/>
    <xf numFmtId="0" fontId="9" fillId="7" borderId="10" xfId="0" applyFont="1" applyFill="1" applyBorder="1" applyAlignment="1">
      <alignment horizontal="center"/>
    </xf>
    <xf numFmtId="0" fontId="9" fillId="7" borderId="10" xfId="0" applyFont="1" applyFill="1" applyBorder="1"/>
    <xf numFmtId="164" fontId="0" fillId="7" borderId="10" xfId="0" applyNumberFormat="1" applyFill="1" applyBorder="1"/>
    <xf numFmtId="0" fontId="8" fillId="7" borderId="11" xfId="1" applyFill="1" applyBorder="1"/>
    <xf numFmtId="0" fontId="8" fillId="7" borderId="12" xfId="1" applyFill="1" applyBorder="1"/>
    <xf numFmtId="0" fontId="8" fillId="7" borderId="13" xfId="1" applyFill="1" applyBorder="1"/>
    <xf numFmtId="0" fontId="9" fillId="0" borderId="10" xfId="0" applyFont="1" applyBorder="1"/>
    <xf numFmtId="164" fontId="0" fillId="0" borderId="10" xfId="0" applyNumberFormat="1" applyBorder="1"/>
    <xf numFmtId="0" fontId="9" fillId="2" borderId="10" xfId="0" applyFont="1" applyFill="1" applyBorder="1"/>
    <xf numFmtId="164" fontId="0" fillId="2" borderId="10" xfId="0" applyNumberFormat="1" applyFill="1" applyBorder="1"/>
    <xf numFmtId="0" fontId="8" fillId="7" borderId="0" xfId="1" applyFill="1" applyAlignment="1">
      <alignment horizontal="center"/>
    </xf>
    <xf numFmtId="0" fontId="8" fillId="7" borderId="0" xfId="1" applyFill="1" applyAlignment="1">
      <alignment vertical="center"/>
    </xf>
    <xf numFmtId="0" fontId="8" fillId="7" borderId="0" xfId="1" applyFill="1" applyAlignment="1">
      <alignment horizontal="center" vertical="center"/>
    </xf>
    <xf numFmtId="0" fontId="10" fillId="0" borderId="0" xfId="2" applyAlignment="1">
      <alignment horizontal="center" vertical="center" wrapText="1"/>
    </xf>
    <xf numFmtId="0" fontId="11" fillId="0" borderId="0" xfId="2" applyFont="1" applyAlignment="1">
      <alignment horizontal="center" vertical="center" wrapText="1"/>
    </xf>
    <xf numFmtId="0" fontId="10" fillId="0" borderId="0" xfId="2" applyAlignment="1">
      <alignment horizontal="left" vertical="center" wrapText="1"/>
    </xf>
    <xf numFmtId="0" fontId="15" fillId="0" borderId="17" xfId="2" applyFont="1" applyBorder="1" applyAlignment="1">
      <alignment horizontal="center" vertical="center" wrapText="1"/>
    </xf>
    <xf numFmtId="0" fontId="15" fillId="0" borderId="18" xfId="2" applyFont="1" applyBorder="1" applyAlignment="1">
      <alignment horizontal="center" vertical="center" wrapText="1"/>
    </xf>
    <xf numFmtId="0" fontId="15" fillId="0" borderId="19" xfId="2" applyFont="1" applyBorder="1" applyAlignment="1">
      <alignment horizontal="center" vertical="center" wrapText="1"/>
    </xf>
    <xf numFmtId="0" fontId="15" fillId="7" borderId="20" xfId="2" applyFont="1" applyFill="1" applyBorder="1" applyAlignment="1">
      <alignment horizontal="left" vertical="center"/>
    </xf>
    <xf numFmtId="0" fontId="10" fillId="7" borderId="21" xfId="2" applyFill="1" applyBorder="1" applyAlignment="1">
      <alignment horizontal="center" vertical="center" wrapText="1"/>
    </xf>
    <xf numFmtId="0" fontId="10" fillId="7" borderId="22" xfId="2" applyFill="1" applyBorder="1" applyAlignment="1">
      <alignment horizontal="center" vertical="center" wrapText="1"/>
    </xf>
    <xf numFmtId="0" fontId="15" fillId="0" borderId="23" xfId="2" applyFont="1" applyBorder="1" applyAlignment="1">
      <alignment horizontal="left" vertical="center" wrapText="1"/>
    </xf>
    <xf numFmtId="0" fontId="10" fillId="0" borderId="23" xfId="2" applyBorder="1" applyAlignment="1">
      <alignment horizontal="center" vertical="center" wrapText="1"/>
    </xf>
    <xf numFmtId="0" fontId="11" fillId="0" borderId="23" xfId="2" applyFont="1" applyBorder="1" applyAlignment="1">
      <alignment horizontal="center" vertical="center" wrapText="1"/>
    </xf>
    <xf numFmtId="0" fontId="10" fillId="7" borderId="24" xfId="2" applyFill="1" applyBorder="1" applyAlignment="1">
      <alignment horizontal="center" vertical="center" wrapText="1"/>
    </xf>
    <xf numFmtId="0" fontId="10" fillId="7" borderId="25" xfId="2" applyFill="1" applyBorder="1" applyAlignment="1">
      <alignment horizontal="center" vertical="center" wrapText="1"/>
    </xf>
    <xf numFmtId="0" fontId="10" fillId="7" borderId="26" xfId="2" applyFill="1" applyBorder="1" applyAlignment="1">
      <alignment horizontal="center" vertical="center" wrapText="1"/>
    </xf>
    <xf numFmtId="0" fontId="11" fillId="0" borderId="10" xfId="2" applyFont="1" applyBorder="1" applyAlignment="1">
      <alignment horizontal="center" vertical="center"/>
    </xf>
    <xf numFmtId="0" fontId="11" fillId="0" borderId="10" xfId="2" applyFont="1" applyBorder="1" applyAlignment="1">
      <alignment horizontal="center" vertical="center" wrapText="1"/>
    </xf>
    <xf numFmtId="0" fontId="11" fillId="0" borderId="10" xfId="2" quotePrefix="1" applyFont="1" applyBorder="1" applyAlignment="1">
      <alignment horizontal="center" vertical="center" wrapText="1"/>
    </xf>
    <xf numFmtId="0" fontId="11" fillId="7" borderId="10" xfId="2" applyFont="1" applyFill="1" applyBorder="1" applyAlignment="1">
      <alignment horizontal="center" vertical="center" wrapText="1"/>
    </xf>
    <xf numFmtId="0" fontId="10" fillId="0" borderId="10" xfId="2" applyBorder="1" applyAlignment="1">
      <alignment horizontal="center" vertical="center" wrapText="1"/>
    </xf>
    <xf numFmtId="0" fontId="15" fillId="0" borderId="10" xfId="2" applyFont="1" applyBorder="1" applyAlignment="1">
      <alignment horizontal="left" vertical="center" wrapText="1"/>
    </xf>
    <xf numFmtId="0" fontId="10" fillId="0" borderId="27" xfId="2" applyBorder="1" applyAlignment="1">
      <alignment horizontal="center" vertical="center" wrapText="1"/>
    </xf>
    <xf numFmtId="0" fontId="14" fillId="0" borderId="10" xfId="2" applyFont="1" applyBorder="1" applyAlignment="1">
      <alignment horizontal="left" vertical="center" wrapText="1" indent="1"/>
    </xf>
    <xf numFmtId="0" fontId="11" fillId="0" borderId="11" xfId="2" applyFont="1" applyBorder="1" applyAlignment="1">
      <alignment horizontal="center" vertical="center" wrapText="1"/>
    </xf>
    <xf numFmtId="0" fontId="10" fillId="0" borderId="11" xfId="2" applyBorder="1" applyAlignment="1">
      <alignment horizontal="center" vertical="center" wrapText="1"/>
    </xf>
    <xf numFmtId="0" fontId="10" fillId="0" borderId="13" xfId="2" applyBorder="1" applyAlignment="1">
      <alignment horizontal="center" vertical="center" wrapText="1"/>
    </xf>
    <xf numFmtId="0" fontId="10" fillId="5" borderId="24" xfId="2" applyFill="1" applyBorder="1" applyAlignment="1">
      <alignment horizontal="center" vertical="center" wrapText="1"/>
    </xf>
    <xf numFmtId="0" fontId="10" fillId="5" borderId="25" xfId="2" applyFill="1" applyBorder="1" applyAlignment="1">
      <alignment horizontal="center" vertical="center" wrapText="1"/>
    </xf>
    <xf numFmtId="0" fontId="10" fillId="5" borderId="26" xfId="2" applyFill="1" applyBorder="1" applyAlignment="1">
      <alignment horizontal="center" vertical="center" wrapText="1"/>
    </xf>
    <xf numFmtId="0" fontId="10" fillId="7" borderId="29" xfId="2" applyFill="1" applyBorder="1" applyAlignment="1">
      <alignment horizontal="center" vertical="center" wrapText="1"/>
    </xf>
    <xf numFmtId="0" fontId="10" fillId="7" borderId="30" xfId="2" applyFill="1" applyBorder="1" applyAlignment="1">
      <alignment horizontal="center" vertical="center" wrapText="1"/>
    </xf>
    <xf numFmtId="0" fontId="10" fillId="7" borderId="31" xfId="2" applyFill="1" applyBorder="1" applyAlignment="1">
      <alignment horizontal="center" vertical="center" wrapText="1"/>
    </xf>
    <xf numFmtId="0" fontId="13" fillId="0" borderId="10" xfId="2" applyFont="1" applyBorder="1" applyAlignment="1">
      <alignment horizontal="center" vertical="center" wrapText="1"/>
    </xf>
    <xf numFmtId="0" fontId="15" fillId="0" borderId="10" xfId="2" applyFont="1" applyBorder="1" applyAlignment="1">
      <alignment horizontal="center" vertical="center" wrapText="1"/>
    </xf>
    <xf numFmtId="0" fontId="10" fillId="7" borderId="10" xfId="5" applyFill="1" applyBorder="1" applyAlignment="1">
      <alignment horizontal="left" vertical="center" wrapText="1" indent="1"/>
    </xf>
    <xf numFmtId="0" fontId="10" fillId="7" borderId="10" xfId="2" applyFill="1" applyBorder="1"/>
    <xf numFmtId="0" fontId="16" fillId="7" borderId="10" xfId="6" applyFont="1" applyFill="1" applyBorder="1" applyAlignment="1">
      <alignment horizontal="center" vertical="center"/>
    </xf>
    <xf numFmtId="0" fontId="10" fillId="7" borderId="10" xfId="2" applyFill="1" applyBorder="1" applyAlignment="1">
      <alignment horizontal="center" vertical="center" wrapText="1"/>
    </xf>
    <xf numFmtId="2" fontId="10" fillId="7" borderId="10" xfId="2" applyNumberFormat="1" applyFill="1" applyBorder="1" applyAlignment="1">
      <alignment horizontal="center" vertical="center" wrapText="1"/>
    </xf>
    <xf numFmtId="0" fontId="11" fillId="7" borderId="10" xfId="2" applyFont="1" applyFill="1" applyBorder="1" applyAlignment="1">
      <alignment horizontal="center" vertical="center"/>
    </xf>
    <xf numFmtId="0" fontId="10" fillId="0" borderId="17" xfId="2" applyBorder="1" applyAlignment="1">
      <alignment horizontal="center" vertical="center" wrapText="1"/>
    </xf>
    <xf numFmtId="0" fontId="14" fillId="0" borderId="32" xfId="2" applyFont="1" applyBorder="1" applyAlignment="1">
      <alignment horizontal="left" vertical="center" wrapText="1"/>
    </xf>
    <xf numFmtId="0" fontId="10" fillId="0" borderId="34" xfId="2" applyBorder="1" applyAlignment="1">
      <alignment horizontal="left" vertical="center" wrapText="1"/>
    </xf>
    <xf numFmtId="0" fontId="10" fillId="0" borderId="10" xfId="2" applyBorder="1" applyAlignment="1">
      <alignment horizontal="left" vertical="center" wrapText="1"/>
    </xf>
    <xf numFmtId="0" fontId="30" fillId="0" borderId="10" xfId="0" applyFont="1" applyBorder="1" applyAlignment="1">
      <alignment horizontal="center" vertical="center" wrapText="1"/>
    </xf>
    <xf numFmtId="2" fontId="0" fillId="0" borderId="10" xfId="0" applyNumberFormat="1" applyBorder="1" applyAlignment="1">
      <alignment horizontal="center" vertical="center"/>
    </xf>
    <xf numFmtId="0" fontId="31" fillId="0" borderId="10" xfId="0" applyFont="1" applyBorder="1" applyAlignment="1">
      <alignment vertical="center" wrapText="1"/>
    </xf>
    <xf numFmtId="0" fontId="32" fillId="0" borderId="10" xfId="0" applyFont="1" applyBorder="1" applyAlignment="1">
      <alignment horizontal="center" vertical="center" wrapText="1"/>
    </xf>
    <xf numFmtId="0" fontId="0" fillId="2" borderId="0" xfId="0" applyFill="1" applyAlignment="1">
      <alignment horizontal="center" vertical="center"/>
    </xf>
    <xf numFmtId="0" fontId="36" fillId="2" borderId="0" xfId="0" applyFont="1" applyFill="1" applyAlignment="1">
      <alignment horizontal="left" vertical="center"/>
    </xf>
    <xf numFmtId="0" fontId="36" fillId="2" borderId="0" xfId="0" applyFont="1" applyFill="1" applyAlignment="1">
      <alignment horizontal="center" vertical="center"/>
    </xf>
    <xf numFmtId="0" fontId="33" fillId="0" borderId="10" xfId="0" applyFont="1" applyBorder="1" applyAlignment="1">
      <alignment horizontal="center" vertical="center" wrapText="1"/>
    </xf>
    <xf numFmtId="0" fontId="32" fillId="2" borderId="10" xfId="0" applyFont="1" applyFill="1" applyBorder="1" applyAlignment="1">
      <alignment horizontal="center" vertical="center" wrapText="1"/>
    </xf>
    <xf numFmtId="164" fontId="32" fillId="2" borderId="10" xfId="0" applyNumberFormat="1" applyFont="1" applyFill="1" applyBorder="1" applyAlignment="1">
      <alignment horizontal="center" vertical="center" wrapText="1"/>
    </xf>
    <xf numFmtId="0" fontId="38" fillId="2" borderId="10" xfId="0" applyFont="1" applyFill="1" applyBorder="1" applyAlignment="1">
      <alignment horizontal="center" vertical="center" wrapText="1"/>
    </xf>
    <xf numFmtId="0" fontId="19" fillId="0" borderId="10" xfId="3" applyFill="1" applyBorder="1" applyAlignment="1">
      <alignment horizontal="left" vertical="center" wrapText="1" indent="2"/>
    </xf>
    <xf numFmtId="0" fontId="19" fillId="0" borderId="10" xfId="3" applyFill="1" applyBorder="1" applyAlignment="1">
      <alignment horizontal="left" indent="2"/>
    </xf>
    <xf numFmtId="0" fontId="16" fillId="0" borderId="10" xfId="2" applyFont="1" applyBorder="1" applyAlignment="1">
      <alignment horizontal="center" vertical="center"/>
    </xf>
    <xf numFmtId="0" fontId="21" fillId="0" borderId="10" xfId="4" applyFill="1" applyBorder="1" applyAlignment="1">
      <alignment horizontal="center" vertical="center" wrapText="1"/>
    </xf>
    <xf numFmtId="0" fontId="11" fillId="0" borderId="13" xfId="2" applyFont="1" applyBorder="1" applyAlignment="1">
      <alignment horizontal="center" vertical="center" wrapText="1"/>
    </xf>
    <xf numFmtId="0" fontId="16" fillId="0" borderId="11" xfId="2" applyFont="1" applyBorder="1" applyAlignment="1">
      <alignment horizontal="center" vertical="center"/>
    </xf>
    <xf numFmtId="0" fontId="11" fillId="0" borderId="11" xfId="2" applyFont="1" applyBorder="1" applyAlignment="1">
      <alignment horizontal="center" vertical="center"/>
    </xf>
    <xf numFmtId="0" fontId="22" fillId="0" borderId="10" xfId="2" applyFont="1" applyBorder="1" applyAlignment="1">
      <alignment horizontal="center" vertical="center" wrapText="1"/>
    </xf>
    <xf numFmtId="0" fontId="23" fillId="0" borderId="11" xfId="2" applyFont="1" applyBorder="1" applyAlignment="1">
      <alignment horizontal="center" vertical="center"/>
    </xf>
    <xf numFmtId="0" fontId="16" fillId="0" borderId="10" xfId="2" applyFont="1" applyBorder="1" applyAlignment="1">
      <alignment horizontal="center"/>
    </xf>
    <xf numFmtId="0" fontId="16" fillId="0" borderId="11" xfId="2" applyFont="1" applyBorder="1" applyAlignment="1">
      <alignment horizontal="center"/>
    </xf>
    <xf numFmtId="164" fontId="21" fillId="0" borderId="10" xfId="4" applyNumberFormat="1" applyFill="1" applyBorder="1" applyAlignment="1">
      <alignment horizontal="center" vertical="center" wrapText="1"/>
    </xf>
    <xf numFmtId="0" fontId="11" fillId="0" borderId="11" xfId="2" quotePrefix="1" applyFont="1" applyBorder="1" applyAlignment="1">
      <alignment horizontal="center" vertical="center" wrapText="1"/>
    </xf>
    <xf numFmtId="2" fontId="21" fillId="0" borderId="10" xfId="4" applyNumberFormat="1" applyFill="1" applyBorder="1" applyAlignment="1">
      <alignment horizontal="center" vertical="center" wrapText="1"/>
    </xf>
    <xf numFmtId="0" fontId="14" fillId="0" borderId="10" xfId="2" applyFont="1" applyBorder="1" applyAlignment="1">
      <alignment horizontal="left" vertical="center" indent="1"/>
    </xf>
    <xf numFmtId="0" fontId="21" fillId="0" borderId="10" xfId="4" applyFill="1" applyBorder="1" applyAlignment="1">
      <alignment horizontal="left" vertical="center" wrapText="1" indent="2"/>
    </xf>
    <xf numFmtId="0" fontId="11" fillId="0" borderId="13" xfId="2" quotePrefix="1" applyFont="1" applyBorder="1" applyAlignment="1">
      <alignment horizontal="center" vertical="center" wrapText="1"/>
    </xf>
    <xf numFmtId="0" fontId="21" fillId="0" borderId="10" xfId="4" applyFill="1" applyBorder="1" applyAlignment="1">
      <alignment horizontal="left" vertical="center" indent="2"/>
    </xf>
    <xf numFmtId="0" fontId="0" fillId="12" borderId="10" xfId="0" applyFill="1" applyBorder="1" applyAlignment="1">
      <alignment horizontal="center" vertical="center"/>
    </xf>
    <xf numFmtId="0" fontId="0" fillId="13" borderId="10" xfId="0" applyFill="1" applyBorder="1" applyAlignment="1">
      <alignment horizontal="center" vertical="center" wrapText="1"/>
    </xf>
    <xf numFmtId="2" fontId="0" fillId="7" borderId="43" xfId="0" applyNumberFormat="1" applyFill="1" applyBorder="1" applyAlignment="1">
      <alignment horizontal="center" vertical="center"/>
    </xf>
    <xf numFmtId="2" fontId="0" fillId="7" borderId="28" xfId="0" applyNumberFormat="1" applyFill="1" applyBorder="1" applyAlignment="1">
      <alignment horizontal="center" vertical="center"/>
    </xf>
    <xf numFmtId="2" fontId="0" fillId="7" borderId="42" xfId="0" applyNumberFormat="1" applyFill="1" applyBorder="1" applyAlignment="1">
      <alignment horizontal="center" vertical="center"/>
    </xf>
    <xf numFmtId="0" fontId="0" fillId="13" borderId="44" xfId="0" applyFill="1" applyBorder="1" applyAlignment="1">
      <alignment horizontal="center" vertical="center"/>
    </xf>
    <xf numFmtId="0" fontId="30" fillId="13" borderId="45" xfId="0" applyFont="1" applyFill="1" applyBorder="1" applyAlignment="1">
      <alignment horizontal="center" vertical="center" wrapText="1"/>
    </xf>
    <xf numFmtId="2" fontId="41" fillId="13" borderId="41" xfId="0" applyNumberFormat="1" applyFont="1" applyFill="1" applyBorder="1" applyAlignment="1">
      <alignment horizontal="center" vertical="center"/>
    </xf>
    <xf numFmtId="0" fontId="0" fillId="13" borderId="15" xfId="0" applyFill="1" applyBorder="1" applyAlignment="1">
      <alignment horizontal="center" vertical="center"/>
    </xf>
    <xf numFmtId="0" fontId="32" fillId="13" borderId="18" xfId="0" applyFont="1" applyFill="1" applyBorder="1" applyAlignment="1">
      <alignment horizontal="center" vertical="center" wrapText="1"/>
    </xf>
    <xf numFmtId="0" fontId="32" fillId="13" borderId="19" xfId="0" applyFont="1" applyFill="1" applyBorder="1" applyAlignment="1">
      <alignment horizontal="center" vertical="center" wrapText="1"/>
    </xf>
    <xf numFmtId="0" fontId="32" fillId="7" borderId="18" xfId="0" applyFont="1" applyFill="1" applyBorder="1" applyAlignment="1">
      <alignment horizontal="center" vertical="center" wrapText="1"/>
    </xf>
    <xf numFmtId="0" fontId="32" fillId="7" borderId="19" xfId="0" applyFont="1" applyFill="1" applyBorder="1" applyAlignment="1">
      <alignment horizontal="center" vertical="center" wrapText="1"/>
    </xf>
    <xf numFmtId="0" fontId="32" fillId="2" borderId="36" xfId="0" applyFont="1" applyFill="1" applyBorder="1" applyAlignment="1">
      <alignment horizontal="center" vertical="center" wrapText="1"/>
    </xf>
    <xf numFmtId="0" fontId="0" fillId="2" borderId="35" xfId="0" applyFill="1" applyBorder="1" applyAlignment="1">
      <alignment horizontal="center" vertical="center"/>
    </xf>
    <xf numFmtId="0" fontId="31" fillId="7" borderId="27" xfId="0" applyFont="1" applyFill="1" applyBorder="1" applyAlignment="1">
      <alignment horizontal="center" vertical="center" wrapText="1"/>
    </xf>
    <xf numFmtId="0" fontId="3" fillId="7" borderId="40" xfId="0" applyFont="1" applyFill="1" applyBorder="1" applyAlignment="1">
      <alignment horizontal="center" vertical="center"/>
    </xf>
    <xf numFmtId="0" fontId="31" fillId="7" borderId="49" xfId="0" applyFont="1" applyFill="1" applyBorder="1" applyAlignment="1">
      <alignment horizontal="center" vertical="center" wrapText="1"/>
    </xf>
    <xf numFmtId="0" fontId="42" fillId="7" borderId="49" xfId="0" applyFont="1" applyFill="1" applyBorder="1" applyAlignment="1">
      <alignment horizontal="center" vertical="center" wrapText="1"/>
    </xf>
    <xf numFmtId="0" fontId="43" fillId="7" borderId="49" xfId="0" applyFont="1" applyFill="1" applyBorder="1" applyAlignment="1">
      <alignment horizontal="center" vertical="center"/>
    </xf>
    <xf numFmtId="0" fontId="47" fillId="13" borderId="14" xfId="0" applyFont="1" applyFill="1" applyBorder="1" applyAlignment="1">
      <alignment horizontal="center" vertical="center"/>
    </xf>
    <xf numFmtId="0" fontId="32" fillId="13" borderId="17" xfId="0" applyFont="1" applyFill="1" applyBorder="1" applyAlignment="1">
      <alignment horizontal="center" vertical="center" wrapText="1"/>
    </xf>
    <xf numFmtId="0" fontId="31" fillId="13" borderId="10" xfId="0" applyFont="1" applyFill="1" applyBorder="1" applyAlignment="1">
      <alignment vertical="center" wrapText="1"/>
    </xf>
    <xf numFmtId="0" fontId="32" fillId="13" borderId="10" xfId="0" applyFont="1" applyFill="1" applyBorder="1" applyAlignment="1">
      <alignment horizontal="center" vertical="center" wrapText="1"/>
    </xf>
    <xf numFmtId="0" fontId="48" fillId="0" borderId="10" xfId="0" applyFont="1" applyBorder="1" applyAlignment="1">
      <alignment horizontal="center" vertical="center" wrapText="1"/>
    </xf>
    <xf numFmtId="0" fontId="48" fillId="2" borderId="10" xfId="0" applyFont="1" applyFill="1" applyBorder="1" applyAlignment="1">
      <alignment horizontal="center" vertical="center" wrapText="1"/>
    </xf>
    <xf numFmtId="0" fontId="31" fillId="7" borderId="50" xfId="0" applyFont="1" applyFill="1" applyBorder="1" applyAlignment="1">
      <alignment horizontal="center" vertical="center" wrapText="1"/>
    </xf>
    <xf numFmtId="0" fontId="31" fillId="7" borderId="51" xfId="0" applyFont="1" applyFill="1" applyBorder="1" applyAlignment="1">
      <alignment horizontal="center" vertical="center" wrapText="1"/>
    </xf>
    <xf numFmtId="0" fontId="32" fillId="7" borderId="52" xfId="0" applyFont="1" applyFill="1" applyBorder="1" applyAlignment="1">
      <alignment horizontal="center" vertical="center" wrapText="1"/>
    </xf>
    <xf numFmtId="0" fontId="31" fillId="7" borderId="53" xfId="0" applyFont="1" applyFill="1" applyBorder="1" applyAlignment="1">
      <alignment horizontal="center" vertical="center" wrapText="1"/>
    </xf>
    <xf numFmtId="0" fontId="32" fillId="7" borderId="54" xfId="0" applyFont="1" applyFill="1" applyBorder="1" applyAlignment="1">
      <alignment horizontal="center" vertical="center" wrapText="1"/>
    </xf>
    <xf numFmtId="0" fontId="0" fillId="7" borderId="44" xfId="0" applyFill="1" applyBorder="1" applyAlignment="1">
      <alignment horizontal="center" vertical="center" wrapText="1"/>
    </xf>
    <xf numFmtId="0" fontId="0" fillId="7" borderId="45" xfId="0" applyFill="1" applyBorder="1" applyAlignment="1">
      <alignment horizontal="center" vertical="center"/>
    </xf>
    <xf numFmtId="0" fontId="20" fillId="0" borderId="10" xfId="3" applyFont="1" applyFill="1" applyBorder="1" applyAlignment="1">
      <alignment horizontal="left" vertical="center" wrapText="1" indent="2"/>
    </xf>
    <xf numFmtId="165" fontId="0" fillId="7" borderId="18" xfId="0" applyNumberFormat="1" applyFill="1" applyBorder="1" applyAlignment="1">
      <alignment horizontal="center" vertical="center"/>
    </xf>
    <xf numFmtId="165" fontId="32" fillId="2" borderId="10" xfId="0" applyNumberFormat="1" applyFont="1" applyFill="1" applyBorder="1" applyAlignment="1">
      <alignment horizontal="center" vertical="center" wrapText="1"/>
    </xf>
    <xf numFmtId="0" fontId="10" fillId="0" borderId="23" xfId="2" applyBorder="1" applyAlignment="1">
      <alignment horizontal="left" vertical="center" wrapText="1"/>
    </xf>
    <xf numFmtId="0" fontId="10" fillId="7" borderId="27" xfId="2" applyFill="1" applyBorder="1" applyAlignment="1">
      <alignment horizontal="center" vertical="center" wrapText="1"/>
    </xf>
    <xf numFmtId="0" fontId="11" fillId="7" borderId="23" xfId="2" applyFont="1" applyFill="1" applyBorder="1" applyAlignment="1">
      <alignment horizontal="center" vertical="center" wrapText="1"/>
    </xf>
    <xf numFmtId="0" fontId="10" fillId="7" borderId="23" xfId="2" applyFill="1" applyBorder="1" applyAlignment="1">
      <alignment horizontal="center" vertical="center" wrapText="1"/>
    </xf>
    <xf numFmtId="2" fontId="10" fillId="7" borderId="24" xfId="2" applyNumberFormat="1" applyFill="1" applyBorder="1" applyAlignment="1">
      <alignment horizontal="center" vertical="center" wrapText="1"/>
    </xf>
    <xf numFmtId="2" fontId="10" fillId="7" borderId="25" xfId="2" applyNumberFormat="1" applyFill="1" applyBorder="1" applyAlignment="1">
      <alignment horizontal="center" vertical="center" wrapText="1"/>
    </xf>
    <xf numFmtId="164" fontId="10" fillId="0" borderId="10" xfId="2" applyNumberFormat="1" applyBorder="1" applyAlignment="1">
      <alignment horizontal="center" vertical="center" wrapText="1"/>
    </xf>
    <xf numFmtId="165" fontId="10" fillId="7" borderId="10" xfId="2" applyNumberFormat="1" applyFill="1" applyBorder="1" applyAlignment="1">
      <alignment horizontal="center" vertical="center" wrapText="1"/>
    </xf>
    <xf numFmtId="0" fontId="11" fillId="7" borderId="13" xfId="2" applyFont="1" applyFill="1" applyBorder="1" applyAlignment="1">
      <alignment horizontal="center" vertical="center" wrapText="1"/>
    </xf>
    <xf numFmtId="0" fontId="10" fillId="7" borderId="27" xfId="5" applyFill="1" applyBorder="1" applyAlignment="1">
      <alignment horizontal="left" vertical="center" wrapText="1" indent="1"/>
    </xf>
    <xf numFmtId="2" fontId="10" fillId="7" borderId="27" xfId="2" applyNumberFormat="1" applyFill="1" applyBorder="1" applyAlignment="1">
      <alignment horizontal="center" vertical="center" wrapText="1"/>
    </xf>
    <xf numFmtId="0" fontId="11" fillId="7" borderId="10" xfId="2" quotePrefix="1" applyFont="1" applyFill="1" applyBorder="1" applyAlignment="1">
      <alignment horizontal="center" vertical="center" wrapText="1"/>
    </xf>
    <xf numFmtId="0" fontId="20" fillId="7" borderId="10" xfId="4" applyFont="1" applyFill="1" applyBorder="1" applyAlignment="1">
      <alignment horizontal="left" vertical="center" wrapText="1" indent="2"/>
    </xf>
    <xf numFmtId="0" fontId="20" fillId="7" borderId="10" xfId="4" applyFont="1" applyFill="1" applyBorder="1" applyAlignment="1">
      <alignment horizontal="center" vertical="center"/>
    </xf>
    <xf numFmtId="0" fontId="10" fillId="7" borderId="10" xfId="5" applyFill="1" applyBorder="1" applyAlignment="1">
      <alignment horizontal="left" vertical="center" wrapText="1" indent="2"/>
    </xf>
    <xf numFmtId="3" fontId="10" fillId="7" borderId="24" xfId="2" applyNumberFormat="1" applyFill="1" applyBorder="1" applyAlignment="1">
      <alignment horizontal="center" vertical="center" wrapText="1"/>
    </xf>
    <xf numFmtId="3" fontId="10" fillId="7" borderId="25" xfId="2" applyNumberFormat="1" applyFill="1" applyBorder="1" applyAlignment="1">
      <alignment horizontal="center" vertical="center" wrapText="1"/>
    </xf>
    <xf numFmtId="0" fontId="16" fillId="7" borderId="23" xfId="6" applyFont="1" applyFill="1" applyBorder="1" applyAlignment="1">
      <alignment horizontal="center" vertical="center"/>
    </xf>
    <xf numFmtId="165" fontId="10" fillId="7" borderId="25" xfId="2" applyNumberFormat="1" applyFill="1" applyBorder="1" applyAlignment="1">
      <alignment horizontal="center" vertical="center" wrapText="1"/>
    </xf>
    <xf numFmtId="0" fontId="0" fillId="7" borderId="40" xfId="0" applyFill="1" applyBorder="1" applyAlignment="1">
      <alignment horizontal="center" vertical="center"/>
    </xf>
    <xf numFmtId="14" fontId="0" fillId="0" borderId="0" xfId="0" applyNumberFormat="1" applyAlignment="1">
      <alignment horizontal="left" indent="1"/>
    </xf>
    <xf numFmtId="0" fontId="0" fillId="0" borderId="0" xfId="0" applyAlignment="1">
      <alignment horizontal="left" indent="1"/>
    </xf>
    <xf numFmtId="0" fontId="0" fillId="0" borderId="0" xfId="0" quotePrefix="1" applyAlignment="1">
      <alignment horizontal="left" indent="1"/>
    </xf>
    <xf numFmtId="0" fontId="10" fillId="7" borderId="69" xfId="2" applyFill="1" applyBorder="1" applyAlignment="1">
      <alignment horizontal="center" vertical="center" wrapText="1"/>
    </xf>
    <xf numFmtId="0" fontId="10" fillId="7" borderId="70" xfId="2" applyFill="1" applyBorder="1" applyAlignment="1">
      <alignment horizontal="center" vertical="center" wrapText="1"/>
    </xf>
    <xf numFmtId="0" fontId="10" fillId="7" borderId="71" xfId="2" applyFill="1" applyBorder="1" applyAlignment="1">
      <alignment horizontal="center" vertical="center" wrapText="1"/>
    </xf>
    <xf numFmtId="0" fontId="0" fillId="12" borderId="23" xfId="0" applyFill="1" applyBorder="1" applyAlignment="1">
      <alignment horizontal="center" vertical="center" wrapText="1"/>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7" borderId="14" xfId="0" applyFill="1" applyBorder="1" applyAlignment="1">
      <alignment horizontal="left" vertical="center" indent="1"/>
    </xf>
    <xf numFmtId="0" fontId="0" fillId="7" borderId="10" xfId="0" applyFill="1" applyBorder="1" applyAlignment="1">
      <alignment horizontal="center" vertical="center"/>
    </xf>
    <xf numFmtId="0" fontId="2" fillId="0" borderId="10" xfId="1" applyFont="1" applyBorder="1"/>
    <xf numFmtId="0" fontId="0" fillId="7" borderId="0" xfId="0" applyFill="1" applyAlignment="1">
      <alignment horizontal="center" vertical="center"/>
    </xf>
    <xf numFmtId="0" fontId="0" fillId="7" borderId="0" xfId="0" applyFill="1" applyAlignment="1">
      <alignment horizontal="center" vertical="center" textRotation="180"/>
    </xf>
    <xf numFmtId="0" fontId="3" fillId="7" borderId="76" xfId="0" applyFont="1" applyFill="1" applyBorder="1" applyAlignment="1">
      <alignment horizontal="center" vertical="center" textRotation="180"/>
    </xf>
    <xf numFmtId="0" fontId="3" fillId="7" borderId="72" xfId="0" applyFont="1" applyFill="1" applyBorder="1" applyAlignment="1">
      <alignment horizontal="left" vertical="center" textRotation="180"/>
    </xf>
    <xf numFmtId="0" fontId="3" fillId="7" borderId="73" xfId="0" applyFont="1" applyFill="1" applyBorder="1" applyAlignment="1">
      <alignment horizontal="left" vertical="center" textRotation="180"/>
    </xf>
    <xf numFmtId="0" fontId="3" fillId="7" borderId="74" xfId="0" applyFont="1" applyFill="1" applyBorder="1" applyAlignment="1">
      <alignment horizontal="left" vertical="center" textRotation="180"/>
    </xf>
    <xf numFmtId="0" fontId="3" fillId="7" borderId="75" xfId="0" applyFont="1" applyFill="1" applyBorder="1" applyAlignment="1">
      <alignment horizontal="left" vertical="center" textRotation="180"/>
    </xf>
    <xf numFmtId="0" fontId="3" fillId="7" borderId="78" xfId="0" applyFont="1" applyFill="1" applyBorder="1" applyAlignment="1">
      <alignment horizontal="left" vertical="center" textRotation="180"/>
    </xf>
    <xf numFmtId="0" fontId="3" fillId="7" borderId="79" xfId="0" applyFont="1" applyFill="1" applyBorder="1" applyAlignment="1">
      <alignment horizontal="left" vertical="center" textRotation="180"/>
    </xf>
    <xf numFmtId="0" fontId="3" fillId="7" borderId="80" xfId="0" applyFont="1" applyFill="1" applyBorder="1" applyAlignment="1">
      <alignment horizontal="center" vertical="center" textRotation="180"/>
    </xf>
    <xf numFmtId="0" fontId="3" fillId="7" borderId="81" xfId="0" applyFont="1" applyFill="1" applyBorder="1" applyAlignment="1">
      <alignment horizontal="center" vertical="center" textRotation="180"/>
    </xf>
    <xf numFmtId="0" fontId="3" fillId="7" borderId="82" xfId="0" applyFont="1" applyFill="1" applyBorder="1" applyAlignment="1">
      <alignment horizontal="center" vertical="center" textRotation="180"/>
    </xf>
    <xf numFmtId="0" fontId="3" fillId="7" borderId="10" xfId="0" applyFont="1" applyFill="1" applyBorder="1" applyAlignment="1">
      <alignment horizontal="center" vertical="center" textRotation="180"/>
    </xf>
    <xf numFmtId="0" fontId="3" fillId="7" borderId="83" xfId="0" applyFont="1" applyFill="1" applyBorder="1" applyAlignment="1">
      <alignment horizontal="center" vertical="center" textRotation="180"/>
    </xf>
    <xf numFmtId="0" fontId="3" fillId="7" borderId="84" xfId="0" applyFont="1" applyFill="1" applyBorder="1" applyAlignment="1">
      <alignment horizontal="left" vertical="center" textRotation="180"/>
    </xf>
    <xf numFmtId="0" fontId="3" fillId="7" borderId="85" xfId="0" applyFont="1" applyFill="1" applyBorder="1" applyAlignment="1">
      <alignment horizontal="left" vertical="center" textRotation="180"/>
    </xf>
    <xf numFmtId="0" fontId="3" fillId="7" borderId="86" xfId="0" applyFont="1" applyFill="1" applyBorder="1" applyAlignment="1">
      <alignment horizontal="left" vertical="center" textRotation="180"/>
    </xf>
    <xf numFmtId="0" fontId="3" fillId="7" borderId="10" xfId="0" applyFont="1" applyFill="1" applyBorder="1" applyAlignment="1">
      <alignment horizontal="center" vertical="center" textRotation="180" wrapText="1"/>
    </xf>
    <xf numFmtId="0" fontId="3" fillId="7" borderId="80" xfId="0" applyFont="1" applyFill="1" applyBorder="1" applyAlignment="1">
      <alignment horizontal="center" vertical="center" textRotation="180" wrapText="1"/>
    </xf>
    <xf numFmtId="0" fontId="3" fillId="7" borderId="76" xfId="0" applyFont="1" applyFill="1" applyBorder="1" applyAlignment="1">
      <alignment horizontal="center" vertical="center" textRotation="180" wrapText="1"/>
    </xf>
    <xf numFmtId="0" fontId="3" fillId="7" borderId="77" xfId="0" applyFont="1" applyFill="1" applyBorder="1" applyAlignment="1">
      <alignment horizontal="center" vertical="center" textRotation="180" wrapText="1"/>
    </xf>
    <xf numFmtId="0" fontId="11" fillId="0" borderId="0" xfId="9" applyAlignment="1">
      <alignment vertical="center"/>
    </xf>
    <xf numFmtId="0" fontId="13" fillId="0" borderId="0" xfId="9" applyFont="1" applyAlignment="1">
      <alignment vertical="center"/>
    </xf>
    <xf numFmtId="0" fontId="13" fillId="0" borderId="14" xfId="9" applyFont="1" applyBorder="1" applyAlignment="1">
      <alignment horizontal="left" vertical="center" indent="1"/>
    </xf>
    <xf numFmtId="0" fontId="11" fillId="0" borderId="16" xfId="9" applyBorder="1" applyAlignment="1">
      <alignment vertical="center"/>
    </xf>
    <xf numFmtId="0" fontId="13" fillId="0" borderId="87" xfId="10" applyFont="1" applyBorder="1" applyAlignment="1">
      <alignment horizontal="left" vertical="center" indent="1"/>
    </xf>
    <xf numFmtId="0" fontId="13" fillId="0" borderId="88" xfId="10" applyFont="1" applyBorder="1" applyAlignment="1">
      <alignment horizontal="center" vertical="center"/>
    </xf>
    <xf numFmtId="0" fontId="11" fillId="0" borderId="89" xfId="10" applyBorder="1" applyAlignment="1">
      <alignment horizontal="left" vertical="center" indent="1"/>
    </xf>
    <xf numFmtId="0" fontId="11" fillId="12" borderId="90" xfId="10" applyFill="1" applyBorder="1" applyAlignment="1">
      <alignment horizontal="center" vertical="center"/>
    </xf>
    <xf numFmtId="0" fontId="11" fillId="0" borderId="91" xfId="10" applyBorder="1" applyAlignment="1">
      <alignment horizontal="left" vertical="center" indent="1"/>
    </xf>
    <xf numFmtId="0" fontId="11" fillId="12" borderId="92" xfId="10" applyFill="1" applyBorder="1" applyAlignment="1">
      <alignment horizontal="center" vertical="center"/>
    </xf>
    <xf numFmtId="0" fontId="11" fillId="0" borderId="93" xfId="10" applyBorder="1" applyAlignment="1">
      <alignment horizontal="left" vertical="center" indent="1"/>
    </xf>
    <xf numFmtId="0" fontId="11" fillId="12" borderId="94" xfId="10" applyFill="1" applyBorder="1" applyAlignment="1">
      <alignment horizontal="center" vertical="center"/>
    </xf>
    <xf numFmtId="0" fontId="13" fillId="0" borderId="50" xfId="10" applyFont="1" applyBorder="1" applyAlignment="1">
      <alignment horizontal="left" vertical="center" indent="1"/>
    </xf>
    <xf numFmtId="0" fontId="13" fillId="0" borderId="52" xfId="10" applyFont="1" applyBorder="1" applyAlignment="1">
      <alignment horizontal="center" vertical="center"/>
    </xf>
    <xf numFmtId="0" fontId="32" fillId="7" borderId="10" xfId="0" applyFont="1" applyFill="1" applyBorder="1" applyAlignment="1">
      <alignment horizontal="center" vertical="center" wrapText="1"/>
    </xf>
    <xf numFmtId="0" fontId="0" fillId="7" borderId="0" xfId="0" applyFill="1" applyAlignment="1">
      <alignment vertical="center"/>
    </xf>
    <xf numFmtId="0" fontId="0" fillId="7" borderId="27" xfId="0" applyFill="1" applyBorder="1" applyAlignment="1">
      <alignment horizontal="center" vertical="center"/>
    </xf>
    <xf numFmtId="0" fontId="0" fillId="7" borderId="60" xfId="0" applyFill="1" applyBorder="1" applyAlignment="1">
      <alignment horizontal="center" vertical="center"/>
    </xf>
    <xf numFmtId="0" fontId="0" fillId="7" borderId="62" xfId="0" applyFill="1" applyBorder="1" applyAlignment="1">
      <alignment horizontal="center" vertical="center"/>
    </xf>
    <xf numFmtId="0" fontId="10" fillId="7" borderId="27" xfId="5" applyFill="1" applyBorder="1" applyAlignment="1">
      <alignment horizontal="left" vertical="center" wrapText="1" indent="2"/>
    </xf>
    <xf numFmtId="0" fontId="13" fillId="7" borderId="10" xfId="5" applyFont="1" applyFill="1" applyBorder="1" applyAlignment="1">
      <alignment horizontal="left" vertical="center" wrapText="1" indent="1"/>
    </xf>
    <xf numFmtId="0" fontId="20" fillId="7" borderId="11" xfId="4" applyFont="1" applyFill="1" applyBorder="1" applyAlignment="1">
      <alignment horizontal="center" vertical="center"/>
    </xf>
    <xf numFmtId="0" fontId="20" fillId="7" borderId="11" xfId="4" quotePrefix="1" applyFont="1" applyFill="1" applyBorder="1" applyAlignment="1">
      <alignment horizontal="center" vertical="center" wrapText="1"/>
    </xf>
    <xf numFmtId="0" fontId="20" fillId="0" borderId="10" xfId="4" applyFont="1" applyFill="1" applyBorder="1" applyAlignment="1">
      <alignment horizontal="left" vertical="center" wrapText="1" indent="2"/>
    </xf>
    <xf numFmtId="2" fontId="20" fillId="0" borderId="10" xfId="4" applyNumberFormat="1" applyFont="1" applyFill="1" applyBorder="1" applyAlignment="1">
      <alignment horizontal="center" vertical="center" wrapText="1"/>
    </xf>
    <xf numFmtId="0" fontId="10" fillId="7" borderId="0" xfId="2" applyFill="1" applyAlignment="1">
      <alignment horizontal="center" vertical="center" wrapText="1"/>
    </xf>
    <xf numFmtId="0" fontId="10" fillId="7" borderId="18" xfId="2" applyFill="1" applyBorder="1" applyAlignment="1">
      <alignment horizontal="center" vertical="center" wrapText="1"/>
    </xf>
    <xf numFmtId="0" fontId="15" fillId="7" borderId="18" xfId="2" applyFont="1" applyFill="1" applyBorder="1" applyAlignment="1">
      <alignment horizontal="center" vertical="center" wrapText="1"/>
    </xf>
    <xf numFmtId="0" fontId="10" fillId="7" borderId="19" xfId="2" applyFill="1" applyBorder="1" applyAlignment="1">
      <alignment horizontal="center" vertical="center" wrapText="1"/>
    </xf>
    <xf numFmtId="0" fontId="10" fillId="7" borderId="33" xfId="2" applyFill="1" applyBorder="1" applyAlignment="1">
      <alignment horizontal="center" vertical="center" wrapText="1"/>
    </xf>
    <xf numFmtId="0" fontId="10" fillId="7" borderId="2" xfId="2" applyFill="1" applyBorder="1" applyAlignment="1">
      <alignment horizontal="center" vertical="center" wrapText="1"/>
    </xf>
    <xf numFmtId="0" fontId="10" fillId="7" borderId="3" xfId="2" applyFill="1" applyBorder="1" applyAlignment="1">
      <alignment horizontal="center" vertical="center" wrapText="1"/>
    </xf>
    <xf numFmtId="0" fontId="10" fillId="7" borderId="10" xfId="5" applyFill="1" applyBorder="1" applyAlignment="1">
      <alignment horizontal="center" vertical="center" wrapText="1"/>
    </xf>
    <xf numFmtId="0" fontId="11" fillId="7" borderId="35" xfId="2" applyFont="1" applyFill="1" applyBorder="1" applyAlignment="1">
      <alignment horizontal="center" vertical="center" wrapText="1"/>
    </xf>
    <xf numFmtId="3" fontId="10" fillId="7" borderId="10" xfId="2" applyNumberFormat="1" applyFill="1" applyBorder="1" applyAlignment="1">
      <alignment horizontal="center" vertical="center" wrapText="1"/>
    </xf>
    <xf numFmtId="0" fontId="16" fillId="7" borderId="38" xfId="6" applyFont="1" applyFill="1" applyBorder="1" applyAlignment="1">
      <alignment horizontal="center" vertical="center"/>
    </xf>
    <xf numFmtId="0" fontId="11" fillId="7" borderId="38" xfId="2" applyFont="1" applyFill="1" applyBorder="1" applyAlignment="1">
      <alignment horizontal="center" vertical="center" wrapText="1"/>
    </xf>
    <xf numFmtId="2" fontId="10" fillId="7" borderId="38" xfId="2" applyNumberFormat="1" applyFill="1" applyBorder="1" applyAlignment="1">
      <alignment horizontal="center" vertical="center" wrapText="1"/>
    </xf>
    <xf numFmtId="0" fontId="10" fillId="7" borderId="38" xfId="2" applyFill="1" applyBorder="1" applyAlignment="1">
      <alignment horizontal="center" vertical="center" wrapText="1"/>
    </xf>
    <xf numFmtId="0" fontId="11" fillId="7" borderId="39" xfId="2" applyFont="1" applyFill="1" applyBorder="1" applyAlignment="1">
      <alignment horizontal="center" vertical="center" wrapText="1"/>
    </xf>
    <xf numFmtId="0" fontId="30" fillId="7" borderId="0" xfId="0" applyFont="1" applyFill="1" applyAlignment="1">
      <alignment horizontal="left" vertical="center"/>
    </xf>
    <xf numFmtId="0" fontId="44" fillId="7" borderId="0" xfId="0" applyFont="1" applyFill="1" applyAlignment="1">
      <alignment horizontal="left" vertical="center"/>
    </xf>
    <xf numFmtId="0" fontId="44" fillId="7" borderId="11" xfId="0" applyFont="1" applyFill="1" applyBorder="1" applyAlignment="1">
      <alignment vertical="center"/>
    </xf>
    <xf numFmtId="0" fontId="31" fillId="7" borderId="12" xfId="0" applyFont="1" applyFill="1" applyBorder="1" applyAlignment="1">
      <alignment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32" fillId="7" borderId="41" xfId="0" applyFont="1" applyFill="1" applyBorder="1" applyAlignment="1">
      <alignment horizontal="center" vertical="center" wrapText="1"/>
    </xf>
    <xf numFmtId="0" fontId="32" fillId="7" borderId="46" xfId="0" applyFont="1" applyFill="1" applyBorder="1" applyAlignment="1">
      <alignment horizontal="center" vertical="center" wrapText="1"/>
    </xf>
    <xf numFmtId="0" fontId="32" fillId="7" borderId="47" xfId="0" applyFont="1" applyFill="1" applyBorder="1" applyAlignment="1">
      <alignment horizontal="center" vertical="center" wrapText="1"/>
    </xf>
    <xf numFmtId="165" fontId="32" fillId="7" borderId="47" xfId="0" applyNumberFormat="1" applyFont="1" applyFill="1" applyBorder="1" applyAlignment="1">
      <alignment horizontal="center" vertical="center" wrapText="1"/>
    </xf>
    <xf numFmtId="0" fontId="38" fillId="7" borderId="47" xfId="0" applyFont="1" applyFill="1" applyBorder="1" applyAlignment="1">
      <alignment horizontal="center" vertical="center" wrapText="1"/>
    </xf>
    <xf numFmtId="0" fontId="0" fillId="7" borderId="48" xfId="0" applyFill="1" applyBorder="1" applyAlignment="1">
      <alignment horizontal="center" vertical="center"/>
    </xf>
    <xf numFmtId="0" fontId="0" fillId="7" borderId="23" xfId="0" applyFill="1" applyBorder="1" applyAlignment="1">
      <alignment horizontal="center" vertical="center"/>
    </xf>
    <xf numFmtId="0" fontId="32" fillId="7" borderId="36" xfId="0" applyFont="1" applyFill="1" applyBorder="1" applyAlignment="1">
      <alignment horizontal="center" vertical="center" wrapText="1"/>
    </xf>
    <xf numFmtId="165" fontId="32" fillId="7" borderId="10" xfId="0" applyNumberFormat="1" applyFont="1" applyFill="1" applyBorder="1" applyAlignment="1">
      <alignment horizontal="center" vertical="center" wrapText="1"/>
    </xf>
    <xf numFmtId="0" fontId="38" fillId="7" borderId="10" xfId="0" applyFont="1" applyFill="1" applyBorder="1" applyAlignment="1">
      <alignment horizontal="center" vertical="center" wrapText="1"/>
    </xf>
    <xf numFmtId="0" fontId="0" fillId="7" borderId="35" xfId="0" applyFill="1" applyBorder="1" applyAlignment="1">
      <alignment horizontal="center" vertical="center"/>
    </xf>
    <xf numFmtId="0" fontId="0" fillId="7" borderId="0" xfId="0" applyFill="1" applyAlignment="1">
      <alignment horizontal="left" vertical="center"/>
    </xf>
    <xf numFmtId="0" fontId="29" fillId="7" borderId="10" xfId="0" applyFont="1" applyFill="1" applyBorder="1" applyAlignment="1">
      <alignment horizontal="center" vertical="center" wrapText="1"/>
    </xf>
    <xf numFmtId="0" fontId="30" fillId="7" borderId="10" xfId="0" applyFont="1" applyFill="1" applyBorder="1" applyAlignment="1">
      <alignment horizontal="center" vertical="center" wrapText="1"/>
    </xf>
    <xf numFmtId="164" fontId="30" fillId="7" borderId="10" xfId="0" applyNumberFormat="1" applyFont="1" applyFill="1" applyBorder="1" applyAlignment="1">
      <alignment horizontal="center" vertical="center" wrapText="1"/>
    </xf>
    <xf numFmtId="164" fontId="0" fillId="7" borderId="10" xfId="0" applyNumberFormat="1" applyFill="1" applyBorder="1" applyAlignment="1">
      <alignment horizontal="center" vertical="center" wrapText="1"/>
    </xf>
    <xf numFmtId="0" fontId="50" fillId="7" borderId="10" xfId="0" applyFont="1" applyFill="1" applyBorder="1" applyAlignment="1">
      <alignment horizontal="center" vertical="center"/>
    </xf>
    <xf numFmtId="2" fontId="50" fillId="7" borderId="10" xfId="0" applyNumberFormat="1" applyFont="1" applyFill="1" applyBorder="1" applyAlignment="1">
      <alignment horizontal="center" vertical="center"/>
    </xf>
    <xf numFmtId="2" fontId="51" fillId="7" borderId="10" xfId="0" applyNumberFormat="1" applyFont="1" applyFill="1" applyBorder="1" applyAlignment="1">
      <alignment horizontal="center" vertical="center"/>
    </xf>
    <xf numFmtId="2" fontId="30" fillId="7" borderId="10" xfId="0" applyNumberFormat="1" applyFont="1" applyFill="1" applyBorder="1" applyAlignment="1">
      <alignment horizontal="center" vertical="center" wrapText="1"/>
    </xf>
    <xf numFmtId="2" fontId="52" fillId="7" borderId="10" xfId="0" applyNumberFormat="1" applyFont="1" applyFill="1" applyBorder="1" applyAlignment="1">
      <alignment horizontal="center" vertical="center"/>
    </xf>
    <xf numFmtId="2" fontId="0" fillId="7" borderId="10" xfId="0" applyNumberFormat="1" applyFill="1" applyBorder="1" applyAlignment="1">
      <alignment horizontal="center" vertical="center"/>
    </xf>
    <xf numFmtId="2" fontId="0" fillId="7" borderId="0" xfId="0" applyNumberFormat="1" applyFill="1" applyAlignment="1">
      <alignment horizontal="center" vertical="center"/>
    </xf>
    <xf numFmtId="0" fontId="3" fillId="7" borderId="0" xfId="0" applyFont="1" applyFill="1" applyAlignment="1">
      <alignment horizontal="left" vertical="center"/>
    </xf>
    <xf numFmtId="0" fontId="0" fillId="7" borderId="41" xfId="0" applyFill="1" applyBorder="1" applyAlignment="1">
      <alignment horizontal="center" vertical="center" wrapText="1"/>
    </xf>
    <xf numFmtId="0" fontId="0" fillId="7" borderId="14" xfId="0" applyFill="1" applyBorder="1" applyAlignment="1">
      <alignment horizontal="left" vertical="center"/>
    </xf>
    <xf numFmtId="0" fontId="39" fillId="7" borderId="23" xfId="0" applyFont="1" applyFill="1" applyBorder="1" applyAlignment="1">
      <alignment horizontal="center" vertical="center" wrapText="1"/>
    </xf>
    <xf numFmtId="2" fontId="37" fillId="7" borderId="10" xfId="0" applyNumberFormat="1" applyFont="1" applyFill="1" applyBorder="1" applyAlignment="1">
      <alignment horizontal="center" vertical="center" wrapText="1"/>
    </xf>
    <xf numFmtId="164" fontId="37" fillId="7" borderId="10" xfId="0" applyNumberFormat="1" applyFont="1" applyFill="1" applyBorder="1" applyAlignment="1">
      <alignment horizontal="center" vertical="center" wrapText="1"/>
    </xf>
    <xf numFmtId="0" fontId="0" fillId="7" borderId="0" xfId="0" applyFill="1" applyAlignment="1">
      <alignment horizontal="center" vertical="center" wrapText="1"/>
    </xf>
    <xf numFmtId="0" fontId="32" fillId="7" borderId="0" xfId="0" applyFont="1" applyFill="1" applyAlignment="1">
      <alignment horizontal="left" vertical="center"/>
    </xf>
    <xf numFmtId="0" fontId="31" fillId="7" borderId="0" xfId="0" applyFont="1" applyFill="1" applyAlignment="1">
      <alignment horizontal="left" vertical="center"/>
    </xf>
    <xf numFmtId="0" fontId="32" fillId="7" borderId="37" xfId="0" applyFont="1" applyFill="1" applyBorder="1" applyAlignment="1">
      <alignment horizontal="center" vertical="center" wrapText="1"/>
    </xf>
    <xf numFmtId="0" fontId="32" fillId="7" borderId="38" xfId="0" applyFont="1" applyFill="1" applyBorder="1" applyAlignment="1">
      <alignment horizontal="center" vertical="center" wrapText="1"/>
    </xf>
    <xf numFmtId="165" fontId="32" fillId="7" borderId="38" xfId="0" applyNumberFormat="1" applyFont="1" applyFill="1" applyBorder="1" applyAlignment="1">
      <alignment horizontal="center" vertical="center" wrapText="1"/>
    </xf>
    <xf numFmtId="0" fontId="38" fillId="7" borderId="38" xfId="0" applyFont="1" applyFill="1" applyBorder="1" applyAlignment="1">
      <alignment horizontal="center" vertical="center" wrapText="1"/>
    </xf>
    <xf numFmtId="0" fontId="0" fillId="7" borderId="39" xfId="0" applyFill="1" applyBorder="1" applyAlignment="1">
      <alignment horizontal="center" vertical="center"/>
    </xf>
    <xf numFmtId="0" fontId="48" fillId="7" borderId="23" xfId="0" applyFont="1" applyFill="1" applyBorder="1" applyAlignment="1">
      <alignment horizontal="center" vertical="center" wrapText="1"/>
    </xf>
    <xf numFmtId="0" fontId="32" fillId="7" borderId="23" xfId="0" applyFont="1" applyFill="1" applyBorder="1" applyAlignment="1">
      <alignment horizontal="center" vertical="center" wrapText="1"/>
    </xf>
    <xf numFmtId="0" fontId="48" fillId="7" borderId="10" xfId="0" applyFont="1" applyFill="1" applyBorder="1" applyAlignment="1">
      <alignment horizontal="center" vertical="center" wrapText="1"/>
    </xf>
    <xf numFmtId="0" fontId="33" fillId="7" borderId="10" xfId="0" applyFont="1" applyFill="1" applyBorder="1" applyAlignment="1">
      <alignment horizontal="center" vertical="center" wrapText="1"/>
    </xf>
    <xf numFmtId="0" fontId="49" fillId="7" borderId="10" xfId="0" applyFont="1" applyFill="1" applyBorder="1" applyAlignment="1">
      <alignment horizontal="center" vertical="center" wrapText="1"/>
    </xf>
    <xf numFmtId="0" fontId="0" fillId="7" borderId="10" xfId="0" applyFill="1" applyBorder="1" applyAlignment="1">
      <alignment horizontal="center" vertical="center" wrapText="1"/>
    </xf>
    <xf numFmtId="0" fontId="33" fillId="7" borderId="23" xfId="0" applyFont="1" applyFill="1" applyBorder="1" applyAlignment="1">
      <alignment horizontal="center" vertical="center" wrapText="1"/>
    </xf>
    <xf numFmtId="0" fontId="50" fillId="7" borderId="0" xfId="0" applyFont="1" applyFill="1" applyAlignment="1">
      <alignment horizontal="left" vertical="center"/>
    </xf>
    <xf numFmtId="0" fontId="50" fillId="0" borderId="0" xfId="0" applyFont="1" applyAlignment="1">
      <alignment horizontal="left" vertical="center"/>
    </xf>
    <xf numFmtId="0" fontId="41" fillId="7" borderId="0" xfId="0" applyFont="1" applyFill="1" applyAlignment="1">
      <alignment horizontal="left" vertical="center"/>
    </xf>
    <xf numFmtId="0" fontId="0" fillId="7" borderId="57" xfId="0" applyFill="1" applyBorder="1" applyAlignment="1">
      <alignment horizontal="center" vertical="center"/>
    </xf>
    <xf numFmtId="0" fontId="0" fillId="7" borderId="58" xfId="0" applyFill="1" applyBorder="1" applyAlignment="1">
      <alignment horizontal="center" vertical="center"/>
    </xf>
    <xf numFmtId="0" fontId="0" fillId="7" borderId="58" xfId="0" applyFill="1" applyBorder="1" applyAlignment="1">
      <alignment horizontal="right" vertical="center"/>
    </xf>
    <xf numFmtId="0" fontId="0" fillId="7" borderId="59" xfId="0" applyFill="1" applyBorder="1" applyAlignment="1">
      <alignment horizontal="center" vertical="center"/>
    </xf>
    <xf numFmtId="0" fontId="0" fillId="7" borderId="60" xfId="0" applyFill="1" applyBorder="1" applyAlignment="1">
      <alignment horizontal="right" vertical="center"/>
    </xf>
    <xf numFmtId="0" fontId="0" fillId="7" borderId="61" xfId="0" applyFill="1" applyBorder="1" applyAlignment="1">
      <alignment horizontal="center" vertical="center"/>
    </xf>
    <xf numFmtId="0" fontId="0" fillId="7" borderId="62" xfId="0" applyFill="1" applyBorder="1" applyAlignment="1">
      <alignment horizontal="right" vertical="center"/>
    </xf>
    <xf numFmtId="0" fontId="0" fillId="7" borderId="100" xfId="0" applyFill="1" applyBorder="1" applyAlignment="1">
      <alignment horizontal="center" vertical="center"/>
    </xf>
    <xf numFmtId="0" fontId="0" fillId="7" borderId="98" xfId="0" applyFill="1" applyBorder="1" applyAlignment="1">
      <alignment horizontal="center" vertical="center"/>
    </xf>
    <xf numFmtId="0" fontId="0" fillId="7" borderId="99" xfId="0" applyFill="1" applyBorder="1" applyAlignment="1">
      <alignment horizontal="center" vertical="center"/>
    </xf>
    <xf numFmtId="2" fontId="0" fillId="7" borderId="78" xfId="0" applyNumberFormat="1" applyFill="1" applyBorder="1" applyAlignment="1">
      <alignment horizontal="center" vertical="center"/>
    </xf>
    <xf numFmtId="2" fontId="0" fillId="7" borderId="72" xfId="0" applyNumberFormat="1" applyFill="1" applyBorder="1" applyAlignment="1">
      <alignment horizontal="center" vertical="center"/>
    </xf>
    <xf numFmtId="2" fontId="0" fillId="7" borderId="73" xfId="0" applyNumberFormat="1" applyFill="1" applyBorder="1" applyAlignment="1">
      <alignment horizontal="center" vertical="center"/>
    </xf>
    <xf numFmtId="164" fontId="0" fillId="7" borderId="78" xfId="0" applyNumberFormat="1" applyFill="1" applyBorder="1" applyAlignment="1">
      <alignment horizontal="center" vertical="center"/>
    </xf>
    <xf numFmtId="164" fontId="0" fillId="7" borderId="72" xfId="0" applyNumberFormat="1" applyFill="1" applyBorder="1" applyAlignment="1">
      <alignment horizontal="center" vertical="center"/>
    </xf>
    <xf numFmtId="164" fontId="0" fillId="7" borderId="73" xfId="0" applyNumberFormat="1" applyFill="1" applyBorder="1" applyAlignment="1">
      <alignment horizontal="center" vertical="center"/>
    </xf>
    <xf numFmtId="0" fontId="0" fillId="7" borderId="78" xfId="0" applyFill="1" applyBorder="1" applyAlignment="1">
      <alignment horizontal="center" vertical="center"/>
    </xf>
    <xf numFmtId="0" fontId="0" fillId="7" borderId="72" xfId="0" applyFill="1" applyBorder="1" applyAlignment="1">
      <alignment horizontal="center" vertical="center"/>
    </xf>
    <xf numFmtId="0" fontId="0" fillId="7" borderId="73" xfId="0" applyFill="1" applyBorder="1" applyAlignment="1">
      <alignment horizontal="center" vertical="center"/>
    </xf>
    <xf numFmtId="0" fontId="0" fillId="7" borderId="79" xfId="0" applyFill="1" applyBorder="1" applyAlignment="1">
      <alignment horizontal="center" vertical="center"/>
    </xf>
    <xf numFmtId="0" fontId="0" fillId="7" borderId="74" xfId="0" applyFill="1" applyBorder="1" applyAlignment="1">
      <alignment horizontal="center" vertical="center"/>
    </xf>
    <xf numFmtId="0" fontId="0" fillId="7" borderId="75" xfId="0" applyFill="1" applyBorder="1" applyAlignment="1">
      <alignment horizontal="center" vertical="center"/>
    </xf>
    <xf numFmtId="0" fontId="0" fillId="7" borderId="55" xfId="0" applyFill="1" applyBorder="1" applyAlignment="1">
      <alignment horizontal="center" vertical="center"/>
    </xf>
    <xf numFmtId="0" fontId="0" fillId="7" borderId="40" xfId="0" applyFill="1" applyBorder="1" applyAlignment="1">
      <alignment horizontal="left" vertical="center"/>
    </xf>
    <xf numFmtId="0" fontId="0" fillId="7" borderId="56" xfId="0" applyFill="1" applyBorder="1" applyAlignment="1">
      <alignment horizontal="center" vertical="center"/>
    </xf>
    <xf numFmtId="0" fontId="0" fillId="7" borderId="9" xfId="0" applyFill="1" applyBorder="1" applyAlignment="1">
      <alignment horizontal="center" vertical="center"/>
    </xf>
    <xf numFmtId="0" fontId="0" fillId="7" borderId="66" xfId="0" applyFill="1" applyBorder="1" applyAlignment="1">
      <alignment horizontal="center" vertical="center"/>
    </xf>
    <xf numFmtId="0" fontId="0" fillId="7" borderId="67" xfId="0" applyFill="1" applyBorder="1" applyAlignment="1">
      <alignment horizontal="center" vertical="center"/>
    </xf>
    <xf numFmtId="0" fontId="0" fillId="7" borderId="65" xfId="0" applyFill="1" applyBorder="1" applyAlignment="1">
      <alignment horizontal="left" vertical="center"/>
    </xf>
    <xf numFmtId="0" fontId="0" fillId="7" borderId="68" xfId="0" applyFill="1" applyBorder="1" applyAlignment="1">
      <alignment horizontal="center" vertical="center"/>
    </xf>
    <xf numFmtId="0" fontId="0" fillId="7" borderId="40" xfId="0" applyFill="1" applyBorder="1" applyAlignment="1">
      <alignment horizontal="right" vertical="center"/>
    </xf>
    <xf numFmtId="0" fontId="0" fillId="7" borderId="0" xfId="0" applyFill="1" applyAlignment="1">
      <alignment horizontal="right" vertical="center"/>
    </xf>
    <xf numFmtId="0" fontId="0" fillId="7" borderId="65" xfId="0" applyFill="1" applyBorder="1" applyAlignment="1">
      <alignment horizontal="center" vertical="center"/>
    </xf>
    <xf numFmtId="0" fontId="0" fillId="7" borderId="65" xfId="0" applyFill="1" applyBorder="1" applyAlignment="1">
      <alignment horizontal="right" vertical="center"/>
    </xf>
    <xf numFmtId="0" fontId="33" fillId="7" borderId="46" xfId="0" applyFont="1" applyFill="1" applyBorder="1" applyAlignment="1">
      <alignment horizontal="center" vertical="center" wrapText="1"/>
    </xf>
    <xf numFmtId="0" fontId="32" fillId="7" borderId="48" xfId="0" applyFont="1" applyFill="1" applyBorder="1" applyAlignment="1">
      <alignment horizontal="center" vertical="center" wrapText="1"/>
    </xf>
    <xf numFmtId="0" fontId="33" fillId="7" borderId="96" xfId="0" applyFont="1" applyFill="1" applyBorder="1" applyAlignment="1">
      <alignment horizontal="center" vertical="center" wrapText="1"/>
    </xf>
    <xf numFmtId="0" fontId="32" fillId="7" borderId="97" xfId="0" applyFont="1" applyFill="1" applyBorder="1" applyAlignment="1">
      <alignment horizontal="center" vertical="center" wrapText="1"/>
    </xf>
    <xf numFmtId="0" fontId="33" fillId="7" borderId="36" xfId="0" applyFont="1" applyFill="1" applyBorder="1" applyAlignment="1">
      <alignment horizontal="center" vertical="center" wrapText="1"/>
    </xf>
    <xf numFmtId="0" fontId="32" fillId="7" borderId="35" xfId="0" applyFont="1" applyFill="1" applyBorder="1" applyAlignment="1">
      <alignment horizontal="center" vertical="center" wrapText="1"/>
    </xf>
    <xf numFmtId="0" fontId="33" fillId="7" borderId="37" xfId="0" applyFont="1" applyFill="1" applyBorder="1" applyAlignment="1">
      <alignment horizontal="center" vertical="center" wrapText="1"/>
    </xf>
    <xf numFmtId="0" fontId="33" fillId="7" borderId="0" xfId="0" applyFont="1" applyFill="1" applyAlignment="1">
      <alignment horizontal="center" vertical="center" wrapText="1"/>
    </xf>
    <xf numFmtId="0" fontId="31" fillId="7" borderId="10" xfId="0" applyFont="1" applyFill="1" applyBorder="1" applyAlignment="1">
      <alignment horizontal="center" vertical="center" wrapText="1"/>
    </xf>
    <xf numFmtId="0" fontId="34" fillId="7" borderId="10" xfId="0" applyFont="1" applyFill="1" applyBorder="1" applyAlignment="1">
      <alignment horizontal="center" vertical="center" wrapText="1"/>
    </xf>
    <xf numFmtId="0" fontId="0" fillId="7" borderId="44" xfId="0" applyFill="1" applyBorder="1" applyAlignment="1">
      <alignment horizontal="center" vertical="center"/>
    </xf>
    <xf numFmtId="0" fontId="0" fillId="7" borderId="63" xfId="0" applyFill="1" applyBorder="1" applyAlignment="1">
      <alignment horizontal="center" vertical="center"/>
    </xf>
    <xf numFmtId="168" fontId="10" fillId="7" borderId="10" xfId="2" applyNumberFormat="1" applyFill="1" applyBorder="1" applyAlignment="1">
      <alignment horizontal="center" vertical="center" wrapText="1"/>
    </xf>
    <xf numFmtId="0" fontId="55" fillId="0" borderId="0" xfId="12" applyFont="1" applyAlignment="1">
      <alignment vertical="top" wrapText="1"/>
    </xf>
    <xf numFmtId="0" fontId="55" fillId="0" borderId="0" xfId="12" applyFont="1" applyAlignment="1">
      <alignment horizontal="left" vertical="top"/>
    </xf>
    <xf numFmtId="0" fontId="55" fillId="0" borderId="0" xfId="12" applyFont="1"/>
    <xf numFmtId="0" fontId="56" fillId="14" borderId="1" xfId="12" applyFont="1" applyFill="1" applyBorder="1" applyAlignment="1">
      <alignment vertical="top"/>
    </xf>
    <xf numFmtId="0" fontId="56" fillId="14" borderId="3" xfId="12" applyFont="1" applyFill="1" applyBorder="1" applyAlignment="1">
      <alignment vertical="top"/>
    </xf>
    <xf numFmtId="0" fontId="57" fillId="0" borderId="36" xfId="12" applyFont="1" applyBorder="1" applyAlignment="1">
      <alignment horizontal="left" vertical="top"/>
    </xf>
    <xf numFmtId="0" fontId="57" fillId="0" borderId="101" xfId="12" applyFont="1" applyBorder="1"/>
    <xf numFmtId="0" fontId="58" fillId="0" borderId="4" xfId="12" applyFont="1" applyBorder="1" applyAlignment="1">
      <alignment vertical="top" wrapText="1"/>
    </xf>
    <xf numFmtId="0" fontId="59" fillId="0" borderId="5" xfId="12" applyFont="1" applyBorder="1" applyAlignment="1">
      <alignment horizontal="left" vertical="top"/>
    </xf>
    <xf numFmtId="0" fontId="59" fillId="0" borderId="36" xfId="12" applyFont="1" applyBorder="1" applyAlignment="1">
      <alignment vertical="top" wrapText="1"/>
    </xf>
    <xf numFmtId="0" fontId="60" fillId="11" borderId="35" xfId="12" applyFont="1" applyFill="1" applyBorder="1" applyAlignment="1">
      <alignment horizontal="left" vertical="top" wrapText="1"/>
    </xf>
    <xf numFmtId="0" fontId="59" fillId="0" borderId="4" xfId="12" applyFont="1" applyBorder="1" applyAlignment="1">
      <alignment vertical="top" wrapText="1"/>
    </xf>
    <xf numFmtId="0" fontId="59" fillId="0" borderId="5" xfId="12" applyFont="1" applyBorder="1" applyAlignment="1">
      <alignment horizontal="left" vertical="top" wrapText="1"/>
    </xf>
    <xf numFmtId="0" fontId="59" fillId="0" borderId="102" xfId="12" applyFont="1" applyBorder="1" applyAlignment="1">
      <alignment vertical="top" wrapText="1"/>
    </xf>
    <xf numFmtId="0" fontId="61" fillId="11" borderId="103" xfId="12" applyFont="1" applyFill="1" applyBorder="1" applyAlignment="1">
      <alignment horizontal="left" vertical="top"/>
    </xf>
    <xf numFmtId="0" fontId="59" fillId="0" borderId="96" xfId="12" applyFont="1" applyBorder="1" applyAlignment="1">
      <alignment vertical="top" wrapText="1"/>
    </xf>
    <xf numFmtId="0" fontId="61" fillId="11" borderId="97" xfId="12" applyFont="1" applyFill="1" applyBorder="1" applyAlignment="1">
      <alignment horizontal="left" vertical="top"/>
    </xf>
    <xf numFmtId="0" fontId="55" fillId="0" borderId="5" xfId="12" applyFont="1" applyBorder="1" applyAlignment="1">
      <alignment horizontal="left" vertical="top"/>
    </xf>
    <xf numFmtId="0" fontId="59" fillId="11" borderId="35" xfId="12" applyFont="1" applyFill="1" applyBorder="1" applyAlignment="1">
      <alignment horizontal="left" vertical="top" wrapText="1"/>
    </xf>
    <xf numFmtId="0" fontId="55" fillId="0" borderId="4" xfId="12" applyFont="1" applyBorder="1" applyAlignment="1">
      <alignment vertical="top" wrapText="1"/>
    </xf>
    <xf numFmtId="14" fontId="61" fillId="11" borderId="101" xfId="12" quotePrefix="1" applyNumberFormat="1" applyFont="1" applyFill="1" applyBorder="1" applyAlignment="1">
      <alignment horizontal="left" vertical="top"/>
    </xf>
    <xf numFmtId="14" fontId="62" fillId="11" borderId="101" xfId="12" quotePrefix="1" applyNumberFormat="1" applyFont="1" applyFill="1" applyBorder="1" applyAlignment="1">
      <alignment horizontal="left" vertical="top"/>
    </xf>
    <xf numFmtId="14" fontId="55" fillId="0" borderId="5" xfId="12" quotePrefix="1" applyNumberFormat="1" applyFont="1" applyBorder="1" applyAlignment="1">
      <alignment horizontal="left" vertical="top"/>
    </xf>
    <xf numFmtId="0" fontId="59" fillId="0" borderId="37" xfId="12" applyFont="1" applyBorder="1" applyAlignment="1">
      <alignment vertical="top" wrapText="1"/>
    </xf>
    <xf numFmtId="14" fontId="55" fillId="0" borderId="39" xfId="12" quotePrefix="1" applyNumberFormat="1" applyFont="1" applyBorder="1" applyAlignment="1">
      <alignment horizontal="left" vertical="top"/>
    </xf>
    <xf numFmtId="0" fontId="56" fillId="14" borderId="14" xfId="12" applyFont="1" applyFill="1" applyBorder="1" applyAlignment="1">
      <alignment horizontal="left" vertical="top"/>
    </xf>
    <xf numFmtId="0" fontId="56" fillId="14" borderId="16" xfId="12" applyFont="1" applyFill="1" applyBorder="1" applyAlignment="1">
      <alignment horizontal="left" vertical="top"/>
    </xf>
    <xf numFmtId="0" fontId="59" fillId="0" borderId="0" xfId="12" applyFont="1" applyAlignment="1">
      <alignment vertical="top"/>
    </xf>
    <xf numFmtId="0" fontId="59" fillId="0" borderId="50" xfId="12" applyFont="1" applyBorder="1" applyAlignment="1">
      <alignment vertical="top" wrapText="1"/>
    </xf>
    <xf numFmtId="0" fontId="55" fillId="0" borderId="48" xfId="12" applyFont="1" applyBorder="1" applyAlignment="1">
      <alignment horizontal="left" vertical="top" wrapText="1"/>
    </xf>
    <xf numFmtId="0" fontId="55" fillId="0" borderId="53" xfId="12" applyFont="1" applyBorder="1" applyAlignment="1">
      <alignment vertical="top" wrapText="1"/>
    </xf>
    <xf numFmtId="0" fontId="55" fillId="0" borderId="39" xfId="12" applyFont="1" applyBorder="1" applyAlignment="1">
      <alignment horizontal="left" vertical="top"/>
    </xf>
    <xf numFmtId="0" fontId="55" fillId="0" borderId="104" xfId="12" applyFont="1" applyBorder="1" applyAlignment="1">
      <alignment vertical="top" wrapText="1"/>
    </xf>
    <xf numFmtId="0" fontId="55" fillId="0" borderId="35" xfId="12" applyFont="1" applyBorder="1" applyAlignment="1">
      <alignment horizontal="left" vertical="top" wrapText="1"/>
    </xf>
    <xf numFmtId="0" fontId="55" fillId="0" borderId="39" xfId="12" applyFont="1" applyBorder="1" applyAlignment="1">
      <alignment horizontal="left" vertical="top" wrapText="1"/>
    </xf>
    <xf numFmtId="0" fontId="55" fillId="0" borderId="48" xfId="12" applyFont="1" applyBorder="1" applyAlignment="1">
      <alignment wrapText="1"/>
    </xf>
    <xf numFmtId="0" fontId="59" fillId="0" borderId="104" xfId="12" applyFont="1" applyBorder="1" applyAlignment="1">
      <alignment vertical="top" wrapText="1"/>
    </xf>
    <xf numFmtId="0" fontId="55" fillId="0" borderId="0" xfId="12" applyFont="1" applyAlignment="1">
      <alignment horizontal="left" vertical="top" wrapText="1"/>
    </xf>
    <xf numFmtId="0" fontId="59" fillId="0" borderId="17" xfId="12" applyFont="1" applyBorder="1" applyAlignment="1">
      <alignment vertical="top" wrapText="1"/>
    </xf>
    <xf numFmtId="0" fontId="55" fillId="0" borderId="19" xfId="12" applyFont="1" applyBorder="1" applyAlignment="1">
      <alignment horizontal="left" vertical="top" wrapText="1"/>
    </xf>
    <xf numFmtId="0" fontId="59" fillId="0" borderId="0" xfId="12" applyFont="1" applyAlignment="1">
      <alignment vertical="top" wrapText="1"/>
    </xf>
    <xf numFmtId="0" fontId="63" fillId="0" borderId="19" xfId="13" applyFill="1" applyBorder="1" applyAlignment="1">
      <alignment horizontal="left" vertical="top" wrapText="1"/>
    </xf>
    <xf numFmtId="0" fontId="59" fillId="0" borderId="0" xfId="12" applyFont="1" applyAlignment="1">
      <alignment horizontal="left" vertical="top"/>
    </xf>
    <xf numFmtId="0" fontId="55" fillId="0" borderId="103" xfId="12" applyFont="1" applyBorder="1" applyAlignment="1">
      <alignment wrapText="1"/>
    </xf>
    <xf numFmtId="0" fontId="55" fillId="0" borderId="53" xfId="12" applyFont="1" applyBorder="1"/>
    <xf numFmtId="0" fontId="63" fillId="0" borderId="54" xfId="13" applyBorder="1"/>
    <xf numFmtId="0" fontId="55" fillId="0" borderId="0" xfId="12" applyFont="1" applyAlignment="1">
      <alignment vertical="center" wrapText="1"/>
    </xf>
    <xf numFmtId="0" fontId="65" fillId="0" borderId="0" xfId="14" applyFont="1" applyAlignment="1">
      <alignment vertical="center" wrapText="1"/>
    </xf>
    <xf numFmtId="0" fontId="65" fillId="7" borderId="0" xfId="14" applyFont="1" applyFill="1" applyAlignment="1">
      <alignment vertical="center"/>
    </xf>
    <xf numFmtId="0" fontId="65" fillId="0" borderId="0" xfId="14" applyFont="1" applyAlignment="1">
      <alignment vertical="center"/>
    </xf>
    <xf numFmtId="0" fontId="64" fillId="7" borderId="0" xfId="14" applyFont="1" applyFill="1" applyAlignment="1">
      <alignment vertical="center"/>
    </xf>
    <xf numFmtId="0" fontId="65" fillId="7" borderId="0" xfId="14" applyFont="1" applyFill="1" applyAlignment="1">
      <alignment vertical="center" wrapText="1"/>
    </xf>
    <xf numFmtId="0" fontId="64" fillId="7" borderId="0" xfId="14" quotePrefix="1" applyFont="1" applyFill="1" applyAlignment="1">
      <alignment vertical="center"/>
    </xf>
    <xf numFmtId="0" fontId="67" fillId="7" borderId="0" xfId="15" applyFont="1" applyFill="1" applyAlignment="1">
      <alignment vertical="center"/>
    </xf>
    <xf numFmtId="0" fontId="69" fillId="2" borderId="1" xfId="14" applyFont="1" applyFill="1" applyBorder="1" applyAlignment="1">
      <alignment vertical="center"/>
    </xf>
    <xf numFmtId="0" fontId="69" fillId="7" borderId="3" xfId="14" applyFont="1" applyFill="1" applyBorder="1" applyAlignment="1">
      <alignment vertical="center"/>
    </xf>
    <xf numFmtId="0" fontId="64" fillId="0" borderId="0" xfId="14" applyFont="1" applyAlignment="1">
      <alignment vertical="center"/>
    </xf>
    <xf numFmtId="0" fontId="55" fillId="7" borderId="4" xfId="14" applyFont="1" applyFill="1" applyBorder="1" applyAlignment="1">
      <alignment vertical="center"/>
    </xf>
    <xf numFmtId="0" fontId="55" fillId="7" borderId="5" xfId="14" applyFont="1" applyFill="1" applyBorder="1" applyAlignment="1">
      <alignment vertical="center"/>
    </xf>
    <xf numFmtId="0" fontId="58" fillId="7" borderId="4" xfId="14" applyFont="1" applyFill="1" applyBorder="1" applyAlignment="1">
      <alignment vertical="center"/>
    </xf>
    <xf numFmtId="0" fontId="58" fillId="7" borderId="5" xfId="14" applyFont="1" applyFill="1" applyBorder="1" applyAlignment="1">
      <alignment vertical="center"/>
    </xf>
    <xf numFmtId="0" fontId="68" fillId="7" borderId="4" xfId="14" applyFont="1" applyFill="1" applyBorder="1" applyAlignment="1">
      <alignment vertical="center"/>
    </xf>
    <xf numFmtId="0" fontId="68" fillId="7" borderId="5" xfId="14" applyFont="1" applyFill="1" applyBorder="1" applyAlignment="1">
      <alignment vertical="center"/>
    </xf>
    <xf numFmtId="0" fontId="70" fillId="7" borderId="6" xfId="14" applyFont="1" applyFill="1" applyBorder="1" applyAlignment="1">
      <alignment vertical="center"/>
    </xf>
    <xf numFmtId="0" fontId="70" fillId="7" borderId="8" xfId="14" applyFont="1" applyFill="1" applyBorder="1" applyAlignment="1">
      <alignment vertical="center"/>
    </xf>
    <xf numFmtId="0" fontId="64" fillId="7" borderId="0" xfId="15" applyFont="1" applyFill="1" applyAlignment="1">
      <alignment vertical="center"/>
    </xf>
    <xf numFmtId="0" fontId="65" fillId="7" borderId="0" xfId="14" quotePrefix="1" applyFont="1" applyFill="1" applyAlignment="1">
      <alignment vertical="center"/>
    </xf>
    <xf numFmtId="0" fontId="64" fillId="7" borderId="0" xfId="15" applyFont="1" applyFill="1" applyAlignment="1">
      <alignment vertical="center" wrapText="1"/>
    </xf>
    <xf numFmtId="0" fontId="65" fillId="7" borderId="0" xfId="15" applyFont="1" applyFill="1" applyAlignment="1">
      <alignment vertical="center"/>
    </xf>
    <xf numFmtId="0" fontId="64" fillId="14" borderId="1" xfId="14" quotePrefix="1" applyFont="1" applyFill="1" applyBorder="1" applyAlignment="1">
      <alignment vertical="center"/>
    </xf>
    <xf numFmtId="0" fontId="64" fillId="14" borderId="2" xfId="14" applyFont="1" applyFill="1" applyBorder="1" applyAlignment="1">
      <alignment vertical="center"/>
    </xf>
    <xf numFmtId="0" fontId="64" fillId="14" borderId="3" xfId="14" applyFont="1" applyFill="1" applyBorder="1" applyAlignment="1">
      <alignment vertical="center"/>
    </xf>
    <xf numFmtId="0" fontId="59" fillId="0" borderId="36" xfId="12" applyFont="1" applyBorder="1" applyAlignment="1">
      <alignment horizontal="center" vertical="center" wrapText="1"/>
    </xf>
    <xf numFmtId="0" fontId="59" fillId="0" borderId="10" xfId="12" applyFont="1" applyBorder="1" applyAlignment="1">
      <alignment horizontal="center" vertical="center" wrapText="1"/>
    </xf>
    <xf numFmtId="0" fontId="59" fillId="0" borderId="35" xfId="12" applyFont="1" applyBorder="1" applyAlignment="1">
      <alignment horizontal="center" vertical="center" wrapText="1"/>
    </xf>
    <xf numFmtId="0" fontId="68" fillId="7" borderId="0" xfId="14" quotePrefix="1" applyFont="1" applyFill="1" applyAlignment="1">
      <alignment vertical="center" wrapText="1"/>
    </xf>
    <xf numFmtId="0" fontId="55" fillId="15" borderId="36" xfId="12" applyFont="1" applyFill="1" applyBorder="1" applyAlignment="1">
      <alignment horizontal="right" vertical="center" wrapText="1"/>
    </xf>
    <xf numFmtId="0" fontId="55" fillId="15" borderId="10" xfId="12" applyFont="1" applyFill="1" applyBorder="1" applyAlignment="1">
      <alignment horizontal="left" vertical="center" wrapText="1"/>
    </xf>
    <xf numFmtId="0" fontId="55" fillId="15" borderId="35" xfId="12" applyFont="1" applyFill="1" applyBorder="1" applyAlignment="1">
      <alignment vertical="center" wrapText="1"/>
    </xf>
    <xf numFmtId="0" fontId="68" fillId="7" borderId="0" xfId="12" applyFont="1" applyFill="1" applyAlignment="1">
      <alignment vertical="center" wrapText="1"/>
    </xf>
    <xf numFmtId="0" fontId="55" fillId="16" borderId="36" xfId="12" applyFont="1" applyFill="1" applyBorder="1" applyAlignment="1">
      <alignment horizontal="right" vertical="center" wrapText="1"/>
    </xf>
    <xf numFmtId="0" fontId="55" fillId="16" borderId="10" xfId="12" applyFont="1" applyFill="1" applyBorder="1" applyAlignment="1">
      <alignment horizontal="left" vertical="center" wrapText="1"/>
    </xf>
    <xf numFmtId="0" fontId="55" fillId="16" borderId="35" xfId="12" applyFont="1" applyFill="1" applyBorder="1" applyAlignment="1">
      <alignment vertical="center" wrapText="1"/>
    </xf>
    <xf numFmtId="0" fontId="55" fillId="7" borderId="0" xfId="12" applyFont="1" applyFill="1" applyAlignment="1">
      <alignment vertical="center" wrapText="1"/>
    </xf>
    <xf numFmtId="0" fontId="55" fillId="13" borderId="37" xfId="12" applyFont="1" applyFill="1" applyBorder="1" applyAlignment="1">
      <alignment horizontal="right" vertical="center" wrapText="1"/>
    </xf>
    <xf numFmtId="0" fontId="64" fillId="7" borderId="10" xfId="14" applyFont="1" applyFill="1" applyBorder="1" applyAlignment="1">
      <alignment vertical="center"/>
    </xf>
    <xf numFmtId="0" fontId="64" fillId="7" borderId="10" xfId="14" applyFont="1" applyFill="1" applyBorder="1" applyAlignment="1">
      <alignment vertical="center" wrapText="1"/>
    </xf>
    <xf numFmtId="0" fontId="65" fillId="7" borderId="10" xfId="14" applyFont="1" applyFill="1" applyBorder="1" applyAlignment="1">
      <alignment vertical="center"/>
    </xf>
    <xf numFmtId="0" fontId="65" fillId="7" borderId="10" xfId="14" applyFont="1" applyFill="1" applyBorder="1" applyAlignment="1">
      <alignment vertical="center" wrapText="1"/>
    </xf>
    <xf numFmtId="0" fontId="65" fillId="7" borderId="27" xfId="14" applyFont="1" applyFill="1" applyBorder="1" applyAlignment="1">
      <alignment vertical="center"/>
    </xf>
    <xf numFmtId="0" fontId="65" fillId="7" borderId="10" xfId="14" quotePrefix="1" applyFont="1" applyFill="1" applyBorder="1" applyAlignment="1">
      <alignment vertical="center"/>
    </xf>
    <xf numFmtId="0" fontId="65" fillId="7" borderId="10" xfId="14" quotePrefix="1" applyFont="1" applyFill="1" applyBorder="1" applyAlignment="1">
      <alignment vertical="center" wrapText="1"/>
    </xf>
    <xf numFmtId="0" fontId="65" fillId="7" borderId="40" xfId="14" applyFont="1" applyFill="1" applyBorder="1" applyAlignment="1">
      <alignment vertical="center"/>
    </xf>
    <xf numFmtId="0" fontId="65" fillId="7" borderId="40" xfId="14" quotePrefix="1" applyFont="1" applyFill="1" applyBorder="1" applyAlignment="1">
      <alignment vertical="center" wrapText="1"/>
    </xf>
    <xf numFmtId="0" fontId="65" fillId="7" borderId="0" xfId="14" quotePrefix="1" applyFont="1" applyFill="1" applyAlignment="1">
      <alignment vertical="center" wrapText="1"/>
    </xf>
    <xf numFmtId="0" fontId="65" fillId="7" borderId="65" xfId="14" applyFont="1" applyFill="1" applyBorder="1" applyAlignment="1">
      <alignment vertical="center"/>
    </xf>
    <xf numFmtId="0" fontId="65" fillId="7" borderId="65" xfId="14" quotePrefix="1" applyFont="1" applyFill="1" applyBorder="1" applyAlignment="1">
      <alignment vertical="center" wrapText="1"/>
    </xf>
    <xf numFmtId="0" fontId="54" fillId="2" borderId="0" xfId="11" applyFill="1" applyAlignment="1">
      <alignment vertical="center"/>
    </xf>
    <xf numFmtId="0" fontId="65" fillId="2" borderId="0" xfId="14" applyFont="1" applyFill="1" applyAlignment="1">
      <alignment vertical="center" wrapText="1"/>
    </xf>
    <xf numFmtId="0" fontId="55" fillId="13" borderId="38" xfId="12" applyFont="1" applyFill="1" applyBorder="1" applyAlignment="1">
      <alignment horizontal="left" vertical="center" wrapText="1"/>
    </xf>
    <xf numFmtId="0" fontId="55" fillId="13" borderId="39" xfId="12" applyFont="1" applyFill="1" applyBorder="1" applyAlignment="1">
      <alignment vertical="center" wrapText="1"/>
    </xf>
    <xf numFmtId="0" fontId="27" fillId="7" borderId="13" xfId="5" applyFont="1" applyFill="1" applyBorder="1" applyAlignment="1">
      <alignment horizontal="left" vertical="center" wrapText="1"/>
    </xf>
    <xf numFmtId="0" fontId="20" fillId="0" borderId="10" xfId="3" applyFont="1" applyFill="1" applyBorder="1" applyAlignment="1">
      <alignment horizontal="left" indent="2"/>
    </xf>
    <xf numFmtId="2" fontId="10" fillId="2" borderId="10" xfId="2" applyNumberFormat="1" applyFill="1" applyBorder="1" applyAlignment="1">
      <alignment horizontal="center" vertical="center" wrapText="1"/>
    </xf>
    <xf numFmtId="0" fontId="10" fillId="7" borderId="10" xfId="2" applyFill="1" applyBorder="1" applyAlignment="1">
      <alignment wrapText="1"/>
    </xf>
    <xf numFmtId="0" fontId="14" fillId="7" borderId="13" xfId="5" applyFont="1" applyFill="1" applyBorder="1" applyAlignment="1">
      <alignment horizontal="left" vertical="center" wrapText="1"/>
    </xf>
    <xf numFmtId="0" fontId="16" fillId="7" borderId="27" xfId="6" applyFont="1" applyFill="1" applyBorder="1" applyAlignment="1">
      <alignment horizontal="center" vertical="center"/>
    </xf>
    <xf numFmtId="0" fontId="10" fillId="7" borderId="95" xfId="5" applyFill="1" applyBorder="1" applyAlignment="1">
      <alignment horizontal="left" vertical="center" wrapText="1" indent="1"/>
    </xf>
    <xf numFmtId="0" fontId="16" fillId="7" borderId="95" xfId="6" applyFont="1" applyFill="1" applyBorder="1" applyAlignment="1">
      <alignment horizontal="center" vertical="center"/>
    </xf>
    <xf numFmtId="0" fontId="10" fillId="7" borderId="65" xfId="2" applyFill="1" applyBorder="1" applyAlignment="1">
      <alignment horizontal="center" vertical="center" wrapText="1"/>
    </xf>
    <xf numFmtId="164" fontId="10" fillId="7" borderId="25" xfId="2" applyNumberFormat="1" applyFill="1" applyBorder="1" applyAlignment="1">
      <alignment horizontal="center" vertical="center" wrapText="1"/>
    </xf>
    <xf numFmtId="0" fontId="73" fillId="7" borderId="25" xfId="2" applyFont="1" applyFill="1" applyBorder="1" applyAlignment="1">
      <alignment horizontal="center" vertical="center" wrapText="1"/>
    </xf>
    <xf numFmtId="164" fontId="73" fillId="7" borderId="64" xfId="2" applyNumberFormat="1" applyFont="1" applyFill="1" applyBorder="1" applyAlignment="1">
      <alignment horizontal="center" vertical="center" wrapText="1"/>
    </xf>
    <xf numFmtId="0" fontId="10" fillId="7" borderId="105" xfId="2" applyFill="1" applyBorder="1" applyAlignment="1">
      <alignment horizontal="center" vertical="center" wrapText="1"/>
    </xf>
    <xf numFmtId="0" fontId="10" fillId="7" borderId="106" xfId="2" applyFill="1" applyBorder="1" applyAlignment="1">
      <alignment horizontal="center" vertical="center" wrapText="1"/>
    </xf>
    <xf numFmtId="0" fontId="10" fillId="7" borderId="107" xfId="2" applyFill="1" applyBorder="1" applyAlignment="1">
      <alignment horizontal="center" vertical="center" wrapText="1"/>
    </xf>
    <xf numFmtId="0" fontId="10" fillId="7" borderId="108" xfId="2" applyFill="1" applyBorder="1" applyAlignment="1">
      <alignment horizontal="center" vertical="center" wrapText="1"/>
    </xf>
    <xf numFmtId="164" fontId="10" fillId="7" borderId="24" xfId="2" applyNumberFormat="1" applyFill="1" applyBorder="1" applyAlignment="1">
      <alignment horizontal="center" vertical="center" wrapText="1"/>
    </xf>
    <xf numFmtId="1" fontId="10" fillId="7" borderId="24" xfId="2" applyNumberFormat="1" applyFill="1" applyBorder="1" applyAlignment="1">
      <alignment horizontal="center" vertical="center" wrapText="1"/>
    </xf>
    <xf numFmtId="0" fontId="74" fillId="7" borderId="25" xfId="2" applyFont="1" applyFill="1" applyBorder="1" applyAlignment="1">
      <alignment horizontal="center" vertical="center" wrapText="1"/>
    </xf>
    <xf numFmtId="3" fontId="75" fillId="7" borderId="25" xfId="2" applyNumberFormat="1" applyFont="1" applyFill="1" applyBorder="1" applyAlignment="1">
      <alignment horizontal="center" vertical="center" wrapText="1"/>
    </xf>
    <xf numFmtId="0" fontId="14" fillId="7" borderId="10" xfId="6" applyFont="1" applyFill="1" applyBorder="1" applyAlignment="1">
      <alignment horizontal="center" vertical="center"/>
    </xf>
    <xf numFmtId="0" fontId="13" fillId="7" borderId="10" xfId="2" applyFont="1" applyFill="1" applyBorder="1" applyAlignment="1">
      <alignment horizontal="center" vertical="center" wrapText="1"/>
    </xf>
    <xf numFmtId="2" fontId="13" fillId="7" borderId="10" xfId="2" applyNumberFormat="1" applyFont="1" applyFill="1" applyBorder="1" applyAlignment="1">
      <alignment horizontal="center" vertical="center" wrapText="1"/>
    </xf>
    <xf numFmtId="0" fontId="13" fillId="7" borderId="10" xfId="2" applyFont="1" applyFill="1" applyBorder="1"/>
    <xf numFmtId="0" fontId="13" fillId="0" borderId="0" xfId="2" applyFont="1" applyAlignment="1">
      <alignment horizontal="center" vertical="center" wrapText="1"/>
    </xf>
    <xf numFmtId="164" fontId="13" fillId="7" borderId="24" xfId="2" applyNumberFormat="1" applyFont="1" applyFill="1" applyBorder="1" applyAlignment="1">
      <alignment horizontal="center" vertical="center" wrapText="1"/>
    </xf>
    <xf numFmtId="164" fontId="13" fillId="7" borderId="25" xfId="2" applyNumberFormat="1" applyFont="1" applyFill="1" applyBorder="1" applyAlignment="1">
      <alignment horizontal="center" vertical="center" wrapText="1"/>
    </xf>
    <xf numFmtId="164" fontId="76" fillId="7" borderId="64" xfId="2" applyNumberFormat="1" applyFont="1" applyFill="1" applyBorder="1" applyAlignment="1">
      <alignment horizontal="center" vertical="center" wrapText="1"/>
    </xf>
    <xf numFmtId="3" fontId="13" fillId="7" borderId="24" xfId="2" applyNumberFormat="1" applyFont="1" applyFill="1" applyBorder="1" applyAlignment="1">
      <alignment horizontal="center" vertical="center" wrapText="1"/>
    </xf>
    <xf numFmtId="167" fontId="13" fillId="7" borderId="25" xfId="2" applyNumberFormat="1" applyFont="1" applyFill="1" applyBorder="1" applyAlignment="1">
      <alignment horizontal="center" vertical="center" wrapText="1"/>
    </xf>
    <xf numFmtId="1" fontId="10" fillId="7" borderId="25" xfId="2" applyNumberFormat="1" applyFill="1" applyBorder="1" applyAlignment="1">
      <alignment horizontal="center" vertical="center" wrapText="1"/>
    </xf>
    <xf numFmtId="9" fontId="10" fillId="7" borderId="10" xfId="16" applyFont="1" applyFill="1" applyBorder="1"/>
    <xf numFmtId="0" fontId="10" fillId="2" borderId="24" xfId="2" applyFill="1" applyBorder="1" applyAlignment="1">
      <alignment horizontal="center" vertical="center" wrapText="1"/>
    </xf>
    <xf numFmtId="0" fontId="10" fillId="2" borderId="25" xfId="2" applyFill="1" applyBorder="1" applyAlignment="1">
      <alignment horizontal="center" vertical="center" wrapText="1"/>
    </xf>
    <xf numFmtId="0" fontId="10" fillId="7" borderId="27" xfId="2" applyFill="1" applyBorder="1"/>
    <xf numFmtId="0" fontId="11" fillId="7" borderId="27" xfId="2" applyFont="1" applyFill="1" applyBorder="1" applyAlignment="1">
      <alignment horizontal="center" vertical="center" wrapText="1"/>
    </xf>
    <xf numFmtId="0" fontId="10" fillId="7" borderId="23" xfId="5" applyFill="1" applyBorder="1" applyAlignment="1">
      <alignment horizontal="left" vertical="center" wrapText="1" indent="1"/>
    </xf>
    <xf numFmtId="2" fontId="10" fillId="7" borderId="23" xfId="2" applyNumberFormat="1" applyFill="1" applyBorder="1" applyAlignment="1">
      <alignment horizontal="center" vertical="center" wrapText="1"/>
    </xf>
    <xf numFmtId="0" fontId="10" fillId="7" borderId="23" xfId="2" applyFill="1" applyBorder="1"/>
    <xf numFmtId="0" fontId="10" fillId="7" borderId="47" xfId="5" applyFill="1" applyBorder="1" applyAlignment="1">
      <alignment horizontal="left" vertical="center" wrapText="1" indent="1"/>
    </xf>
    <xf numFmtId="0" fontId="16" fillId="7" borderId="47" xfId="6" applyFont="1" applyFill="1" applyBorder="1" applyAlignment="1">
      <alignment horizontal="center" vertical="center"/>
    </xf>
    <xf numFmtId="0" fontId="10" fillId="7" borderId="47" xfId="2" applyFill="1" applyBorder="1" applyAlignment="1">
      <alignment horizontal="center" vertical="center" wrapText="1"/>
    </xf>
    <xf numFmtId="2" fontId="10" fillId="7" borderId="47" xfId="2" applyNumberFormat="1" applyFill="1" applyBorder="1" applyAlignment="1">
      <alignment horizontal="center" vertical="center" wrapText="1"/>
    </xf>
    <xf numFmtId="0" fontId="11" fillId="7" borderId="47" xfId="2" applyFont="1" applyFill="1" applyBorder="1" applyAlignment="1">
      <alignment horizontal="center" vertical="center" wrapText="1"/>
    </xf>
    <xf numFmtId="0" fontId="10" fillId="7" borderId="38" xfId="5" applyFill="1" applyBorder="1" applyAlignment="1">
      <alignment horizontal="left" vertical="center" wrapText="1" indent="1"/>
    </xf>
    <xf numFmtId="0" fontId="10" fillId="13" borderId="51" xfId="2" applyFill="1" applyBorder="1"/>
    <xf numFmtId="0" fontId="10" fillId="13" borderId="95" xfId="2" applyFill="1" applyBorder="1"/>
    <xf numFmtId="0" fontId="10" fillId="13" borderId="49" xfId="2" applyFill="1" applyBorder="1"/>
    <xf numFmtId="0" fontId="77" fillId="17" borderId="0" xfId="0" applyFont="1" applyFill="1" applyAlignment="1">
      <alignment vertical="top" wrapText="1"/>
    </xf>
    <xf numFmtId="0" fontId="54" fillId="17" borderId="0" xfId="11" applyFill="1" applyAlignment="1">
      <alignment vertical="top" wrapText="1"/>
    </xf>
    <xf numFmtId="0" fontId="77" fillId="18" borderId="0" xfId="0" applyFont="1" applyFill="1" applyAlignment="1">
      <alignment vertical="top" wrapText="1"/>
    </xf>
    <xf numFmtId="0" fontId="54" fillId="18" borderId="0" xfId="11" applyFill="1" applyAlignment="1">
      <alignment vertical="top" wrapText="1"/>
    </xf>
    <xf numFmtId="0" fontId="10" fillId="2" borderId="10" xfId="5" applyFill="1" applyBorder="1" applyAlignment="1">
      <alignment horizontal="left" vertical="center" wrapText="1" indent="1"/>
    </xf>
    <xf numFmtId="2" fontId="0" fillId="0" borderId="0" xfId="0" applyNumberFormat="1" applyAlignment="1">
      <alignment horizontal="center"/>
    </xf>
    <xf numFmtId="1" fontId="0" fillId="0" borderId="0" xfId="0" applyNumberFormat="1" applyAlignment="1">
      <alignment horizontal="center"/>
    </xf>
    <xf numFmtId="0" fontId="10" fillId="0" borderId="10" xfId="5" applyBorder="1" applyAlignment="1">
      <alignment horizontal="left" vertical="center" wrapText="1" indent="1"/>
    </xf>
    <xf numFmtId="0" fontId="77" fillId="17" borderId="55" xfId="0" applyFont="1" applyFill="1" applyBorder="1" applyAlignment="1">
      <alignment vertical="top" wrapText="1"/>
    </xf>
    <xf numFmtId="0" fontId="77" fillId="17" borderId="40" xfId="0" applyFont="1" applyFill="1" applyBorder="1" applyAlignment="1">
      <alignment vertical="top" wrapText="1"/>
    </xf>
    <xf numFmtId="0" fontId="54" fillId="17" borderId="40" xfId="11" applyFill="1" applyBorder="1" applyAlignment="1">
      <alignment vertical="top" wrapText="1"/>
    </xf>
    <xf numFmtId="0" fontId="0" fillId="0" borderId="40" xfId="0" applyBorder="1" applyAlignment="1">
      <alignment horizontal="center"/>
    </xf>
    <xf numFmtId="0" fontId="0" fillId="0" borderId="40" xfId="0" applyBorder="1"/>
    <xf numFmtId="0" fontId="0" fillId="0" borderId="56" xfId="0" applyBorder="1" applyAlignment="1">
      <alignment horizontal="center"/>
    </xf>
    <xf numFmtId="0" fontId="77" fillId="18" borderId="9" xfId="0" applyFont="1" applyFill="1" applyBorder="1" applyAlignment="1">
      <alignment vertical="top" wrapText="1"/>
    </xf>
    <xf numFmtId="0" fontId="54" fillId="18" borderId="0" xfId="11" applyFill="1" applyBorder="1" applyAlignment="1">
      <alignment vertical="top" wrapText="1"/>
    </xf>
    <xf numFmtId="0" fontId="0" fillId="0" borderId="66" xfId="0" applyBorder="1" applyAlignment="1">
      <alignment horizontal="center"/>
    </xf>
    <xf numFmtId="0" fontId="77" fillId="17" borderId="9" xfId="0" applyFont="1" applyFill="1" applyBorder="1" applyAlignment="1">
      <alignment vertical="top" wrapText="1"/>
    </xf>
    <xf numFmtId="0" fontId="54" fillId="17" borderId="0" xfId="11" applyFill="1" applyBorder="1" applyAlignment="1">
      <alignment vertical="top" wrapText="1"/>
    </xf>
    <xf numFmtId="0" fontId="77" fillId="18" borderId="67" xfId="0" applyFont="1" applyFill="1" applyBorder="1" applyAlignment="1">
      <alignment vertical="top" wrapText="1"/>
    </xf>
    <xf numFmtId="0" fontId="77" fillId="17" borderId="65" xfId="0" applyFont="1" applyFill="1" applyBorder="1" applyAlignment="1">
      <alignment vertical="top" wrapText="1"/>
    </xf>
    <xf numFmtId="0" fontId="77" fillId="18" borderId="65" xfId="0" applyFont="1" applyFill="1" applyBorder="1" applyAlignment="1">
      <alignment vertical="top" wrapText="1"/>
    </xf>
    <xf numFmtId="0" fontId="54" fillId="18" borderId="65" xfId="11" applyFill="1" applyBorder="1" applyAlignment="1">
      <alignment vertical="top" wrapText="1"/>
    </xf>
    <xf numFmtId="0" fontId="0" fillId="0" borderId="65" xfId="0" applyBorder="1" applyAlignment="1">
      <alignment horizontal="center"/>
    </xf>
    <xf numFmtId="0" fontId="0" fillId="0" borderId="65" xfId="0" applyBorder="1"/>
    <xf numFmtId="0" fontId="0" fillId="0" borderId="68" xfId="0" applyBorder="1" applyAlignment="1">
      <alignment horizontal="center"/>
    </xf>
    <xf numFmtId="0" fontId="77" fillId="18" borderId="55" xfId="0" applyFont="1" applyFill="1" applyBorder="1" applyAlignment="1">
      <alignment vertical="top" wrapText="1"/>
    </xf>
    <xf numFmtId="0" fontId="77" fillId="18" borderId="40" xfId="0" applyFont="1" applyFill="1" applyBorder="1" applyAlignment="1">
      <alignment vertical="top" wrapText="1"/>
    </xf>
    <xf numFmtId="0" fontId="54" fillId="18" borderId="40" xfId="11" applyFill="1" applyBorder="1" applyAlignment="1">
      <alignment vertical="top" wrapText="1"/>
    </xf>
    <xf numFmtId="0" fontId="77" fillId="17" borderId="67" xfId="0" applyFont="1" applyFill="1" applyBorder="1" applyAlignment="1">
      <alignment vertical="top" wrapText="1"/>
    </xf>
    <xf numFmtId="0" fontId="54" fillId="17" borderId="65" xfId="11" applyFill="1" applyBorder="1" applyAlignment="1">
      <alignment vertical="top" wrapText="1"/>
    </xf>
    <xf numFmtId="9" fontId="10" fillId="7" borderId="10" xfId="16" applyFont="1" applyFill="1" applyBorder="1" applyAlignment="1">
      <alignment horizontal="center" vertical="center" wrapText="1"/>
    </xf>
    <xf numFmtId="2" fontId="10" fillId="0" borderId="10" xfId="2" applyNumberFormat="1" applyBorder="1" applyAlignment="1">
      <alignment horizontal="center" vertical="center" wrapText="1"/>
    </xf>
    <xf numFmtId="0" fontId="73" fillId="7" borderId="10" xfId="5" applyFont="1" applyFill="1" applyBorder="1" applyAlignment="1">
      <alignment horizontal="left" vertical="center" wrapText="1" indent="1"/>
    </xf>
    <xf numFmtId="0" fontId="73" fillId="7" borderId="10" xfId="6" applyFont="1" applyFill="1" applyBorder="1" applyAlignment="1">
      <alignment horizontal="center" vertical="center"/>
    </xf>
    <xf numFmtId="0" fontId="73" fillId="7" borderId="10" xfId="2" applyFont="1" applyFill="1" applyBorder="1" applyAlignment="1">
      <alignment horizontal="center" vertical="center" wrapText="1"/>
    </xf>
    <xf numFmtId="2" fontId="73" fillId="7" borderId="10" xfId="2" applyNumberFormat="1" applyFont="1" applyFill="1" applyBorder="1" applyAlignment="1">
      <alignment horizontal="center" vertical="center" wrapText="1"/>
    </xf>
    <xf numFmtId="1" fontId="10" fillId="2" borderId="10" xfId="2" applyNumberFormat="1" applyFill="1" applyBorder="1" applyAlignment="1">
      <alignment horizontal="center" vertical="center" wrapText="1"/>
    </xf>
    <xf numFmtId="0" fontId="16" fillId="0" borderId="10" xfId="6" applyFont="1" applyBorder="1" applyAlignment="1">
      <alignment horizontal="center" vertical="center"/>
    </xf>
    <xf numFmtId="0" fontId="73" fillId="0" borderId="10" xfId="6" applyFont="1" applyBorder="1" applyAlignment="1">
      <alignment horizontal="center" vertical="center"/>
    </xf>
    <xf numFmtId="0" fontId="73" fillId="0" borderId="10" xfId="2" applyFont="1" applyBorder="1" applyAlignment="1">
      <alignment horizontal="center" vertical="center" wrapText="1"/>
    </xf>
    <xf numFmtId="0" fontId="10" fillId="7" borderId="65" xfId="2" applyFill="1" applyBorder="1" applyAlignment="1">
      <alignment horizontal="left" vertical="center" wrapText="1" indent="1"/>
    </xf>
    <xf numFmtId="164" fontId="10" fillId="2" borderId="0" xfId="2" applyNumberFormat="1" applyFill="1" applyAlignment="1">
      <alignment horizontal="center" vertical="center" wrapText="1"/>
    </xf>
    <xf numFmtId="0" fontId="10" fillId="2" borderId="10" xfId="2" applyFill="1" applyBorder="1" applyAlignment="1">
      <alignment horizontal="center" vertical="center" wrapText="1"/>
    </xf>
    <xf numFmtId="165" fontId="10" fillId="0" borderId="10" xfId="16" applyNumberFormat="1" applyFont="1" applyFill="1" applyBorder="1" applyAlignment="1">
      <alignment horizontal="center" vertical="center" wrapText="1"/>
    </xf>
    <xf numFmtId="2" fontId="10" fillId="8" borderId="10" xfId="2" applyNumberFormat="1" applyFill="1" applyBorder="1" applyAlignment="1">
      <alignment horizontal="center" vertical="center" wrapText="1"/>
    </xf>
    <xf numFmtId="0" fontId="79" fillId="7" borderId="10" xfId="6" applyFont="1" applyFill="1" applyBorder="1" applyAlignment="1">
      <alignment horizontal="center" vertical="center"/>
    </xf>
    <xf numFmtId="0" fontId="27" fillId="7" borderId="11" xfId="5" applyFont="1" applyFill="1" applyBorder="1" applyAlignment="1">
      <alignment vertical="center" wrapText="1"/>
    </xf>
    <xf numFmtId="0" fontId="27" fillId="7" borderId="12" xfId="5" applyFont="1" applyFill="1" applyBorder="1" applyAlignment="1">
      <alignment vertical="center" wrapText="1"/>
    </xf>
    <xf numFmtId="164" fontId="10" fillId="2" borderId="10" xfId="2" applyNumberFormat="1" applyFill="1" applyBorder="1" applyAlignment="1">
      <alignment horizontal="center" vertical="center" wrapText="1"/>
    </xf>
    <xf numFmtId="0" fontId="10" fillId="7" borderId="51" xfId="2" applyFill="1" applyBorder="1"/>
    <xf numFmtId="0" fontId="10" fillId="7" borderId="95" xfId="2" applyFill="1" applyBorder="1"/>
    <xf numFmtId="0" fontId="10" fillId="7" borderId="49" xfId="2" applyFill="1" applyBorder="1"/>
    <xf numFmtId="9" fontId="10" fillId="0" borderId="10" xfId="16" applyFont="1" applyBorder="1" applyAlignment="1">
      <alignment horizontal="center" vertical="center" wrapText="1"/>
    </xf>
    <xf numFmtId="165" fontId="0" fillId="0" borderId="0" xfId="0" applyNumberFormat="1" applyAlignment="1">
      <alignment horizontal="center" vertical="center"/>
    </xf>
    <xf numFmtId="2" fontId="10" fillId="2" borderId="27" xfId="2" applyNumberFormat="1" applyFill="1" applyBorder="1" applyAlignment="1">
      <alignment horizontal="center" vertical="center" wrapText="1"/>
    </xf>
    <xf numFmtId="164" fontId="10" fillId="2" borderId="27" xfId="2" applyNumberFormat="1" applyFill="1" applyBorder="1" applyAlignment="1">
      <alignment horizontal="center" vertical="center" wrapText="1"/>
    </xf>
    <xf numFmtId="164" fontId="10" fillId="7" borderId="27" xfId="2" applyNumberFormat="1" applyFill="1" applyBorder="1" applyAlignment="1">
      <alignment horizontal="center" vertical="center" wrapText="1"/>
    </xf>
    <xf numFmtId="165" fontId="10" fillId="2" borderId="10" xfId="2" applyNumberFormat="1" applyFill="1" applyBorder="1" applyAlignment="1">
      <alignment horizontal="center" vertical="center" wrapText="1"/>
    </xf>
    <xf numFmtId="9" fontId="13" fillId="0" borderId="10" xfId="16" applyFont="1" applyBorder="1" applyAlignment="1">
      <alignment horizontal="center" vertical="center" wrapText="1"/>
    </xf>
    <xf numFmtId="165" fontId="16" fillId="0" borderId="10" xfId="6" applyNumberFormat="1" applyFont="1" applyBorder="1" applyAlignment="1">
      <alignment horizontal="center" vertical="center"/>
    </xf>
    <xf numFmtId="9" fontId="10" fillId="7" borderId="27" xfId="16" applyFont="1" applyFill="1" applyBorder="1" applyAlignment="1">
      <alignment horizontal="center" vertical="center" wrapText="1"/>
    </xf>
    <xf numFmtId="2" fontId="0" fillId="0" borderId="0" xfId="0" applyNumberFormat="1"/>
    <xf numFmtId="0" fontId="0" fillId="2" borderId="0" xfId="0" applyFill="1" applyAlignment="1">
      <alignment horizontal="center"/>
    </xf>
    <xf numFmtId="169" fontId="0" fillId="0" borderId="0" xfId="16" applyNumberFormat="1" applyFont="1" applyAlignment="1">
      <alignment horizontal="center"/>
    </xf>
    <xf numFmtId="0" fontId="80" fillId="0" borderId="0" xfId="0" applyFont="1" applyAlignment="1">
      <alignment vertical="center" wrapText="1"/>
    </xf>
    <xf numFmtId="0" fontId="0" fillId="0" borderId="0" xfId="0" applyAlignment="1">
      <alignment horizontal="left" vertical="center" wrapText="1" indent="1"/>
    </xf>
    <xf numFmtId="0" fontId="81" fillId="0" borderId="0" xfId="0" applyFont="1" applyAlignment="1">
      <alignment horizontal="left" vertical="center" wrapText="1" indent="1"/>
    </xf>
    <xf numFmtId="0" fontId="54" fillId="0" borderId="0" xfId="11" applyAlignment="1">
      <alignment horizontal="left" vertical="center" wrapText="1" indent="1"/>
    </xf>
    <xf numFmtId="2" fontId="0" fillId="0" borderId="55" xfId="0" applyNumberFormat="1" applyBorder="1" applyAlignment="1">
      <alignment horizontal="center"/>
    </xf>
    <xf numFmtId="2" fontId="0" fillId="0" borderId="40" xfId="0" applyNumberFormat="1" applyBorder="1" applyAlignment="1">
      <alignment horizontal="center"/>
    </xf>
    <xf numFmtId="2" fontId="0" fillId="0" borderId="56" xfId="0" applyNumberFormat="1" applyBorder="1" applyAlignment="1">
      <alignment horizontal="center"/>
    </xf>
    <xf numFmtId="2" fontId="0" fillId="0" borderId="9" xfId="0" applyNumberFormat="1" applyBorder="1" applyAlignment="1">
      <alignment horizontal="center"/>
    </xf>
    <xf numFmtId="2" fontId="0" fillId="0" borderId="66" xfId="0" applyNumberFormat="1" applyBorder="1" applyAlignment="1">
      <alignment horizontal="center"/>
    </xf>
    <xf numFmtId="2" fontId="0" fillId="0" borderId="67" xfId="0" applyNumberFormat="1" applyBorder="1" applyAlignment="1">
      <alignment horizontal="center"/>
    </xf>
    <xf numFmtId="2" fontId="0" fillId="0" borderId="65" xfId="0" applyNumberFormat="1" applyBorder="1" applyAlignment="1">
      <alignment horizontal="center"/>
    </xf>
    <xf numFmtId="2" fontId="0" fillId="0" borderId="68" xfId="0" applyNumberFormat="1" applyBorder="1" applyAlignment="1">
      <alignment horizontal="center"/>
    </xf>
    <xf numFmtId="0" fontId="10" fillId="7" borderId="67" xfId="2" applyFill="1" applyBorder="1" applyAlignment="1">
      <alignment horizontal="center" vertical="center" wrapText="1"/>
    </xf>
    <xf numFmtId="0" fontId="10" fillId="7" borderId="11" xfId="2" applyFill="1" applyBorder="1" applyAlignment="1">
      <alignment horizontal="center" vertical="center" wrapText="1"/>
    </xf>
    <xf numFmtId="0" fontId="11" fillId="7" borderId="68" xfId="2" applyFont="1" applyFill="1" applyBorder="1" applyAlignment="1">
      <alignment horizontal="center" vertical="center" wrapText="1"/>
    </xf>
    <xf numFmtId="0" fontId="10" fillId="7" borderId="44" xfId="2" applyFill="1" applyBorder="1"/>
    <xf numFmtId="0" fontId="10" fillId="7" borderId="63" xfId="2" applyFill="1" applyBorder="1"/>
    <xf numFmtId="0" fontId="10" fillId="7" borderId="45" xfId="2" applyFill="1" applyBorder="1"/>
    <xf numFmtId="170" fontId="16" fillId="0" borderId="10" xfId="6" applyNumberFormat="1" applyFont="1" applyBorder="1" applyAlignment="1">
      <alignment horizontal="center" vertical="center"/>
    </xf>
    <xf numFmtId="164" fontId="0" fillId="0" borderId="0" xfId="0" applyNumberFormat="1"/>
    <xf numFmtId="3" fontId="0" fillId="0" borderId="0" xfId="0" applyNumberFormat="1"/>
    <xf numFmtId="2" fontId="10" fillId="0" borderId="0" xfId="2" applyNumberFormat="1" applyAlignment="1">
      <alignment horizontal="center" vertical="center" wrapText="1"/>
    </xf>
    <xf numFmtId="164" fontId="10" fillId="0" borderId="0" xfId="2" applyNumberFormat="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7" borderId="38" xfId="0" applyFont="1" applyFill="1" applyBorder="1" applyAlignment="1">
      <alignment horizontal="center" vertical="center" wrapText="1"/>
    </xf>
    <xf numFmtId="0" fontId="11" fillId="19" borderId="39" xfId="0" applyFont="1" applyFill="1" applyBorder="1" applyAlignment="1">
      <alignment horizontal="center" vertical="center" wrapText="1"/>
    </xf>
    <xf numFmtId="0" fontId="11" fillId="7" borderId="104" xfId="0" applyFont="1" applyFill="1" applyBorder="1" applyAlignment="1">
      <alignment horizontal="left" vertical="center" wrapText="1"/>
    </xf>
    <xf numFmtId="0" fontId="11" fillId="7" borderId="5" xfId="0" applyFont="1" applyFill="1" applyBorder="1" applyAlignment="1">
      <alignment horizontal="center" vertical="center" wrapText="1"/>
    </xf>
    <xf numFmtId="0" fontId="11" fillId="7" borderId="110" xfId="0" applyFont="1" applyFill="1" applyBorder="1" applyAlignment="1">
      <alignment horizontal="left" vertical="center" wrapText="1"/>
    </xf>
    <xf numFmtId="0" fontId="11" fillId="7" borderId="111" xfId="0" applyFont="1" applyFill="1" applyBorder="1" applyAlignment="1">
      <alignment horizontal="center" vertical="center" wrapText="1"/>
    </xf>
    <xf numFmtId="0" fontId="11" fillId="7" borderId="112" xfId="0" applyFont="1" applyFill="1" applyBorder="1" applyAlignment="1">
      <alignment horizontal="center" vertical="center" wrapText="1"/>
    </xf>
    <xf numFmtId="0" fontId="11" fillId="7" borderId="66" xfId="0" applyFont="1" applyFill="1" applyBorder="1" applyAlignment="1">
      <alignment horizontal="left" vertical="center" wrapText="1"/>
    </xf>
    <xf numFmtId="0" fontId="11" fillId="7" borderId="9" xfId="0" applyFont="1" applyFill="1" applyBorder="1" applyAlignment="1">
      <alignment horizontal="center" vertical="center" wrapText="1"/>
    </xf>
    <xf numFmtId="0" fontId="11" fillId="7" borderId="113" xfId="0" applyFont="1" applyFill="1" applyBorder="1" applyAlignment="1">
      <alignment horizontal="center" vertical="center" wrapText="1"/>
    </xf>
    <xf numFmtId="0" fontId="11" fillId="7" borderId="114" xfId="0" applyFont="1" applyFill="1" applyBorder="1" applyAlignment="1">
      <alignment horizontal="left" vertical="center" wrapText="1"/>
    </xf>
    <xf numFmtId="0" fontId="11" fillId="7" borderId="115" xfId="0" applyFont="1" applyFill="1" applyBorder="1" applyAlignment="1">
      <alignment horizontal="center" vertical="center" wrapText="1"/>
    </xf>
    <xf numFmtId="0" fontId="11" fillId="7" borderId="116" xfId="0" applyFont="1" applyFill="1" applyBorder="1" applyAlignment="1">
      <alignment horizontal="center" vertical="center" wrapText="1"/>
    </xf>
    <xf numFmtId="0" fontId="11" fillId="2" borderId="109" xfId="0" applyFont="1" applyFill="1" applyBorder="1" applyAlignment="1">
      <alignment horizontal="center" vertical="center" wrapText="1"/>
    </xf>
    <xf numFmtId="0" fontId="13" fillId="7" borderId="1" xfId="0" applyFont="1" applyFill="1" applyBorder="1" applyAlignment="1">
      <alignment horizontal="center" vertical="center" wrapText="1"/>
    </xf>
    <xf numFmtId="2" fontId="21" fillId="2" borderId="10" xfId="4" applyNumberFormat="1" applyFill="1" applyBorder="1" applyAlignment="1">
      <alignment horizontal="center" vertical="center" wrapText="1"/>
    </xf>
    <xf numFmtId="164" fontId="21" fillId="2" borderId="10" xfId="4" applyNumberFormat="1" applyFill="1" applyBorder="1" applyAlignment="1">
      <alignment horizontal="center" vertical="center" wrapText="1"/>
    </xf>
    <xf numFmtId="165" fontId="21" fillId="2" borderId="10" xfId="4" applyNumberFormat="1" applyFill="1" applyBorder="1" applyAlignment="1">
      <alignment horizontal="center" vertical="center" wrapText="1"/>
    </xf>
    <xf numFmtId="3" fontId="20" fillId="2" borderId="10" xfId="4" applyNumberFormat="1" applyFont="1" applyFill="1" applyBorder="1" applyAlignment="1">
      <alignment horizontal="center" vertical="center" wrapText="1"/>
    </xf>
    <xf numFmtId="166" fontId="20" fillId="2" borderId="10" xfId="4" applyNumberFormat="1" applyFont="1" applyFill="1" applyBorder="1" applyAlignment="1">
      <alignment horizontal="center" vertical="center" wrapText="1"/>
    </xf>
    <xf numFmtId="0" fontId="10" fillId="7" borderId="117" xfId="2" applyFill="1" applyBorder="1" applyAlignment="1">
      <alignment horizontal="center" vertical="center" wrapText="1"/>
    </xf>
    <xf numFmtId="0" fontId="10" fillId="7" borderId="118" xfId="2" applyFill="1" applyBorder="1" applyAlignment="1">
      <alignment horizontal="center" vertical="center" wrapText="1"/>
    </xf>
    <xf numFmtId="0" fontId="11" fillId="7" borderId="119" xfId="2" applyFont="1" applyFill="1" applyBorder="1" applyAlignment="1">
      <alignment horizontal="center" vertical="center" wrapText="1"/>
    </xf>
    <xf numFmtId="0" fontId="11" fillId="7" borderId="120" xfId="2" applyFont="1" applyFill="1" applyBorder="1" applyAlignment="1">
      <alignment horizontal="center" vertical="center" wrapText="1"/>
    </xf>
    <xf numFmtId="0" fontId="27" fillId="7" borderId="13" xfId="5" applyFont="1" applyFill="1" applyBorder="1" applyAlignment="1">
      <alignment vertical="center" wrapText="1"/>
    </xf>
    <xf numFmtId="2" fontId="10" fillId="7" borderId="0" xfId="2" applyNumberFormat="1" applyFill="1" applyAlignment="1">
      <alignment horizontal="center" vertical="center" wrapText="1"/>
    </xf>
    <xf numFmtId="9" fontId="13" fillId="7" borderId="10" xfId="16" applyFont="1" applyFill="1" applyBorder="1" applyAlignment="1">
      <alignment horizontal="center" vertical="center" wrapText="1"/>
    </xf>
    <xf numFmtId="164" fontId="10" fillId="7" borderId="10" xfId="2" applyNumberFormat="1" applyFill="1" applyBorder="1" applyAlignment="1">
      <alignment horizontal="center" vertical="center" wrapText="1"/>
    </xf>
    <xf numFmtId="165" fontId="10" fillId="7" borderId="10" xfId="16" applyNumberFormat="1" applyFont="1" applyFill="1" applyBorder="1" applyAlignment="1">
      <alignment horizontal="center" vertical="center" wrapText="1"/>
    </xf>
    <xf numFmtId="0" fontId="10" fillId="7" borderId="11" xfId="5" applyFill="1" applyBorder="1" applyAlignment="1">
      <alignment horizontal="left" vertical="center" wrapText="1" indent="1"/>
    </xf>
    <xf numFmtId="0" fontId="16" fillId="7" borderId="12" xfId="6" applyFont="1" applyFill="1" applyBorder="1" applyAlignment="1">
      <alignment horizontal="center" vertical="center"/>
    </xf>
    <xf numFmtId="0" fontId="10" fillId="7" borderId="12" xfId="2" applyFill="1" applyBorder="1" applyAlignment="1">
      <alignment horizontal="center" vertical="center" wrapText="1"/>
    </xf>
    <xf numFmtId="2" fontId="10" fillId="7" borderId="12" xfId="2" applyNumberFormat="1" applyFill="1" applyBorder="1" applyAlignment="1">
      <alignment horizontal="center" vertical="center" wrapText="1"/>
    </xf>
    <xf numFmtId="0" fontId="10" fillId="7" borderId="13" xfId="2" applyFill="1" applyBorder="1"/>
    <xf numFmtId="2" fontId="10" fillId="7" borderId="13" xfId="2" applyNumberFormat="1" applyFill="1" applyBorder="1" applyAlignment="1">
      <alignment horizontal="center" vertical="center" wrapText="1"/>
    </xf>
    <xf numFmtId="0" fontId="15" fillId="7" borderId="11" xfId="5" applyFont="1" applyFill="1" applyBorder="1" applyAlignment="1">
      <alignment horizontal="left" vertical="center"/>
    </xf>
    <xf numFmtId="0" fontId="79" fillId="7" borderId="27" xfId="6" applyFont="1" applyFill="1" applyBorder="1" applyAlignment="1">
      <alignment horizontal="center" vertical="center"/>
    </xf>
    <xf numFmtId="2" fontId="10" fillId="7" borderId="10" xfId="2" applyNumberFormat="1" applyFill="1" applyBorder="1" applyAlignment="1">
      <alignment horizontal="left" vertical="center" wrapText="1"/>
    </xf>
    <xf numFmtId="2" fontId="10" fillId="11" borderId="10" xfId="2" applyNumberFormat="1" applyFill="1" applyBorder="1" applyAlignment="1">
      <alignment horizontal="center" vertical="center" wrapText="1"/>
    </xf>
    <xf numFmtId="2" fontId="10" fillId="11" borderId="27" xfId="2" applyNumberFormat="1" applyFill="1" applyBorder="1" applyAlignment="1">
      <alignment horizontal="center" vertical="center" wrapText="1"/>
    </xf>
    <xf numFmtId="165" fontId="10" fillId="0" borderId="27" xfId="2" applyNumberFormat="1" applyBorder="1" applyAlignment="1">
      <alignment horizontal="center" vertical="center" wrapText="1"/>
    </xf>
    <xf numFmtId="3" fontId="10" fillId="11" borderId="27" xfId="2" applyNumberFormat="1" applyFill="1" applyBorder="1" applyAlignment="1">
      <alignment horizontal="center" vertical="center" wrapText="1"/>
    </xf>
    <xf numFmtId="171" fontId="10" fillId="11" borderId="27" xfId="2" applyNumberFormat="1" applyFill="1" applyBorder="1" applyAlignment="1">
      <alignment horizontal="center" vertical="center" wrapText="1"/>
    </xf>
    <xf numFmtId="0" fontId="10" fillId="7" borderId="23" xfId="2" quotePrefix="1" applyFill="1" applyBorder="1" applyAlignment="1">
      <alignment horizontal="center" vertical="center" wrapText="1"/>
    </xf>
    <xf numFmtId="0" fontId="13" fillId="7" borderId="11" xfId="5" applyFont="1" applyFill="1" applyBorder="1" applyAlignment="1">
      <alignment horizontal="left" vertical="center" wrapText="1" indent="1"/>
    </xf>
    <xf numFmtId="9" fontId="10" fillId="7" borderId="23" xfId="16" applyFont="1" applyFill="1" applyBorder="1" applyAlignment="1">
      <alignment horizontal="center" vertical="center" wrapText="1"/>
    </xf>
    <xf numFmtId="165" fontId="10" fillId="0" borderId="10" xfId="2" applyNumberFormat="1" applyBorder="1" applyAlignment="1">
      <alignment horizontal="center" vertical="center" wrapText="1"/>
    </xf>
    <xf numFmtId="0" fontId="10" fillId="0" borderId="10" xfId="2" applyBorder="1" applyAlignment="1">
      <alignment horizontal="left" vertical="center" wrapText="1" indent="1"/>
    </xf>
    <xf numFmtId="168" fontId="10" fillId="0" borderId="10" xfId="2" applyNumberFormat="1" applyBorder="1" applyAlignment="1">
      <alignment horizontal="center" vertical="center" wrapText="1"/>
    </xf>
    <xf numFmtId="0" fontId="10" fillId="7" borderId="66" xfId="2" applyFill="1" applyBorder="1"/>
    <xf numFmtId="0" fontId="10" fillId="0" borderId="27" xfId="2" applyBorder="1" applyAlignment="1">
      <alignment horizontal="left" vertical="center" wrapText="1" indent="1"/>
    </xf>
    <xf numFmtId="0" fontId="13" fillId="7" borderId="23" xfId="5" applyFont="1" applyFill="1" applyBorder="1" applyAlignment="1">
      <alignment horizontal="left" vertical="center" wrapText="1" indent="1"/>
    </xf>
    <xf numFmtId="164" fontId="10" fillId="11" borderId="27" xfId="2" applyNumberFormat="1" applyFill="1" applyBorder="1" applyAlignment="1">
      <alignment horizontal="center" vertical="center" wrapText="1"/>
    </xf>
    <xf numFmtId="0" fontId="20" fillId="7" borderId="27" xfId="4" applyFont="1" applyFill="1" applyBorder="1" applyAlignment="1">
      <alignment horizontal="center" vertical="center"/>
    </xf>
    <xf numFmtId="0" fontId="20" fillId="7" borderId="55" xfId="4" applyFont="1" applyFill="1" applyBorder="1" applyAlignment="1">
      <alignment horizontal="center" vertical="center"/>
    </xf>
    <xf numFmtId="0" fontId="20" fillId="7" borderId="55" xfId="4" quotePrefix="1" applyFont="1" applyFill="1" applyBorder="1" applyAlignment="1">
      <alignment horizontal="center" vertical="center" wrapText="1"/>
    </xf>
    <xf numFmtId="0" fontId="20" fillId="7" borderId="11" xfId="4" applyFont="1" applyFill="1" applyBorder="1" applyAlignment="1">
      <alignment horizontal="left" vertical="center" wrapText="1" indent="2"/>
    </xf>
    <xf numFmtId="171" fontId="10" fillId="7" borderId="10" xfId="2" applyNumberFormat="1" applyFill="1" applyBorder="1" applyAlignment="1">
      <alignment horizontal="center" vertical="center" wrapText="1"/>
    </xf>
    <xf numFmtId="0" fontId="10" fillId="0" borderId="46" xfId="2" applyBorder="1" applyAlignment="1">
      <alignment horizontal="left" vertical="center" wrapText="1" indent="1"/>
    </xf>
    <xf numFmtId="0" fontId="10" fillId="0" borderId="47" xfId="2" applyBorder="1" applyAlignment="1">
      <alignment horizontal="center" vertical="center" wrapText="1"/>
    </xf>
    <xf numFmtId="2" fontId="10" fillId="0" borderId="47" xfId="2" applyNumberFormat="1" applyBorder="1" applyAlignment="1">
      <alignment horizontal="center" vertical="center" wrapText="1"/>
    </xf>
    <xf numFmtId="0" fontId="10" fillId="0" borderId="48" xfId="2" applyBorder="1" applyAlignment="1">
      <alignment horizontal="center" vertical="center" wrapText="1"/>
    </xf>
    <xf numFmtId="0" fontId="10" fillId="0" borderId="102" xfId="2" applyBorder="1" applyAlignment="1">
      <alignment horizontal="left" vertical="center" wrapText="1" indent="1"/>
    </xf>
    <xf numFmtId="0" fontId="10" fillId="0" borderId="103" xfId="2" applyBorder="1" applyAlignment="1">
      <alignment horizontal="center" vertical="center" wrapText="1"/>
    </xf>
    <xf numFmtId="0" fontId="10" fillId="0" borderId="37" xfId="2" applyBorder="1" applyAlignment="1">
      <alignment horizontal="left" vertical="center" wrapText="1" indent="1"/>
    </xf>
    <xf numFmtId="0" fontId="10" fillId="0" borderId="38" xfId="2" applyBorder="1" applyAlignment="1">
      <alignment horizontal="center" vertical="center" wrapText="1"/>
    </xf>
    <xf numFmtId="165" fontId="10" fillId="0" borderId="38" xfId="2" applyNumberFormat="1" applyBorder="1" applyAlignment="1">
      <alignment horizontal="center" vertical="center" wrapText="1"/>
    </xf>
    <xf numFmtId="0" fontId="10" fillId="0" borderId="39" xfId="2" applyBorder="1" applyAlignment="1">
      <alignment horizontal="center" vertical="center" wrapText="1"/>
    </xf>
    <xf numFmtId="0" fontId="10" fillId="0" borderId="36" xfId="2" applyBorder="1" applyAlignment="1">
      <alignment horizontal="left" vertical="center" wrapText="1" indent="1"/>
    </xf>
    <xf numFmtId="0" fontId="10" fillId="0" borderId="35" xfId="2" applyBorder="1" applyAlignment="1">
      <alignment horizontal="center" vertical="center" wrapText="1"/>
    </xf>
    <xf numFmtId="0" fontId="10" fillId="0" borderId="53" xfId="2" applyBorder="1" applyAlignment="1">
      <alignment horizontal="left" vertical="center" wrapText="1" indent="1"/>
    </xf>
    <xf numFmtId="0" fontId="10" fillId="0" borderId="49" xfId="2" applyBorder="1" applyAlignment="1">
      <alignment horizontal="center" vertical="center" wrapText="1"/>
    </xf>
    <xf numFmtId="165" fontId="10" fillId="0" borderId="49" xfId="2" applyNumberFormat="1" applyBorder="1" applyAlignment="1">
      <alignment horizontal="center" vertical="center" wrapText="1"/>
    </xf>
    <xf numFmtId="0" fontId="10" fillId="0" borderId="54" xfId="2" applyBorder="1" applyAlignment="1">
      <alignment horizontal="center" vertical="center" wrapText="1"/>
    </xf>
    <xf numFmtId="168" fontId="10" fillId="0" borderId="38" xfId="2" applyNumberFormat="1" applyBorder="1" applyAlignment="1">
      <alignment horizontal="center" vertical="center" wrapText="1"/>
    </xf>
    <xf numFmtId="0" fontId="13" fillId="7" borderId="1" xfId="0" applyFont="1" applyFill="1" applyBorder="1" applyAlignment="1">
      <alignment horizontal="left" vertical="center" indent="1"/>
    </xf>
    <xf numFmtId="0" fontId="13" fillId="7" borderId="0" xfId="0" applyFont="1" applyFill="1" applyAlignment="1">
      <alignment horizontal="left" vertical="center" wrapText="1"/>
    </xf>
    <xf numFmtId="0" fontId="11" fillId="7" borderId="122" xfId="0" applyFont="1" applyFill="1" applyBorder="1" applyAlignment="1">
      <alignment horizontal="left" vertical="center" wrapText="1"/>
    </xf>
    <xf numFmtId="172" fontId="11" fillId="7" borderId="123" xfId="0" applyNumberFormat="1" applyFont="1" applyFill="1" applyBorder="1" applyAlignment="1">
      <alignment horizontal="center" vertical="center" wrapText="1"/>
    </xf>
    <xf numFmtId="172" fontId="10" fillId="11" borderId="27" xfId="2" applyNumberFormat="1" applyFill="1" applyBorder="1" applyAlignment="1">
      <alignment horizontal="center" vertical="center" wrapText="1"/>
    </xf>
    <xf numFmtId="164" fontId="10" fillId="11" borderId="10" xfId="2" applyNumberFormat="1" applyFill="1" applyBorder="1" applyAlignment="1">
      <alignment horizontal="center" vertical="center" wrapText="1"/>
    </xf>
    <xf numFmtId="165" fontId="10" fillId="11" borderId="10" xfId="2" applyNumberFormat="1" applyFill="1" applyBorder="1" applyAlignment="1">
      <alignment horizontal="center" vertical="center" wrapText="1"/>
    </xf>
    <xf numFmtId="0" fontId="10" fillId="7" borderId="10" xfId="5" applyFill="1" applyBorder="1" applyAlignment="1">
      <alignment horizontal="left" vertical="center" wrapText="1" indent="4"/>
    </xf>
    <xf numFmtId="0" fontId="0" fillId="0" borderId="124" xfId="0" applyBorder="1"/>
    <xf numFmtId="0" fontId="22" fillId="7" borderId="0" xfId="0" applyFont="1" applyFill="1" applyAlignment="1">
      <alignment horizontal="right" vertical="center"/>
    </xf>
    <xf numFmtId="0" fontId="22" fillId="0" borderId="3" xfId="0" applyFont="1" applyBorder="1" applyAlignment="1">
      <alignment horizontal="center" vertical="center" wrapText="1"/>
    </xf>
    <xf numFmtId="0" fontId="11" fillId="7" borderId="125" xfId="0" applyFont="1" applyFill="1" applyBorder="1" applyAlignment="1">
      <alignment horizontal="left" vertical="center" wrapText="1"/>
    </xf>
    <xf numFmtId="0" fontId="11" fillId="7" borderId="119" xfId="0" applyFont="1" applyFill="1" applyBorder="1" applyAlignment="1">
      <alignment horizontal="left" vertical="center" wrapText="1"/>
    </xf>
    <xf numFmtId="0" fontId="11" fillId="7" borderId="33" xfId="0" applyFont="1" applyFill="1" applyBorder="1" applyAlignment="1">
      <alignment horizontal="center" vertical="center" wrapText="1"/>
    </xf>
    <xf numFmtId="0" fontId="11" fillId="7" borderId="124" xfId="0" applyFont="1" applyFill="1" applyBorder="1" applyAlignment="1">
      <alignment horizontal="center" vertical="center" wrapText="1"/>
    </xf>
    <xf numFmtId="0" fontId="11" fillId="7" borderId="127" xfId="0" applyFont="1" applyFill="1" applyBorder="1" applyAlignment="1">
      <alignment horizontal="center" vertical="center" wrapText="1"/>
    </xf>
    <xf numFmtId="0" fontId="11" fillId="7" borderId="121" xfId="0" applyFont="1" applyFill="1" applyBorder="1" applyAlignment="1">
      <alignment horizontal="center" vertical="center" wrapText="1"/>
    </xf>
    <xf numFmtId="165" fontId="11" fillId="7" borderId="121" xfId="0" applyNumberFormat="1" applyFont="1" applyFill="1" applyBorder="1" applyAlignment="1">
      <alignment horizontal="center" vertical="center" wrapText="1"/>
    </xf>
    <xf numFmtId="165" fontId="11" fillId="7" borderId="128" xfId="0" applyNumberFormat="1" applyFont="1" applyFill="1" applyBorder="1" applyAlignment="1">
      <alignment horizontal="center" vertical="center" wrapText="1"/>
    </xf>
    <xf numFmtId="0" fontId="11" fillId="7" borderId="47" xfId="0" applyFont="1" applyFill="1" applyBorder="1" applyAlignment="1">
      <alignment horizontal="center" vertical="center" wrapText="1"/>
    </xf>
    <xf numFmtId="0" fontId="11" fillId="7" borderId="125" xfId="0" applyFont="1" applyFill="1" applyBorder="1" applyAlignment="1">
      <alignment horizontal="center" vertical="center" wrapText="1"/>
    </xf>
    <xf numFmtId="0" fontId="11" fillId="7" borderId="129" xfId="0" applyFont="1" applyFill="1" applyBorder="1" applyAlignment="1">
      <alignment horizontal="center" vertical="center" wrapText="1"/>
    </xf>
    <xf numFmtId="0" fontId="11" fillId="7" borderId="95" xfId="0" applyFont="1" applyFill="1" applyBorder="1" applyAlignment="1">
      <alignment horizontal="center" vertical="center" wrapText="1"/>
    </xf>
    <xf numFmtId="0" fontId="11" fillId="7" borderId="130" xfId="0" applyFont="1" applyFill="1" applyBorder="1" applyAlignment="1">
      <alignment horizontal="center" vertical="center" wrapText="1"/>
    </xf>
    <xf numFmtId="2" fontId="10" fillId="7" borderId="10" xfId="2" applyNumberFormat="1" applyFill="1" applyBorder="1" applyAlignment="1">
      <alignment horizontal="right" vertical="center"/>
    </xf>
    <xf numFmtId="1" fontId="10" fillId="7" borderId="10" xfId="2" applyNumberFormat="1" applyFill="1" applyBorder="1" applyAlignment="1">
      <alignment horizontal="center" vertical="center"/>
    </xf>
    <xf numFmtId="2" fontId="16" fillId="7" borderId="10" xfId="6" applyNumberFormat="1" applyFont="1" applyFill="1" applyBorder="1" applyAlignment="1">
      <alignment horizontal="center" vertical="center"/>
    </xf>
    <xf numFmtId="0" fontId="10" fillId="7" borderId="36" xfId="5" applyFill="1" applyBorder="1" applyAlignment="1">
      <alignment horizontal="left" vertical="center" wrapText="1" indent="1"/>
    </xf>
    <xf numFmtId="0" fontId="10" fillId="7" borderId="36" xfId="5" applyFill="1" applyBorder="1" applyAlignment="1">
      <alignment horizontal="left" vertical="center" wrapText="1" indent="2"/>
    </xf>
    <xf numFmtId="0" fontId="10" fillId="7" borderId="38" xfId="5" applyFill="1" applyBorder="1" applyAlignment="1">
      <alignment horizontal="center" vertical="center" wrapText="1"/>
    </xf>
    <xf numFmtId="168" fontId="10" fillId="7" borderId="38" xfId="2" applyNumberFormat="1" applyFill="1" applyBorder="1" applyAlignment="1">
      <alignment horizontal="center" vertical="center" wrapText="1"/>
    </xf>
    <xf numFmtId="0" fontId="11" fillId="7" borderId="103" xfId="2" applyFont="1" applyFill="1" applyBorder="1" applyAlignment="1">
      <alignment horizontal="center" vertical="center" wrapText="1"/>
    </xf>
    <xf numFmtId="0" fontId="10" fillId="0" borderId="37" xfId="2" applyBorder="1" applyAlignment="1">
      <alignment horizontal="left" vertical="center" wrapText="1"/>
    </xf>
    <xf numFmtId="0" fontId="20" fillId="11" borderId="10" xfId="4" applyFont="1" applyFill="1" applyBorder="1" applyAlignment="1">
      <alignment horizontal="left" vertical="center" wrapText="1" indent="2"/>
    </xf>
    <xf numFmtId="171" fontId="10" fillId="7" borderId="27" xfId="2" applyNumberFormat="1" applyFill="1" applyBorder="1" applyAlignment="1">
      <alignment horizontal="center" vertical="center" wrapText="1"/>
    </xf>
    <xf numFmtId="0" fontId="10" fillId="11" borderId="10" xfId="5" applyFill="1" applyBorder="1" applyAlignment="1">
      <alignment horizontal="left" vertical="center" wrapText="1" indent="2"/>
    </xf>
    <xf numFmtId="0" fontId="10" fillId="11" borderId="27" xfId="5" applyFill="1" applyBorder="1" applyAlignment="1">
      <alignment horizontal="left" vertical="center" wrapText="1" indent="2"/>
    </xf>
    <xf numFmtId="0" fontId="10" fillId="11" borderId="10" xfId="5" applyFill="1" applyBorder="1" applyAlignment="1">
      <alignment horizontal="left" vertical="center" wrapText="1" indent="1"/>
    </xf>
    <xf numFmtId="0" fontId="10" fillId="11" borderId="65" xfId="2" applyFill="1" applyBorder="1" applyAlignment="1">
      <alignment horizontal="left" vertical="center" wrapText="1" indent="1"/>
    </xf>
    <xf numFmtId="0" fontId="10" fillId="11" borderId="27" xfId="5" applyFill="1" applyBorder="1" applyAlignment="1">
      <alignment horizontal="left" vertical="center" wrapText="1" indent="1"/>
    </xf>
    <xf numFmtId="0" fontId="11" fillId="7" borderId="11" xfId="2" applyFont="1" applyFill="1" applyBorder="1" applyAlignment="1">
      <alignment horizontal="center" vertical="center" wrapText="1"/>
    </xf>
    <xf numFmtId="165" fontId="21" fillId="7" borderId="10" xfId="4" applyNumberFormat="1" applyFill="1" applyBorder="1" applyAlignment="1">
      <alignment horizontal="center" vertical="center" wrapText="1"/>
    </xf>
    <xf numFmtId="0" fontId="85" fillId="7" borderId="10" xfId="5" applyFont="1" applyFill="1" applyBorder="1" applyAlignment="1">
      <alignment horizontal="left" vertical="center" wrapText="1" indent="1"/>
    </xf>
    <xf numFmtId="0" fontId="86" fillId="7" borderId="10" xfId="6" applyFont="1" applyFill="1" applyBorder="1" applyAlignment="1">
      <alignment horizontal="center" vertical="center"/>
    </xf>
    <xf numFmtId="0" fontId="85" fillId="7" borderId="10" xfId="2" applyFont="1" applyFill="1" applyBorder="1" applyAlignment="1">
      <alignment horizontal="center" vertical="center" wrapText="1"/>
    </xf>
    <xf numFmtId="2" fontId="85" fillId="7" borderId="10" xfId="2" applyNumberFormat="1" applyFont="1" applyFill="1" applyBorder="1" applyAlignment="1">
      <alignment horizontal="center" vertical="center" wrapText="1"/>
    </xf>
    <xf numFmtId="0" fontId="85" fillId="0" borderId="10" xfId="2" applyFont="1" applyBorder="1" applyAlignment="1">
      <alignment horizontal="center" vertical="center" wrapText="1"/>
    </xf>
    <xf numFmtId="2" fontId="85" fillId="0" borderId="10" xfId="2" applyNumberFormat="1" applyFont="1" applyBorder="1" applyAlignment="1">
      <alignment horizontal="center" vertical="center" wrapText="1"/>
    </xf>
    <xf numFmtId="0" fontId="85" fillId="7" borderId="23" xfId="5" applyFont="1" applyFill="1" applyBorder="1" applyAlignment="1">
      <alignment horizontal="left" vertical="center" wrapText="1" indent="1"/>
    </xf>
    <xf numFmtId="0" fontId="89" fillId="7" borderId="23" xfId="6" applyFont="1" applyFill="1" applyBorder="1" applyAlignment="1">
      <alignment horizontal="center" vertical="center"/>
    </xf>
    <xf numFmtId="0" fontId="85" fillId="7" borderId="23" xfId="2" applyFont="1" applyFill="1" applyBorder="1" applyAlignment="1">
      <alignment horizontal="center" vertical="center" wrapText="1"/>
    </xf>
    <xf numFmtId="2" fontId="85" fillId="7" borderId="23" xfId="2" applyNumberFormat="1" applyFont="1" applyFill="1" applyBorder="1" applyAlignment="1">
      <alignment horizontal="center" vertical="center" wrapText="1"/>
    </xf>
    <xf numFmtId="0" fontId="89" fillId="7" borderId="10" xfId="6" applyFont="1" applyFill="1" applyBorder="1" applyAlignment="1">
      <alignment horizontal="center" vertical="center"/>
    </xf>
    <xf numFmtId="0" fontId="85" fillId="0" borderId="10" xfId="5" applyFont="1" applyBorder="1" applyAlignment="1">
      <alignment horizontal="left" vertical="center" wrapText="1" indent="1"/>
    </xf>
    <xf numFmtId="0" fontId="89" fillId="0" borderId="10" xfId="6" applyFont="1" applyBorder="1" applyAlignment="1">
      <alignment horizontal="center" vertical="center"/>
    </xf>
    <xf numFmtId="0" fontId="85" fillId="0" borderId="10" xfId="2" applyFont="1" applyBorder="1" applyAlignment="1">
      <alignment horizontal="left" vertical="center" wrapText="1" indent="1"/>
    </xf>
    <xf numFmtId="9" fontId="90" fillId="0" borderId="10" xfId="16" applyFont="1" applyBorder="1" applyAlignment="1">
      <alignment horizontal="center" vertical="center" wrapText="1"/>
    </xf>
    <xf numFmtId="0" fontId="85" fillId="0" borderId="0" xfId="2" applyFont="1" applyAlignment="1">
      <alignment horizontal="center" vertical="center" wrapText="1"/>
    </xf>
    <xf numFmtId="165" fontId="85" fillId="7" borderId="10" xfId="2" applyNumberFormat="1" applyFont="1" applyFill="1" applyBorder="1" applyAlignment="1">
      <alignment horizontal="center" vertical="center" wrapText="1"/>
    </xf>
    <xf numFmtId="164" fontId="85" fillId="0" borderId="10" xfId="2" applyNumberFormat="1" applyFont="1" applyBorder="1" applyAlignment="1">
      <alignment horizontal="center" vertical="center" wrapText="1"/>
    </xf>
    <xf numFmtId="9" fontId="85" fillId="7" borderId="10" xfId="16" applyFont="1" applyFill="1" applyBorder="1" applyAlignment="1">
      <alignment horizontal="center" vertical="center" wrapText="1"/>
    </xf>
    <xf numFmtId="170" fontId="89" fillId="0" borderId="10" xfId="6" applyNumberFormat="1" applyFont="1" applyBorder="1" applyAlignment="1">
      <alignment horizontal="center" vertical="center"/>
    </xf>
    <xf numFmtId="165" fontId="85" fillId="0" borderId="10" xfId="16" applyNumberFormat="1" applyFont="1" applyFill="1" applyBorder="1" applyAlignment="1">
      <alignment horizontal="center" vertical="center" wrapText="1"/>
    </xf>
    <xf numFmtId="0" fontId="91" fillId="0" borderId="10" xfId="6" applyFont="1" applyBorder="1" applyAlignment="1">
      <alignment horizontal="center" vertical="center"/>
    </xf>
    <xf numFmtId="0" fontId="91" fillId="0" borderId="10" xfId="2" applyFont="1" applyBorder="1" applyAlignment="1">
      <alignment horizontal="center" vertical="center" wrapText="1"/>
    </xf>
    <xf numFmtId="164" fontId="85" fillId="2" borderId="10" xfId="2" applyNumberFormat="1" applyFont="1" applyFill="1" applyBorder="1" applyAlignment="1">
      <alignment horizontal="center" vertical="center" wrapText="1"/>
    </xf>
    <xf numFmtId="165" fontId="85" fillId="2" borderId="10" xfId="2" applyNumberFormat="1" applyFont="1" applyFill="1" applyBorder="1" applyAlignment="1">
      <alignment horizontal="center" vertical="center" wrapText="1"/>
    </xf>
    <xf numFmtId="2" fontId="85" fillId="8" borderId="10" xfId="2" applyNumberFormat="1" applyFont="1" applyFill="1" applyBorder="1" applyAlignment="1">
      <alignment horizontal="center" vertical="center" wrapText="1"/>
    </xf>
    <xf numFmtId="165" fontId="89" fillId="0" borderId="10" xfId="6" applyNumberFormat="1" applyFont="1" applyBorder="1" applyAlignment="1">
      <alignment horizontal="center" vertical="center"/>
    </xf>
    <xf numFmtId="0" fontId="92" fillId="7" borderId="10" xfId="5" applyFont="1" applyFill="1" applyBorder="1" applyAlignment="1">
      <alignment horizontal="left" vertical="center" wrapText="1" indent="1"/>
    </xf>
    <xf numFmtId="0" fontId="92" fillId="0" borderId="10" xfId="2" applyFont="1" applyBorder="1" applyAlignment="1">
      <alignment horizontal="center" vertical="center" wrapText="1"/>
    </xf>
    <xf numFmtId="0" fontId="92" fillId="7" borderId="10" xfId="2" applyFont="1" applyFill="1" applyBorder="1" applyAlignment="1">
      <alignment horizontal="center" vertical="center" wrapText="1"/>
    </xf>
    <xf numFmtId="2" fontId="92" fillId="0" borderId="10" xfId="2" applyNumberFormat="1" applyFont="1" applyBorder="1" applyAlignment="1">
      <alignment horizontal="center" vertical="center" wrapText="1"/>
    </xf>
    <xf numFmtId="0" fontId="92" fillId="7" borderId="23" xfId="5" applyFont="1" applyFill="1" applyBorder="1" applyAlignment="1">
      <alignment horizontal="left" vertical="center" wrapText="1" indent="1"/>
    </xf>
    <xf numFmtId="0" fontId="92" fillId="7" borderId="23" xfId="2" applyFont="1" applyFill="1" applyBorder="1" applyAlignment="1">
      <alignment horizontal="center" vertical="center" wrapText="1"/>
    </xf>
    <xf numFmtId="2" fontId="92" fillId="0" borderId="23" xfId="2" applyNumberFormat="1" applyFont="1" applyBorder="1" applyAlignment="1">
      <alignment horizontal="center" vertical="center" wrapText="1"/>
    </xf>
    <xf numFmtId="0" fontId="92" fillId="0" borderId="10" xfId="5" applyFont="1" applyBorder="1" applyAlignment="1">
      <alignment horizontal="left" vertical="center" wrapText="1" indent="1"/>
    </xf>
    <xf numFmtId="164" fontId="92" fillId="2" borderId="10" xfId="2" applyNumberFormat="1" applyFont="1" applyFill="1" applyBorder="1" applyAlignment="1">
      <alignment horizontal="center" vertical="center" wrapText="1"/>
    </xf>
    <xf numFmtId="9" fontId="92" fillId="7" borderId="10" xfId="16" applyFont="1" applyFill="1" applyBorder="1" applyAlignment="1">
      <alignment horizontal="center" vertical="center" wrapText="1"/>
    </xf>
    <xf numFmtId="164" fontId="92" fillId="0" borderId="10" xfId="2" applyNumberFormat="1" applyFont="1" applyBorder="1" applyAlignment="1">
      <alignment horizontal="center" vertical="center" wrapText="1"/>
    </xf>
    <xf numFmtId="165" fontId="92" fillId="0" borderId="10" xfId="16" applyNumberFormat="1" applyFont="1" applyFill="1" applyBorder="1" applyAlignment="1">
      <alignment horizontal="center" vertical="center" wrapText="1"/>
    </xf>
    <xf numFmtId="2" fontId="92" fillId="7" borderId="10" xfId="2" applyNumberFormat="1" applyFont="1" applyFill="1" applyBorder="1" applyAlignment="1">
      <alignment horizontal="center" vertical="center" wrapText="1"/>
    </xf>
    <xf numFmtId="165" fontId="92" fillId="2" borderId="10" xfId="2" applyNumberFormat="1" applyFont="1" applyFill="1" applyBorder="1" applyAlignment="1">
      <alignment horizontal="center" vertical="center" wrapText="1"/>
    </xf>
    <xf numFmtId="0" fontId="20" fillId="11" borderId="10" xfId="3" applyFont="1" applyFill="1" applyBorder="1" applyAlignment="1">
      <alignment horizontal="left" vertical="center" wrapText="1" indent="2"/>
    </xf>
    <xf numFmtId="173" fontId="21" fillId="0" borderId="10" xfId="4" applyNumberFormat="1" applyFill="1" applyBorder="1" applyAlignment="1">
      <alignment horizontal="center" vertical="center" wrapText="1"/>
    </xf>
    <xf numFmtId="0" fontId="11" fillId="21" borderId="109" xfId="0" applyFont="1" applyFill="1" applyBorder="1" applyAlignment="1">
      <alignment horizontal="center" vertical="center" wrapText="1"/>
    </xf>
    <xf numFmtId="168" fontId="10" fillId="11" borderId="10" xfId="2" applyNumberFormat="1" applyFill="1" applyBorder="1" applyAlignment="1">
      <alignment horizontal="center" vertical="center" wrapText="1"/>
    </xf>
    <xf numFmtId="0" fontId="93" fillId="0" borderId="10" xfId="3" applyFont="1" applyFill="1" applyBorder="1" applyAlignment="1">
      <alignment horizontal="left" indent="2"/>
    </xf>
    <xf numFmtId="0" fontId="84" fillId="0" borderId="10" xfId="3" applyFont="1" applyFill="1" applyBorder="1" applyAlignment="1">
      <alignment horizontal="left" indent="2"/>
    </xf>
    <xf numFmtId="164" fontId="84" fillId="20" borderId="10" xfId="4" applyNumberFormat="1" applyFont="1" applyFill="1" applyBorder="1" applyAlignment="1">
      <alignment horizontal="center" vertical="center" wrapText="1"/>
    </xf>
    <xf numFmtId="165" fontId="84" fillId="20" borderId="10" xfId="4" applyNumberFormat="1" applyFont="1" applyFill="1" applyBorder="1" applyAlignment="1">
      <alignment horizontal="center" vertical="center" wrapText="1"/>
    </xf>
    <xf numFmtId="0" fontId="55" fillId="0" borderId="103" xfId="12" applyFont="1" applyBorder="1" applyAlignment="1">
      <alignment horizontal="left" vertical="top" wrapText="1"/>
    </xf>
    <xf numFmtId="0" fontId="94" fillId="0" borderId="39" xfId="12" applyFont="1" applyBorder="1" applyAlignment="1">
      <alignment horizontal="left" vertical="top" wrapText="1"/>
    </xf>
    <xf numFmtId="0" fontId="55" fillId="13" borderId="36" xfId="12" applyFont="1" applyFill="1" applyBorder="1" applyAlignment="1">
      <alignment horizontal="right" vertical="center" wrapText="1"/>
    </xf>
    <xf numFmtId="0" fontId="55" fillId="13" borderId="10" xfId="12" applyFont="1" applyFill="1" applyBorder="1" applyAlignment="1">
      <alignment horizontal="left" vertical="center" wrapText="1"/>
    </xf>
    <xf numFmtId="0" fontId="55" fillId="13" borderId="35" xfId="12" applyFont="1" applyFill="1" applyBorder="1" applyAlignment="1">
      <alignment vertical="center" wrapText="1"/>
    </xf>
    <xf numFmtId="0" fontId="20" fillId="11" borderId="10" xfId="3" applyFont="1" applyFill="1" applyBorder="1" applyAlignment="1">
      <alignment horizontal="left" wrapText="1" indent="2"/>
    </xf>
    <xf numFmtId="0" fontId="10" fillId="7" borderId="13" xfId="2" applyFill="1" applyBorder="1" applyAlignment="1">
      <alignment horizontal="center" vertical="center" wrapText="1"/>
    </xf>
    <xf numFmtId="0" fontId="11" fillId="7" borderId="13" xfId="2" quotePrefix="1" applyFont="1" applyFill="1" applyBorder="1" applyAlignment="1">
      <alignment horizontal="center" vertical="center" wrapText="1"/>
    </xf>
    <xf numFmtId="0" fontId="11" fillId="2" borderId="10" xfId="0" applyFont="1" applyFill="1" applyBorder="1" applyAlignment="1">
      <alignment horizontal="center" vertical="center" wrapText="1"/>
    </xf>
    <xf numFmtId="173" fontId="11" fillId="7" borderId="126" xfId="0" applyNumberFormat="1" applyFont="1" applyFill="1" applyBorder="1" applyAlignment="1">
      <alignment horizontal="center" vertical="center" wrapText="1"/>
    </xf>
    <xf numFmtId="173" fontId="11" fillId="7" borderId="123" xfId="0" applyNumberFormat="1" applyFont="1" applyFill="1" applyBorder="1" applyAlignment="1">
      <alignment horizontal="center" vertical="center" wrapText="1"/>
    </xf>
    <xf numFmtId="0" fontId="13" fillId="7" borderId="117" xfId="5" applyFont="1" applyFill="1" applyBorder="1" applyAlignment="1">
      <alignment horizontal="left" vertical="center" wrapText="1" indent="1"/>
    </xf>
    <xf numFmtId="0" fontId="16" fillId="7" borderId="33" xfId="6" applyFont="1" applyFill="1" applyBorder="1" applyAlignment="1">
      <alignment horizontal="center" vertical="center"/>
    </xf>
    <xf numFmtId="2" fontId="10" fillId="7" borderId="33" xfId="2" applyNumberFormat="1" applyFill="1" applyBorder="1" applyAlignment="1">
      <alignment horizontal="center" vertical="center" wrapText="1"/>
    </xf>
    <xf numFmtId="1" fontId="10" fillId="7" borderId="33" xfId="2" applyNumberFormat="1" applyFill="1" applyBorder="1" applyAlignment="1">
      <alignment horizontal="center" vertical="center" wrapText="1"/>
    </xf>
    <xf numFmtId="0" fontId="10" fillId="7" borderId="119" xfId="2" applyFill="1" applyBorder="1" applyAlignment="1">
      <alignment horizontal="center" vertical="center" wrapText="1"/>
    </xf>
    <xf numFmtId="0" fontId="61" fillId="0" borderId="0" xfId="12" applyFont="1" applyAlignment="1">
      <alignment horizontal="center" vertical="center" wrapText="1"/>
    </xf>
    <xf numFmtId="0" fontId="11" fillId="11" borderId="14" xfId="2" applyFont="1" applyFill="1" applyBorder="1" applyAlignment="1">
      <alignment horizontal="center" vertical="center" wrapText="1"/>
    </xf>
    <xf numFmtId="0" fontId="10" fillId="11" borderId="15" xfId="2" applyFill="1" applyBorder="1" applyAlignment="1">
      <alignment horizontal="center" vertical="center" wrapText="1"/>
    </xf>
    <xf numFmtId="0" fontId="10" fillId="11" borderId="16" xfId="2" applyFill="1" applyBorder="1" applyAlignment="1">
      <alignment horizontal="center" vertical="center" wrapText="1"/>
    </xf>
    <xf numFmtId="0" fontId="11" fillId="11" borderId="0" xfId="2" applyFont="1" applyFill="1" applyAlignment="1">
      <alignment horizontal="center" vertical="center" wrapText="1"/>
    </xf>
    <xf numFmtId="0" fontId="10" fillId="11" borderId="0" xfId="2" applyFill="1" applyAlignment="1">
      <alignment horizontal="center" vertical="center" wrapText="1"/>
    </xf>
    <xf numFmtId="0" fontId="27" fillId="7" borderId="11" xfId="5" applyFont="1" applyFill="1" applyBorder="1" applyAlignment="1">
      <alignment horizontal="left" vertical="center" wrapText="1"/>
    </xf>
    <xf numFmtId="0" fontId="27" fillId="7" borderId="12" xfId="5" applyFont="1" applyFill="1" applyBorder="1" applyAlignment="1">
      <alignment horizontal="left" vertical="center" wrapText="1"/>
    </xf>
    <xf numFmtId="0" fontId="27" fillId="7" borderId="13" xfId="5" applyFont="1" applyFill="1" applyBorder="1" applyAlignment="1">
      <alignment horizontal="left" vertical="center" wrapText="1"/>
    </xf>
    <xf numFmtId="0" fontId="9" fillId="7" borderId="10" xfId="1" applyFont="1" applyFill="1" applyBorder="1" applyAlignment="1">
      <alignment horizontal="center"/>
    </xf>
    <xf numFmtId="0" fontId="8" fillId="7" borderId="10" xfId="1" applyFill="1" applyBorder="1" applyAlignment="1">
      <alignment horizontal="center" vertical="center"/>
    </xf>
    <xf numFmtId="0" fontId="8" fillId="7" borderId="10" xfId="1" applyFill="1" applyBorder="1" applyAlignment="1">
      <alignment horizontal="center" vertical="center" wrapText="1"/>
    </xf>
    <xf numFmtId="0" fontId="9" fillId="7" borderId="10" xfId="0" applyFont="1" applyFill="1" applyBorder="1" applyAlignment="1">
      <alignment horizontal="center"/>
    </xf>
    <xf numFmtId="0" fontId="0" fillId="7" borderId="10" xfId="0" applyFill="1" applyBorder="1" applyAlignment="1">
      <alignment horizontal="center" vertical="center"/>
    </xf>
    <xf numFmtId="0" fontId="0" fillId="7" borderId="10" xfId="0" applyFill="1" applyBorder="1" applyAlignment="1">
      <alignment horizontal="center" vertical="center" wrapText="1"/>
    </xf>
    <xf numFmtId="0" fontId="9" fillId="0" borderId="11" xfId="1" applyFont="1" applyBorder="1" applyAlignment="1">
      <alignment horizontal="center"/>
    </xf>
    <xf numFmtId="0" fontId="9" fillId="0" borderId="12" xfId="1" applyFont="1" applyBorder="1" applyAlignment="1">
      <alignment horizontal="center"/>
    </xf>
    <xf numFmtId="0" fontId="9" fillId="0" borderId="13" xfId="1" applyFont="1" applyBorder="1" applyAlignment="1">
      <alignment horizontal="center"/>
    </xf>
    <xf numFmtId="0" fontId="8" fillId="0" borderId="10" xfId="1" applyBorder="1" applyAlignment="1">
      <alignment horizontal="center" vertical="center"/>
    </xf>
    <xf numFmtId="0" fontId="8" fillId="0" borderId="10" xfId="1" applyBorder="1" applyAlignment="1">
      <alignment horizontal="center" vertical="center" wrapText="1"/>
    </xf>
    <xf numFmtId="0" fontId="9" fillId="0" borderId="10" xfId="0" applyFont="1" applyBorder="1" applyAlignment="1">
      <alignment horizont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50" fillId="7" borderId="55" xfId="0" applyFont="1" applyFill="1" applyBorder="1" applyAlignment="1">
      <alignment horizontal="center" vertical="center" textRotation="180"/>
    </xf>
    <xf numFmtId="0" fontId="50" fillId="7" borderId="9" xfId="0" applyFont="1" applyFill="1" applyBorder="1" applyAlignment="1">
      <alignment horizontal="center" vertical="center" textRotation="180"/>
    </xf>
    <xf numFmtId="0" fontId="50" fillId="7" borderId="67" xfId="0" applyFont="1" applyFill="1" applyBorder="1" applyAlignment="1">
      <alignment horizontal="center" vertical="center" textRotation="180"/>
    </xf>
    <xf numFmtId="0" fontId="47" fillId="7" borderId="56" xfId="0" applyFont="1" applyFill="1" applyBorder="1" applyAlignment="1">
      <alignment horizontal="center" vertical="center" textRotation="180"/>
    </xf>
    <xf numFmtId="0" fontId="47" fillId="7" borderId="66" xfId="0" applyFont="1" applyFill="1" applyBorder="1" applyAlignment="1">
      <alignment horizontal="center" vertical="center" textRotation="180"/>
    </xf>
    <xf numFmtId="0" fontId="47" fillId="7" borderId="68" xfId="0" applyFont="1" applyFill="1" applyBorder="1" applyAlignment="1">
      <alignment horizontal="center" vertical="center" textRotation="180"/>
    </xf>
    <xf numFmtId="0" fontId="9" fillId="2" borderId="10" xfId="0" applyFont="1" applyFill="1" applyBorder="1" applyAlignment="1">
      <alignment horizontal="center"/>
    </xf>
    <xf numFmtId="0" fontId="0" fillId="2" borderId="10" xfId="0" applyFill="1" applyBorder="1" applyAlignment="1">
      <alignment horizontal="center" vertical="center"/>
    </xf>
    <xf numFmtId="0" fontId="0" fillId="2" borderId="10" xfId="0" applyFill="1" applyBorder="1" applyAlignment="1">
      <alignment horizontal="center" vertical="center" wrapText="1"/>
    </xf>
  </cellXfs>
  <cellStyles count="17">
    <cellStyle name="Collegamento ipertestuale" xfId="11" builtinId="8"/>
    <cellStyle name="Collegamento ipertestuale 2" xfId="13" xr:uid="{773A19E8-D86C-4FBB-ACA4-CF5597AA9AFB}"/>
    <cellStyle name="Good 2" xfId="4" xr:uid="{C967C72B-742B-4EDE-93B4-573180BC086C}"/>
    <cellStyle name="Normal 2" xfId="2" xr:uid="{C8EAFCEB-C083-44BA-BEDD-787F974F0A55}"/>
    <cellStyle name="Normal 3 2" xfId="12" xr:uid="{034CE4E5-6C4A-4A11-8F35-0B2B6225C7DF}"/>
    <cellStyle name="Normal 4" xfId="5" xr:uid="{069D2535-FAC4-4C44-B9FC-FA8DC1DE6C6F}"/>
    <cellStyle name="Normal 4 2" xfId="14" xr:uid="{76A9EBDA-BE79-43AC-A779-54B769150779}"/>
    <cellStyle name="Normal 5" xfId="15" xr:uid="{F6F8D44A-D108-40B3-91F0-12AA8C493BA8}"/>
    <cellStyle name="Normale" xfId="0" builtinId="0"/>
    <cellStyle name="Normale 2" xfId="1" xr:uid="{983C4265-97BA-4AD5-A9FD-A6841215FF57}"/>
    <cellStyle name="Normale 2 2" xfId="6" xr:uid="{01DE7C3E-1EBF-4A23-8B78-6297D6A6256A}"/>
    <cellStyle name="Normale 2 3" xfId="10" xr:uid="{E9145254-E56D-4C1F-8D72-AD9FBD18B1AE}"/>
    <cellStyle name="Normale 3" xfId="7" xr:uid="{B854F89F-4F4D-490A-991B-BD44D1F72BB2}"/>
    <cellStyle name="Normale 3 2" xfId="8" xr:uid="{A58D5D6B-91F6-411F-AF33-090E7B9530AA}"/>
    <cellStyle name="Normale 4" xfId="9" xr:uid="{16B8FC82-9079-4E41-99DD-022E72E38C78}"/>
    <cellStyle name="Percentuale" xfId="16" builtinId="5"/>
    <cellStyle name="Valore non valido 2" xfId="3" xr:uid="{A7FAE2E5-BC6E-4DF0-B0D7-264A3DA4DE51}"/>
  </cellStyles>
  <dxfs count="0"/>
  <tableStyles count="0" defaultTableStyle="TableStyleMedium2" defaultPivotStyle="PivotStyleLight16"/>
  <colors>
    <mruColors>
      <color rgb="FF0000FF"/>
      <color rgb="FFFF3399"/>
      <color rgb="FFCCFFFF"/>
      <color rgb="FF99FFCC"/>
      <color rgb="FF99FF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externalLink" Target="externalLinks/externalLink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externalLink" Target="externalLinks/externalLink1.xml"/><Relationship Id="rId6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61"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WWHR device temperatures - C</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572990876140483"/>
          <c:y val="0.12835437477500308"/>
          <c:w val="0.81381327334083242"/>
          <c:h val="0.65834302867025241"/>
        </c:manualLayout>
      </c:layout>
      <c:lineChart>
        <c:grouping val="standard"/>
        <c:varyColors val="0"/>
        <c:ser>
          <c:idx val="0"/>
          <c:order val="0"/>
          <c:tx>
            <c:strRef>
              <c:f>Method_calculation!$M$113</c:f>
              <c:strCache>
                <c:ptCount val="1"/>
                <c:pt idx="0">
                  <c:v>Primary</c:v>
                </c:pt>
              </c:strCache>
            </c:strRef>
          </c:tx>
          <c:spPr>
            <a:ln w="28575" cap="rnd">
              <a:solidFill>
                <a:srgbClr val="FF0000"/>
              </a:solidFill>
              <a:round/>
              <a:headEnd type="none" w="med" len="med"/>
              <a:tailEnd type="triangle" w="med" len="med"/>
            </a:ln>
            <a:effectLst/>
          </c:spPr>
          <c:marker>
            <c:symbol val="none"/>
          </c:marker>
          <c:cat>
            <c:strRef>
              <c:f>Method_calculation!$L$114:$L$116</c:f>
              <c:strCache>
                <c:ptCount val="3"/>
                <c:pt idx="0">
                  <c:v>Shower</c:v>
                </c:pt>
                <c:pt idx="2">
                  <c:v>Drain</c:v>
                </c:pt>
              </c:strCache>
            </c:strRef>
          </c:cat>
          <c:val>
            <c:numRef>
              <c:f>Method_calculation!$M$114:$M$116</c:f>
              <c:numCache>
                <c:formatCode>General</c:formatCode>
                <c:ptCount val="3"/>
                <c:pt idx="0" formatCode="0.0">
                  <c:v>35</c:v>
                </c:pt>
                <c:pt idx="2" formatCode="0.0">
                  <c:v>25.418557863804125</c:v>
                </c:pt>
              </c:numCache>
            </c:numRef>
          </c:val>
          <c:smooth val="0"/>
          <c:extLst>
            <c:ext xmlns:c16="http://schemas.microsoft.com/office/drawing/2014/chart" uri="{C3380CC4-5D6E-409C-BE32-E72D297353CC}">
              <c16:uniqueId val="{00000000-0D00-47F4-87D7-651487F9E25A}"/>
            </c:ext>
          </c:extLst>
        </c:ser>
        <c:ser>
          <c:idx val="1"/>
          <c:order val="1"/>
          <c:tx>
            <c:strRef>
              <c:f>Method_calculation!$N$113</c:f>
              <c:strCache>
                <c:ptCount val="1"/>
                <c:pt idx="0">
                  <c:v>Secondary</c:v>
                </c:pt>
              </c:strCache>
            </c:strRef>
          </c:tx>
          <c:spPr>
            <a:ln w="28575" cap="rnd">
              <a:solidFill>
                <a:srgbClr val="0000FF"/>
              </a:solidFill>
              <a:round/>
              <a:headEnd type="triangle" w="med" len="med"/>
            </a:ln>
            <a:effectLst/>
          </c:spPr>
          <c:marker>
            <c:symbol val="none"/>
          </c:marker>
          <c:cat>
            <c:strRef>
              <c:f>Method_calculation!$L$114:$L$116</c:f>
              <c:strCache>
                <c:ptCount val="3"/>
                <c:pt idx="0">
                  <c:v>Shower</c:v>
                </c:pt>
                <c:pt idx="2">
                  <c:v>Drain</c:v>
                </c:pt>
              </c:strCache>
            </c:strRef>
          </c:cat>
          <c:val>
            <c:numRef>
              <c:f>Method_calculation!$N$114:$N$116</c:f>
              <c:numCache>
                <c:formatCode>General</c:formatCode>
                <c:ptCount val="3"/>
                <c:pt idx="0" formatCode="0.00">
                  <c:v>30.723729585571146</c:v>
                </c:pt>
                <c:pt idx="2" formatCode="0.00">
                  <c:v>12</c:v>
                </c:pt>
              </c:numCache>
            </c:numRef>
          </c:val>
          <c:smooth val="0"/>
          <c:extLst>
            <c:ext xmlns:c16="http://schemas.microsoft.com/office/drawing/2014/chart" uri="{C3380CC4-5D6E-409C-BE32-E72D297353CC}">
              <c16:uniqueId val="{00000001-0D00-47F4-87D7-651487F9E25A}"/>
            </c:ext>
          </c:extLst>
        </c:ser>
        <c:dLbls>
          <c:showLegendKey val="0"/>
          <c:showVal val="0"/>
          <c:showCatName val="0"/>
          <c:showSerName val="0"/>
          <c:showPercent val="0"/>
          <c:showBubbleSize val="0"/>
        </c:dLbls>
        <c:smooth val="0"/>
        <c:axId val="658429832"/>
        <c:axId val="658436312"/>
      </c:lineChart>
      <c:catAx>
        <c:axId val="658429832"/>
        <c:scaling>
          <c:orientation val="minMax"/>
        </c:scaling>
        <c:delete val="0"/>
        <c:axPos val="b"/>
        <c:majorGridlines>
          <c:spPr>
            <a:ln w="9525" cap="flat" cmpd="sng" algn="ctr">
              <a:solidFill>
                <a:schemeClr val="bg1"/>
              </a:solidFill>
              <a:round/>
            </a:ln>
            <a:effectLst/>
          </c:spPr>
        </c:majorGridlines>
        <c:minorGridlines>
          <c:spPr>
            <a:ln w="9525" cap="flat" cmpd="sng" algn="ctr">
              <a:solidFill>
                <a:schemeClr val="bg1">
                  <a:lumMod val="65000"/>
                </a:schemeClr>
              </a:solidFill>
              <a:prstDash val="dash"/>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436312"/>
        <c:crosses val="autoZero"/>
        <c:auto val="1"/>
        <c:lblAlgn val="ctr"/>
        <c:lblOffset val="100"/>
        <c:noMultiLvlLbl val="0"/>
      </c:catAx>
      <c:valAx>
        <c:axId val="658436312"/>
        <c:scaling>
          <c:orientation val="minMax"/>
        </c:scaling>
        <c:delete val="0"/>
        <c:axPos val="l"/>
        <c:majorGridlines>
          <c:spPr>
            <a:ln w="9525" cap="flat" cmpd="sng" algn="ctr">
              <a:solidFill>
                <a:schemeClr val="bg1">
                  <a:lumMod val="65000"/>
                </a:schemeClr>
              </a:solidFill>
              <a:prstDash val="dash"/>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crossAx val="658429832"/>
        <c:crosses val="autoZero"/>
        <c:crossBetween val="between"/>
      </c:valAx>
      <c:spPr>
        <a:noFill/>
        <a:ln>
          <a:solidFill>
            <a:schemeClr val="tx1"/>
          </a:solidFill>
        </a:ln>
        <a:effectLst/>
      </c:spPr>
    </c:plotArea>
    <c:legend>
      <c:legendPos val="b"/>
      <c:layout>
        <c:manualLayout>
          <c:xMode val="edge"/>
          <c:yMode val="edge"/>
          <c:x val="0.13796775403074618"/>
          <c:y val="0.89409667541557303"/>
          <c:w val="0.78358798900137483"/>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WWHR device temperatures - B</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572990876140483"/>
          <c:y val="0.13337966536801141"/>
          <c:w val="0.81381327334083242"/>
          <c:h val="0.6582193708652998"/>
        </c:manualLayout>
      </c:layout>
      <c:lineChart>
        <c:grouping val="standard"/>
        <c:varyColors val="0"/>
        <c:ser>
          <c:idx val="0"/>
          <c:order val="0"/>
          <c:tx>
            <c:strRef>
              <c:f>Method_calculation!$M$113</c:f>
              <c:strCache>
                <c:ptCount val="1"/>
                <c:pt idx="0">
                  <c:v>Primary</c:v>
                </c:pt>
              </c:strCache>
            </c:strRef>
          </c:tx>
          <c:spPr>
            <a:ln w="28575" cap="rnd">
              <a:solidFill>
                <a:srgbClr val="FF0000"/>
              </a:solidFill>
              <a:round/>
              <a:tailEnd type="triangle"/>
            </a:ln>
            <a:effectLst/>
          </c:spPr>
          <c:marker>
            <c:symbol val="none"/>
          </c:marker>
          <c:cat>
            <c:strRef>
              <c:f>Method_calculation!$L$114:$L$116</c:f>
              <c:strCache>
                <c:ptCount val="3"/>
                <c:pt idx="0">
                  <c:v>Shower</c:v>
                </c:pt>
                <c:pt idx="2">
                  <c:v>Drain</c:v>
                </c:pt>
              </c:strCache>
            </c:strRef>
          </c:cat>
          <c:val>
            <c:numRef>
              <c:f>Method_calculation!$M$71:$M$73</c:f>
              <c:numCache>
                <c:formatCode>0.0</c:formatCode>
                <c:ptCount val="3"/>
                <c:pt idx="0">
                  <c:v>35</c:v>
                </c:pt>
                <c:pt idx="2">
                  <c:v>24.258379320187125</c:v>
                </c:pt>
              </c:numCache>
            </c:numRef>
          </c:val>
          <c:smooth val="0"/>
          <c:extLst>
            <c:ext xmlns:c16="http://schemas.microsoft.com/office/drawing/2014/chart" uri="{C3380CC4-5D6E-409C-BE32-E72D297353CC}">
              <c16:uniqueId val="{00000000-85FF-44E6-A987-65947F13C2A5}"/>
            </c:ext>
          </c:extLst>
        </c:ser>
        <c:ser>
          <c:idx val="1"/>
          <c:order val="1"/>
          <c:tx>
            <c:strRef>
              <c:f>Method_calculation!$N$113</c:f>
              <c:strCache>
                <c:ptCount val="1"/>
                <c:pt idx="0">
                  <c:v>Secondary</c:v>
                </c:pt>
              </c:strCache>
            </c:strRef>
          </c:tx>
          <c:spPr>
            <a:ln w="28575" cap="rnd">
              <a:solidFill>
                <a:srgbClr val="0000FF"/>
              </a:solidFill>
              <a:round/>
              <a:headEnd type="triangle"/>
            </a:ln>
            <a:effectLst/>
          </c:spPr>
          <c:marker>
            <c:symbol val="none"/>
          </c:marker>
          <c:cat>
            <c:strRef>
              <c:f>Method_calculation!$L$114:$L$116</c:f>
              <c:strCache>
                <c:ptCount val="3"/>
                <c:pt idx="0">
                  <c:v>Shower</c:v>
                </c:pt>
                <c:pt idx="2">
                  <c:v>Drain</c:v>
                </c:pt>
              </c:strCache>
            </c:strRef>
          </c:cat>
          <c:val>
            <c:numRef>
              <c:f>Method_calculation!$N$71:$N$73</c:f>
              <c:numCache>
                <c:formatCode>0.00</c:formatCode>
                <c:ptCount val="3"/>
                <c:pt idx="0">
                  <c:v>27.490909090909092</c:v>
                </c:pt>
                <c:pt idx="2">
                  <c:v>12</c:v>
                </c:pt>
              </c:numCache>
            </c:numRef>
          </c:val>
          <c:smooth val="0"/>
          <c:extLst>
            <c:ext xmlns:c16="http://schemas.microsoft.com/office/drawing/2014/chart" uri="{C3380CC4-5D6E-409C-BE32-E72D297353CC}">
              <c16:uniqueId val="{00000001-85FF-44E6-A987-65947F13C2A5}"/>
            </c:ext>
          </c:extLst>
        </c:ser>
        <c:dLbls>
          <c:showLegendKey val="0"/>
          <c:showVal val="0"/>
          <c:showCatName val="0"/>
          <c:showSerName val="0"/>
          <c:showPercent val="0"/>
          <c:showBubbleSize val="0"/>
        </c:dLbls>
        <c:smooth val="0"/>
        <c:axId val="658429832"/>
        <c:axId val="658436312"/>
      </c:lineChart>
      <c:catAx>
        <c:axId val="658429832"/>
        <c:scaling>
          <c:orientation val="minMax"/>
        </c:scaling>
        <c:delete val="0"/>
        <c:axPos val="b"/>
        <c:majorGridlines>
          <c:spPr>
            <a:ln w="9525" cap="flat" cmpd="sng" algn="ctr">
              <a:solidFill>
                <a:schemeClr val="bg1"/>
              </a:solidFill>
              <a:round/>
            </a:ln>
            <a:effectLst/>
          </c:spPr>
        </c:majorGridlines>
        <c:minorGridlines>
          <c:spPr>
            <a:ln w="9525" cap="flat" cmpd="sng" algn="ctr">
              <a:solidFill>
                <a:schemeClr val="bg1">
                  <a:lumMod val="65000"/>
                </a:schemeClr>
              </a:solidFill>
              <a:prstDash val="dash"/>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436312"/>
        <c:crosses val="autoZero"/>
        <c:auto val="1"/>
        <c:lblAlgn val="ctr"/>
        <c:lblOffset val="100"/>
        <c:noMultiLvlLbl val="0"/>
      </c:catAx>
      <c:valAx>
        <c:axId val="658436312"/>
        <c:scaling>
          <c:orientation val="minMax"/>
        </c:scaling>
        <c:delete val="0"/>
        <c:axPos val="l"/>
        <c:majorGridlines>
          <c:spPr>
            <a:ln w="9525" cap="flat" cmpd="sng" algn="ctr">
              <a:solidFill>
                <a:schemeClr val="bg1">
                  <a:lumMod val="65000"/>
                </a:schemeClr>
              </a:solidFill>
              <a:prstDash val="dash"/>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crossAx val="658429832"/>
        <c:crosses val="autoZero"/>
        <c:crossBetween val="between"/>
      </c:valAx>
      <c:spPr>
        <a:noFill/>
        <a:ln>
          <a:solidFill>
            <a:schemeClr val="tx1"/>
          </a:solidFill>
        </a:ln>
        <a:effectLst/>
      </c:spPr>
    </c:plotArea>
    <c:legend>
      <c:legendPos val="b"/>
      <c:layout>
        <c:manualLayout>
          <c:xMode val="edge"/>
          <c:yMode val="edge"/>
          <c:x val="0.13796775403074618"/>
          <c:y val="0.89409667541557303"/>
          <c:w val="0.78358798900137483"/>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WWHR device temperatures - A</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572990876140483"/>
          <c:y val="0.1525462801389206"/>
          <c:w val="0.81381327334083242"/>
          <c:h val="0.65266946746477472"/>
        </c:manualLayout>
      </c:layout>
      <c:lineChart>
        <c:grouping val="standard"/>
        <c:varyColors val="0"/>
        <c:ser>
          <c:idx val="0"/>
          <c:order val="0"/>
          <c:tx>
            <c:strRef>
              <c:f>Method_calculation!$M$113</c:f>
              <c:strCache>
                <c:ptCount val="1"/>
                <c:pt idx="0">
                  <c:v>Primary</c:v>
                </c:pt>
              </c:strCache>
            </c:strRef>
          </c:tx>
          <c:spPr>
            <a:ln w="28575" cap="rnd">
              <a:solidFill>
                <a:srgbClr val="FF0000"/>
              </a:solidFill>
              <a:round/>
              <a:tailEnd type="triangle"/>
            </a:ln>
            <a:effectLst/>
          </c:spPr>
          <c:marker>
            <c:symbol val="none"/>
          </c:marker>
          <c:cat>
            <c:strRef>
              <c:f>Method_calculation!$L$114:$L$116</c:f>
              <c:strCache>
                <c:ptCount val="3"/>
                <c:pt idx="0">
                  <c:v>Shower</c:v>
                </c:pt>
                <c:pt idx="2">
                  <c:v>Drain</c:v>
                </c:pt>
              </c:strCache>
            </c:strRef>
          </c:cat>
          <c:val>
            <c:numRef>
              <c:f>Method_calculation!$M$37:$M$38</c:f>
              <c:numCache>
                <c:formatCode>0.0</c:formatCode>
                <c:ptCount val="2"/>
                <c:pt idx="0">
                  <c:v>35</c:v>
                </c:pt>
                <c:pt idx="1">
                  <c:v>22.509090909090908</c:v>
                </c:pt>
              </c:numCache>
            </c:numRef>
          </c:val>
          <c:smooth val="0"/>
          <c:extLst>
            <c:ext xmlns:c16="http://schemas.microsoft.com/office/drawing/2014/chart" uri="{C3380CC4-5D6E-409C-BE32-E72D297353CC}">
              <c16:uniqueId val="{00000000-F447-4FE5-A959-33063A37E1CA}"/>
            </c:ext>
          </c:extLst>
        </c:ser>
        <c:ser>
          <c:idx val="1"/>
          <c:order val="1"/>
          <c:tx>
            <c:strRef>
              <c:f>Method_calculation!$N$113</c:f>
              <c:strCache>
                <c:ptCount val="1"/>
                <c:pt idx="0">
                  <c:v>Secondary</c:v>
                </c:pt>
              </c:strCache>
            </c:strRef>
          </c:tx>
          <c:spPr>
            <a:ln w="28575" cap="rnd">
              <a:solidFill>
                <a:srgbClr val="0000FF"/>
              </a:solidFill>
              <a:round/>
              <a:headEnd type="triangle"/>
            </a:ln>
            <a:effectLst/>
          </c:spPr>
          <c:marker>
            <c:symbol val="none"/>
          </c:marker>
          <c:cat>
            <c:strRef>
              <c:f>Method_calculation!$L$114:$L$116</c:f>
              <c:strCache>
                <c:ptCount val="3"/>
                <c:pt idx="0">
                  <c:v>Shower</c:v>
                </c:pt>
                <c:pt idx="2">
                  <c:v>Drain</c:v>
                </c:pt>
              </c:strCache>
            </c:strRef>
          </c:cat>
          <c:val>
            <c:numRef>
              <c:f>Method_calculation!$N$37:$N$38</c:f>
              <c:numCache>
                <c:formatCode>0.00</c:formatCode>
                <c:ptCount val="2"/>
                <c:pt idx="0">
                  <c:v>27.490909090909092</c:v>
                </c:pt>
                <c:pt idx="1">
                  <c:v>12</c:v>
                </c:pt>
              </c:numCache>
            </c:numRef>
          </c:val>
          <c:smooth val="0"/>
          <c:extLst>
            <c:ext xmlns:c16="http://schemas.microsoft.com/office/drawing/2014/chart" uri="{C3380CC4-5D6E-409C-BE32-E72D297353CC}">
              <c16:uniqueId val="{00000001-F447-4FE5-A959-33063A37E1CA}"/>
            </c:ext>
          </c:extLst>
        </c:ser>
        <c:dLbls>
          <c:showLegendKey val="0"/>
          <c:showVal val="0"/>
          <c:showCatName val="0"/>
          <c:showSerName val="0"/>
          <c:showPercent val="0"/>
          <c:showBubbleSize val="0"/>
        </c:dLbls>
        <c:smooth val="0"/>
        <c:axId val="658429832"/>
        <c:axId val="658436312"/>
      </c:lineChart>
      <c:catAx>
        <c:axId val="658429832"/>
        <c:scaling>
          <c:orientation val="minMax"/>
        </c:scaling>
        <c:delete val="0"/>
        <c:axPos val="b"/>
        <c:majorGridlines>
          <c:spPr>
            <a:ln w="9525" cap="flat" cmpd="sng" algn="ctr">
              <a:solidFill>
                <a:schemeClr val="bg1"/>
              </a:solidFill>
              <a:round/>
            </a:ln>
            <a:effectLst/>
          </c:spPr>
        </c:majorGridlines>
        <c:minorGridlines>
          <c:spPr>
            <a:ln w="9525" cap="flat" cmpd="sng" algn="ctr">
              <a:solidFill>
                <a:schemeClr val="bg1">
                  <a:lumMod val="65000"/>
                </a:schemeClr>
              </a:solidFill>
              <a:prstDash val="dash"/>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436312"/>
        <c:crosses val="autoZero"/>
        <c:auto val="1"/>
        <c:lblAlgn val="ctr"/>
        <c:lblOffset val="100"/>
        <c:noMultiLvlLbl val="0"/>
      </c:catAx>
      <c:valAx>
        <c:axId val="658436312"/>
        <c:scaling>
          <c:orientation val="minMax"/>
        </c:scaling>
        <c:delete val="0"/>
        <c:axPos val="l"/>
        <c:majorGridlines>
          <c:spPr>
            <a:ln w="9525" cap="flat" cmpd="sng" algn="ctr">
              <a:solidFill>
                <a:schemeClr val="bg1">
                  <a:lumMod val="65000"/>
                </a:schemeClr>
              </a:solidFill>
              <a:prstDash val="dash"/>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crossAx val="658429832"/>
        <c:crosses val="autoZero"/>
        <c:crossBetween val="between"/>
      </c:valAx>
      <c:spPr>
        <a:noFill/>
        <a:ln>
          <a:solidFill>
            <a:schemeClr val="tx1"/>
          </a:solidFill>
        </a:ln>
        <a:effectLst/>
      </c:spPr>
    </c:plotArea>
    <c:legend>
      <c:legendPos val="b"/>
      <c:layout>
        <c:manualLayout>
          <c:xMode val="edge"/>
          <c:yMode val="edge"/>
          <c:x val="0.13796775403074618"/>
          <c:y val="0.89409667541557303"/>
          <c:w val="0.78358798900137483"/>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DHW use l/day @52°C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07-4758-91EE-B382BB87F9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07-4758-91EE-B382BB87F9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07-4758-91EE-B382BB87F9BE}"/>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UK_SBEM!$A$57:$A$59</c:f>
              <c:strCache>
                <c:ptCount val="3"/>
                <c:pt idx="0">
                  <c:v>Shower</c:v>
                </c:pt>
                <c:pt idx="1">
                  <c:v>Bath</c:v>
                </c:pt>
                <c:pt idx="2">
                  <c:v>Other</c:v>
                </c:pt>
              </c:strCache>
            </c:strRef>
          </c:cat>
          <c:val>
            <c:numRef>
              <c:f>UK_SBEM!$E$57:$E$59</c:f>
              <c:numCache>
                <c:formatCode>0.00</c:formatCode>
                <c:ptCount val="3"/>
                <c:pt idx="0">
                  <c:v>89.246346715959106</c:v>
                </c:pt>
                <c:pt idx="1">
                  <c:v>33.146818854449194</c:v>
                </c:pt>
                <c:pt idx="2">
                  <c:v>42.060481679555181</c:v>
                </c:pt>
              </c:numCache>
            </c:numRef>
          </c:val>
          <c:extLst>
            <c:ext xmlns:c16="http://schemas.microsoft.com/office/drawing/2014/chart" uri="{C3380CC4-5D6E-409C-BE32-E72D297353CC}">
              <c16:uniqueId val="{00000006-DA07-4758-91EE-B382BB87F9B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WWHR device temperatures - C</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572990876140483"/>
          <c:y val="0.12835437477500308"/>
          <c:w val="0.81381327334083242"/>
          <c:h val="0.65834302867025241"/>
        </c:manualLayout>
      </c:layout>
      <c:lineChart>
        <c:grouping val="standard"/>
        <c:varyColors val="0"/>
        <c:ser>
          <c:idx val="0"/>
          <c:order val="0"/>
          <c:tx>
            <c:strRef>
              <c:f>A_B_C_Comparison!$J$86</c:f>
              <c:strCache>
                <c:ptCount val="1"/>
                <c:pt idx="0">
                  <c:v>Primary</c:v>
                </c:pt>
              </c:strCache>
            </c:strRef>
          </c:tx>
          <c:spPr>
            <a:ln w="28575" cap="rnd">
              <a:solidFill>
                <a:srgbClr val="FF0000"/>
              </a:solidFill>
              <a:round/>
              <a:headEnd type="none" w="med" len="med"/>
              <a:tailEnd type="triangle" w="med" len="med"/>
            </a:ln>
            <a:effectLst/>
          </c:spPr>
          <c:marker>
            <c:symbol val="none"/>
          </c:marker>
          <c:cat>
            <c:strRef>
              <c:f>A_B_C_Comparison!$I$87:$I$88</c:f>
              <c:strCache>
                <c:ptCount val="2"/>
                <c:pt idx="0">
                  <c:v>Shower</c:v>
                </c:pt>
                <c:pt idx="1">
                  <c:v>Drain</c:v>
                </c:pt>
              </c:strCache>
            </c:strRef>
          </c:cat>
          <c:val>
            <c:numRef>
              <c:f>A_B_C_Comparison!$J$87:$J$88</c:f>
              <c:numCache>
                <c:formatCode>0.0</c:formatCode>
                <c:ptCount val="2"/>
                <c:pt idx="0">
                  <c:v>35</c:v>
                </c:pt>
                <c:pt idx="1">
                  <c:v>24.9375</c:v>
                </c:pt>
              </c:numCache>
            </c:numRef>
          </c:val>
          <c:smooth val="0"/>
          <c:extLst>
            <c:ext xmlns:c16="http://schemas.microsoft.com/office/drawing/2014/chart" uri="{C3380CC4-5D6E-409C-BE32-E72D297353CC}">
              <c16:uniqueId val="{00000000-BCC5-4CEB-BFE1-0DD962D751EA}"/>
            </c:ext>
          </c:extLst>
        </c:ser>
        <c:ser>
          <c:idx val="1"/>
          <c:order val="1"/>
          <c:tx>
            <c:strRef>
              <c:f>A_B_C_Comparison!$K$86</c:f>
              <c:strCache>
                <c:ptCount val="1"/>
                <c:pt idx="0">
                  <c:v>Secondary</c:v>
                </c:pt>
              </c:strCache>
            </c:strRef>
          </c:tx>
          <c:spPr>
            <a:ln w="28575" cap="rnd">
              <a:solidFill>
                <a:srgbClr val="0000FF"/>
              </a:solidFill>
              <a:round/>
              <a:headEnd type="triangle" w="med" len="med"/>
            </a:ln>
            <a:effectLst/>
          </c:spPr>
          <c:marker>
            <c:symbol val="none"/>
          </c:marker>
          <c:cat>
            <c:strRef>
              <c:f>A_B_C_Comparison!$I$87:$I$88</c:f>
              <c:strCache>
                <c:ptCount val="2"/>
                <c:pt idx="0">
                  <c:v>Shower</c:v>
                </c:pt>
                <c:pt idx="1">
                  <c:v>Drain</c:v>
                </c:pt>
              </c:strCache>
            </c:strRef>
          </c:cat>
          <c:val>
            <c:numRef>
              <c:f>A_B_C_Comparison!$K$87:$K$88</c:f>
              <c:numCache>
                <c:formatCode>0.00</c:formatCode>
                <c:ptCount val="2"/>
                <c:pt idx="0">
                  <c:v>29.250000000000004</c:v>
                </c:pt>
                <c:pt idx="1">
                  <c:v>12</c:v>
                </c:pt>
              </c:numCache>
            </c:numRef>
          </c:val>
          <c:smooth val="0"/>
          <c:extLst>
            <c:ext xmlns:c16="http://schemas.microsoft.com/office/drawing/2014/chart" uri="{C3380CC4-5D6E-409C-BE32-E72D297353CC}">
              <c16:uniqueId val="{00000001-BCC5-4CEB-BFE1-0DD962D751EA}"/>
            </c:ext>
          </c:extLst>
        </c:ser>
        <c:dLbls>
          <c:showLegendKey val="0"/>
          <c:showVal val="0"/>
          <c:showCatName val="0"/>
          <c:showSerName val="0"/>
          <c:showPercent val="0"/>
          <c:showBubbleSize val="0"/>
        </c:dLbls>
        <c:smooth val="0"/>
        <c:axId val="658429832"/>
        <c:axId val="658436312"/>
      </c:lineChart>
      <c:catAx>
        <c:axId val="658429832"/>
        <c:scaling>
          <c:orientation val="minMax"/>
        </c:scaling>
        <c:delete val="0"/>
        <c:axPos val="b"/>
        <c:majorGridlines>
          <c:spPr>
            <a:ln w="9525" cap="flat" cmpd="sng" algn="ctr">
              <a:solidFill>
                <a:schemeClr val="bg1"/>
              </a:solidFill>
              <a:round/>
            </a:ln>
            <a:effectLst/>
          </c:spPr>
        </c:majorGridlines>
        <c:minorGridlines>
          <c:spPr>
            <a:ln w="9525" cap="flat" cmpd="sng" algn="ctr">
              <a:solidFill>
                <a:schemeClr val="bg1">
                  <a:lumMod val="65000"/>
                </a:schemeClr>
              </a:solidFill>
              <a:prstDash val="dash"/>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436312"/>
        <c:crosses val="autoZero"/>
        <c:auto val="1"/>
        <c:lblAlgn val="ctr"/>
        <c:lblOffset val="100"/>
        <c:noMultiLvlLbl val="0"/>
      </c:catAx>
      <c:valAx>
        <c:axId val="658436312"/>
        <c:scaling>
          <c:orientation val="minMax"/>
        </c:scaling>
        <c:delete val="0"/>
        <c:axPos val="l"/>
        <c:majorGridlines>
          <c:spPr>
            <a:ln w="9525" cap="flat" cmpd="sng" algn="ctr">
              <a:solidFill>
                <a:schemeClr val="bg1">
                  <a:lumMod val="65000"/>
                </a:schemeClr>
              </a:solidFill>
              <a:prstDash val="dash"/>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crossAx val="658429832"/>
        <c:crosses val="autoZero"/>
        <c:crossBetween val="between"/>
      </c:valAx>
      <c:spPr>
        <a:noFill/>
        <a:ln>
          <a:solidFill>
            <a:schemeClr val="tx1"/>
          </a:solidFill>
        </a:ln>
        <a:effectLst/>
      </c:spPr>
    </c:plotArea>
    <c:legend>
      <c:legendPos val="b"/>
      <c:layout>
        <c:manualLayout>
          <c:xMode val="edge"/>
          <c:yMode val="edge"/>
          <c:x val="0.13796775403074618"/>
          <c:y val="0.89409667541557303"/>
          <c:w val="0.78358798900137483"/>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WWHR device temperatures - B</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572990876140483"/>
          <c:y val="0.13337966536801141"/>
          <c:w val="0.81381327334083242"/>
          <c:h val="0.6582193708652998"/>
        </c:manualLayout>
      </c:layout>
      <c:lineChart>
        <c:grouping val="standard"/>
        <c:varyColors val="0"/>
        <c:ser>
          <c:idx val="0"/>
          <c:order val="0"/>
          <c:tx>
            <c:strRef>
              <c:f>A_B_C_Comparison!$J$86</c:f>
              <c:strCache>
                <c:ptCount val="1"/>
                <c:pt idx="0">
                  <c:v>Primary</c:v>
                </c:pt>
              </c:strCache>
            </c:strRef>
          </c:tx>
          <c:spPr>
            <a:ln w="28575" cap="rnd">
              <a:solidFill>
                <a:srgbClr val="FF0000"/>
              </a:solidFill>
              <a:round/>
              <a:tailEnd type="triangle"/>
            </a:ln>
            <a:effectLst/>
          </c:spPr>
          <c:marker>
            <c:symbol val="none"/>
          </c:marker>
          <c:cat>
            <c:strRef>
              <c:f>A_B_C_Comparison!$I$87:$I$88</c:f>
              <c:strCache>
                <c:ptCount val="2"/>
                <c:pt idx="0">
                  <c:v>Shower</c:v>
                </c:pt>
                <c:pt idx="1">
                  <c:v>Drain</c:v>
                </c:pt>
              </c:strCache>
            </c:strRef>
          </c:cat>
          <c:val>
            <c:numRef>
              <c:f>A_B_C_Comparison!$J$58:$J$59</c:f>
              <c:numCache>
                <c:formatCode>0.0</c:formatCode>
                <c:ptCount val="2"/>
                <c:pt idx="0">
                  <c:v>35</c:v>
                </c:pt>
                <c:pt idx="1">
                  <c:v>23.780487804878049</c:v>
                </c:pt>
              </c:numCache>
            </c:numRef>
          </c:val>
          <c:smooth val="0"/>
          <c:extLst>
            <c:ext xmlns:c16="http://schemas.microsoft.com/office/drawing/2014/chart" uri="{C3380CC4-5D6E-409C-BE32-E72D297353CC}">
              <c16:uniqueId val="{00000000-B229-4233-8612-08BBC61397A1}"/>
            </c:ext>
          </c:extLst>
        </c:ser>
        <c:ser>
          <c:idx val="1"/>
          <c:order val="1"/>
          <c:tx>
            <c:strRef>
              <c:f>A_B_C_Comparison!$K$86</c:f>
              <c:strCache>
                <c:ptCount val="1"/>
                <c:pt idx="0">
                  <c:v>Secondary</c:v>
                </c:pt>
              </c:strCache>
            </c:strRef>
          </c:tx>
          <c:spPr>
            <a:ln w="28575" cap="rnd">
              <a:solidFill>
                <a:srgbClr val="0000FF"/>
              </a:solidFill>
              <a:round/>
              <a:headEnd type="triangle"/>
            </a:ln>
            <a:effectLst/>
          </c:spPr>
          <c:marker>
            <c:symbol val="none"/>
          </c:marker>
          <c:cat>
            <c:strRef>
              <c:f>A_B_C_Comparison!$I$87:$I$88</c:f>
              <c:strCache>
                <c:ptCount val="2"/>
                <c:pt idx="0">
                  <c:v>Shower</c:v>
                </c:pt>
                <c:pt idx="1">
                  <c:v>Drain</c:v>
                </c:pt>
              </c:strCache>
            </c:strRef>
          </c:cat>
          <c:val>
            <c:numRef>
              <c:f>A_B_C_Comparison!$K$58:$K$59</c:f>
              <c:numCache>
                <c:formatCode>0.00</c:formatCode>
                <c:ptCount val="2"/>
                <c:pt idx="0">
                  <c:v>28.1</c:v>
                </c:pt>
                <c:pt idx="1">
                  <c:v>12</c:v>
                </c:pt>
              </c:numCache>
            </c:numRef>
          </c:val>
          <c:smooth val="0"/>
          <c:extLst>
            <c:ext xmlns:c16="http://schemas.microsoft.com/office/drawing/2014/chart" uri="{C3380CC4-5D6E-409C-BE32-E72D297353CC}">
              <c16:uniqueId val="{00000001-B229-4233-8612-08BBC61397A1}"/>
            </c:ext>
          </c:extLst>
        </c:ser>
        <c:dLbls>
          <c:showLegendKey val="0"/>
          <c:showVal val="0"/>
          <c:showCatName val="0"/>
          <c:showSerName val="0"/>
          <c:showPercent val="0"/>
          <c:showBubbleSize val="0"/>
        </c:dLbls>
        <c:smooth val="0"/>
        <c:axId val="658429832"/>
        <c:axId val="658436312"/>
      </c:lineChart>
      <c:catAx>
        <c:axId val="658429832"/>
        <c:scaling>
          <c:orientation val="minMax"/>
        </c:scaling>
        <c:delete val="0"/>
        <c:axPos val="b"/>
        <c:majorGridlines>
          <c:spPr>
            <a:ln w="9525" cap="flat" cmpd="sng" algn="ctr">
              <a:solidFill>
                <a:schemeClr val="bg1"/>
              </a:solidFill>
              <a:round/>
            </a:ln>
            <a:effectLst/>
          </c:spPr>
        </c:majorGridlines>
        <c:minorGridlines>
          <c:spPr>
            <a:ln w="9525" cap="flat" cmpd="sng" algn="ctr">
              <a:solidFill>
                <a:schemeClr val="bg1">
                  <a:lumMod val="65000"/>
                </a:schemeClr>
              </a:solidFill>
              <a:prstDash val="dash"/>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436312"/>
        <c:crosses val="autoZero"/>
        <c:auto val="1"/>
        <c:lblAlgn val="ctr"/>
        <c:lblOffset val="100"/>
        <c:noMultiLvlLbl val="0"/>
      </c:catAx>
      <c:valAx>
        <c:axId val="658436312"/>
        <c:scaling>
          <c:orientation val="minMax"/>
        </c:scaling>
        <c:delete val="0"/>
        <c:axPos val="l"/>
        <c:majorGridlines>
          <c:spPr>
            <a:ln w="9525" cap="flat" cmpd="sng" algn="ctr">
              <a:solidFill>
                <a:schemeClr val="bg1">
                  <a:lumMod val="65000"/>
                </a:schemeClr>
              </a:solidFill>
              <a:prstDash val="dash"/>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crossAx val="658429832"/>
        <c:crosses val="autoZero"/>
        <c:crossBetween val="between"/>
      </c:valAx>
      <c:spPr>
        <a:noFill/>
        <a:ln>
          <a:solidFill>
            <a:schemeClr val="tx1"/>
          </a:solidFill>
        </a:ln>
        <a:effectLst/>
      </c:spPr>
    </c:plotArea>
    <c:legend>
      <c:legendPos val="b"/>
      <c:layout>
        <c:manualLayout>
          <c:xMode val="edge"/>
          <c:yMode val="edge"/>
          <c:x val="0.13796775403074618"/>
          <c:y val="0.89409667541557303"/>
          <c:w val="0.78358798900137483"/>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WWHR device temperatures - A</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572990876140483"/>
          <c:y val="0.1525462801389206"/>
          <c:w val="0.81381327334083242"/>
          <c:h val="0.65266946746477472"/>
        </c:manualLayout>
      </c:layout>
      <c:lineChart>
        <c:grouping val="standard"/>
        <c:varyColors val="0"/>
        <c:ser>
          <c:idx val="0"/>
          <c:order val="0"/>
          <c:tx>
            <c:strRef>
              <c:f>A_B_C_Comparison!$J$86</c:f>
              <c:strCache>
                <c:ptCount val="1"/>
                <c:pt idx="0">
                  <c:v>Primary</c:v>
                </c:pt>
              </c:strCache>
            </c:strRef>
          </c:tx>
          <c:spPr>
            <a:ln w="28575" cap="rnd">
              <a:solidFill>
                <a:srgbClr val="FF0000"/>
              </a:solidFill>
              <a:round/>
              <a:tailEnd type="triangle"/>
            </a:ln>
            <a:effectLst/>
          </c:spPr>
          <c:marker>
            <c:symbol val="none"/>
          </c:marker>
          <c:cat>
            <c:strRef>
              <c:f>A_B_C_Comparison!$I$87:$I$88</c:f>
              <c:strCache>
                <c:ptCount val="2"/>
                <c:pt idx="0">
                  <c:v>Shower</c:v>
                </c:pt>
                <c:pt idx="1">
                  <c:v>Drain</c:v>
                </c:pt>
              </c:strCache>
            </c:strRef>
          </c:cat>
          <c:val>
            <c:numRef>
              <c:f>A_B_C_Comparison!$J$29:$J$30</c:f>
              <c:numCache>
                <c:formatCode>0.0</c:formatCode>
                <c:ptCount val="2"/>
                <c:pt idx="0">
                  <c:v>35</c:v>
                </c:pt>
                <c:pt idx="1">
                  <c:v>18.899999999999999</c:v>
                </c:pt>
              </c:numCache>
            </c:numRef>
          </c:val>
          <c:smooth val="0"/>
          <c:extLst>
            <c:ext xmlns:c16="http://schemas.microsoft.com/office/drawing/2014/chart" uri="{C3380CC4-5D6E-409C-BE32-E72D297353CC}">
              <c16:uniqueId val="{00000000-C56E-47DB-935D-E25C2B3C5DCF}"/>
            </c:ext>
          </c:extLst>
        </c:ser>
        <c:ser>
          <c:idx val="1"/>
          <c:order val="1"/>
          <c:tx>
            <c:strRef>
              <c:f>A_B_C_Comparison!$K$86</c:f>
              <c:strCache>
                <c:ptCount val="1"/>
                <c:pt idx="0">
                  <c:v>Secondary</c:v>
                </c:pt>
              </c:strCache>
            </c:strRef>
          </c:tx>
          <c:spPr>
            <a:ln w="28575" cap="rnd">
              <a:solidFill>
                <a:srgbClr val="0000FF"/>
              </a:solidFill>
              <a:round/>
              <a:headEnd type="triangle"/>
            </a:ln>
            <a:effectLst/>
          </c:spPr>
          <c:marker>
            <c:symbol val="none"/>
          </c:marker>
          <c:cat>
            <c:strRef>
              <c:f>A_B_C_Comparison!$I$87:$I$88</c:f>
              <c:strCache>
                <c:ptCount val="2"/>
                <c:pt idx="0">
                  <c:v>Shower</c:v>
                </c:pt>
                <c:pt idx="1">
                  <c:v>Drain</c:v>
                </c:pt>
              </c:strCache>
            </c:strRef>
          </c:cat>
          <c:val>
            <c:numRef>
              <c:f>A_B_C_Comparison!$K$29:$K$30</c:f>
              <c:numCache>
                <c:formatCode>0.00</c:formatCode>
                <c:ptCount val="2"/>
                <c:pt idx="0">
                  <c:v>28.1</c:v>
                </c:pt>
                <c:pt idx="1">
                  <c:v>12</c:v>
                </c:pt>
              </c:numCache>
            </c:numRef>
          </c:val>
          <c:smooth val="0"/>
          <c:extLst>
            <c:ext xmlns:c16="http://schemas.microsoft.com/office/drawing/2014/chart" uri="{C3380CC4-5D6E-409C-BE32-E72D297353CC}">
              <c16:uniqueId val="{00000001-C56E-47DB-935D-E25C2B3C5DCF}"/>
            </c:ext>
          </c:extLst>
        </c:ser>
        <c:dLbls>
          <c:showLegendKey val="0"/>
          <c:showVal val="0"/>
          <c:showCatName val="0"/>
          <c:showSerName val="0"/>
          <c:showPercent val="0"/>
          <c:showBubbleSize val="0"/>
        </c:dLbls>
        <c:smooth val="0"/>
        <c:axId val="658429832"/>
        <c:axId val="658436312"/>
      </c:lineChart>
      <c:catAx>
        <c:axId val="658429832"/>
        <c:scaling>
          <c:orientation val="minMax"/>
        </c:scaling>
        <c:delete val="0"/>
        <c:axPos val="b"/>
        <c:majorGridlines>
          <c:spPr>
            <a:ln w="9525" cap="flat" cmpd="sng" algn="ctr">
              <a:solidFill>
                <a:schemeClr val="bg1"/>
              </a:solidFill>
              <a:round/>
            </a:ln>
            <a:effectLst/>
          </c:spPr>
        </c:majorGridlines>
        <c:minorGridlines>
          <c:spPr>
            <a:ln w="9525" cap="flat" cmpd="sng" algn="ctr">
              <a:solidFill>
                <a:schemeClr val="bg1">
                  <a:lumMod val="65000"/>
                </a:schemeClr>
              </a:solidFill>
              <a:prstDash val="dash"/>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436312"/>
        <c:crosses val="autoZero"/>
        <c:auto val="1"/>
        <c:lblAlgn val="ctr"/>
        <c:lblOffset val="100"/>
        <c:noMultiLvlLbl val="0"/>
      </c:catAx>
      <c:valAx>
        <c:axId val="658436312"/>
        <c:scaling>
          <c:orientation val="minMax"/>
        </c:scaling>
        <c:delete val="0"/>
        <c:axPos val="l"/>
        <c:majorGridlines>
          <c:spPr>
            <a:ln w="9525" cap="flat" cmpd="sng" algn="ctr">
              <a:solidFill>
                <a:schemeClr val="bg1">
                  <a:lumMod val="65000"/>
                </a:schemeClr>
              </a:solidFill>
              <a:prstDash val="dash"/>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crossAx val="658429832"/>
        <c:crosses val="autoZero"/>
        <c:crossBetween val="between"/>
      </c:valAx>
      <c:spPr>
        <a:noFill/>
        <a:ln>
          <a:solidFill>
            <a:schemeClr val="tx1"/>
          </a:solidFill>
        </a:ln>
        <a:effectLst/>
      </c:spPr>
    </c:plotArea>
    <c:legend>
      <c:legendPos val="b"/>
      <c:layout>
        <c:manualLayout>
          <c:xMode val="edge"/>
          <c:yMode val="edge"/>
          <c:x val="0.13796775403074618"/>
          <c:y val="0.89409667541557303"/>
          <c:w val="0.78358798900137483"/>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Maximum</a:t>
            </a:r>
            <a:r>
              <a:rPr lang="en-US" baseline="0"/>
              <a:t> r</a:t>
            </a:r>
            <a:r>
              <a:rPr lang="en-US"/>
              <a:t>ecoverable</a:t>
            </a:r>
            <a:r>
              <a:rPr lang="en-US" baseline="0"/>
              <a:t> power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3"/>
          <c:order val="0"/>
          <c:tx>
            <c:strRef>
              <c:f>A_B_C_Comparison_2!$A$14</c:f>
              <c:strCache>
                <c:ptCount val="1"/>
                <c:pt idx="0">
                  <c:v>Shower power</c:v>
                </c:pt>
              </c:strCache>
            </c:strRef>
          </c:tx>
          <c:spPr>
            <a:ln w="19050" cap="rnd">
              <a:solidFill>
                <a:srgbClr val="FF0000"/>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A_B_C_Comparison_2!$E$14:$O$14</c:f>
              <c:numCache>
                <c:formatCode>0.00</c:formatCode>
                <c:ptCount val="11"/>
                <c:pt idx="0">
                  <c:v>23.385599999999997</c:v>
                </c:pt>
                <c:pt idx="1">
                  <c:v>23.385599999999997</c:v>
                </c:pt>
                <c:pt idx="2">
                  <c:v>23.385599999999997</c:v>
                </c:pt>
                <c:pt idx="3">
                  <c:v>23.385599999999997</c:v>
                </c:pt>
                <c:pt idx="4">
                  <c:v>23.385599999999997</c:v>
                </c:pt>
                <c:pt idx="5">
                  <c:v>23.385599999999997</c:v>
                </c:pt>
                <c:pt idx="6">
                  <c:v>23.385599999999997</c:v>
                </c:pt>
                <c:pt idx="7">
                  <c:v>23.385599999999997</c:v>
                </c:pt>
                <c:pt idx="8">
                  <c:v>23.385599999999997</c:v>
                </c:pt>
                <c:pt idx="9">
                  <c:v>23.385599999999997</c:v>
                </c:pt>
                <c:pt idx="10">
                  <c:v>23.385599999999997</c:v>
                </c:pt>
              </c:numCache>
            </c:numRef>
          </c:yVal>
          <c:smooth val="0"/>
          <c:extLst>
            <c:ext xmlns:c16="http://schemas.microsoft.com/office/drawing/2014/chart" uri="{C3380CC4-5D6E-409C-BE32-E72D297353CC}">
              <c16:uniqueId val="{00000003-EC57-4566-A38A-629688C12716}"/>
            </c:ext>
          </c:extLst>
        </c:ser>
        <c:ser>
          <c:idx val="0"/>
          <c:order val="1"/>
          <c:tx>
            <c:strRef>
              <c:f>A_B_C_Comparison_2!$A$19</c:f>
              <c:strCache>
                <c:ptCount val="1"/>
                <c:pt idx="0">
                  <c:v>TYPE A</c:v>
                </c:pt>
              </c:strCache>
            </c:strRef>
          </c:tx>
          <c:spPr>
            <a:ln w="19050" cap="rnd">
              <a:solidFill>
                <a:schemeClr val="accent6">
                  <a:lumMod val="75000"/>
                </a:schemeClr>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A_B_C_Comparison_2!$E$25:$O$25</c:f>
              <c:numCache>
                <c:formatCode>0.00</c:formatCode>
                <c:ptCount val="11"/>
                <c:pt idx="0">
                  <c:v>19.209599999999998</c:v>
                </c:pt>
                <c:pt idx="1">
                  <c:v>19.209599999999998</c:v>
                </c:pt>
                <c:pt idx="2">
                  <c:v>19.209599999999998</c:v>
                </c:pt>
                <c:pt idx="3">
                  <c:v>19.209599999999998</c:v>
                </c:pt>
                <c:pt idx="4">
                  <c:v>19.209599999999998</c:v>
                </c:pt>
                <c:pt idx="5">
                  <c:v>19.209599999999998</c:v>
                </c:pt>
                <c:pt idx="6">
                  <c:v>19.209599999999998</c:v>
                </c:pt>
                <c:pt idx="7">
                  <c:v>19.209599999999998</c:v>
                </c:pt>
                <c:pt idx="8">
                  <c:v>19.209599999999998</c:v>
                </c:pt>
                <c:pt idx="9">
                  <c:v>19.209599999999998</c:v>
                </c:pt>
                <c:pt idx="10">
                  <c:v>19.209599999999998</c:v>
                </c:pt>
              </c:numCache>
            </c:numRef>
          </c:yVal>
          <c:smooth val="0"/>
          <c:extLst>
            <c:ext xmlns:c16="http://schemas.microsoft.com/office/drawing/2014/chart" uri="{C3380CC4-5D6E-409C-BE32-E72D297353CC}">
              <c16:uniqueId val="{00000000-EC57-4566-A38A-629688C12716}"/>
            </c:ext>
          </c:extLst>
        </c:ser>
        <c:ser>
          <c:idx val="1"/>
          <c:order val="2"/>
          <c:tx>
            <c:strRef>
              <c:f>A_B_C_Comparison_2!$A$49</c:f>
              <c:strCache>
                <c:ptCount val="1"/>
                <c:pt idx="0">
                  <c:v>TYPE B - eff 75%</c:v>
                </c:pt>
              </c:strCache>
            </c:strRef>
          </c:tx>
          <c:spPr>
            <a:ln w="19050" cap="rnd">
              <a:solidFill>
                <a:schemeClr val="accent1">
                  <a:lumMod val="40000"/>
                  <a:lumOff val="60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A_B_C_Comparison_2!$E$49:$O$49</c:f>
              <c:numCache>
                <c:formatCode>0.00</c:formatCode>
                <c:ptCount val="11"/>
                <c:pt idx="0">
                  <c:v>12.494048780487804</c:v>
                </c:pt>
                <c:pt idx="1">
                  <c:v>12.026879999999997</c:v>
                </c:pt>
                <c:pt idx="2">
                  <c:v>11.489854205607479</c:v>
                </c:pt>
                <c:pt idx="3">
                  <c:v>10.866036363636361</c:v>
                </c:pt>
                <c:pt idx="4">
                  <c:v>10.132536263736265</c:v>
                </c:pt>
                <c:pt idx="5">
                  <c:v>9.257638554216868</c:v>
                </c:pt>
                <c:pt idx="6">
                  <c:v>8.1960959999999972</c:v>
                </c:pt>
                <c:pt idx="7">
                  <c:v>6.8810507462686559</c:v>
                </c:pt>
                <c:pt idx="8">
                  <c:v>5.2093830508474577</c:v>
                </c:pt>
                <c:pt idx="9">
                  <c:v>3.0132705882352941</c:v>
                </c:pt>
                <c:pt idx="10">
                  <c:v>0</c:v>
                </c:pt>
              </c:numCache>
            </c:numRef>
          </c:yVal>
          <c:smooth val="0"/>
          <c:extLst>
            <c:ext xmlns:c16="http://schemas.microsoft.com/office/drawing/2014/chart" uri="{C3380CC4-5D6E-409C-BE32-E72D297353CC}">
              <c16:uniqueId val="{00000001-EC57-4566-A38A-629688C12716}"/>
            </c:ext>
          </c:extLst>
        </c:ser>
        <c:ser>
          <c:idx val="4"/>
          <c:order val="3"/>
          <c:tx>
            <c:strRef>
              <c:f>A_B_C_Comparison_2!$A$50</c:f>
              <c:strCache>
                <c:ptCount val="1"/>
                <c:pt idx="0">
                  <c:v>TYPE B - eff 50%</c:v>
                </c:pt>
              </c:strCache>
            </c:strRef>
          </c:tx>
          <c:spPr>
            <a:ln w="19050" cap="rnd">
              <a:solidFill>
                <a:schemeClr val="accent1">
                  <a:lumMod val="60000"/>
                  <a:lumOff val="40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A_B_C_Comparison_2!$E$50:$O$50</c:f>
              <c:numCache>
                <c:formatCode>0.00</c:formatCode>
                <c:ptCount val="11"/>
                <c:pt idx="0">
                  <c:v>10.525808219178082</c:v>
                </c:pt>
                <c:pt idx="1">
                  <c:v>10.022399999999999</c:v>
                </c:pt>
                <c:pt idx="2">
                  <c:v>9.4570338461538466</c:v>
                </c:pt>
                <c:pt idx="3">
                  <c:v>8.8175213114754065</c:v>
                </c:pt>
                <c:pt idx="4">
                  <c:v>8.0882526315789463</c:v>
                </c:pt>
                <c:pt idx="5">
                  <c:v>7.2489056603773596</c:v>
                </c:pt>
                <c:pt idx="6">
                  <c:v>6.2725224489795934</c:v>
                </c:pt>
                <c:pt idx="7">
                  <c:v>5.1225600000000009</c:v>
                </c:pt>
                <c:pt idx="8">
                  <c:v>3.7482146341463389</c:v>
                </c:pt>
                <c:pt idx="9">
                  <c:v>2.0767135135135146</c:v>
                </c:pt>
                <c:pt idx="10">
                  <c:v>0</c:v>
                </c:pt>
              </c:numCache>
            </c:numRef>
          </c:yVal>
          <c:smooth val="0"/>
          <c:extLst>
            <c:ext xmlns:c16="http://schemas.microsoft.com/office/drawing/2014/chart" uri="{C3380CC4-5D6E-409C-BE32-E72D297353CC}">
              <c16:uniqueId val="{00000004-EC57-4566-A38A-629688C12716}"/>
            </c:ext>
          </c:extLst>
        </c:ser>
        <c:ser>
          <c:idx val="5"/>
          <c:order val="4"/>
          <c:tx>
            <c:strRef>
              <c:f>A_B_C_Comparison_2!$A$51</c:f>
              <c:strCache>
                <c:ptCount val="1"/>
                <c:pt idx="0">
                  <c:v>TYPE B - eff 25%</c:v>
                </c:pt>
              </c:strCache>
            </c:strRef>
          </c:tx>
          <c:spPr>
            <a:ln w="19050" cap="rnd">
              <a:solidFill>
                <a:schemeClr val="accent1">
                  <a:lumMod val="75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A_B_C_Comparison_2!$E$51:$O$51</c:f>
              <c:numCache>
                <c:formatCode>0.00</c:formatCode>
                <c:ptCount val="11"/>
                <c:pt idx="0">
                  <c:v>9.0933017751479266</c:v>
                </c:pt>
                <c:pt idx="1">
                  <c:v>8.5906285714285691</c:v>
                </c:pt>
                <c:pt idx="2">
                  <c:v>8.0353882352941177</c:v>
                </c:pt>
                <c:pt idx="3">
                  <c:v>7.4188800000000006</c:v>
                </c:pt>
                <c:pt idx="4">
                  <c:v>6.7303708029197074</c:v>
                </c:pt>
                <c:pt idx="5">
                  <c:v>5.9564651162790678</c:v>
                </c:pt>
                <c:pt idx="6">
                  <c:v>5.080224793388429</c:v>
                </c:pt>
                <c:pt idx="7">
                  <c:v>4.0799150442477883</c:v>
                </c:pt>
                <c:pt idx="8">
                  <c:v>2.9271771428571434</c:v>
                </c:pt>
                <c:pt idx="9">
                  <c:v>1.5842969072164947</c:v>
                </c:pt>
                <c:pt idx="10">
                  <c:v>0</c:v>
                </c:pt>
              </c:numCache>
            </c:numRef>
          </c:yVal>
          <c:smooth val="0"/>
          <c:extLst>
            <c:ext xmlns:c16="http://schemas.microsoft.com/office/drawing/2014/chart" uri="{C3380CC4-5D6E-409C-BE32-E72D297353CC}">
              <c16:uniqueId val="{00000005-EC57-4566-A38A-629688C12716}"/>
            </c:ext>
          </c:extLst>
        </c:ser>
        <c:ser>
          <c:idx val="2"/>
          <c:order val="5"/>
          <c:tx>
            <c:strRef>
              <c:f>A_B_C_Comparison_2!$A$70</c:f>
              <c:strCache>
                <c:ptCount val="1"/>
                <c:pt idx="0">
                  <c:v>TYPE C</c:v>
                </c:pt>
              </c:strCache>
            </c:strRef>
          </c:tx>
          <c:spPr>
            <a:ln w="19050" cap="rnd">
              <a:solidFill>
                <a:schemeClr val="accent3"/>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A_B_C_Comparison_2!$E$76:$O$76</c:f>
              <c:numCache>
                <c:formatCode>0.00</c:formatCode>
                <c:ptCount val="11"/>
                <c:pt idx="0">
                  <c:v>11.205599999999999</c:v>
                </c:pt>
                <c:pt idx="1">
                  <c:v>11.692800000000002</c:v>
                </c:pt>
                <c:pt idx="2">
                  <c:v>12.224290909090907</c:v>
                </c:pt>
                <c:pt idx="3">
                  <c:v>12.8064</c:v>
                </c:pt>
                <c:pt idx="4">
                  <c:v>13.446719999999996</c:v>
                </c:pt>
                <c:pt idx="5">
                  <c:v>14.154442105263156</c:v>
                </c:pt>
                <c:pt idx="6">
                  <c:v>14.940800000000001</c:v>
                </c:pt>
                <c:pt idx="7">
                  <c:v>15.819670588235292</c:v>
                </c:pt>
                <c:pt idx="8">
                  <c:v>16.808399999999999</c:v>
                </c:pt>
                <c:pt idx="9">
                  <c:v>17.928959999999996</c:v>
                </c:pt>
                <c:pt idx="10">
                  <c:v>19.209599999999998</c:v>
                </c:pt>
              </c:numCache>
            </c:numRef>
          </c:yVal>
          <c:smooth val="0"/>
          <c:extLst>
            <c:ext xmlns:c16="http://schemas.microsoft.com/office/drawing/2014/chart" uri="{C3380CC4-5D6E-409C-BE32-E72D297353CC}">
              <c16:uniqueId val="{00000002-EC57-4566-A38A-629688C12716}"/>
            </c:ext>
          </c:extLst>
        </c:ser>
        <c:ser>
          <c:idx val="6"/>
          <c:order val="6"/>
          <c:tx>
            <c:strRef>
              <c:f>A_B_C_Comparison_2!$A$52</c:f>
              <c:strCache>
                <c:ptCount val="1"/>
                <c:pt idx="0">
                  <c:v>TYPE B - eff 100%</c:v>
                </c:pt>
              </c:strCache>
            </c:strRef>
          </c:tx>
          <c:spPr>
            <a:ln w="38100" cap="rnd">
              <a:solidFill>
                <a:schemeClr val="accent1">
                  <a:lumMod val="20000"/>
                  <a:lumOff val="80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A_B_C_Comparison_2!$E$48:$O$48</c:f>
              <c:numCache>
                <c:formatCode>0.00</c:formatCode>
                <c:ptCount val="11"/>
                <c:pt idx="0">
                  <c:v>15.367679999999996</c:v>
                </c:pt>
                <c:pt idx="1">
                  <c:v>15.033599999999996</c:v>
                </c:pt>
                <c:pt idx="2">
                  <c:v>14.635885714285712</c:v>
                </c:pt>
                <c:pt idx="3">
                  <c:v>14.154442105263156</c:v>
                </c:pt>
                <c:pt idx="4">
                  <c:v>13.559717647058822</c:v>
                </c:pt>
                <c:pt idx="5">
                  <c:v>12.8064</c:v>
                </c:pt>
                <c:pt idx="6">
                  <c:v>11.821292307692307</c:v>
                </c:pt>
                <c:pt idx="7">
                  <c:v>10.477963636363636</c:v>
                </c:pt>
                <c:pt idx="8">
                  <c:v>8.5375999999999976</c:v>
                </c:pt>
                <c:pt idx="9">
                  <c:v>5.4884571428571425</c:v>
                </c:pt>
                <c:pt idx="10">
                  <c:v>0</c:v>
                </c:pt>
              </c:numCache>
            </c:numRef>
          </c:yVal>
          <c:smooth val="0"/>
          <c:extLst>
            <c:ext xmlns:c16="http://schemas.microsoft.com/office/drawing/2014/chart" uri="{C3380CC4-5D6E-409C-BE32-E72D297353CC}">
              <c16:uniqueId val="{00000006-EC57-4566-A38A-629688C12716}"/>
            </c:ext>
          </c:extLst>
        </c:ser>
        <c:dLbls>
          <c:showLegendKey val="0"/>
          <c:showVal val="0"/>
          <c:showCatName val="0"/>
          <c:showSerName val="0"/>
          <c:showPercent val="0"/>
          <c:showBubbleSize val="0"/>
        </c:dLbls>
        <c:axId val="367608592"/>
        <c:axId val="367612856"/>
      </c:scatterChart>
      <c:valAx>
        <c:axId val="367608592"/>
        <c:scaling>
          <c:orientation val="minMax"/>
          <c:max val="60"/>
          <c:min val="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DHW Heater set-point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612856"/>
        <c:crosses val="autoZero"/>
        <c:crossBetween val="midCat"/>
      </c:valAx>
      <c:valAx>
        <c:axId val="367612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Power kW</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367608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aseline="0"/>
              <a:t> </a:t>
            </a:r>
            <a:r>
              <a:rPr lang="en-US" b="1" baseline="0"/>
              <a:t>recovery efficiency </a:t>
            </a:r>
            <a:r>
              <a:rPr lang="en-US" baseline="0"/>
              <a:t>with </a:t>
            </a:r>
            <a:r>
              <a:rPr lang="en-US" i="1" baseline="0">
                <a:solidFill>
                  <a:srgbClr val="0000FF"/>
                </a:solidFill>
              </a:rPr>
              <a:t>heat exchanger efficiency 75%</a:t>
            </a:r>
            <a:br>
              <a:rPr lang="en-US" i="1" baseline="0">
                <a:solidFill>
                  <a:srgbClr val="0000FF"/>
                </a:solidFill>
              </a:rPr>
            </a:br>
            <a:r>
              <a:rPr lang="en-US" baseline="0"/>
              <a:t>(steady state, no transient) </a:t>
            </a:r>
            <a:endParaRPr lang="en-US"/>
          </a:p>
        </c:rich>
      </c:tx>
      <c:layout>
        <c:manualLayout>
          <c:xMode val="edge"/>
          <c:yMode val="edge"/>
          <c:x val="0.15934832632222343"/>
          <c:y val="1.9491816123108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A_B_C_Comparison_2!$A$37</c:f>
              <c:strCache>
                <c:ptCount val="1"/>
                <c:pt idx="0">
                  <c:v>TYPE A - h 75%</c:v>
                </c:pt>
              </c:strCache>
            </c:strRef>
          </c:tx>
          <c:spPr>
            <a:ln w="19050" cap="rnd">
              <a:solidFill>
                <a:schemeClr val="accent1"/>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A_B_C_Comparison_2!$E$37:$O$37</c:f>
              <c:numCache>
                <c:formatCode>0%</c:formatCode>
                <c:ptCount val="11"/>
                <c:pt idx="0">
                  <c:v>0.6160714285714286</c:v>
                </c:pt>
                <c:pt idx="1">
                  <c:v>0.6160714285714286</c:v>
                </c:pt>
                <c:pt idx="2">
                  <c:v>0.6160714285714286</c:v>
                </c:pt>
                <c:pt idx="3">
                  <c:v>0.6160714285714286</c:v>
                </c:pt>
                <c:pt idx="4">
                  <c:v>0.6160714285714286</c:v>
                </c:pt>
                <c:pt idx="5">
                  <c:v>0.6160714285714286</c:v>
                </c:pt>
                <c:pt idx="6">
                  <c:v>0.6160714285714286</c:v>
                </c:pt>
                <c:pt idx="7">
                  <c:v>0.6160714285714286</c:v>
                </c:pt>
                <c:pt idx="8">
                  <c:v>0.6160714285714286</c:v>
                </c:pt>
                <c:pt idx="9">
                  <c:v>0.6160714285714286</c:v>
                </c:pt>
                <c:pt idx="10">
                  <c:v>0.6160714285714286</c:v>
                </c:pt>
              </c:numCache>
            </c:numRef>
          </c:yVal>
          <c:smooth val="0"/>
          <c:extLst>
            <c:ext xmlns:c16="http://schemas.microsoft.com/office/drawing/2014/chart" uri="{C3380CC4-5D6E-409C-BE32-E72D297353CC}">
              <c16:uniqueId val="{00000001-E518-4A4B-9B34-8A6A0E2A61A3}"/>
            </c:ext>
          </c:extLst>
        </c:ser>
        <c:ser>
          <c:idx val="1"/>
          <c:order val="1"/>
          <c:tx>
            <c:strRef>
              <c:f>A_B_C_Comparison_2!$A$66</c:f>
              <c:strCache>
                <c:ptCount val="1"/>
                <c:pt idx="0">
                  <c:v>TYPE B - h 75%</c:v>
                </c:pt>
              </c:strCache>
            </c:strRef>
          </c:tx>
          <c:spPr>
            <a:ln w="19050" cap="rnd">
              <a:solidFill>
                <a:schemeClr val="accent2"/>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A_B_C_Comparison_2!$E$66:$O$66</c:f>
              <c:numCache>
                <c:formatCode>0%</c:formatCode>
                <c:ptCount val="11"/>
                <c:pt idx="0">
                  <c:v>0.4006968641114983</c:v>
                </c:pt>
                <c:pt idx="1">
                  <c:v>0.38571428571428562</c:v>
                </c:pt>
                <c:pt idx="2">
                  <c:v>0.36849132176234994</c:v>
                </c:pt>
                <c:pt idx="3">
                  <c:v>0.34848484848484845</c:v>
                </c:pt>
                <c:pt idx="4">
                  <c:v>0.32496075353218218</c:v>
                </c:pt>
                <c:pt idx="5">
                  <c:v>0.29690189328743549</c:v>
                </c:pt>
                <c:pt idx="6">
                  <c:v>0.2628571428571429</c:v>
                </c:pt>
                <c:pt idx="7">
                  <c:v>0.22068230277185502</c:v>
                </c:pt>
                <c:pt idx="8">
                  <c:v>0.16707021791767557</c:v>
                </c:pt>
                <c:pt idx="9">
                  <c:v>9.6638655462184891E-2</c:v>
                </c:pt>
                <c:pt idx="10">
                  <c:v>0</c:v>
                </c:pt>
              </c:numCache>
            </c:numRef>
          </c:yVal>
          <c:smooth val="0"/>
          <c:extLst>
            <c:ext xmlns:c16="http://schemas.microsoft.com/office/drawing/2014/chart" uri="{C3380CC4-5D6E-409C-BE32-E72D297353CC}">
              <c16:uniqueId val="{00000002-E518-4A4B-9B34-8A6A0E2A61A3}"/>
            </c:ext>
          </c:extLst>
        </c:ser>
        <c:ser>
          <c:idx val="2"/>
          <c:order val="2"/>
          <c:tx>
            <c:strRef>
              <c:f>A_B_C_Comparison_2!$A$88</c:f>
              <c:strCache>
                <c:ptCount val="1"/>
                <c:pt idx="0">
                  <c:v>TYPE C - h 75%</c:v>
                </c:pt>
              </c:strCache>
            </c:strRef>
          </c:tx>
          <c:spPr>
            <a:ln w="19050" cap="rnd">
              <a:solidFill>
                <a:schemeClr val="accent3"/>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A_B_C_Comparison_2!$E$88:$O$88</c:f>
              <c:numCache>
                <c:formatCode>0%</c:formatCode>
                <c:ptCount val="11"/>
                <c:pt idx="0">
                  <c:v>0.35937499999999994</c:v>
                </c:pt>
                <c:pt idx="1">
                  <c:v>0.37500000000000017</c:v>
                </c:pt>
                <c:pt idx="2">
                  <c:v>0.39204545454545453</c:v>
                </c:pt>
                <c:pt idx="3">
                  <c:v>0.41071428571428581</c:v>
                </c:pt>
                <c:pt idx="4">
                  <c:v>0.43124999999999997</c:v>
                </c:pt>
                <c:pt idx="5">
                  <c:v>0.4539473684210526</c:v>
                </c:pt>
                <c:pt idx="6">
                  <c:v>0.47916666666666685</c:v>
                </c:pt>
                <c:pt idx="7">
                  <c:v>0.50735294117647056</c:v>
                </c:pt>
                <c:pt idx="8">
                  <c:v>0.5390625</c:v>
                </c:pt>
                <c:pt idx="9">
                  <c:v>0.57499999999999996</c:v>
                </c:pt>
                <c:pt idx="10">
                  <c:v>0.6160714285714286</c:v>
                </c:pt>
              </c:numCache>
            </c:numRef>
          </c:yVal>
          <c:smooth val="0"/>
          <c:extLst>
            <c:ext xmlns:c16="http://schemas.microsoft.com/office/drawing/2014/chart" uri="{C3380CC4-5D6E-409C-BE32-E72D297353CC}">
              <c16:uniqueId val="{00000003-E518-4A4B-9B34-8A6A0E2A61A3}"/>
            </c:ext>
          </c:extLst>
        </c:ser>
        <c:dLbls>
          <c:showLegendKey val="0"/>
          <c:showVal val="0"/>
          <c:showCatName val="0"/>
          <c:showSerName val="0"/>
          <c:showPercent val="0"/>
          <c:showBubbleSize val="0"/>
        </c:dLbls>
        <c:axId val="367608592"/>
        <c:axId val="367612856"/>
      </c:scatterChart>
      <c:valAx>
        <c:axId val="367608592"/>
        <c:scaling>
          <c:orientation val="minMax"/>
          <c:max val="60"/>
          <c:min val="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DHW Heater set-point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612856"/>
        <c:crosses val="autoZero"/>
        <c:crossBetween val="midCat"/>
      </c:valAx>
      <c:valAx>
        <c:axId val="36761285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Steady</a:t>
                </a:r>
                <a:r>
                  <a:rPr lang="en-US" sz="1100" baseline="0"/>
                  <a:t> state total recovery efficiency %</a:t>
                </a:r>
                <a:endParaRPr lang="en-US" sz="1100"/>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367608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aseline="0"/>
              <a:t> </a:t>
            </a:r>
            <a:r>
              <a:rPr lang="en-US" b="1" baseline="0"/>
              <a:t>recovery efficiency </a:t>
            </a:r>
            <a:r>
              <a:rPr lang="en-US" baseline="0"/>
              <a:t>with </a:t>
            </a:r>
            <a:r>
              <a:rPr lang="en-US" i="1" baseline="0">
                <a:solidFill>
                  <a:srgbClr val="0000FF"/>
                </a:solidFill>
              </a:rPr>
              <a:t>heat exchanger efficiency 50%</a:t>
            </a:r>
            <a:br>
              <a:rPr lang="en-US" i="1" baseline="0">
                <a:solidFill>
                  <a:srgbClr val="0000FF"/>
                </a:solidFill>
              </a:rPr>
            </a:br>
            <a:r>
              <a:rPr lang="en-US" baseline="0"/>
              <a:t>(steady state, no transient) </a:t>
            </a:r>
            <a:endParaRPr lang="en-US"/>
          </a:p>
        </c:rich>
      </c:tx>
      <c:layout>
        <c:manualLayout>
          <c:xMode val="edge"/>
          <c:yMode val="edge"/>
          <c:x val="0.15934832632222343"/>
          <c:y val="1.9491816123108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A_B_C_Comparison_2!$A$38</c:f>
              <c:strCache>
                <c:ptCount val="1"/>
                <c:pt idx="0">
                  <c:v>TYPE A - h 50%</c:v>
                </c:pt>
              </c:strCache>
            </c:strRef>
          </c:tx>
          <c:spPr>
            <a:ln w="19050" cap="rnd">
              <a:solidFill>
                <a:schemeClr val="accent1"/>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A_B_C_Comparison_2!$E$38:$O$38</c:f>
              <c:numCache>
                <c:formatCode>0%</c:formatCode>
                <c:ptCount val="11"/>
                <c:pt idx="0">
                  <c:v>0.41071428571428575</c:v>
                </c:pt>
                <c:pt idx="1">
                  <c:v>0.41071428571428575</c:v>
                </c:pt>
                <c:pt idx="2">
                  <c:v>0.41071428571428575</c:v>
                </c:pt>
                <c:pt idx="3">
                  <c:v>0.41071428571428575</c:v>
                </c:pt>
                <c:pt idx="4">
                  <c:v>0.41071428571428575</c:v>
                </c:pt>
                <c:pt idx="5">
                  <c:v>0.41071428571428575</c:v>
                </c:pt>
                <c:pt idx="6">
                  <c:v>0.41071428571428575</c:v>
                </c:pt>
                <c:pt idx="7">
                  <c:v>0.41071428571428575</c:v>
                </c:pt>
                <c:pt idx="8">
                  <c:v>0.41071428571428575</c:v>
                </c:pt>
                <c:pt idx="9">
                  <c:v>0.41071428571428575</c:v>
                </c:pt>
                <c:pt idx="10">
                  <c:v>0.41071428571428575</c:v>
                </c:pt>
              </c:numCache>
            </c:numRef>
          </c:yVal>
          <c:smooth val="0"/>
          <c:extLst>
            <c:ext xmlns:c16="http://schemas.microsoft.com/office/drawing/2014/chart" uri="{C3380CC4-5D6E-409C-BE32-E72D297353CC}">
              <c16:uniqueId val="{00000000-D5D1-4AFF-BA6A-2801622964F6}"/>
            </c:ext>
          </c:extLst>
        </c:ser>
        <c:ser>
          <c:idx val="1"/>
          <c:order val="1"/>
          <c:tx>
            <c:strRef>
              <c:f>A_B_C_Comparison_2!$A$67</c:f>
              <c:strCache>
                <c:ptCount val="1"/>
                <c:pt idx="0">
                  <c:v>TYPE B - h 50%</c:v>
                </c:pt>
              </c:strCache>
            </c:strRef>
          </c:tx>
          <c:spPr>
            <a:ln w="19050" cap="rnd">
              <a:solidFill>
                <a:schemeClr val="accent2"/>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A_B_C_Comparison_2!$E$67:$O$67</c:f>
              <c:numCache>
                <c:formatCode>0%</c:formatCode>
                <c:ptCount val="11"/>
                <c:pt idx="0">
                  <c:v>0.22504892367906068</c:v>
                </c:pt>
                <c:pt idx="1">
                  <c:v>0.2142857142857143</c:v>
                </c:pt>
                <c:pt idx="2">
                  <c:v>0.20219780219780223</c:v>
                </c:pt>
                <c:pt idx="3">
                  <c:v>0.18852459016393439</c:v>
                </c:pt>
                <c:pt idx="4">
                  <c:v>0.17293233082706766</c:v>
                </c:pt>
                <c:pt idx="5">
                  <c:v>0.15498652291105125</c:v>
                </c:pt>
                <c:pt idx="6">
                  <c:v>0.13411078717201172</c:v>
                </c:pt>
                <c:pt idx="7">
                  <c:v>0.10952380952380956</c:v>
                </c:pt>
                <c:pt idx="8">
                  <c:v>8.0139372822299604E-2</c:v>
                </c:pt>
                <c:pt idx="9">
                  <c:v>4.4401544401544431E-2</c:v>
                </c:pt>
                <c:pt idx="10">
                  <c:v>0</c:v>
                </c:pt>
              </c:numCache>
            </c:numRef>
          </c:yVal>
          <c:smooth val="0"/>
          <c:extLst>
            <c:ext xmlns:c16="http://schemas.microsoft.com/office/drawing/2014/chart" uri="{C3380CC4-5D6E-409C-BE32-E72D297353CC}">
              <c16:uniqueId val="{00000001-D5D1-4AFF-BA6A-2801622964F6}"/>
            </c:ext>
          </c:extLst>
        </c:ser>
        <c:ser>
          <c:idx val="2"/>
          <c:order val="2"/>
          <c:tx>
            <c:strRef>
              <c:f>A_B_C_Comparison_2!$A$89</c:f>
              <c:strCache>
                <c:ptCount val="1"/>
                <c:pt idx="0">
                  <c:v>TYPE C - h 50%</c:v>
                </c:pt>
              </c:strCache>
            </c:strRef>
          </c:tx>
          <c:spPr>
            <a:ln w="19050" cap="rnd">
              <a:solidFill>
                <a:schemeClr val="accent3"/>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A_B_C_Comparison_2!$E$89:$O$89</c:f>
              <c:numCache>
                <c:formatCode>0%</c:formatCode>
                <c:ptCount val="11"/>
                <c:pt idx="0">
                  <c:v>0.23958333333333334</c:v>
                </c:pt>
                <c:pt idx="1">
                  <c:v>0.25000000000000006</c:v>
                </c:pt>
                <c:pt idx="2">
                  <c:v>0.26136363636363635</c:v>
                </c:pt>
                <c:pt idx="3">
                  <c:v>0.27380952380952389</c:v>
                </c:pt>
                <c:pt idx="4">
                  <c:v>0.28749999999999992</c:v>
                </c:pt>
                <c:pt idx="5">
                  <c:v>0.30263157894736842</c:v>
                </c:pt>
                <c:pt idx="6">
                  <c:v>0.31944444444444453</c:v>
                </c:pt>
                <c:pt idx="7">
                  <c:v>0.33823529411764708</c:v>
                </c:pt>
                <c:pt idx="8">
                  <c:v>0.35937500000000006</c:v>
                </c:pt>
                <c:pt idx="9">
                  <c:v>0.3833333333333333</c:v>
                </c:pt>
                <c:pt idx="10">
                  <c:v>0.41071428571428575</c:v>
                </c:pt>
              </c:numCache>
            </c:numRef>
          </c:yVal>
          <c:smooth val="0"/>
          <c:extLst>
            <c:ext xmlns:c16="http://schemas.microsoft.com/office/drawing/2014/chart" uri="{C3380CC4-5D6E-409C-BE32-E72D297353CC}">
              <c16:uniqueId val="{00000002-D5D1-4AFF-BA6A-2801622964F6}"/>
            </c:ext>
          </c:extLst>
        </c:ser>
        <c:dLbls>
          <c:showLegendKey val="0"/>
          <c:showVal val="0"/>
          <c:showCatName val="0"/>
          <c:showSerName val="0"/>
          <c:showPercent val="0"/>
          <c:showBubbleSize val="0"/>
        </c:dLbls>
        <c:axId val="367608592"/>
        <c:axId val="367612856"/>
      </c:scatterChart>
      <c:valAx>
        <c:axId val="367608592"/>
        <c:scaling>
          <c:orientation val="minMax"/>
          <c:max val="60"/>
          <c:min val="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DHW Heater set-point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612856"/>
        <c:crosses val="autoZero"/>
        <c:crossBetween val="midCat"/>
      </c:valAx>
      <c:valAx>
        <c:axId val="36761285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Steady</a:t>
                </a:r>
                <a:r>
                  <a:rPr lang="en-US" sz="1100" baseline="0"/>
                  <a:t> state total recovery efficiency %</a:t>
                </a:r>
                <a:endParaRPr lang="en-US" sz="1100"/>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367608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Maximum</a:t>
            </a:r>
            <a:r>
              <a:rPr lang="en-US" baseline="0"/>
              <a:t> r</a:t>
            </a:r>
            <a:r>
              <a:rPr lang="en-US"/>
              <a:t>ecoverable</a:t>
            </a:r>
            <a:r>
              <a:rPr lang="en-US" baseline="0"/>
              <a:t> percentage of needs</a:t>
            </a:r>
            <a:br>
              <a:rPr lang="en-US" baseline="0"/>
            </a:br>
            <a:r>
              <a:rPr lang="en-US" baseline="0"/>
              <a:t>(steady state, no transient losses)</a:t>
            </a:r>
            <a:endParaRPr lang="en-US"/>
          </a:p>
        </c:rich>
      </c:tx>
      <c:layout>
        <c:manualLayout>
          <c:xMode val="edge"/>
          <c:yMode val="edge"/>
          <c:x val="0.20025215052818993"/>
          <c:y val="1.9171509024195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960518423956888"/>
          <c:y val="0.17540345711117061"/>
          <c:w val="0.77982135573281464"/>
          <c:h val="0.55725941014147651"/>
        </c:manualLayout>
      </c:layout>
      <c:scatterChart>
        <c:scatterStyle val="lineMarker"/>
        <c:varyColors val="0"/>
        <c:ser>
          <c:idx val="0"/>
          <c:order val="0"/>
          <c:tx>
            <c:strRef>
              <c:f>A_B_C_Comparison_2!$A$19</c:f>
              <c:strCache>
                <c:ptCount val="1"/>
                <c:pt idx="0">
                  <c:v>TYPE A</c:v>
                </c:pt>
              </c:strCache>
            </c:strRef>
          </c:tx>
          <c:spPr>
            <a:ln w="19050" cap="rnd">
              <a:solidFill>
                <a:srgbClr val="00B050"/>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A_B_C_Comparison_2!$E$26:$O$26</c:f>
              <c:numCache>
                <c:formatCode>0%</c:formatCode>
                <c:ptCount val="11"/>
                <c:pt idx="0">
                  <c:v>0.82142857142857151</c:v>
                </c:pt>
                <c:pt idx="1">
                  <c:v>0.82142857142857151</c:v>
                </c:pt>
                <c:pt idx="2">
                  <c:v>0.82142857142857151</c:v>
                </c:pt>
                <c:pt idx="3">
                  <c:v>0.82142857142857151</c:v>
                </c:pt>
                <c:pt idx="4">
                  <c:v>0.82142857142857151</c:v>
                </c:pt>
                <c:pt idx="5">
                  <c:v>0.82142857142857151</c:v>
                </c:pt>
                <c:pt idx="6">
                  <c:v>0.82142857142857151</c:v>
                </c:pt>
                <c:pt idx="7">
                  <c:v>0.82142857142857151</c:v>
                </c:pt>
                <c:pt idx="8">
                  <c:v>0.82142857142857151</c:v>
                </c:pt>
                <c:pt idx="9">
                  <c:v>0.82142857142857151</c:v>
                </c:pt>
                <c:pt idx="10">
                  <c:v>0.82142857142857151</c:v>
                </c:pt>
              </c:numCache>
            </c:numRef>
          </c:yVal>
          <c:smooth val="0"/>
          <c:extLst>
            <c:ext xmlns:c16="http://schemas.microsoft.com/office/drawing/2014/chart" uri="{C3380CC4-5D6E-409C-BE32-E72D297353CC}">
              <c16:uniqueId val="{00000001-DF46-4FBC-9659-30814D7D5336}"/>
            </c:ext>
          </c:extLst>
        </c:ser>
        <c:ser>
          <c:idx val="3"/>
          <c:order val="1"/>
          <c:tx>
            <c:strRef>
              <c:f>A_B_C_Comparison_2!$A$52</c:f>
              <c:strCache>
                <c:ptCount val="1"/>
                <c:pt idx="0">
                  <c:v>TYPE B - eff 100%</c:v>
                </c:pt>
              </c:strCache>
            </c:strRef>
          </c:tx>
          <c:spPr>
            <a:ln w="38100" cap="rnd">
              <a:solidFill>
                <a:schemeClr val="accent1">
                  <a:lumMod val="20000"/>
                  <a:lumOff val="80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A_B_C_Comparison_2!$E$52:$O$52</c:f>
              <c:numCache>
                <c:formatCode>0%</c:formatCode>
                <c:ptCount val="11"/>
                <c:pt idx="0">
                  <c:v>0.65714285714285714</c:v>
                </c:pt>
                <c:pt idx="1">
                  <c:v>0.64285714285714279</c:v>
                </c:pt>
                <c:pt idx="2">
                  <c:v>0.62585034013605434</c:v>
                </c:pt>
                <c:pt idx="3">
                  <c:v>0.60526315789473684</c:v>
                </c:pt>
                <c:pt idx="4">
                  <c:v>0.57983193277310929</c:v>
                </c:pt>
                <c:pt idx="5">
                  <c:v>0.54761904761904767</c:v>
                </c:pt>
                <c:pt idx="6">
                  <c:v>0.50549450549450559</c:v>
                </c:pt>
                <c:pt idx="7">
                  <c:v>0.44805194805194809</c:v>
                </c:pt>
                <c:pt idx="8">
                  <c:v>0.365079365079365</c:v>
                </c:pt>
                <c:pt idx="9">
                  <c:v>0.23469387755102042</c:v>
                </c:pt>
                <c:pt idx="10">
                  <c:v>0</c:v>
                </c:pt>
              </c:numCache>
            </c:numRef>
          </c:yVal>
          <c:smooth val="0"/>
          <c:extLst>
            <c:ext xmlns:c16="http://schemas.microsoft.com/office/drawing/2014/chart" uri="{C3380CC4-5D6E-409C-BE32-E72D297353CC}">
              <c16:uniqueId val="{00000006-DF46-4FBC-9659-30814D7D5336}"/>
            </c:ext>
          </c:extLst>
        </c:ser>
        <c:ser>
          <c:idx val="1"/>
          <c:order val="2"/>
          <c:tx>
            <c:strRef>
              <c:f>A_B_C_Comparison_2!$A$49</c:f>
              <c:strCache>
                <c:ptCount val="1"/>
                <c:pt idx="0">
                  <c:v>TYPE B - eff 75%</c:v>
                </c:pt>
              </c:strCache>
            </c:strRef>
          </c:tx>
          <c:spPr>
            <a:ln w="28575" cap="rnd">
              <a:solidFill>
                <a:schemeClr val="accent1">
                  <a:lumMod val="40000"/>
                  <a:lumOff val="60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A_B_C_Comparison_2!$E$53:$O$53</c:f>
              <c:numCache>
                <c:formatCode>0%</c:formatCode>
                <c:ptCount val="11"/>
                <c:pt idx="0">
                  <c:v>0.53426248548199773</c:v>
                </c:pt>
                <c:pt idx="1">
                  <c:v>0.51428571428571423</c:v>
                </c:pt>
                <c:pt idx="2">
                  <c:v>0.49132176234979991</c:v>
                </c:pt>
                <c:pt idx="3">
                  <c:v>0.46464646464646459</c:v>
                </c:pt>
                <c:pt idx="4">
                  <c:v>0.43328100470957626</c:v>
                </c:pt>
                <c:pt idx="5">
                  <c:v>0.39586919104991403</c:v>
                </c:pt>
                <c:pt idx="6">
                  <c:v>0.35047619047619039</c:v>
                </c:pt>
                <c:pt idx="7">
                  <c:v>0.29424307036247338</c:v>
                </c:pt>
                <c:pt idx="8">
                  <c:v>0.22276029055690075</c:v>
                </c:pt>
                <c:pt idx="9">
                  <c:v>0.12885154061624651</c:v>
                </c:pt>
                <c:pt idx="10">
                  <c:v>0</c:v>
                </c:pt>
              </c:numCache>
            </c:numRef>
          </c:yVal>
          <c:smooth val="0"/>
          <c:extLst>
            <c:ext xmlns:c16="http://schemas.microsoft.com/office/drawing/2014/chart" uri="{C3380CC4-5D6E-409C-BE32-E72D297353CC}">
              <c16:uniqueId val="{00000002-DF46-4FBC-9659-30814D7D5336}"/>
            </c:ext>
          </c:extLst>
        </c:ser>
        <c:ser>
          <c:idx val="4"/>
          <c:order val="3"/>
          <c:tx>
            <c:strRef>
              <c:f>A_B_C_Comparison_2!$A$50</c:f>
              <c:strCache>
                <c:ptCount val="1"/>
                <c:pt idx="0">
                  <c:v>TYPE B - eff 50%</c:v>
                </c:pt>
              </c:strCache>
            </c:strRef>
          </c:tx>
          <c:spPr>
            <a:ln w="28575" cap="rnd">
              <a:solidFill>
                <a:schemeClr val="accent1">
                  <a:lumMod val="60000"/>
                  <a:lumOff val="40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A_B_C_Comparison_2!$E$54:$O$54</c:f>
              <c:numCache>
                <c:formatCode>0%</c:formatCode>
                <c:ptCount val="11"/>
                <c:pt idx="0">
                  <c:v>0.45009784735812136</c:v>
                </c:pt>
                <c:pt idx="1">
                  <c:v>0.4285714285714286</c:v>
                </c:pt>
                <c:pt idx="2">
                  <c:v>0.40439560439560446</c:v>
                </c:pt>
                <c:pt idx="3">
                  <c:v>0.37704918032786877</c:v>
                </c:pt>
                <c:pt idx="4">
                  <c:v>0.34586466165413532</c:v>
                </c:pt>
                <c:pt idx="5">
                  <c:v>0.3099730458221025</c:v>
                </c:pt>
                <c:pt idx="6">
                  <c:v>0.26822157434402344</c:v>
                </c:pt>
                <c:pt idx="7">
                  <c:v>0.21904761904761913</c:v>
                </c:pt>
                <c:pt idx="8">
                  <c:v>0.16027874564459921</c:v>
                </c:pt>
                <c:pt idx="9">
                  <c:v>8.8803088803088862E-2</c:v>
                </c:pt>
                <c:pt idx="10">
                  <c:v>0</c:v>
                </c:pt>
              </c:numCache>
            </c:numRef>
          </c:yVal>
          <c:smooth val="0"/>
          <c:extLst>
            <c:ext xmlns:c16="http://schemas.microsoft.com/office/drawing/2014/chart" uri="{C3380CC4-5D6E-409C-BE32-E72D297353CC}">
              <c16:uniqueId val="{00000003-DF46-4FBC-9659-30814D7D5336}"/>
            </c:ext>
          </c:extLst>
        </c:ser>
        <c:ser>
          <c:idx val="5"/>
          <c:order val="4"/>
          <c:tx>
            <c:strRef>
              <c:f>A_B_C_Comparison_2!$A$51</c:f>
              <c:strCache>
                <c:ptCount val="1"/>
                <c:pt idx="0">
                  <c:v>TYPE B - eff 25%</c:v>
                </c:pt>
              </c:strCache>
            </c:strRef>
          </c:tx>
          <c:spPr>
            <a:ln w="28575" cap="rnd">
              <a:solidFill>
                <a:schemeClr val="accent1">
                  <a:lumMod val="75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A_B_C_Comparison_2!$E$55:$O$55</c:f>
              <c:numCache>
                <c:formatCode>0%</c:formatCode>
                <c:ptCount val="11"/>
                <c:pt idx="0">
                  <c:v>0.38884192730346573</c:v>
                </c:pt>
                <c:pt idx="1">
                  <c:v>0.36734693877551017</c:v>
                </c:pt>
                <c:pt idx="2">
                  <c:v>0.34360410830999072</c:v>
                </c:pt>
                <c:pt idx="3">
                  <c:v>0.31724137931034491</c:v>
                </c:pt>
                <c:pt idx="4">
                  <c:v>0.28779979144942652</c:v>
                </c:pt>
                <c:pt idx="5">
                  <c:v>0.25470653377630115</c:v>
                </c:pt>
                <c:pt idx="6">
                  <c:v>0.21723730814639905</c:v>
                </c:pt>
                <c:pt idx="7">
                  <c:v>0.17446270543615683</c:v>
                </c:pt>
                <c:pt idx="8">
                  <c:v>0.12517006802721092</c:v>
                </c:pt>
                <c:pt idx="9">
                  <c:v>6.7746686303387343E-2</c:v>
                </c:pt>
                <c:pt idx="10">
                  <c:v>0</c:v>
                </c:pt>
              </c:numCache>
            </c:numRef>
          </c:yVal>
          <c:smooth val="0"/>
          <c:extLst>
            <c:ext xmlns:c16="http://schemas.microsoft.com/office/drawing/2014/chart" uri="{C3380CC4-5D6E-409C-BE32-E72D297353CC}">
              <c16:uniqueId val="{00000004-DF46-4FBC-9659-30814D7D5336}"/>
            </c:ext>
          </c:extLst>
        </c:ser>
        <c:ser>
          <c:idx val="2"/>
          <c:order val="5"/>
          <c:tx>
            <c:strRef>
              <c:f>A_B_C_Comparison_2!$A$70</c:f>
              <c:strCache>
                <c:ptCount val="1"/>
                <c:pt idx="0">
                  <c:v>TYPE C</c:v>
                </c:pt>
              </c:strCache>
            </c:strRef>
          </c:tx>
          <c:spPr>
            <a:ln w="19050" cap="rnd">
              <a:solidFill>
                <a:schemeClr val="accent3"/>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A_B_C_Comparison_2!$E$77:$O$77</c:f>
              <c:numCache>
                <c:formatCode>0%</c:formatCode>
                <c:ptCount val="11"/>
                <c:pt idx="0">
                  <c:v>0.47916666666666669</c:v>
                </c:pt>
                <c:pt idx="1">
                  <c:v>0.50000000000000011</c:v>
                </c:pt>
                <c:pt idx="2">
                  <c:v>0.52272727272727271</c:v>
                </c:pt>
                <c:pt idx="3">
                  <c:v>0.54761904761904767</c:v>
                </c:pt>
                <c:pt idx="4">
                  <c:v>0.57499999999999984</c:v>
                </c:pt>
                <c:pt idx="5">
                  <c:v>0.60526315789473684</c:v>
                </c:pt>
                <c:pt idx="6">
                  <c:v>0.63888888888888906</c:v>
                </c:pt>
                <c:pt idx="7">
                  <c:v>0.67647058823529416</c:v>
                </c:pt>
                <c:pt idx="8">
                  <c:v>0.71875000000000011</c:v>
                </c:pt>
                <c:pt idx="9">
                  <c:v>0.76666666666666661</c:v>
                </c:pt>
                <c:pt idx="10">
                  <c:v>0.82142857142857151</c:v>
                </c:pt>
              </c:numCache>
            </c:numRef>
          </c:yVal>
          <c:smooth val="0"/>
          <c:extLst>
            <c:ext xmlns:c16="http://schemas.microsoft.com/office/drawing/2014/chart" uri="{C3380CC4-5D6E-409C-BE32-E72D297353CC}">
              <c16:uniqueId val="{00000005-DF46-4FBC-9659-30814D7D5336}"/>
            </c:ext>
          </c:extLst>
        </c:ser>
        <c:dLbls>
          <c:showLegendKey val="0"/>
          <c:showVal val="0"/>
          <c:showCatName val="0"/>
          <c:showSerName val="0"/>
          <c:showPercent val="0"/>
          <c:showBubbleSize val="0"/>
        </c:dLbls>
        <c:axId val="367608592"/>
        <c:axId val="367612856"/>
      </c:scatterChart>
      <c:valAx>
        <c:axId val="367608592"/>
        <c:scaling>
          <c:orientation val="minMax"/>
          <c:max val="60"/>
          <c:min val="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DHW Heater set-point °C</a:t>
                </a:r>
              </a:p>
            </c:rich>
          </c:tx>
          <c:layout>
            <c:manualLayout>
              <c:xMode val="edge"/>
              <c:yMode val="edge"/>
              <c:x val="0.43205419672721662"/>
              <c:y val="0.8132206927506536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67612856"/>
        <c:crosses val="autoZero"/>
        <c:crossBetween val="midCat"/>
      </c:valAx>
      <c:valAx>
        <c:axId val="36761285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Percentage of  recoverable needs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67608592"/>
        <c:crosses val="autoZero"/>
        <c:crossBetween val="midCat"/>
      </c:valAx>
      <c:spPr>
        <a:noFill/>
        <a:ln>
          <a:noFill/>
        </a:ln>
        <a:effectLst/>
      </c:spPr>
    </c:plotArea>
    <c:legend>
      <c:legendPos val="b"/>
      <c:layout>
        <c:manualLayout>
          <c:xMode val="edge"/>
          <c:yMode val="edge"/>
          <c:x val="3.7168362309152145E-2"/>
          <c:y val="0.87778087518693482"/>
          <c:w val="0.945276270071709"/>
          <c:h val="0.10304761578886985"/>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Frazione recuperabile del fabbisogno</a:t>
            </a:r>
            <a:br>
              <a:rPr lang="en-US" baseline="0"/>
            </a:br>
            <a:r>
              <a:rPr lang="en-US" baseline="0"/>
              <a:t>(a regime, escluso  transitori)</a:t>
            </a:r>
            <a:endParaRPr lang="en-US"/>
          </a:p>
        </c:rich>
      </c:tx>
      <c:layout>
        <c:manualLayout>
          <c:xMode val="edge"/>
          <c:yMode val="edge"/>
          <c:x val="0.20025215052818993"/>
          <c:y val="1.9171509024195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960518423956888"/>
          <c:y val="0.17540345711117061"/>
          <c:w val="0.77982135573281464"/>
          <c:h val="0.55725941014147651"/>
        </c:manualLayout>
      </c:layout>
      <c:scatterChart>
        <c:scatterStyle val="lineMarker"/>
        <c:varyColors val="0"/>
        <c:ser>
          <c:idx val="0"/>
          <c:order val="0"/>
          <c:tx>
            <c:strRef>
              <c:f>A_B_C_Comparison_2!$A$19</c:f>
              <c:strCache>
                <c:ptCount val="1"/>
                <c:pt idx="0">
                  <c:v>TYPE A</c:v>
                </c:pt>
              </c:strCache>
            </c:strRef>
          </c:tx>
          <c:spPr>
            <a:ln w="19050" cap="rnd">
              <a:solidFill>
                <a:srgbClr val="00B050"/>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A_B_C_Comparison_2!$E$26:$O$26</c:f>
              <c:numCache>
                <c:formatCode>0%</c:formatCode>
                <c:ptCount val="11"/>
                <c:pt idx="0">
                  <c:v>0.82142857142857151</c:v>
                </c:pt>
                <c:pt idx="1">
                  <c:v>0.82142857142857151</c:v>
                </c:pt>
                <c:pt idx="2">
                  <c:v>0.82142857142857151</c:v>
                </c:pt>
                <c:pt idx="3">
                  <c:v>0.82142857142857151</c:v>
                </c:pt>
                <c:pt idx="4">
                  <c:v>0.82142857142857151</c:v>
                </c:pt>
                <c:pt idx="5">
                  <c:v>0.82142857142857151</c:v>
                </c:pt>
                <c:pt idx="6">
                  <c:v>0.82142857142857151</c:v>
                </c:pt>
                <c:pt idx="7">
                  <c:v>0.82142857142857151</c:v>
                </c:pt>
                <c:pt idx="8">
                  <c:v>0.82142857142857151</c:v>
                </c:pt>
                <c:pt idx="9">
                  <c:v>0.82142857142857151</c:v>
                </c:pt>
                <c:pt idx="10">
                  <c:v>0.82142857142857151</c:v>
                </c:pt>
              </c:numCache>
            </c:numRef>
          </c:yVal>
          <c:smooth val="0"/>
          <c:extLst>
            <c:ext xmlns:c16="http://schemas.microsoft.com/office/drawing/2014/chart" uri="{C3380CC4-5D6E-409C-BE32-E72D297353CC}">
              <c16:uniqueId val="{00000000-D30C-48BF-B283-5412E6DEA27D}"/>
            </c:ext>
          </c:extLst>
        </c:ser>
        <c:ser>
          <c:idx val="3"/>
          <c:order val="1"/>
          <c:tx>
            <c:strRef>
              <c:f>A_B_C_Comparison_2!$A$52</c:f>
              <c:strCache>
                <c:ptCount val="1"/>
                <c:pt idx="0">
                  <c:v>TYPE B - eff 100%</c:v>
                </c:pt>
              </c:strCache>
            </c:strRef>
          </c:tx>
          <c:spPr>
            <a:ln w="38100" cap="rnd">
              <a:solidFill>
                <a:schemeClr val="accent1">
                  <a:lumMod val="20000"/>
                  <a:lumOff val="80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A_B_C_Comparison_2!$E$52:$O$52</c:f>
              <c:numCache>
                <c:formatCode>0%</c:formatCode>
                <c:ptCount val="11"/>
                <c:pt idx="0">
                  <c:v>0.65714285714285714</c:v>
                </c:pt>
                <c:pt idx="1">
                  <c:v>0.64285714285714279</c:v>
                </c:pt>
                <c:pt idx="2">
                  <c:v>0.62585034013605434</c:v>
                </c:pt>
                <c:pt idx="3">
                  <c:v>0.60526315789473684</c:v>
                </c:pt>
                <c:pt idx="4">
                  <c:v>0.57983193277310929</c:v>
                </c:pt>
                <c:pt idx="5">
                  <c:v>0.54761904761904767</c:v>
                </c:pt>
                <c:pt idx="6">
                  <c:v>0.50549450549450559</c:v>
                </c:pt>
                <c:pt idx="7">
                  <c:v>0.44805194805194809</c:v>
                </c:pt>
                <c:pt idx="8">
                  <c:v>0.365079365079365</c:v>
                </c:pt>
                <c:pt idx="9">
                  <c:v>0.23469387755102042</c:v>
                </c:pt>
                <c:pt idx="10">
                  <c:v>0</c:v>
                </c:pt>
              </c:numCache>
            </c:numRef>
          </c:yVal>
          <c:smooth val="0"/>
          <c:extLst>
            <c:ext xmlns:c16="http://schemas.microsoft.com/office/drawing/2014/chart" uri="{C3380CC4-5D6E-409C-BE32-E72D297353CC}">
              <c16:uniqueId val="{00000001-D30C-48BF-B283-5412E6DEA27D}"/>
            </c:ext>
          </c:extLst>
        </c:ser>
        <c:ser>
          <c:idx val="1"/>
          <c:order val="2"/>
          <c:tx>
            <c:strRef>
              <c:f>A_B_C_Comparison_2!$A$49</c:f>
              <c:strCache>
                <c:ptCount val="1"/>
                <c:pt idx="0">
                  <c:v>TYPE B - eff 75%</c:v>
                </c:pt>
              </c:strCache>
            </c:strRef>
          </c:tx>
          <c:spPr>
            <a:ln w="28575" cap="rnd">
              <a:solidFill>
                <a:schemeClr val="accent1">
                  <a:lumMod val="40000"/>
                  <a:lumOff val="60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A_B_C_Comparison_2!$E$53:$O$53</c:f>
              <c:numCache>
                <c:formatCode>0%</c:formatCode>
                <c:ptCount val="11"/>
                <c:pt idx="0">
                  <c:v>0.53426248548199773</c:v>
                </c:pt>
                <c:pt idx="1">
                  <c:v>0.51428571428571423</c:v>
                </c:pt>
                <c:pt idx="2">
                  <c:v>0.49132176234979991</c:v>
                </c:pt>
                <c:pt idx="3">
                  <c:v>0.46464646464646459</c:v>
                </c:pt>
                <c:pt idx="4">
                  <c:v>0.43328100470957626</c:v>
                </c:pt>
                <c:pt idx="5">
                  <c:v>0.39586919104991403</c:v>
                </c:pt>
                <c:pt idx="6">
                  <c:v>0.35047619047619039</c:v>
                </c:pt>
                <c:pt idx="7">
                  <c:v>0.29424307036247338</c:v>
                </c:pt>
                <c:pt idx="8">
                  <c:v>0.22276029055690075</c:v>
                </c:pt>
                <c:pt idx="9">
                  <c:v>0.12885154061624651</c:v>
                </c:pt>
                <c:pt idx="10">
                  <c:v>0</c:v>
                </c:pt>
              </c:numCache>
            </c:numRef>
          </c:yVal>
          <c:smooth val="0"/>
          <c:extLst>
            <c:ext xmlns:c16="http://schemas.microsoft.com/office/drawing/2014/chart" uri="{C3380CC4-5D6E-409C-BE32-E72D297353CC}">
              <c16:uniqueId val="{00000002-D30C-48BF-B283-5412E6DEA27D}"/>
            </c:ext>
          </c:extLst>
        </c:ser>
        <c:ser>
          <c:idx val="4"/>
          <c:order val="3"/>
          <c:tx>
            <c:strRef>
              <c:f>A_B_C_Comparison_2!$A$50</c:f>
              <c:strCache>
                <c:ptCount val="1"/>
                <c:pt idx="0">
                  <c:v>TYPE B - eff 50%</c:v>
                </c:pt>
              </c:strCache>
            </c:strRef>
          </c:tx>
          <c:spPr>
            <a:ln w="28575" cap="rnd">
              <a:solidFill>
                <a:schemeClr val="accent1">
                  <a:lumMod val="60000"/>
                  <a:lumOff val="40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A_B_C_Comparison_2!$E$54:$O$54</c:f>
              <c:numCache>
                <c:formatCode>0%</c:formatCode>
                <c:ptCount val="11"/>
                <c:pt idx="0">
                  <c:v>0.45009784735812136</c:v>
                </c:pt>
                <c:pt idx="1">
                  <c:v>0.4285714285714286</c:v>
                </c:pt>
                <c:pt idx="2">
                  <c:v>0.40439560439560446</c:v>
                </c:pt>
                <c:pt idx="3">
                  <c:v>0.37704918032786877</c:v>
                </c:pt>
                <c:pt idx="4">
                  <c:v>0.34586466165413532</c:v>
                </c:pt>
                <c:pt idx="5">
                  <c:v>0.3099730458221025</c:v>
                </c:pt>
                <c:pt idx="6">
                  <c:v>0.26822157434402344</c:v>
                </c:pt>
                <c:pt idx="7">
                  <c:v>0.21904761904761913</c:v>
                </c:pt>
                <c:pt idx="8">
                  <c:v>0.16027874564459921</c:v>
                </c:pt>
                <c:pt idx="9">
                  <c:v>8.8803088803088862E-2</c:v>
                </c:pt>
                <c:pt idx="10">
                  <c:v>0</c:v>
                </c:pt>
              </c:numCache>
            </c:numRef>
          </c:yVal>
          <c:smooth val="0"/>
          <c:extLst>
            <c:ext xmlns:c16="http://schemas.microsoft.com/office/drawing/2014/chart" uri="{C3380CC4-5D6E-409C-BE32-E72D297353CC}">
              <c16:uniqueId val="{00000003-D30C-48BF-B283-5412E6DEA27D}"/>
            </c:ext>
          </c:extLst>
        </c:ser>
        <c:ser>
          <c:idx val="5"/>
          <c:order val="4"/>
          <c:tx>
            <c:strRef>
              <c:f>A_B_C_Comparison_2!$A$51</c:f>
              <c:strCache>
                <c:ptCount val="1"/>
                <c:pt idx="0">
                  <c:v>TYPE B - eff 25%</c:v>
                </c:pt>
              </c:strCache>
            </c:strRef>
          </c:tx>
          <c:spPr>
            <a:ln w="28575" cap="rnd">
              <a:solidFill>
                <a:schemeClr val="accent1">
                  <a:lumMod val="75000"/>
                </a:schemeClr>
              </a:solidFill>
              <a:prstDash val="sysDash"/>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A_B_C_Comparison_2!$E$55:$O$55</c:f>
              <c:numCache>
                <c:formatCode>0%</c:formatCode>
                <c:ptCount val="11"/>
                <c:pt idx="0">
                  <c:v>0.38884192730346573</c:v>
                </c:pt>
                <c:pt idx="1">
                  <c:v>0.36734693877551017</c:v>
                </c:pt>
                <c:pt idx="2">
                  <c:v>0.34360410830999072</c:v>
                </c:pt>
                <c:pt idx="3">
                  <c:v>0.31724137931034491</c:v>
                </c:pt>
                <c:pt idx="4">
                  <c:v>0.28779979144942652</c:v>
                </c:pt>
                <c:pt idx="5">
                  <c:v>0.25470653377630115</c:v>
                </c:pt>
                <c:pt idx="6">
                  <c:v>0.21723730814639905</c:v>
                </c:pt>
                <c:pt idx="7">
                  <c:v>0.17446270543615683</c:v>
                </c:pt>
                <c:pt idx="8">
                  <c:v>0.12517006802721092</c:v>
                </c:pt>
                <c:pt idx="9">
                  <c:v>6.7746686303387343E-2</c:v>
                </c:pt>
                <c:pt idx="10">
                  <c:v>0</c:v>
                </c:pt>
              </c:numCache>
            </c:numRef>
          </c:yVal>
          <c:smooth val="0"/>
          <c:extLst>
            <c:ext xmlns:c16="http://schemas.microsoft.com/office/drawing/2014/chart" uri="{C3380CC4-5D6E-409C-BE32-E72D297353CC}">
              <c16:uniqueId val="{00000004-D30C-48BF-B283-5412E6DEA27D}"/>
            </c:ext>
          </c:extLst>
        </c:ser>
        <c:ser>
          <c:idx val="2"/>
          <c:order val="5"/>
          <c:tx>
            <c:strRef>
              <c:f>A_B_C_Comparison_2!$A$70</c:f>
              <c:strCache>
                <c:ptCount val="1"/>
                <c:pt idx="0">
                  <c:v>TYPE C</c:v>
                </c:pt>
              </c:strCache>
            </c:strRef>
          </c:tx>
          <c:spPr>
            <a:ln w="19050" cap="rnd">
              <a:solidFill>
                <a:schemeClr val="accent3"/>
              </a:solidFill>
              <a:round/>
            </a:ln>
            <a:effectLst/>
          </c:spPr>
          <c:marker>
            <c:symbol val="none"/>
          </c:marker>
          <c:xVal>
            <c:numRef>
              <c:f>A_B_C_Comparison_2!$E$7:$O$7</c:f>
              <c:numCache>
                <c:formatCode>0.00</c:formatCode>
                <c:ptCount val="11"/>
                <c:pt idx="0">
                  <c:v>60</c:v>
                </c:pt>
                <c:pt idx="1">
                  <c:v>58</c:v>
                </c:pt>
                <c:pt idx="2">
                  <c:v>56</c:v>
                </c:pt>
                <c:pt idx="3">
                  <c:v>54</c:v>
                </c:pt>
                <c:pt idx="4">
                  <c:v>52</c:v>
                </c:pt>
                <c:pt idx="5">
                  <c:v>50</c:v>
                </c:pt>
                <c:pt idx="6">
                  <c:v>48</c:v>
                </c:pt>
                <c:pt idx="7">
                  <c:v>46</c:v>
                </c:pt>
                <c:pt idx="8">
                  <c:v>44</c:v>
                </c:pt>
                <c:pt idx="9">
                  <c:v>42</c:v>
                </c:pt>
                <c:pt idx="10">
                  <c:v>40</c:v>
                </c:pt>
              </c:numCache>
            </c:numRef>
          </c:xVal>
          <c:yVal>
            <c:numRef>
              <c:f>A_B_C_Comparison_2!$E$77:$O$77</c:f>
              <c:numCache>
                <c:formatCode>0%</c:formatCode>
                <c:ptCount val="11"/>
                <c:pt idx="0">
                  <c:v>0.47916666666666669</c:v>
                </c:pt>
                <c:pt idx="1">
                  <c:v>0.50000000000000011</c:v>
                </c:pt>
                <c:pt idx="2">
                  <c:v>0.52272727272727271</c:v>
                </c:pt>
                <c:pt idx="3">
                  <c:v>0.54761904761904767</c:v>
                </c:pt>
                <c:pt idx="4">
                  <c:v>0.57499999999999984</c:v>
                </c:pt>
                <c:pt idx="5">
                  <c:v>0.60526315789473684</c:v>
                </c:pt>
                <c:pt idx="6">
                  <c:v>0.63888888888888906</c:v>
                </c:pt>
                <c:pt idx="7">
                  <c:v>0.67647058823529416</c:v>
                </c:pt>
                <c:pt idx="8">
                  <c:v>0.71875000000000011</c:v>
                </c:pt>
                <c:pt idx="9">
                  <c:v>0.76666666666666661</c:v>
                </c:pt>
                <c:pt idx="10">
                  <c:v>0.82142857142857151</c:v>
                </c:pt>
              </c:numCache>
            </c:numRef>
          </c:yVal>
          <c:smooth val="0"/>
          <c:extLst>
            <c:ext xmlns:c16="http://schemas.microsoft.com/office/drawing/2014/chart" uri="{C3380CC4-5D6E-409C-BE32-E72D297353CC}">
              <c16:uniqueId val="{00000005-D30C-48BF-B283-5412E6DEA27D}"/>
            </c:ext>
          </c:extLst>
        </c:ser>
        <c:dLbls>
          <c:showLegendKey val="0"/>
          <c:showVal val="0"/>
          <c:showCatName val="0"/>
          <c:showSerName val="0"/>
          <c:showPercent val="0"/>
          <c:showBubbleSize val="0"/>
        </c:dLbls>
        <c:axId val="367608592"/>
        <c:axId val="367612856"/>
      </c:scatterChart>
      <c:valAx>
        <c:axId val="367608592"/>
        <c:scaling>
          <c:orientation val="minMax"/>
          <c:max val="60"/>
          <c:min val="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Temperatura di distribuzione</a:t>
                </a:r>
                <a:r>
                  <a:rPr lang="en-US" sz="1200" b="1" baseline="0"/>
                  <a:t> dell'a.c.s. </a:t>
                </a:r>
                <a:r>
                  <a:rPr lang="en-US" sz="1200" b="1"/>
                  <a:t>°C</a:t>
                </a:r>
              </a:p>
            </c:rich>
          </c:tx>
          <c:layout>
            <c:manualLayout>
              <c:xMode val="edge"/>
              <c:yMode val="edge"/>
              <c:x val="0.43205419672721662"/>
              <c:y val="0.8132206927506536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67612856"/>
        <c:crosses val="autoZero"/>
        <c:crossBetween val="midCat"/>
      </c:valAx>
      <c:valAx>
        <c:axId val="36761285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Percentuale recuperabile dei fabbisogni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67608592"/>
        <c:crosses val="autoZero"/>
        <c:crossBetween val="midCat"/>
      </c:valAx>
      <c:spPr>
        <a:noFill/>
        <a:ln>
          <a:noFill/>
        </a:ln>
        <a:effectLst/>
      </c:spPr>
    </c:plotArea>
    <c:legend>
      <c:legendPos val="b"/>
      <c:layout>
        <c:manualLayout>
          <c:xMode val="edge"/>
          <c:yMode val="edge"/>
          <c:x val="3.7168362309152145E-2"/>
          <c:y val="0.87778087518693482"/>
          <c:w val="0.945276270071709"/>
          <c:h val="0.10304761578886985"/>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DHW use l/day @52°C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88-4669-A420-97F9F070AF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88-4669-A420-97F9F070AF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88-4669-A420-97F9F070AF66}"/>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UK_SAP!$A$57:$A$59</c:f>
              <c:strCache>
                <c:ptCount val="3"/>
                <c:pt idx="0">
                  <c:v>Shower</c:v>
                </c:pt>
                <c:pt idx="1">
                  <c:v>Bath</c:v>
                </c:pt>
                <c:pt idx="2">
                  <c:v>Other</c:v>
                </c:pt>
              </c:strCache>
            </c:strRef>
          </c:cat>
          <c:val>
            <c:numRef>
              <c:f>UK_SAP!$E$57:$E$59</c:f>
              <c:numCache>
                <c:formatCode>0.00</c:formatCode>
                <c:ptCount val="3"/>
                <c:pt idx="0">
                  <c:v>64.940198842818006</c:v>
                </c:pt>
                <c:pt idx="1">
                  <c:v>24.154999167605325</c:v>
                </c:pt>
                <c:pt idx="2">
                  <c:v>30.562988713031977</c:v>
                </c:pt>
              </c:numCache>
            </c:numRef>
          </c:val>
          <c:extLst>
            <c:ext xmlns:c16="http://schemas.microsoft.com/office/drawing/2014/chart" uri="{C3380CC4-5D6E-409C-BE32-E72D297353CC}">
              <c16:uniqueId val="{00000000-860D-45AE-90BE-F96BE45ECEE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power"/>
            <c:dispRSqr val="0"/>
            <c:dispEq val="0"/>
          </c:trendline>
          <c:trendline>
            <c:spPr>
              <a:ln w="19050" cap="rnd">
                <a:solidFill>
                  <a:schemeClr val="accent1"/>
                </a:solidFill>
                <a:prstDash val="sysDot"/>
              </a:ln>
              <a:effectLst/>
            </c:spPr>
            <c:trendlineType val="poly"/>
            <c:order val="2"/>
            <c:forward val="3"/>
            <c:backward val="5"/>
            <c:dispRSqr val="0"/>
            <c:dispEq val="0"/>
          </c:trendline>
          <c:xVal>
            <c:numRef>
              <c:f>SAP_Database!$S$4:$X$4</c:f>
              <c:numCache>
                <c:formatCode>General</c:formatCode>
                <c:ptCount val="6"/>
                <c:pt idx="1">
                  <c:v>5</c:v>
                </c:pt>
                <c:pt idx="2">
                  <c:v>7</c:v>
                </c:pt>
                <c:pt idx="3">
                  <c:v>9</c:v>
                </c:pt>
                <c:pt idx="4">
                  <c:v>11</c:v>
                </c:pt>
                <c:pt idx="5">
                  <c:v>13</c:v>
                </c:pt>
              </c:numCache>
            </c:numRef>
          </c:xVal>
          <c:yVal>
            <c:numRef>
              <c:f>SAP_Database!$S$5:$X$5</c:f>
              <c:numCache>
                <c:formatCode>General</c:formatCode>
                <c:ptCount val="6"/>
                <c:pt idx="1">
                  <c:v>43.7</c:v>
                </c:pt>
                <c:pt idx="2">
                  <c:v>35.700000000000003</c:v>
                </c:pt>
                <c:pt idx="3">
                  <c:v>30.2</c:v>
                </c:pt>
                <c:pt idx="4">
                  <c:v>26.1</c:v>
                </c:pt>
                <c:pt idx="5">
                  <c:v>23</c:v>
                </c:pt>
              </c:numCache>
            </c:numRef>
          </c:yVal>
          <c:smooth val="0"/>
          <c:extLst>
            <c:ext xmlns:c16="http://schemas.microsoft.com/office/drawing/2014/chart" uri="{C3380CC4-5D6E-409C-BE32-E72D297353CC}">
              <c16:uniqueId val="{00000000-82A0-496F-ACAF-63E3B3571A68}"/>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2"/>
            <c:dispRSqr val="0"/>
            <c:dispEq val="0"/>
          </c:trendline>
          <c:xVal>
            <c:numRef>
              <c:f>SAP_Database!$S$4:$X$4</c:f>
              <c:numCache>
                <c:formatCode>General</c:formatCode>
                <c:ptCount val="6"/>
                <c:pt idx="1">
                  <c:v>5</c:v>
                </c:pt>
                <c:pt idx="2">
                  <c:v>7</c:v>
                </c:pt>
                <c:pt idx="3">
                  <c:v>9</c:v>
                </c:pt>
                <c:pt idx="4">
                  <c:v>11</c:v>
                </c:pt>
                <c:pt idx="5">
                  <c:v>13</c:v>
                </c:pt>
              </c:numCache>
            </c:numRef>
          </c:xVal>
          <c:yVal>
            <c:numRef>
              <c:f>SAP_Database!$S$6:$X$6</c:f>
              <c:numCache>
                <c:formatCode>General</c:formatCode>
                <c:ptCount val="6"/>
                <c:pt idx="1">
                  <c:v>62.5</c:v>
                </c:pt>
                <c:pt idx="2">
                  <c:v>54.3</c:v>
                </c:pt>
                <c:pt idx="3">
                  <c:v>48</c:v>
                </c:pt>
                <c:pt idx="4">
                  <c:v>43.1</c:v>
                </c:pt>
                <c:pt idx="5">
                  <c:v>39</c:v>
                </c:pt>
              </c:numCache>
            </c:numRef>
          </c:yVal>
          <c:smooth val="0"/>
          <c:extLst>
            <c:ext xmlns:c16="http://schemas.microsoft.com/office/drawing/2014/chart" uri="{C3380CC4-5D6E-409C-BE32-E72D297353CC}">
              <c16:uniqueId val="{00000001-82A0-496F-ACAF-63E3B3571A68}"/>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numRef>
              <c:f>SAP_Database!$S$4:$X$4</c:f>
              <c:numCache>
                <c:formatCode>General</c:formatCode>
                <c:ptCount val="6"/>
                <c:pt idx="1">
                  <c:v>5</c:v>
                </c:pt>
                <c:pt idx="2">
                  <c:v>7</c:v>
                </c:pt>
                <c:pt idx="3">
                  <c:v>9</c:v>
                </c:pt>
                <c:pt idx="4">
                  <c:v>11</c:v>
                </c:pt>
                <c:pt idx="5">
                  <c:v>13</c:v>
                </c:pt>
              </c:numCache>
            </c:numRef>
          </c:xVal>
          <c:yVal>
            <c:numRef>
              <c:f>SAP_Database!$S$7:$X$7</c:f>
              <c:numCache>
                <c:formatCode>General</c:formatCode>
                <c:ptCount val="6"/>
                <c:pt idx="1">
                  <c:v>79.3</c:v>
                </c:pt>
                <c:pt idx="2">
                  <c:v>73.2</c:v>
                </c:pt>
                <c:pt idx="3">
                  <c:v>68</c:v>
                </c:pt>
                <c:pt idx="4">
                  <c:v>63.5</c:v>
                </c:pt>
                <c:pt idx="5">
                  <c:v>59.5</c:v>
                </c:pt>
              </c:numCache>
            </c:numRef>
          </c:yVal>
          <c:smooth val="0"/>
          <c:extLst>
            <c:ext xmlns:c16="http://schemas.microsoft.com/office/drawing/2014/chart" uri="{C3380CC4-5D6E-409C-BE32-E72D297353CC}">
              <c16:uniqueId val="{00000002-82A0-496F-ACAF-63E3B3571A68}"/>
            </c:ext>
          </c:extLst>
        </c:ser>
        <c:ser>
          <c:idx val="3"/>
          <c:order val="3"/>
          <c:spPr>
            <a:ln w="1905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poly"/>
            <c:order val="2"/>
            <c:dispRSqr val="0"/>
            <c:dispEq val="0"/>
          </c:trendline>
          <c:xVal>
            <c:numRef>
              <c:f>SAP_Database!$S$4:$X$4</c:f>
              <c:numCache>
                <c:formatCode>General</c:formatCode>
                <c:ptCount val="6"/>
                <c:pt idx="1">
                  <c:v>5</c:v>
                </c:pt>
                <c:pt idx="2">
                  <c:v>7</c:v>
                </c:pt>
                <c:pt idx="3">
                  <c:v>9</c:v>
                </c:pt>
                <c:pt idx="4">
                  <c:v>11</c:v>
                </c:pt>
                <c:pt idx="5">
                  <c:v>13</c:v>
                </c:pt>
              </c:numCache>
            </c:numRef>
          </c:xVal>
          <c:yVal>
            <c:numRef>
              <c:f>SAP_Database!$S$8:$X$8</c:f>
              <c:numCache>
                <c:formatCode>General</c:formatCode>
                <c:ptCount val="6"/>
                <c:pt idx="1">
                  <c:v>76.5</c:v>
                </c:pt>
                <c:pt idx="2">
                  <c:v>69.900000000000006</c:v>
                </c:pt>
                <c:pt idx="3">
                  <c:v>64.400000000000006</c:v>
                </c:pt>
                <c:pt idx="4">
                  <c:v>59.7</c:v>
                </c:pt>
                <c:pt idx="5">
                  <c:v>55.6</c:v>
                </c:pt>
              </c:numCache>
            </c:numRef>
          </c:yVal>
          <c:smooth val="0"/>
          <c:extLst>
            <c:ext xmlns:c16="http://schemas.microsoft.com/office/drawing/2014/chart" uri="{C3380CC4-5D6E-409C-BE32-E72D297353CC}">
              <c16:uniqueId val="{00000003-82A0-496F-ACAF-63E3B3571A68}"/>
            </c:ext>
          </c:extLst>
        </c:ser>
        <c:dLbls>
          <c:showLegendKey val="0"/>
          <c:showVal val="0"/>
          <c:showCatName val="0"/>
          <c:showSerName val="0"/>
          <c:showPercent val="0"/>
          <c:showBubbleSize val="0"/>
        </c:dLbls>
        <c:axId val="568573208"/>
        <c:axId val="568569600"/>
      </c:scatterChart>
      <c:valAx>
        <c:axId val="568573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69600"/>
        <c:crosses val="autoZero"/>
        <c:crossBetween val="midCat"/>
      </c:valAx>
      <c:valAx>
        <c:axId val="56856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732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Reported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4326509874955181E-2"/>
          <c:y val="0.17171296296296296"/>
          <c:w val="0.82783343767287942"/>
          <c:h val="0.61498432487605714"/>
        </c:manualLayout>
      </c:layout>
      <c:scatterChart>
        <c:scatterStyle val="lineMarker"/>
        <c:varyColors val="0"/>
        <c:ser>
          <c:idx val="0"/>
          <c:order val="0"/>
          <c:tx>
            <c:strRef>
              <c:f>SAP_Database!$F$27</c:f>
              <c:strCache>
                <c:ptCount val="1"/>
                <c:pt idx="0">
                  <c:v>Type A</c:v>
                </c:pt>
              </c:strCache>
            </c:strRef>
          </c:tx>
          <c:spPr>
            <a:ln w="19050" cap="rnd">
              <a:solidFill>
                <a:srgbClr val="0000FF"/>
              </a:solidFill>
              <a:round/>
            </a:ln>
            <a:effectLst/>
          </c:spPr>
          <c:marker>
            <c:symbol val="circle"/>
            <c:size val="5"/>
            <c:spPr>
              <a:solidFill>
                <a:schemeClr val="accent1"/>
              </a:solidFill>
              <a:ln w="9525">
                <a:solidFill>
                  <a:srgbClr val="0000FF"/>
                </a:solidFill>
              </a:ln>
              <a:effectLst/>
            </c:spPr>
          </c:marker>
          <c:xVal>
            <c:numRef>
              <c:f>SAP_Database!$H$25:$L$25</c:f>
              <c:numCache>
                <c:formatCode>General</c:formatCode>
                <c:ptCount val="5"/>
                <c:pt idx="0">
                  <c:v>5</c:v>
                </c:pt>
                <c:pt idx="1">
                  <c:v>7</c:v>
                </c:pt>
                <c:pt idx="2">
                  <c:v>9</c:v>
                </c:pt>
                <c:pt idx="3">
                  <c:v>11</c:v>
                </c:pt>
                <c:pt idx="4">
                  <c:v>13</c:v>
                </c:pt>
              </c:numCache>
            </c:numRef>
          </c:xVal>
          <c:yVal>
            <c:numRef>
              <c:f>SAP_Database!$H$27:$L$27</c:f>
              <c:numCache>
                <c:formatCode>General</c:formatCode>
                <c:ptCount val="5"/>
                <c:pt idx="0">
                  <c:v>62.5</c:v>
                </c:pt>
                <c:pt idx="1">
                  <c:v>54.3</c:v>
                </c:pt>
                <c:pt idx="2">
                  <c:v>48</c:v>
                </c:pt>
                <c:pt idx="3">
                  <c:v>43.1</c:v>
                </c:pt>
                <c:pt idx="4">
                  <c:v>39</c:v>
                </c:pt>
              </c:numCache>
            </c:numRef>
          </c:yVal>
          <c:smooth val="0"/>
          <c:extLst>
            <c:ext xmlns:c16="http://schemas.microsoft.com/office/drawing/2014/chart" uri="{C3380CC4-5D6E-409C-BE32-E72D297353CC}">
              <c16:uniqueId val="{00000000-0B3A-4C80-9AF6-446E5AA12111}"/>
            </c:ext>
          </c:extLst>
        </c:ser>
        <c:ser>
          <c:idx val="1"/>
          <c:order val="1"/>
          <c:tx>
            <c:strRef>
              <c:f>SAP_Database!$F$28</c:f>
              <c:strCache>
                <c:ptCount val="1"/>
                <c:pt idx="0">
                  <c:v>Type B</c:v>
                </c:pt>
              </c:strCache>
            </c:strRef>
          </c:tx>
          <c:spPr>
            <a:ln w="19050" cap="rnd">
              <a:solidFill>
                <a:schemeClr val="accent2">
                  <a:lumMod val="75000"/>
                </a:schemeClr>
              </a:solidFill>
              <a:round/>
            </a:ln>
            <a:effectLst/>
          </c:spPr>
          <c:marker>
            <c:symbol val="circle"/>
            <c:size val="5"/>
            <c:spPr>
              <a:solidFill>
                <a:schemeClr val="accent2"/>
              </a:solidFill>
              <a:ln w="9525">
                <a:solidFill>
                  <a:schemeClr val="accent2">
                    <a:lumMod val="75000"/>
                  </a:schemeClr>
                </a:solidFill>
              </a:ln>
              <a:effectLst/>
            </c:spPr>
          </c:marker>
          <c:xVal>
            <c:numRef>
              <c:f>SAP_Database!$H$25:$L$25</c:f>
              <c:numCache>
                <c:formatCode>General</c:formatCode>
                <c:ptCount val="5"/>
                <c:pt idx="0">
                  <c:v>5</c:v>
                </c:pt>
                <c:pt idx="1">
                  <c:v>7</c:v>
                </c:pt>
                <c:pt idx="2">
                  <c:v>9</c:v>
                </c:pt>
                <c:pt idx="3">
                  <c:v>11</c:v>
                </c:pt>
                <c:pt idx="4">
                  <c:v>13</c:v>
                </c:pt>
              </c:numCache>
            </c:numRef>
          </c:xVal>
          <c:yVal>
            <c:numRef>
              <c:f>SAP_Database!$H$28:$L$28</c:f>
              <c:numCache>
                <c:formatCode>General</c:formatCode>
                <c:ptCount val="5"/>
                <c:pt idx="0">
                  <c:v>46.6</c:v>
                </c:pt>
                <c:pt idx="1">
                  <c:v>41</c:v>
                </c:pt>
                <c:pt idx="2">
                  <c:v>36.6</c:v>
                </c:pt>
                <c:pt idx="3">
                  <c:v>33.200000000000003</c:v>
                </c:pt>
                <c:pt idx="4">
                  <c:v>30.4</c:v>
                </c:pt>
              </c:numCache>
            </c:numRef>
          </c:yVal>
          <c:smooth val="0"/>
          <c:extLst>
            <c:ext xmlns:c16="http://schemas.microsoft.com/office/drawing/2014/chart" uri="{C3380CC4-5D6E-409C-BE32-E72D297353CC}">
              <c16:uniqueId val="{00000001-0B3A-4C80-9AF6-446E5AA12111}"/>
            </c:ext>
          </c:extLst>
        </c:ser>
        <c:ser>
          <c:idx val="2"/>
          <c:order val="2"/>
          <c:tx>
            <c:strRef>
              <c:f>SAP_Database!$F$29</c:f>
              <c:strCache>
                <c:ptCount val="1"/>
                <c:pt idx="0">
                  <c:v>Type C</c:v>
                </c:pt>
              </c:strCache>
            </c:strRef>
          </c:tx>
          <c:spPr>
            <a:ln w="19050" cap="rnd">
              <a:solidFill>
                <a:schemeClr val="bg1">
                  <a:lumMod val="50000"/>
                </a:schemeClr>
              </a:solidFill>
              <a:round/>
            </a:ln>
            <a:effectLst/>
          </c:spPr>
          <c:marker>
            <c:symbol val="circle"/>
            <c:size val="5"/>
            <c:spPr>
              <a:solidFill>
                <a:schemeClr val="accent3"/>
              </a:solidFill>
              <a:ln w="9525">
                <a:solidFill>
                  <a:schemeClr val="bg1">
                    <a:lumMod val="50000"/>
                  </a:schemeClr>
                </a:solidFill>
              </a:ln>
              <a:effectLst/>
            </c:spPr>
          </c:marker>
          <c:xVal>
            <c:numRef>
              <c:f>SAP_Database!$H$25:$L$25</c:f>
              <c:numCache>
                <c:formatCode>General</c:formatCode>
                <c:ptCount val="5"/>
                <c:pt idx="0">
                  <c:v>5</c:v>
                </c:pt>
                <c:pt idx="1">
                  <c:v>7</c:v>
                </c:pt>
                <c:pt idx="2">
                  <c:v>9</c:v>
                </c:pt>
                <c:pt idx="3">
                  <c:v>11</c:v>
                </c:pt>
                <c:pt idx="4">
                  <c:v>13</c:v>
                </c:pt>
              </c:numCache>
            </c:numRef>
          </c:xVal>
          <c:yVal>
            <c:numRef>
              <c:f>SAP_Database!$H$29:$L$29</c:f>
              <c:numCache>
                <c:formatCode>General</c:formatCode>
                <c:ptCount val="5"/>
                <c:pt idx="0">
                  <c:v>55.5</c:v>
                </c:pt>
                <c:pt idx="1">
                  <c:v>49.1</c:v>
                </c:pt>
                <c:pt idx="2">
                  <c:v>44</c:v>
                </c:pt>
                <c:pt idx="3">
                  <c:v>39.799999999999997</c:v>
                </c:pt>
                <c:pt idx="4">
                  <c:v>36.299999999999997</c:v>
                </c:pt>
              </c:numCache>
            </c:numRef>
          </c:yVal>
          <c:smooth val="0"/>
          <c:extLst>
            <c:ext xmlns:c16="http://schemas.microsoft.com/office/drawing/2014/chart" uri="{C3380CC4-5D6E-409C-BE32-E72D297353CC}">
              <c16:uniqueId val="{00000002-0B3A-4C80-9AF6-446E5AA12111}"/>
            </c:ext>
          </c:extLst>
        </c:ser>
        <c:dLbls>
          <c:showLegendKey val="0"/>
          <c:showVal val="0"/>
          <c:showCatName val="0"/>
          <c:showSerName val="0"/>
          <c:showPercent val="0"/>
          <c:showBubbleSize val="0"/>
        </c:dLbls>
        <c:axId val="717767512"/>
        <c:axId val="717763192"/>
      </c:scatterChart>
      <c:valAx>
        <c:axId val="717767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17763192"/>
        <c:crosses val="autoZero"/>
        <c:crossBetween val="midCat"/>
        <c:majorUnit val="2"/>
      </c:valAx>
      <c:valAx>
        <c:axId val="717763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17767512"/>
        <c:crosses val="autoZero"/>
        <c:crossBetween val="midCat"/>
      </c:valAx>
      <c:spPr>
        <a:noFill/>
        <a:ln>
          <a:noFill/>
        </a:ln>
        <a:effectLst/>
      </c:spPr>
    </c:plotArea>
    <c:legend>
      <c:legendPos val="b"/>
      <c:layout>
        <c:manualLayout>
          <c:xMode val="edge"/>
          <c:yMode val="edge"/>
          <c:x val="0.10350758077980601"/>
          <c:y val="0.88745329343057211"/>
          <c:w val="0.8114817032777506"/>
          <c:h val="8.30264113664758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2"/>
          <c:order val="0"/>
          <c:spPr>
            <a:ln w="19050">
              <a:noFill/>
            </a:ln>
          </c:spPr>
          <c:xVal>
            <c:numRef>
              <c:f>Foglio1!$F$3:$J$3</c:f>
              <c:numCache>
                <c:formatCode>General</c:formatCode>
                <c:ptCount val="5"/>
                <c:pt idx="0">
                  <c:v>5</c:v>
                </c:pt>
                <c:pt idx="1">
                  <c:v>7</c:v>
                </c:pt>
                <c:pt idx="2">
                  <c:v>9</c:v>
                </c:pt>
                <c:pt idx="3">
                  <c:v>11</c:v>
                </c:pt>
                <c:pt idx="4">
                  <c:v>13</c:v>
                </c:pt>
              </c:numCache>
            </c:numRef>
          </c:xVal>
          <c:yVal>
            <c:numRef>
              <c:f>Foglio1!$F$30:$J$30</c:f>
              <c:numCache>
                <c:formatCode>0.00</c:formatCode>
                <c:ptCount val="5"/>
                <c:pt idx="0">
                  <c:v>3.8809946714031978</c:v>
                </c:pt>
                <c:pt idx="1">
                  <c:v>3.8864696734059105</c:v>
                </c:pt>
                <c:pt idx="2">
                  <c:v>3.8939828080229226</c:v>
                </c:pt>
                <c:pt idx="3">
                  <c:v>3.8849797023004058</c:v>
                </c:pt>
                <c:pt idx="4">
                  <c:v>3.883116883116883</c:v>
                </c:pt>
              </c:numCache>
            </c:numRef>
          </c:yVal>
          <c:smooth val="0"/>
          <c:extLst>
            <c:ext xmlns:c16="http://schemas.microsoft.com/office/drawing/2014/chart" uri="{C3380CC4-5D6E-409C-BE32-E72D297353CC}">
              <c16:uniqueId val="{00000016-811F-4B3E-AC73-0D71B87F3C8B}"/>
            </c:ext>
          </c:extLst>
        </c:ser>
        <c:ser>
          <c:idx val="3"/>
          <c:order val="1"/>
          <c:spPr>
            <a:ln w="19050" cap="rnd">
              <a:noFill/>
              <a:round/>
            </a:ln>
            <a:effectLst/>
          </c:spPr>
          <c:xVal>
            <c:numRef>
              <c:f>Foglio1!$F$3:$J$3</c:f>
              <c:numCache>
                <c:formatCode>General</c:formatCode>
                <c:ptCount val="5"/>
                <c:pt idx="0">
                  <c:v>5</c:v>
                </c:pt>
                <c:pt idx="1">
                  <c:v>7</c:v>
                </c:pt>
                <c:pt idx="2">
                  <c:v>9</c:v>
                </c:pt>
                <c:pt idx="3">
                  <c:v>11</c:v>
                </c:pt>
                <c:pt idx="4">
                  <c:v>13</c:v>
                </c:pt>
              </c:numCache>
            </c:numRef>
          </c:xVal>
          <c:yVal>
            <c:numRef>
              <c:f>Foglio1!$F$31:$J$31</c:f>
              <c:numCache>
                <c:formatCode>0.00</c:formatCode>
                <c:ptCount val="5"/>
                <c:pt idx="0">
                  <c:v>8.3333333333333339</c:v>
                </c:pt>
                <c:pt idx="1">
                  <c:v>8.3172866520787743</c:v>
                </c:pt>
                <c:pt idx="2">
                  <c:v>8.3076923076923084</c:v>
                </c:pt>
                <c:pt idx="3">
                  <c:v>8.3321616871704762</c:v>
                </c:pt>
                <c:pt idx="4">
                  <c:v>8.311475409836067</c:v>
                </c:pt>
              </c:numCache>
            </c:numRef>
          </c:yVal>
          <c:smooth val="0"/>
          <c:extLst>
            <c:ext xmlns:c16="http://schemas.microsoft.com/office/drawing/2014/chart" uri="{C3380CC4-5D6E-409C-BE32-E72D297353CC}">
              <c16:uniqueId val="{00000017-811F-4B3E-AC73-0D71B87F3C8B}"/>
            </c:ext>
          </c:extLst>
        </c:ser>
        <c:ser>
          <c:idx val="4"/>
          <c:order val="2"/>
          <c:spPr>
            <a:ln w="19050">
              <a:noFill/>
            </a:ln>
          </c:spPr>
          <c:xVal>
            <c:numRef>
              <c:f>Foglio1!$F$3:$J$3</c:f>
              <c:numCache>
                <c:formatCode>General</c:formatCode>
                <c:ptCount val="5"/>
                <c:pt idx="0">
                  <c:v>5</c:v>
                </c:pt>
                <c:pt idx="1">
                  <c:v>7</c:v>
                </c:pt>
                <c:pt idx="2">
                  <c:v>9</c:v>
                </c:pt>
                <c:pt idx="3">
                  <c:v>11</c:v>
                </c:pt>
                <c:pt idx="4">
                  <c:v>13</c:v>
                </c:pt>
              </c:numCache>
            </c:numRef>
          </c:xVal>
          <c:yVal>
            <c:numRef>
              <c:f>Foglio1!$F$34:$J$34</c:f>
              <c:numCache>
                <c:formatCode>0.00</c:formatCode>
                <c:ptCount val="5"/>
                <c:pt idx="0">
                  <c:v>2.5414781297134241</c:v>
                </c:pt>
                <c:pt idx="1">
                  <c:v>2.7357440890125173</c:v>
                </c:pt>
                <c:pt idx="2">
                  <c:v>2.8733509234828496</c:v>
                </c:pt>
                <c:pt idx="3">
                  <c:v>2.9771283354510802</c:v>
                </c:pt>
                <c:pt idx="4">
                  <c:v>3.0493827160493825</c:v>
                </c:pt>
              </c:numCache>
            </c:numRef>
          </c:yVal>
          <c:smooth val="0"/>
          <c:extLst>
            <c:ext xmlns:c16="http://schemas.microsoft.com/office/drawing/2014/chart" uri="{C3380CC4-5D6E-409C-BE32-E72D297353CC}">
              <c16:uniqueId val="{00000018-811F-4B3E-AC73-0D71B87F3C8B}"/>
            </c:ext>
          </c:extLst>
        </c:ser>
        <c:ser>
          <c:idx val="5"/>
          <c:order val="3"/>
          <c:spPr>
            <a:ln w="19050" cap="rnd">
              <a:noFill/>
              <a:round/>
            </a:ln>
            <a:effectLst/>
          </c:spPr>
          <c:xVal>
            <c:numRef>
              <c:f>Foglio1!$F$3:$J$3</c:f>
              <c:numCache>
                <c:formatCode>General</c:formatCode>
                <c:ptCount val="5"/>
                <c:pt idx="0">
                  <c:v>5</c:v>
                </c:pt>
                <c:pt idx="1">
                  <c:v>7</c:v>
                </c:pt>
                <c:pt idx="2">
                  <c:v>9</c:v>
                </c:pt>
                <c:pt idx="3">
                  <c:v>11</c:v>
                </c:pt>
                <c:pt idx="4">
                  <c:v>13</c:v>
                </c:pt>
              </c:numCache>
            </c:numRef>
          </c:xVal>
          <c:yVal>
            <c:numRef>
              <c:f>Foglio1!$F$31:$J$31</c:f>
              <c:numCache>
                <c:formatCode>0.00</c:formatCode>
                <c:ptCount val="5"/>
                <c:pt idx="0">
                  <c:v>8.3333333333333339</c:v>
                </c:pt>
                <c:pt idx="1">
                  <c:v>8.3172866520787743</c:v>
                </c:pt>
                <c:pt idx="2">
                  <c:v>8.3076923076923084</c:v>
                </c:pt>
                <c:pt idx="3">
                  <c:v>8.3321616871704762</c:v>
                </c:pt>
                <c:pt idx="4">
                  <c:v>8.311475409836067</c:v>
                </c:pt>
              </c:numCache>
            </c:numRef>
          </c:yVal>
          <c:smooth val="0"/>
          <c:extLst>
            <c:ext xmlns:c16="http://schemas.microsoft.com/office/drawing/2014/chart" uri="{C3380CC4-5D6E-409C-BE32-E72D297353CC}">
              <c16:uniqueId val="{00000019-811F-4B3E-AC73-0D71B87F3C8B}"/>
            </c:ext>
          </c:extLst>
        </c:ser>
        <c:ser>
          <c:idx val="6"/>
          <c:order val="4"/>
          <c:spPr>
            <a:ln w="19050">
              <a:noFill/>
            </a:ln>
          </c:spPr>
          <c:xVal>
            <c:numRef>
              <c:f>Foglio1!$F$3:$J$3</c:f>
              <c:numCache>
                <c:formatCode>General</c:formatCode>
                <c:ptCount val="5"/>
                <c:pt idx="0">
                  <c:v>5</c:v>
                </c:pt>
                <c:pt idx="1">
                  <c:v>7</c:v>
                </c:pt>
                <c:pt idx="2">
                  <c:v>9</c:v>
                </c:pt>
                <c:pt idx="3">
                  <c:v>11</c:v>
                </c:pt>
                <c:pt idx="4">
                  <c:v>13</c:v>
                </c:pt>
              </c:numCache>
            </c:numRef>
          </c:xVal>
          <c:yVal>
            <c:numRef>
              <c:f>Foglio1!$F$33:$J$33</c:f>
              <c:numCache>
                <c:formatCode>0.00</c:formatCode>
                <c:ptCount val="5"/>
                <c:pt idx="0">
                  <c:v>16.276595744680851</c:v>
                </c:pt>
                <c:pt idx="1">
                  <c:v>16.255813953488374</c:v>
                </c:pt>
                <c:pt idx="2">
                  <c:v>16.2808988764045</c:v>
                </c:pt>
                <c:pt idx="3">
                  <c:v>16.29528535980149</c:v>
                </c:pt>
                <c:pt idx="4">
                  <c:v>16.27927927927928</c:v>
                </c:pt>
              </c:numCache>
            </c:numRef>
          </c:yVal>
          <c:smooth val="0"/>
          <c:extLst>
            <c:ext xmlns:c16="http://schemas.microsoft.com/office/drawing/2014/chart" uri="{C3380CC4-5D6E-409C-BE32-E72D297353CC}">
              <c16:uniqueId val="{0000001A-811F-4B3E-AC73-0D71B87F3C8B}"/>
            </c:ext>
          </c:extLst>
        </c:ser>
        <c:ser>
          <c:idx val="7"/>
          <c:order val="5"/>
          <c:spPr>
            <a:ln w="19050" cap="rnd">
              <a:noFill/>
              <a:round/>
            </a:ln>
            <a:effectLst/>
          </c:spPr>
          <c:xVal>
            <c:numRef>
              <c:f>Foglio1!$F$3:$J$3</c:f>
              <c:numCache>
                <c:formatCode>General</c:formatCode>
                <c:ptCount val="5"/>
                <c:pt idx="0">
                  <c:v>5</c:v>
                </c:pt>
                <c:pt idx="1">
                  <c:v>7</c:v>
                </c:pt>
                <c:pt idx="2">
                  <c:v>9</c:v>
                </c:pt>
                <c:pt idx="3">
                  <c:v>11</c:v>
                </c:pt>
                <c:pt idx="4">
                  <c:v>13</c:v>
                </c:pt>
              </c:numCache>
            </c:numRef>
          </c:xVal>
          <c:yVal>
            <c:numRef>
              <c:f>Foglio1!$F$31:$J$31</c:f>
              <c:numCache>
                <c:formatCode>0.00</c:formatCode>
                <c:ptCount val="5"/>
                <c:pt idx="0">
                  <c:v>8.3333333333333339</c:v>
                </c:pt>
                <c:pt idx="1">
                  <c:v>8.3172866520787743</c:v>
                </c:pt>
                <c:pt idx="2">
                  <c:v>8.3076923076923084</c:v>
                </c:pt>
                <c:pt idx="3">
                  <c:v>8.3321616871704762</c:v>
                </c:pt>
                <c:pt idx="4">
                  <c:v>8.311475409836067</c:v>
                </c:pt>
              </c:numCache>
            </c:numRef>
          </c:yVal>
          <c:smooth val="0"/>
          <c:extLst>
            <c:ext xmlns:c16="http://schemas.microsoft.com/office/drawing/2014/chart" uri="{C3380CC4-5D6E-409C-BE32-E72D297353CC}">
              <c16:uniqueId val="{0000001B-811F-4B3E-AC73-0D71B87F3C8B}"/>
            </c:ext>
          </c:extLst>
        </c:ser>
        <c:ser>
          <c:idx val="1"/>
          <c:order val="6"/>
          <c:spPr>
            <a:ln w="19050">
              <a:noFill/>
            </a:ln>
          </c:spPr>
          <c:xVal>
            <c:numRef>
              <c:f>Foglio1!$F$3:$J$3</c:f>
              <c:numCache>
                <c:formatCode>General</c:formatCode>
                <c:ptCount val="5"/>
                <c:pt idx="0">
                  <c:v>5</c:v>
                </c:pt>
                <c:pt idx="1">
                  <c:v>7</c:v>
                </c:pt>
                <c:pt idx="2">
                  <c:v>9</c:v>
                </c:pt>
                <c:pt idx="3">
                  <c:v>11</c:v>
                </c:pt>
                <c:pt idx="4">
                  <c:v>13</c:v>
                </c:pt>
              </c:numCache>
            </c:numRef>
          </c:xVal>
          <c:yVal>
            <c:numRef>
              <c:f>Foglio1!$F$32:$J$32</c:f>
              <c:numCache>
                <c:formatCode>0.00</c:formatCode>
                <c:ptCount val="5"/>
                <c:pt idx="0">
                  <c:v>19.154589371980673</c:v>
                </c:pt>
                <c:pt idx="1">
                  <c:v>19.119402985074629</c:v>
                </c:pt>
                <c:pt idx="2">
                  <c:v>19.125</c:v>
                </c:pt>
                <c:pt idx="3">
                  <c:v>19.136986301369863</c:v>
                </c:pt>
                <c:pt idx="4">
                  <c:v>19.098765432098766</c:v>
                </c:pt>
              </c:numCache>
            </c:numRef>
          </c:yVal>
          <c:smooth val="0"/>
          <c:extLst>
            <c:ext xmlns:c16="http://schemas.microsoft.com/office/drawing/2014/chart" uri="{C3380CC4-5D6E-409C-BE32-E72D297353CC}">
              <c16:uniqueId val="{00000013-811F-4B3E-AC73-0D71B87F3C8B}"/>
            </c:ext>
          </c:extLst>
        </c:ser>
        <c:ser>
          <c:idx val="0"/>
          <c:order val="7"/>
          <c:spPr>
            <a:ln w="19050">
              <a:noFill/>
            </a:ln>
          </c:spPr>
          <c:marker>
            <c:symbol val="circle"/>
            <c:size val="5"/>
            <c:spPr>
              <a:solidFill>
                <a:schemeClr val="accent1"/>
              </a:solidFill>
              <a:ln w="9525">
                <a:solidFill>
                  <a:schemeClr val="accent1"/>
                </a:solidFill>
              </a:ln>
              <a:effectLst/>
            </c:spPr>
          </c:marker>
          <c:xVal>
            <c:numRef>
              <c:f>Foglio1!$F$3:$J$3</c:f>
              <c:numCache>
                <c:formatCode>General</c:formatCode>
                <c:ptCount val="5"/>
                <c:pt idx="0">
                  <c:v>5</c:v>
                </c:pt>
                <c:pt idx="1">
                  <c:v>7</c:v>
                </c:pt>
                <c:pt idx="2">
                  <c:v>9</c:v>
                </c:pt>
                <c:pt idx="3">
                  <c:v>11</c:v>
                </c:pt>
                <c:pt idx="4">
                  <c:v>13</c:v>
                </c:pt>
              </c:numCache>
            </c:numRef>
          </c:xVal>
          <c:yVal>
            <c:numRef>
              <c:f>Foglio1!$F$35:$J$35</c:f>
              <c:numCache>
                <c:formatCode>0.00</c:formatCode>
                <c:ptCount val="5"/>
                <c:pt idx="0">
                  <c:v>4.3632958801498125</c:v>
                </c:pt>
                <c:pt idx="1">
                  <c:v>4.8644067796610173</c:v>
                </c:pt>
                <c:pt idx="2">
                  <c:v>5.1955835962145116</c:v>
                </c:pt>
                <c:pt idx="3">
                  <c:v>5.4670658682634743</c:v>
                </c:pt>
                <c:pt idx="4">
                  <c:v>5.6781609195402298</c:v>
                </c:pt>
              </c:numCache>
            </c:numRef>
          </c:yVal>
          <c:smooth val="0"/>
          <c:extLst>
            <c:ext xmlns:c16="http://schemas.microsoft.com/office/drawing/2014/chart" uri="{C3380CC4-5D6E-409C-BE32-E72D297353CC}">
              <c16:uniqueId val="{00000015-811F-4B3E-AC73-0D71B87F3C8B}"/>
            </c:ext>
          </c:extLst>
        </c:ser>
        <c:dLbls>
          <c:showLegendKey val="0"/>
          <c:showVal val="0"/>
          <c:showCatName val="0"/>
          <c:showSerName val="0"/>
          <c:showPercent val="0"/>
          <c:showBubbleSize val="0"/>
        </c:dLbls>
        <c:axId val="682141216"/>
        <c:axId val="682142296"/>
      </c:scatterChart>
      <c:valAx>
        <c:axId val="68214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42296"/>
        <c:crosses val="autoZero"/>
        <c:crossBetween val="midCat"/>
      </c:valAx>
      <c:valAx>
        <c:axId val="6821422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412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r>
              <a:rPr lang="en-US" sz="1100" b="1">
                <a:solidFill>
                  <a:schemeClr val="tx1"/>
                </a:solidFill>
              </a:rPr>
              <a:t>Maximum recoverable  heat</a:t>
            </a:r>
          </a:p>
        </c:rich>
      </c:tx>
      <c:layout>
        <c:manualLayout>
          <c:xMode val="edge"/>
          <c:yMode val="edge"/>
          <c:x val="0.2635183859593308"/>
          <c:y val="2.7777777777777776E-2"/>
        </c:manualLayout>
      </c:layout>
      <c:overlay val="0"/>
      <c:spPr>
        <a:noFill/>
        <a:ln>
          <a:noFill/>
        </a:ln>
        <a:effectLst/>
      </c:spPr>
    </c:title>
    <c:autoTitleDeleted val="0"/>
    <c:plotArea>
      <c:layout>
        <c:manualLayout>
          <c:layoutTarget val="inner"/>
          <c:xMode val="edge"/>
          <c:yMode val="edge"/>
          <c:x val="0.11772448898433151"/>
          <c:y val="0.15782407407407409"/>
          <c:w val="0.81638693559027042"/>
          <c:h val="0.63660505978419368"/>
        </c:manualLayout>
      </c:layout>
      <c:scatterChart>
        <c:scatterStyle val="lineMarker"/>
        <c:varyColors val="0"/>
        <c:ser>
          <c:idx val="1"/>
          <c:order val="0"/>
          <c:tx>
            <c:strRef>
              <c:f>Tcold!$B$19</c:f>
              <c:strCache>
                <c:ptCount val="1"/>
                <c:pt idx="0">
                  <c:v>Draw-off 40°C - Drain 37°C</c:v>
                </c:pt>
              </c:strCache>
            </c:strRef>
          </c:tx>
          <c:spPr>
            <a:ln>
              <a:solidFill>
                <a:srgbClr val="00B050"/>
              </a:solidFill>
            </a:ln>
          </c:spPr>
          <c:marker>
            <c:symbol val="none"/>
          </c:marker>
          <c:xVal>
            <c:numRef>
              <c:f>Tcold!$D$3:$J$3</c:f>
              <c:numCache>
                <c:formatCode>General</c:formatCode>
                <c:ptCount val="7"/>
                <c:pt idx="0">
                  <c:v>8</c:v>
                </c:pt>
                <c:pt idx="1">
                  <c:v>10</c:v>
                </c:pt>
                <c:pt idx="2">
                  <c:v>12</c:v>
                </c:pt>
                <c:pt idx="3">
                  <c:v>14</c:v>
                </c:pt>
                <c:pt idx="4">
                  <c:v>16</c:v>
                </c:pt>
                <c:pt idx="5">
                  <c:v>18</c:v>
                </c:pt>
                <c:pt idx="6">
                  <c:v>20</c:v>
                </c:pt>
              </c:numCache>
            </c:numRef>
          </c:xVal>
          <c:yVal>
            <c:numRef>
              <c:f>Tcold!$D$19:$J$19</c:f>
              <c:numCache>
                <c:formatCode>0.0%</c:formatCode>
                <c:ptCount val="7"/>
                <c:pt idx="0">
                  <c:v>0.90625</c:v>
                </c:pt>
                <c:pt idx="1">
                  <c:v>0.9</c:v>
                </c:pt>
                <c:pt idx="2">
                  <c:v>0.8928571428571429</c:v>
                </c:pt>
                <c:pt idx="3">
                  <c:v>0.88461538461538458</c:v>
                </c:pt>
                <c:pt idx="4">
                  <c:v>0.875</c:v>
                </c:pt>
                <c:pt idx="5">
                  <c:v>0.86363636363636365</c:v>
                </c:pt>
                <c:pt idx="6">
                  <c:v>0.85</c:v>
                </c:pt>
              </c:numCache>
            </c:numRef>
          </c:yVal>
          <c:smooth val="0"/>
          <c:extLst>
            <c:ext xmlns:c16="http://schemas.microsoft.com/office/drawing/2014/chart" uri="{C3380CC4-5D6E-409C-BE32-E72D297353CC}">
              <c16:uniqueId val="{00000006-8331-4FC2-B7C5-82B2041413F1}"/>
            </c:ext>
          </c:extLst>
        </c:ser>
        <c:ser>
          <c:idx val="2"/>
          <c:order val="1"/>
          <c:tx>
            <c:strRef>
              <c:f>Tcold!$B$7</c:f>
              <c:strCache>
                <c:ptCount val="1"/>
                <c:pt idx="0">
                  <c:v>Draw-off 40°C - Drain 35°C</c:v>
                </c:pt>
              </c:strCache>
            </c:strRef>
          </c:tx>
          <c:spPr>
            <a:ln w="19050" cap="rnd">
              <a:solidFill>
                <a:srgbClr val="0000FF"/>
              </a:solidFill>
              <a:round/>
            </a:ln>
            <a:effectLst/>
          </c:spPr>
          <c:marker>
            <c:symbol val="none"/>
          </c:marker>
          <c:xVal>
            <c:numRef>
              <c:f>Tcold!$D$3:$J$3</c:f>
              <c:numCache>
                <c:formatCode>General</c:formatCode>
                <c:ptCount val="7"/>
                <c:pt idx="0">
                  <c:v>8</c:v>
                </c:pt>
                <c:pt idx="1">
                  <c:v>10</c:v>
                </c:pt>
                <c:pt idx="2">
                  <c:v>12</c:v>
                </c:pt>
                <c:pt idx="3">
                  <c:v>14</c:v>
                </c:pt>
                <c:pt idx="4">
                  <c:v>16</c:v>
                </c:pt>
                <c:pt idx="5">
                  <c:v>18</c:v>
                </c:pt>
                <c:pt idx="6">
                  <c:v>20</c:v>
                </c:pt>
              </c:numCache>
            </c:numRef>
          </c:xVal>
          <c:yVal>
            <c:numRef>
              <c:f>Tcold!$D$7:$J$7</c:f>
              <c:numCache>
                <c:formatCode>0.0%</c:formatCode>
                <c:ptCount val="7"/>
                <c:pt idx="0">
                  <c:v>0.84375</c:v>
                </c:pt>
                <c:pt idx="1">
                  <c:v>0.83333333333333337</c:v>
                </c:pt>
                <c:pt idx="2">
                  <c:v>0.8214285714285714</c:v>
                </c:pt>
                <c:pt idx="3">
                  <c:v>0.80769230769230771</c:v>
                </c:pt>
                <c:pt idx="4">
                  <c:v>0.79166666666666663</c:v>
                </c:pt>
                <c:pt idx="5">
                  <c:v>0.77272727272727271</c:v>
                </c:pt>
                <c:pt idx="6">
                  <c:v>0.75</c:v>
                </c:pt>
              </c:numCache>
            </c:numRef>
          </c:yVal>
          <c:smooth val="0"/>
          <c:extLst>
            <c:ext xmlns:c16="http://schemas.microsoft.com/office/drawing/2014/chart" uri="{C3380CC4-5D6E-409C-BE32-E72D297353CC}">
              <c16:uniqueId val="{00000007-8331-4FC2-B7C5-82B2041413F1}"/>
            </c:ext>
          </c:extLst>
        </c:ser>
        <c:ser>
          <c:idx val="0"/>
          <c:order val="2"/>
          <c:tx>
            <c:strRef>
              <c:f>Tcold!$B$13</c:f>
              <c:strCache>
                <c:ptCount val="1"/>
                <c:pt idx="0">
                  <c:v>Draw-off 41°C - Drain 35°C</c:v>
                </c:pt>
              </c:strCache>
            </c:strRef>
          </c:tx>
          <c:spPr>
            <a:ln w="19050" cap="rnd">
              <a:solidFill>
                <a:srgbClr val="FF0000"/>
              </a:solidFill>
              <a:round/>
            </a:ln>
            <a:effectLst/>
          </c:spPr>
          <c:marker>
            <c:symbol val="none"/>
          </c:marker>
          <c:xVal>
            <c:numRef>
              <c:f>Tcold!$D$3:$J$3</c:f>
              <c:numCache>
                <c:formatCode>General</c:formatCode>
                <c:ptCount val="7"/>
                <c:pt idx="0">
                  <c:v>8</c:v>
                </c:pt>
                <c:pt idx="1">
                  <c:v>10</c:v>
                </c:pt>
                <c:pt idx="2">
                  <c:v>12</c:v>
                </c:pt>
                <c:pt idx="3">
                  <c:v>14</c:v>
                </c:pt>
                <c:pt idx="4">
                  <c:v>16</c:v>
                </c:pt>
                <c:pt idx="5">
                  <c:v>18</c:v>
                </c:pt>
                <c:pt idx="6">
                  <c:v>20</c:v>
                </c:pt>
              </c:numCache>
            </c:numRef>
          </c:xVal>
          <c:yVal>
            <c:numRef>
              <c:f>Tcold!$D$13:$J$13</c:f>
              <c:numCache>
                <c:formatCode>0.0%</c:formatCode>
                <c:ptCount val="7"/>
                <c:pt idx="0">
                  <c:v>0.81818181818181823</c:v>
                </c:pt>
                <c:pt idx="1">
                  <c:v>0.80645161290322576</c:v>
                </c:pt>
                <c:pt idx="2">
                  <c:v>0.7931034482758621</c:v>
                </c:pt>
                <c:pt idx="3">
                  <c:v>0.77777777777777779</c:v>
                </c:pt>
                <c:pt idx="4">
                  <c:v>0.76</c:v>
                </c:pt>
                <c:pt idx="5">
                  <c:v>0.73913043478260865</c:v>
                </c:pt>
                <c:pt idx="6">
                  <c:v>0.7142857142857143</c:v>
                </c:pt>
              </c:numCache>
            </c:numRef>
          </c:yVal>
          <c:smooth val="0"/>
          <c:extLst>
            <c:ext xmlns:c16="http://schemas.microsoft.com/office/drawing/2014/chart" uri="{C3380CC4-5D6E-409C-BE32-E72D297353CC}">
              <c16:uniqueId val="{00000005-8331-4FC2-B7C5-82B2041413F1}"/>
            </c:ext>
          </c:extLst>
        </c:ser>
        <c:dLbls>
          <c:showLegendKey val="0"/>
          <c:showVal val="0"/>
          <c:showCatName val="0"/>
          <c:showSerName val="0"/>
          <c:showPercent val="0"/>
          <c:showBubbleSize val="0"/>
        </c:dLbls>
        <c:axId val="644851440"/>
        <c:axId val="644842440"/>
      </c:scatterChart>
      <c:valAx>
        <c:axId val="644851440"/>
        <c:scaling>
          <c:orientation val="minMax"/>
          <c:max val="20"/>
          <c:min val="8"/>
        </c:scaling>
        <c:delete val="0"/>
        <c:axPos val="b"/>
        <c:majorGridlines>
          <c:spPr>
            <a:ln w="9525" cap="flat" cmpd="sng" algn="ctr">
              <a:solidFill>
                <a:schemeClr val="tx1">
                  <a:lumMod val="15000"/>
                  <a:lumOff val="85000"/>
                </a:schemeClr>
              </a:solidFill>
              <a:round/>
            </a:ln>
            <a:effectLst/>
          </c:spPr>
        </c:majorGridlines>
        <c:title>
          <c:tx>
            <c:strRef>
              <c:f>Tcold!$C$3</c:f>
              <c:strCache>
                <c:ptCount val="1"/>
                <c:pt idx="0">
                  <c:v>Cold water temperature °C</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644842440"/>
        <c:crosses val="autoZero"/>
        <c:crossBetween val="midCat"/>
      </c:valAx>
      <c:valAx>
        <c:axId val="644842440"/>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44851440"/>
        <c:crosses val="autoZero"/>
        <c:crossBetween val="midCat"/>
      </c:valAx>
      <c:spPr>
        <a:ln>
          <a:solidFill>
            <a:schemeClr val="tx1"/>
          </a:solidFill>
        </a:ln>
      </c:spPr>
    </c:plotArea>
    <c:legend>
      <c:legendPos val="r"/>
      <c:layout>
        <c:manualLayout>
          <c:xMode val="edge"/>
          <c:yMode val="edge"/>
          <c:x val="0.22159813356663752"/>
          <c:y val="0.54535287255759701"/>
          <c:w val="0.59658368461518063"/>
          <c:h val="0.21526611256926217"/>
        </c:manualLayout>
      </c:layout>
      <c:overlay val="0"/>
      <c:spPr>
        <a:solidFill>
          <a:schemeClr val="bg1"/>
        </a:solidFill>
      </c:spPr>
      <c:txPr>
        <a:bodyPr/>
        <a:lstStyle/>
        <a:p>
          <a:pPr>
            <a:defRPr>
              <a:solidFill>
                <a:schemeClr val="tx1"/>
              </a:solidFill>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Annex_B!$U$237</c:f>
          <c:strCache>
            <c:ptCount val="1"/>
            <c:pt idx="0">
              <c:v>Single family houses</c:v>
            </c:pt>
          </c:strCache>
        </c:strRef>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488120343738951"/>
          <c:y val="0.11060367464859766"/>
          <c:w val="0.76290421131202391"/>
          <c:h val="0.63846402648948541"/>
        </c:manualLayout>
      </c:layout>
      <c:scatterChart>
        <c:scatterStyle val="lineMarker"/>
        <c:varyColors val="0"/>
        <c:ser>
          <c:idx val="2"/>
          <c:order val="1"/>
          <c:tx>
            <c:strRef>
              <c:f>Annex_B!$D$254:$E$254</c:f>
              <c:strCache>
                <c:ptCount val="2"/>
                <c:pt idx="0">
                  <c:v>DHW volume need per day with eq. (B.5)</c:v>
                </c:pt>
                <c:pt idx="1">
                  <c:v> l/d</c:v>
                </c:pt>
              </c:strCache>
            </c:strRef>
          </c:tx>
          <c:spPr>
            <a:ln w="25400" cap="rnd">
              <a:solidFill>
                <a:srgbClr val="FF0000"/>
              </a:solidFill>
              <a:round/>
            </a:ln>
            <a:effectLst/>
          </c:spPr>
          <c:marker>
            <c:symbol val="none"/>
          </c:marker>
          <c:xVal>
            <c:numRef>
              <c:f>Annex_B!$F$251:$AB$251</c:f>
              <c:numCache>
                <c:formatCode>General</c:formatCode>
                <c:ptCount val="23"/>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210</c:v>
                </c:pt>
                <c:pt idx="20">
                  <c:v>220</c:v>
                </c:pt>
                <c:pt idx="21">
                  <c:v>230</c:v>
                </c:pt>
                <c:pt idx="22">
                  <c:v>240</c:v>
                </c:pt>
              </c:numCache>
            </c:numRef>
          </c:xVal>
          <c:yVal>
            <c:numRef>
              <c:f>Annex_B!$F$254:$AB$254</c:f>
              <c:numCache>
                <c:formatCode>0.0</c:formatCode>
                <c:ptCount val="23"/>
                <c:pt idx="0">
                  <c:v>65.199999999999989</c:v>
                </c:pt>
                <c:pt idx="1">
                  <c:v>97.8</c:v>
                </c:pt>
                <c:pt idx="2">
                  <c:v>109.81052631578946</c:v>
                </c:pt>
                <c:pt idx="3">
                  <c:v>118.54545454545455</c:v>
                </c:pt>
                <c:pt idx="4">
                  <c:v>125.184</c:v>
                </c:pt>
                <c:pt idx="5">
                  <c:v>130.4</c:v>
                </c:pt>
                <c:pt idx="6">
                  <c:v>130.39999999999998</c:v>
                </c:pt>
                <c:pt idx="7">
                  <c:v>130.39999999999998</c:v>
                </c:pt>
                <c:pt idx="8">
                  <c:v>130.4</c:v>
                </c:pt>
                <c:pt idx="9">
                  <c:v>130.39999999999998</c:v>
                </c:pt>
                <c:pt idx="10">
                  <c:v>130.4</c:v>
                </c:pt>
                <c:pt idx="11">
                  <c:v>130.39999999999998</c:v>
                </c:pt>
                <c:pt idx="12">
                  <c:v>130.4</c:v>
                </c:pt>
                <c:pt idx="13">
                  <c:v>130.39999999999998</c:v>
                </c:pt>
                <c:pt idx="14">
                  <c:v>130.39999999999998</c:v>
                </c:pt>
                <c:pt idx="15">
                  <c:v>130.39999999999998</c:v>
                </c:pt>
                <c:pt idx="16">
                  <c:v>130.39999999999998</c:v>
                </c:pt>
                <c:pt idx="17">
                  <c:v>130.4</c:v>
                </c:pt>
                <c:pt idx="18">
                  <c:v>130.4</c:v>
                </c:pt>
                <c:pt idx="19">
                  <c:v>130.39999999999998</c:v>
                </c:pt>
                <c:pt idx="20">
                  <c:v>130.39999999999998</c:v>
                </c:pt>
                <c:pt idx="21">
                  <c:v>130.4</c:v>
                </c:pt>
                <c:pt idx="22">
                  <c:v>130.4</c:v>
                </c:pt>
              </c:numCache>
            </c:numRef>
          </c:yVal>
          <c:smooth val="0"/>
          <c:extLst>
            <c:ext xmlns:c16="http://schemas.microsoft.com/office/drawing/2014/chart" uri="{C3380CC4-5D6E-409C-BE32-E72D297353CC}">
              <c16:uniqueId val="{00000002-06C6-48F8-976E-FED966229E04}"/>
            </c:ext>
          </c:extLst>
        </c:ser>
        <c:ser>
          <c:idx val="3"/>
          <c:order val="3"/>
          <c:tx>
            <c:strRef>
              <c:f>Annex_B!$D$256:$E$256</c:f>
              <c:strCache>
                <c:ptCount val="2"/>
                <c:pt idx="0">
                  <c:v>DHW volume need per day with table B.5</c:v>
                </c:pt>
                <c:pt idx="1">
                  <c:v> l/d</c:v>
                </c:pt>
              </c:strCache>
            </c:strRef>
          </c:tx>
          <c:spPr>
            <a:ln w="25400" cap="rnd">
              <a:solidFill>
                <a:sysClr val="windowText" lastClr="000000"/>
              </a:solidFill>
              <a:prstDash val="dash"/>
              <a:round/>
            </a:ln>
            <a:effectLst/>
          </c:spPr>
          <c:marker>
            <c:symbol val="none"/>
          </c:marker>
          <c:xVal>
            <c:numRef>
              <c:f>Annex_B!$F$251:$AB$251</c:f>
              <c:numCache>
                <c:formatCode>General</c:formatCode>
                <c:ptCount val="23"/>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210</c:v>
                </c:pt>
                <c:pt idx="20">
                  <c:v>220</c:v>
                </c:pt>
                <c:pt idx="21">
                  <c:v>230</c:v>
                </c:pt>
                <c:pt idx="22">
                  <c:v>240</c:v>
                </c:pt>
              </c:numCache>
            </c:numRef>
          </c:xVal>
          <c:yVal>
            <c:numRef>
              <c:f>Annex_B!$F$256:$AB$256</c:f>
              <c:numCache>
                <c:formatCode>General</c:formatCode>
                <c:ptCount val="23"/>
                <c:pt idx="0">
                  <c:v>60</c:v>
                </c:pt>
                <c:pt idx="1">
                  <c:v>60</c:v>
                </c:pt>
                <c:pt idx="2">
                  <c:v>71.25</c:v>
                </c:pt>
                <c:pt idx="3">
                  <c:v>82.5</c:v>
                </c:pt>
                <c:pt idx="4">
                  <c:v>93.75</c:v>
                </c:pt>
                <c:pt idx="5">
                  <c:v>105</c:v>
                </c:pt>
                <c:pt idx="6">
                  <c:v>109.5</c:v>
                </c:pt>
                <c:pt idx="7">
                  <c:v>114</c:v>
                </c:pt>
                <c:pt idx="8">
                  <c:v>118.5</c:v>
                </c:pt>
                <c:pt idx="9">
                  <c:v>122.99999999999999</c:v>
                </c:pt>
                <c:pt idx="10">
                  <c:v>127.5</c:v>
                </c:pt>
                <c:pt idx="11">
                  <c:v>132</c:v>
                </c:pt>
                <c:pt idx="12">
                  <c:v>136.5</c:v>
                </c:pt>
                <c:pt idx="13">
                  <c:v>141</c:v>
                </c:pt>
                <c:pt idx="14">
                  <c:v>145.5</c:v>
                </c:pt>
                <c:pt idx="15">
                  <c:v>150</c:v>
                </c:pt>
                <c:pt idx="16">
                  <c:v>154.5</c:v>
                </c:pt>
                <c:pt idx="17">
                  <c:v>159</c:v>
                </c:pt>
                <c:pt idx="18">
                  <c:v>163.5</c:v>
                </c:pt>
                <c:pt idx="19">
                  <c:v>168</c:v>
                </c:pt>
                <c:pt idx="20">
                  <c:v>172.5</c:v>
                </c:pt>
                <c:pt idx="21">
                  <c:v>177</c:v>
                </c:pt>
                <c:pt idx="22">
                  <c:v>181.5</c:v>
                </c:pt>
              </c:numCache>
            </c:numRef>
          </c:yVal>
          <c:smooth val="0"/>
          <c:extLst>
            <c:ext xmlns:c16="http://schemas.microsoft.com/office/drawing/2014/chart" uri="{C3380CC4-5D6E-409C-BE32-E72D297353CC}">
              <c16:uniqueId val="{00000003-06C6-48F8-976E-FED966229E04}"/>
            </c:ext>
          </c:extLst>
        </c:ser>
        <c:dLbls>
          <c:showLegendKey val="0"/>
          <c:showVal val="0"/>
          <c:showCatName val="0"/>
          <c:showSerName val="0"/>
          <c:showPercent val="0"/>
          <c:showBubbleSize val="0"/>
        </c:dLbls>
        <c:axId val="652310576"/>
        <c:axId val="423866408"/>
      </c:scatterChart>
      <c:scatterChart>
        <c:scatterStyle val="lineMarker"/>
        <c:varyColors val="0"/>
        <c:ser>
          <c:idx val="0"/>
          <c:order val="0"/>
          <c:tx>
            <c:strRef>
              <c:f>Annex_B!$D$252:$E$252</c:f>
              <c:strCache>
                <c:ptCount val="2"/>
                <c:pt idx="0">
                  <c:v>Max number of persons (B.1)</c:v>
                </c:pt>
                <c:pt idx="1">
                  <c:v> np</c:v>
                </c:pt>
              </c:strCache>
            </c:strRef>
          </c:tx>
          <c:spPr>
            <a:ln w="19050" cap="rnd">
              <a:noFill/>
              <a:round/>
            </a:ln>
            <a:effectLst/>
          </c:spPr>
          <c:marker>
            <c:symbol val="circle"/>
            <c:size val="6"/>
            <c:spPr>
              <a:noFill/>
              <a:ln w="9525">
                <a:solidFill>
                  <a:schemeClr val="accent1"/>
                </a:solidFill>
              </a:ln>
              <a:effectLst/>
            </c:spPr>
          </c:marker>
          <c:xVal>
            <c:numRef>
              <c:f>Annex_B!$F$251:$AB$251</c:f>
              <c:numCache>
                <c:formatCode>General</c:formatCode>
                <c:ptCount val="23"/>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210</c:v>
                </c:pt>
                <c:pt idx="20">
                  <c:v>220</c:v>
                </c:pt>
                <c:pt idx="21">
                  <c:v>230</c:v>
                </c:pt>
                <c:pt idx="22">
                  <c:v>240</c:v>
                </c:pt>
              </c:numCache>
            </c:numRef>
          </c:xVal>
          <c:yVal>
            <c:numRef>
              <c:f>Annex_B!$F$252:$AB$252</c:f>
              <c:numCache>
                <c:formatCode>0.00</c:formatCode>
                <c:ptCount val="23"/>
                <c:pt idx="0">
                  <c:v>1</c:v>
                </c:pt>
                <c:pt idx="1">
                  <c:v>1</c:v>
                </c:pt>
                <c:pt idx="2">
                  <c:v>1.1875</c:v>
                </c:pt>
                <c:pt idx="3">
                  <c:v>1.375</c:v>
                </c:pt>
                <c:pt idx="4">
                  <c:v>1.5625</c:v>
                </c:pt>
                <c:pt idx="5">
                  <c:v>1.75</c:v>
                </c:pt>
                <c:pt idx="6">
                  <c:v>2</c:v>
                </c:pt>
                <c:pt idx="7">
                  <c:v>2.25</c:v>
                </c:pt>
                <c:pt idx="8">
                  <c:v>2.5</c:v>
                </c:pt>
                <c:pt idx="9">
                  <c:v>2.75</c:v>
                </c:pt>
                <c:pt idx="10">
                  <c:v>3</c:v>
                </c:pt>
                <c:pt idx="11">
                  <c:v>3.25</c:v>
                </c:pt>
                <c:pt idx="12">
                  <c:v>3.5</c:v>
                </c:pt>
                <c:pt idx="13">
                  <c:v>3.75</c:v>
                </c:pt>
                <c:pt idx="14">
                  <c:v>4</c:v>
                </c:pt>
                <c:pt idx="15">
                  <c:v>4.25</c:v>
                </c:pt>
                <c:pt idx="16">
                  <c:v>4.5</c:v>
                </c:pt>
                <c:pt idx="17">
                  <c:v>4.75</c:v>
                </c:pt>
                <c:pt idx="18">
                  <c:v>5</c:v>
                </c:pt>
                <c:pt idx="19">
                  <c:v>5.25</c:v>
                </c:pt>
                <c:pt idx="20">
                  <c:v>5.5</c:v>
                </c:pt>
                <c:pt idx="21">
                  <c:v>5.75</c:v>
                </c:pt>
                <c:pt idx="22">
                  <c:v>6</c:v>
                </c:pt>
              </c:numCache>
            </c:numRef>
          </c:yVal>
          <c:smooth val="0"/>
          <c:extLst>
            <c:ext xmlns:c16="http://schemas.microsoft.com/office/drawing/2014/chart" uri="{C3380CC4-5D6E-409C-BE32-E72D297353CC}">
              <c16:uniqueId val="{00000000-06C6-48F8-976E-FED966229E04}"/>
            </c:ext>
          </c:extLst>
        </c:ser>
        <c:ser>
          <c:idx val="1"/>
          <c:order val="2"/>
          <c:tx>
            <c:strRef>
              <c:f>Annex_B!$D$253:$E$253</c:f>
              <c:strCache>
                <c:ptCount val="2"/>
                <c:pt idx="0">
                  <c:v>Number of persons (B.2)</c:v>
                </c:pt>
                <c:pt idx="1">
                  <c:v> np</c:v>
                </c:pt>
              </c:strCache>
            </c:strRef>
          </c:tx>
          <c:spPr>
            <a:ln w="25400" cap="rnd">
              <a:noFill/>
              <a:round/>
            </a:ln>
            <a:effectLst/>
          </c:spPr>
          <c:marker>
            <c:symbol val="circle"/>
            <c:size val="4"/>
            <c:spPr>
              <a:solidFill>
                <a:schemeClr val="tx1"/>
              </a:solidFill>
              <a:ln w="9525">
                <a:noFill/>
              </a:ln>
              <a:effectLst/>
            </c:spPr>
          </c:marker>
          <c:xVal>
            <c:numRef>
              <c:f>Annex_B!$F$251:$AB$251</c:f>
              <c:numCache>
                <c:formatCode>General</c:formatCode>
                <c:ptCount val="23"/>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210</c:v>
                </c:pt>
                <c:pt idx="20">
                  <c:v>220</c:v>
                </c:pt>
                <c:pt idx="21">
                  <c:v>230</c:v>
                </c:pt>
                <c:pt idx="22">
                  <c:v>240</c:v>
                </c:pt>
              </c:numCache>
            </c:numRef>
          </c:xVal>
          <c:yVal>
            <c:numRef>
              <c:f>Annex_B!$F$253:$AB$253</c:f>
              <c:numCache>
                <c:formatCode>0.00</c:formatCode>
                <c:ptCount val="23"/>
                <c:pt idx="0">
                  <c:v>1</c:v>
                </c:pt>
                <c:pt idx="1">
                  <c:v>1</c:v>
                </c:pt>
                <c:pt idx="2">
                  <c:v>1.1875</c:v>
                </c:pt>
                <c:pt idx="3">
                  <c:v>1.375</c:v>
                </c:pt>
                <c:pt idx="4">
                  <c:v>1.5625</c:v>
                </c:pt>
                <c:pt idx="5">
                  <c:v>1.75</c:v>
                </c:pt>
                <c:pt idx="6">
                  <c:v>1.825</c:v>
                </c:pt>
                <c:pt idx="7">
                  <c:v>1.9</c:v>
                </c:pt>
                <c:pt idx="8">
                  <c:v>1.9750000000000001</c:v>
                </c:pt>
                <c:pt idx="9">
                  <c:v>2.0499999999999998</c:v>
                </c:pt>
                <c:pt idx="10">
                  <c:v>2.125</c:v>
                </c:pt>
                <c:pt idx="11">
                  <c:v>2.2000000000000002</c:v>
                </c:pt>
                <c:pt idx="12">
                  <c:v>2.2749999999999999</c:v>
                </c:pt>
                <c:pt idx="13">
                  <c:v>2.35</c:v>
                </c:pt>
                <c:pt idx="14">
                  <c:v>2.4249999999999998</c:v>
                </c:pt>
                <c:pt idx="15">
                  <c:v>2.5</c:v>
                </c:pt>
                <c:pt idx="16">
                  <c:v>2.5750000000000002</c:v>
                </c:pt>
                <c:pt idx="17">
                  <c:v>2.65</c:v>
                </c:pt>
                <c:pt idx="18">
                  <c:v>2.7250000000000001</c:v>
                </c:pt>
                <c:pt idx="19">
                  <c:v>2.8</c:v>
                </c:pt>
                <c:pt idx="20">
                  <c:v>2.875</c:v>
                </c:pt>
                <c:pt idx="21">
                  <c:v>2.95</c:v>
                </c:pt>
                <c:pt idx="22">
                  <c:v>3.0249999999999999</c:v>
                </c:pt>
              </c:numCache>
            </c:numRef>
          </c:yVal>
          <c:smooth val="0"/>
          <c:extLst>
            <c:ext xmlns:c16="http://schemas.microsoft.com/office/drawing/2014/chart" uri="{C3380CC4-5D6E-409C-BE32-E72D297353CC}">
              <c16:uniqueId val="{00000001-06C6-48F8-976E-FED966229E04}"/>
            </c:ext>
          </c:extLst>
        </c:ser>
        <c:dLbls>
          <c:showLegendKey val="0"/>
          <c:showVal val="0"/>
          <c:showCatName val="0"/>
          <c:showSerName val="0"/>
          <c:showPercent val="0"/>
          <c:showBubbleSize val="0"/>
        </c:dLbls>
        <c:axId val="702213136"/>
        <c:axId val="702215760"/>
      </c:scatterChart>
      <c:valAx>
        <c:axId val="652310576"/>
        <c:scaling>
          <c:orientation val="minMax"/>
          <c:max val="250"/>
        </c:scaling>
        <c:delete val="0"/>
        <c:axPos val="b"/>
        <c:majorGridlines>
          <c:spPr>
            <a:ln w="9525" cap="flat" cmpd="sng" algn="ctr">
              <a:solidFill>
                <a:schemeClr val="tx1">
                  <a:lumMod val="15000"/>
                  <a:lumOff val="85000"/>
                </a:schemeClr>
              </a:solidFill>
              <a:round/>
            </a:ln>
            <a:effectLst/>
          </c:spPr>
        </c:majorGridlines>
        <c:title>
          <c:tx>
            <c:strRef>
              <c:f>Annex_B!$U$238</c:f>
              <c:strCache>
                <c:ptCount val="1"/>
                <c:pt idx="0">
                  <c:v>Dwelling area m²</c:v>
                </c:pt>
              </c:strCache>
            </c:strRef>
          </c:tx>
          <c:layout>
            <c:manualLayout>
              <c:xMode val="edge"/>
              <c:yMode val="edge"/>
              <c:x val="0.41014946843501154"/>
              <c:y val="0.8243378999188649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866408"/>
        <c:crosses val="autoZero"/>
        <c:crossBetween val="midCat"/>
      </c:valAx>
      <c:valAx>
        <c:axId val="423866408"/>
        <c:scaling>
          <c:orientation val="minMax"/>
        </c:scaling>
        <c:delete val="0"/>
        <c:axPos val="l"/>
        <c:majorGridlines>
          <c:spPr>
            <a:ln w="9525" cap="flat" cmpd="sng" algn="ctr">
              <a:solidFill>
                <a:schemeClr val="tx1">
                  <a:lumMod val="15000"/>
                  <a:lumOff val="85000"/>
                </a:schemeClr>
              </a:solidFill>
              <a:round/>
            </a:ln>
            <a:effectLst/>
          </c:spPr>
        </c:majorGridlines>
        <c:title>
          <c:tx>
            <c:strRef>
              <c:f>Annex_B!$U$239</c:f>
              <c:strCache>
                <c:ptCount val="1"/>
                <c:pt idx="0">
                  <c:v>Volume needs [l/d]</c:v>
                </c:pt>
              </c:strCache>
            </c:strRef>
          </c:tx>
          <c:layout>
            <c:manualLayout>
              <c:xMode val="edge"/>
              <c:yMode val="edge"/>
              <c:x val="2.4740193902737694E-2"/>
              <c:y val="0.256007691379953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310576"/>
        <c:crosses val="autoZero"/>
        <c:crossBetween val="midCat"/>
        <c:majorUnit val="40"/>
      </c:valAx>
      <c:valAx>
        <c:axId val="702215760"/>
        <c:scaling>
          <c:orientation val="minMax"/>
          <c:max val="10"/>
        </c:scaling>
        <c:delete val="0"/>
        <c:axPos val="r"/>
        <c:title>
          <c:tx>
            <c:strRef>
              <c:f>Annex_B!$U$240</c:f>
              <c:strCache>
                <c:ptCount val="1"/>
                <c:pt idx="0">
                  <c:v>Number of persons [n]</c:v>
                </c:pt>
              </c:strCache>
            </c:strRef>
          </c:tx>
          <c:layout>
            <c:manualLayout>
              <c:xMode val="edge"/>
              <c:yMode val="edge"/>
              <c:x val="0.93547288345691515"/>
              <c:y val="0.2166815368506457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213136"/>
        <c:crosses val="max"/>
        <c:crossBetween val="midCat"/>
      </c:valAx>
      <c:valAx>
        <c:axId val="702213136"/>
        <c:scaling>
          <c:orientation val="minMax"/>
        </c:scaling>
        <c:delete val="1"/>
        <c:axPos val="b"/>
        <c:numFmt formatCode="General" sourceLinked="1"/>
        <c:majorTickMark val="out"/>
        <c:minorTickMark val="none"/>
        <c:tickLblPos val="nextTo"/>
        <c:crossAx val="702215760"/>
        <c:crosses val="autoZero"/>
        <c:crossBetween val="midCat"/>
      </c:valAx>
      <c:spPr>
        <a:noFill/>
        <a:ln>
          <a:noFill/>
        </a:ln>
        <a:effectLst/>
      </c:spPr>
    </c:plotArea>
    <c:legend>
      <c:legendPos val="b"/>
      <c:layout>
        <c:manualLayout>
          <c:xMode val="edge"/>
          <c:yMode val="edge"/>
          <c:x val="1.1856043223977802E-2"/>
          <c:y val="0.88577437339648712"/>
          <c:w val="0.97450147236689566"/>
          <c:h val="0.1011713867508716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Annex_B!$U$264</c:f>
          <c:strCache>
            <c:ptCount val="1"/>
            <c:pt idx="0">
              <c:v>Apartements</c:v>
            </c:pt>
          </c:strCache>
        </c:strRef>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488120343738951"/>
          <c:y val="0.11060367464859766"/>
          <c:w val="0.76290421131202391"/>
          <c:h val="0.63846402648948541"/>
        </c:manualLayout>
      </c:layout>
      <c:scatterChart>
        <c:scatterStyle val="lineMarker"/>
        <c:varyColors val="0"/>
        <c:ser>
          <c:idx val="2"/>
          <c:order val="1"/>
          <c:tx>
            <c:strRef>
              <c:f>Annex_B!$D$279:$E$279</c:f>
              <c:strCache>
                <c:ptCount val="2"/>
                <c:pt idx="0">
                  <c:v>DHW volume need per day with eq. (B.5)</c:v>
                </c:pt>
                <c:pt idx="1">
                  <c:v> l/d</c:v>
                </c:pt>
              </c:strCache>
            </c:strRef>
          </c:tx>
          <c:spPr>
            <a:ln w="19050" cap="rnd">
              <a:solidFill>
                <a:srgbClr val="FF0000"/>
              </a:solidFill>
              <a:round/>
            </a:ln>
            <a:effectLst/>
          </c:spPr>
          <c:marker>
            <c:symbol val="none"/>
          </c:marker>
          <c:xVal>
            <c:numRef>
              <c:f>Annex_B!$F$276:$AB$276</c:f>
              <c:numCache>
                <c:formatCode>General</c:formatCode>
                <c:ptCount val="23"/>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210</c:v>
                </c:pt>
                <c:pt idx="20">
                  <c:v>220</c:v>
                </c:pt>
                <c:pt idx="21">
                  <c:v>230</c:v>
                </c:pt>
                <c:pt idx="22">
                  <c:v>240</c:v>
                </c:pt>
              </c:numCache>
            </c:numRef>
          </c:xVal>
          <c:yVal>
            <c:numRef>
              <c:f>Annex_B!$F$279:$AB$279</c:f>
              <c:numCache>
                <c:formatCode>0.0</c:formatCode>
                <c:ptCount val="23"/>
                <c:pt idx="0">
                  <c:v>54.90526315789473</c:v>
                </c:pt>
                <c:pt idx="1">
                  <c:v>71.127272727272725</c:v>
                </c:pt>
                <c:pt idx="2">
                  <c:v>83.455999999999989</c:v>
                </c:pt>
                <c:pt idx="3">
                  <c:v>93.142857142857125</c:v>
                </c:pt>
                <c:pt idx="4">
                  <c:v>93.142857142857139</c:v>
                </c:pt>
                <c:pt idx="5">
                  <c:v>93.142857142857125</c:v>
                </c:pt>
                <c:pt idx="6">
                  <c:v>93.142857142857125</c:v>
                </c:pt>
                <c:pt idx="7">
                  <c:v>93.142857142857125</c:v>
                </c:pt>
                <c:pt idx="8">
                  <c:v>93.142857142857125</c:v>
                </c:pt>
                <c:pt idx="9">
                  <c:v>93.142857142857125</c:v>
                </c:pt>
                <c:pt idx="10">
                  <c:v>93.142857142857139</c:v>
                </c:pt>
                <c:pt idx="11">
                  <c:v>93.142857142857125</c:v>
                </c:pt>
                <c:pt idx="12">
                  <c:v>93.142857142857125</c:v>
                </c:pt>
                <c:pt idx="13">
                  <c:v>93.14285714285711</c:v>
                </c:pt>
                <c:pt idx="14">
                  <c:v>93.142857142857125</c:v>
                </c:pt>
                <c:pt idx="15">
                  <c:v>93.142857142857125</c:v>
                </c:pt>
                <c:pt idx="16">
                  <c:v>93.142857142857125</c:v>
                </c:pt>
                <c:pt idx="17">
                  <c:v>93.142857142857139</c:v>
                </c:pt>
                <c:pt idx="18">
                  <c:v>93.142857142857125</c:v>
                </c:pt>
                <c:pt idx="19">
                  <c:v>93.142857142857125</c:v>
                </c:pt>
                <c:pt idx="20">
                  <c:v>93.142857142857125</c:v>
                </c:pt>
                <c:pt idx="21">
                  <c:v>93.142857142857125</c:v>
                </c:pt>
                <c:pt idx="22">
                  <c:v>93.142857142857139</c:v>
                </c:pt>
              </c:numCache>
            </c:numRef>
          </c:yVal>
          <c:smooth val="0"/>
          <c:extLst>
            <c:ext xmlns:c16="http://schemas.microsoft.com/office/drawing/2014/chart" uri="{C3380CC4-5D6E-409C-BE32-E72D297353CC}">
              <c16:uniqueId val="{00000000-C5BC-4633-99AD-8E16B448B1AD}"/>
            </c:ext>
          </c:extLst>
        </c:ser>
        <c:ser>
          <c:idx val="3"/>
          <c:order val="3"/>
          <c:tx>
            <c:strRef>
              <c:f>Annex_B!$D$281:$E$281</c:f>
              <c:strCache>
                <c:ptCount val="2"/>
                <c:pt idx="0">
                  <c:v>DHW volume need per day with table B.5</c:v>
                </c:pt>
                <c:pt idx="1">
                  <c:v> l/d</c:v>
                </c:pt>
              </c:strCache>
            </c:strRef>
          </c:tx>
          <c:spPr>
            <a:ln w="19050" cap="rnd">
              <a:solidFill>
                <a:sysClr val="windowText" lastClr="000000"/>
              </a:solidFill>
              <a:prstDash val="sysDash"/>
              <a:round/>
            </a:ln>
            <a:effectLst/>
          </c:spPr>
          <c:marker>
            <c:symbol val="none"/>
          </c:marker>
          <c:xVal>
            <c:numRef>
              <c:f>Annex_B!$F$276:$AB$276</c:f>
              <c:numCache>
                <c:formatCode>General</c:formatCode>
                <c:ptCount val="23"/>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210</c:v>
                </c:pt>
                <c:pt idx="20">
                  <c:v>220</c:v>
                </c:pt>
                <c:pt idx="21">
                  <c:v>230</c:v>
                </c:pt>
                <c:pt idx="22">
                  <c:v>240</c:v>
                </c:pt>
              </c:numCache>
            </c:numRef>
          </c:xVal>
          <c:yVal>
            <c:numRef>
              <c:f>Annex_B!$F$281:$AB$281</c:f>
              <c:numCache>
                <c:formatCode>General</c:formatCode>
                <c:ptCount val="23"/>
                <c:pt idx="0">
                  <c:v>71.25</c:v>
                </c:pt>
                <c:pt idx="1">
                  <c:v>82.5</c:v>
                </c:pt>
                <c:pt idx="2">
                  <c:v>93.75</c:v>
                </c:pt>
                <c:pt idx="3">
                  <c:v>105</c:v>
                </c:pt>
                <c:pt idx="4">
                  <c:v>111.3</c:v>
                </c:pt>
                <c:pt idx="5">
                  <c:v>117.6</c:v>
                </c:pt>
                <c:pt idx="6">
                  <c:v>123.89999999999999</c:v>
                </c:pt>
                <c:pt idx="7">
                  <c:v>130.19999999999999</c:v>
                </c:pt>
                <c:pt idx="8">
                  <c:v>136.50000000000003</c:v>
                </c:pt>
                <c:pt idx="9">
                  <c:v>142.79999999999998</c:v>
                </c:pt>
                <c:pt idx="10">
                  <c:v>149.1</c:v>
                </c:pt>
                <c:pt idx="11">
                  <c:v>155.4</c:v>
                </c:pt>
                <c:pt idx="12">
                  <c:v>161.70000000000002</c:v>
                </c:pt>
                <c:pt idx="13">
                  <c:v>168.00000000000003</c:v>
                </c:pt>
                <c:pt idx="14">
                  <c:v>174.3</c:v>
                </c:pt>
                <c:pt idx="15">
                  <c:v>180.6</c:v>
                </c:pt>
                <c:pt idx="16">
                  <c:v>186.9</c:v>
                </c:pt>
                <c:pt idx="17">
                  <c:v>193.2</c:v>
                </c:pt>
                <c:pt idx="18">
                  <c:v>199.5</c:v>
                </c:pt>
                <c:pt idx="19">
                  <c:v>205.8</c:v>
                </c:pt>
                <c:pt idx="20">
                  <c:v>212.10000000000002</c:v>
                </c:pt>
                <c:pt idx="21">
                  <c:v>218.4</c:v>
                </c:pt>
                <c:pt idx="22">
                  <c:v>224.70000000000002</c:v>
                </c:pt>
              </c:numCache>
            </c:numRef>
          </c:yVal>
          <c:smooth val="0"/>
          <c:extLst>
            <c:ext xmlns:c16="http://schemas.microsoft.com/office/drawing/2014/chart" uri="{C3380CC4-5D6E-409C-BE32-E72D297353CC}">
              <c16:uniqueId val="{00000001-C5BC-4633-99AD-8E16B448B1AD}"/>
            </c:ext>
          </c:extLst>
        </c:ser>
        <c:dLbls>
          <c:showLegendKey val="0"/>
          <c:showVal val="0"/>
          <c:showCatName val="0"/>
          <c:showSerName val="0"/>
          <c:showPercent val="0"/>
          <c:showBubbleSize val="0"/>
        </c:dLbls>
        <c:axId val="652310576"/>
        <c:axId val="423866408"/>
      </c:scatterChart>
      <c:scatterChart>
        <c:scatterStyle val="lineMarker"/>
        <c:varyColors val="0"/>
        <c:ser>
          <c:idx val="0"/>
          <c:order val="0"/>
          <c:tx>
            <c:strRef>
              <c:f>Annex_B!$D$277:$E$277</c:f>
              <c:strCache>
                <c:ptCount val="2"/>
                <c:pt idx="0">
                  <c:v>Max number of per</c:v>
                </c:pt>
                <c:pt idx="1">
                  <c:v> np</c:v>
                </c:pt>
              </c:strCache>
            </c:strRef>
          </c:tx>
          <c:spPr>
            <a:ln w="25400" cap="rnd">
              <a:noFill/>
              <a:round/>
            </a:ln>
            <a:effectLst/>
          </c:spPr>
          <c:marker>
            <c:symbol val="circle"/>
            <c:size val="6"/>
            <c:spPr>
              <a:noFill/>
              <a:ln w="9525">
                <a:solidFill>
                  <a:schemeClr val="accent1"/>
                </a:solidFill>
              </a:ln>
              <a:effectLst/>
            </c:spPr>
          </c:marker>
          <c:xVal>
            <c:numRef>
              <c:f>Annex_B!$F$276:$AB$276</c:f>
              <c:numCache>
                <c:formatCode>General</c:formatCode>
                <c:ptCount val="23"/>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210</c:v>
                </c:pt>
                <c:pt idx="20">
                  <c:v>220</c:v>
                </c:pt>
                <c:pt idx="21">
                  <c:v>230</c:v>
                </c:pt>
                <c:pt idx="22">
                  <c:v>240</c:v>
                </c:pt>
              </c:numCache>
            </c:numRef>
          </c:xVal>
          <c:yVal>
            <c:numRef>
              <c:f>Annex_B!$F$277:$AB$277</c:f>
              <c:numCache>
                <c:formatCode>0.00</c:formatCode>
                <c:ptCount val="23"/>
                <c:pt idx="0">
                  <c:v>1.1875</c:v>
                </c:pt>
                <c:pt idx="1">
                  <c:v>1.375</c:v>
                </c:pt>
                <c:pt idx="2">
                  <c:v>1.5625</c:v>
                </c:pt>
                <c:pt idx="3">
                  <c:v>1.7500000000000002</c:v>
                </c:pt>
                <c:pt idx="4">
                  <c:v>2.1</c:v>
                </c:pt>
                <c:pt idx="5">
                  <c:v>2.4500000000000002</c:v>
                </c:pt>
                <c:pt idx="6">
                  <c:v>2.8000000000000003</c:v>
                </c:pt>
                <c:pt idx="7">
                  <c:v>3.1500000000000004</c:v>
                </c:pt>
                <c:pt idx="8">
                  <c:v>3.5000000000000004</c:v>
                </c:pt>
                <c:pt idx="9">
                  <c:v>3.8500000000000005</c:v>
                </c:pt>
                <c:pt idx="10">
                  <c:v>4.2</c:v>
                </c:pt>
                <c:pt idx="11">
                  <c:v>4.5500000000000007</c:v>
                </c:pt>
                <c:pt idx="12">
                  <c:v>4.9000000000000004</c:v>
                </c:pt>
                <c:pt idx="13">
                  <c:v>5.2500000000000009</c:v>
                </c:pt>
                <c:pt idx="14">
                  <c:v>5.6000000000000005</c:v>
                </c:pt>
                <c:pt idx="15">
                  <c:v>5.95</c:v>
                </c:pt>
                <c:pt idx="16">
                  <c:v>6.3000000000000007</c:v>
                </c:pt>
                <c:pt idx="17">
                  <c:v>6.65</c:v>
                </c:pt>
                <c:pt idx="18">
                  <c:v>7.0000000000000009</c:v>
                </c:pt>
                <c:pt idx="19">
                  <c:v>7.3500000000000005</c:v>
                </c:pt>
                <c:pt idx="20">
                  <c:v>7.7000000000000011</c:v>
                </c:pt>
                <c:pt idx="21">
                  <c:v>8.0500000000000007</c:v>
                </c:pt>
                <c:pt idx="22">
                  <c:v>8.4</c:v>
                </c:pt>
              </c:numCache>
            </c:numRef>
          </c:yVal>
          <c:smooth val="0"/>
          <c:extLst>
            <c:ext xmlns:c16="http://schemas.microsoft.com/office/drawing/2014/chart" uri="{C3380CC4-5D6E-409C-BE32-E72D297353CC}">
              <c16:uniqueId val="{00000002-C5BC-4633-99AD-8E16B448B1AD}"/>
            </c:ext>
          </c:extLst>
        </c:ser>
        <c:ser>
          <c:idx val="1"/>
          <c:order val="2"/>
          <c:tx>
            <c:strRef>
              <c:f>Annex_B!$D$278:$E$278</c:f>
              <c:strCache>
                <c:ptCount val="2"/>
                <c:pt idx="0">
                  <c:v>Number of persons</c:v>
                </c:pt>
                <c:pt idx="1">
                  <c:v> np</c:v>
                </c:pt>
              </c:strCache>
            </c:strRef>
          </c:tx>
          <c:spPr>
            <a:ln w="25400" cap="rnd">
              <a:noFill/>
              <a:round/>
            </a:ln>
            <a:effectLst/>
          </c:spPr>
          <c:marker>
            <c:symbol val="circle"/>
            <c:size val="4"/>
            <c:spPr>
              <a:solidFill>
                <a:schemeClr val="tx1"/>
              </a:solidFill>
              <a:ln w="9525">
                <a:noFill/>
              </a:ln>
              <a:effectLst/>
            </c:spPr>
          </c:marker>
          <c:xVal>
            <c:numRef>
              <c:f>Annex_B!$F$276:$AB$276</c:f>
              <c:numCache>
                <c:formatCode>General</c:formatCode>
                <c:ptCount val="23"/>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210</c:v>
                </c:pt>
                <c:pt idx="20">
                  <c:v>220</c:v>
                </c:pt>
                <c:pt idx="21">
                  <c:v>230</c:v>
                </c:pt>
                <c:pt idx="22">
                  <c:v>240</c:v>
                </c:pt>
              </c:numCache>
            </c:numRef>
          </c:xVal>
          <c:yVal>
            <c:numRef>
              <c:f>Annex_B!$F$278:$AB$278</c:f>
              <c:numCache>
                <c:formatCode>0.00</c:formatCode>
                <c:ptCount val="23"/>
                <c:pt idx="0">
                  <c:v>1.1875</c:v>
                </c:pt>
                <c:pt idx="1">
                  <c:v>1.375</c:v>
                </c:pt>
                <c:pt idx="2">
                  <c:v>1.5625</c:v>
                </c:pt>
                <c:pt idx="3">
                  <c:v>1.75</c:v>
                </c:pt>
                <c:pt idx="4">
                  <c:v>1.855</c:v>
                </c:pt>
                <c:pt idx="5">
                  <c:v>1.96</c:v>
                </c:pt>
                <c:pt idx="6">
                  <c:v>2.0649999999999999</c:v>
                </c:pt>
                <c:pt idx="7">
                  <c:v>2.17</c:v>
                </c:pt>
                <c:pt idx="8">
                  <c:v>2.2750000000000004</c:v>
                </c:pt>
                <c:pt idx="9">
                  <c:v>2.38</c:v>
                </c:pt>
                <c:pt idx="10">
                  <c:v>2.4849999999999999</c:v>
                </c:pt>
                <c:pt idx="11">
                  <c:v>2.5900000000000003</c:v>
                </c:pt>
                <c:pt idx="12">
                  <c:v>2.6950000000000003</c:v>
                </c:pt>
                <c:pt idx="13">
                  <c:v>2.8000000000000003</c:v>
                </c:pt>
                <c:pt idx="14">
                  <c:v>2.9050000000000002</c:v>
                </c:pt>
                <c:pt idx="15">
                  <c:v>3.01</c:v>
                </c:pt>
                <c:pt idx="16">
                  <c:v>3.1150000000000002</c:v>
                </c:pt>
                <c:pt idx="17">
                  <c:v>3.2199999999999998</c:v>
                </c:pt>
                <c:pt idx="18">
                  <c:v>3.3250000000000002</c:v>
                </c:pt>
                <c:pt idx="19">
                  <c:v>3.43</c:v>
                </c:pt>
                <c:pt idx="20">
                  <c:v>3.5350000000000001</c:v>
                </c:pt>
                <c:pt idx="21">
                  <c:v>3.64</c:v>
                </c:pt>
                <c:pt idx="22">
                  <c:v>3.7450000000000001</c:v>
                </c:pt>
              </c:numCache>
            </c:numRef>
          </c:yVal>
          <c:smooth val="0"/>
          <c:extLst>
            <c:ext xmlns:c16="http://schemas.microsoft.com/office/drawing/2014/chart" uri="{C3380CC4-5D6E-409C-BE32-E72D297353CC}">
              <c16:uniqueId val="{00000003-C5BC-4633-99AD-8E16B448B1AD}"/>
            </c:ext>
          </c:extLst>
        </c:ser>
        <c:dLbls>
          <c:showLegendKey val="0"/>
          <c:showVal val="0"/>
          <c:showCatName val="0"/>
          <c:showSerName val="0"/>
          <c:showPercent val="0"/>
          <c:showBubbleSize val="0"/>
        </c:dLbls>
        <c:axId val="702213136"/>
        <c:axId val="702215760"/>
      </c:scatterChart>
      <c:valAx>
        <c:axId val="652310576"/>
        <c:scaling>
          <c:orientation val="minMax"/>
          <c:max val="250"/>
        </c:scaling>
        <c:delete val="0"/>
        <c:axPos val="b"/>
        <c:majorGridlines>
          <c:spPr>
            <a:ln w="9525" cap="flat" cmpd="sng" algn="ctr">
              <a:solidFill>
                <a:schemeClr val="tx1">
                  <a:lumMod val="15000"/>
                  <a:lumOff val="85000"/>
                </a:schemeClr>
              </a:solidFill>
              <a:round/>
            </a:ln>
            <a:effectLst/>
          </c:spPr>
        </c:majorGridlines>
        <c:title>
          <c:tx>
            <c:strRef>
              <c:f>Annex_B!$U$265</c:f>
              <c:strCache>
                <c:ptCount val="1"/>
                <c:pt idx="0">
                  <c:v>Dwelling area m²</c:v>
                </c:pt>
              </c:strCache>
            </c:strRef>
          </c:tx>
          <c:layout>
            <c:manualLayout>
              <c:xMode val="edge"/>
              <c:yMode val="edge"/>
              <c:x val="0.41014946843501154"/>
              <c:y val="0.8243378999188649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866408"/>
        <c:crosses val="autoZero"/>
        <c:crossBetween val="midCat"/>
      </c:valAx>
      <c:valAx>
        <c:axId val="423866408"/>
        <c:scaling>
          <c:orientation val="minMax"/>
        </c:scaling>
        <c:delete val="0"/>
        <c:axPos val="l"/>
        <c:majorGridlines>
          <c:spPr>
            <a:ln w="9525" cap="flat" cmpd="sng" algn="ctr">
              <a:solidFill>
                <a:schemeClr val="tx1">
                  <a:lumMod val="15000"/>
                  <a:lumOff val="85000"/>
                </a:schemeClr>
              </a:solidFill>
              <a:round/>
            </a:ln>
            <a:effectLst/>
          </c:spPr>
        </c:majorGridlines>
        <c:title>
          <c:tx>
            <c:strRef>
              <c:f>Annex_B!$U$266</c:f>
              <c:strCache>
                <c:ptCount val="1"/>
                <c:pt idx="0">
                  <c:v>Volume needs [l/d]</c:v>
                </c:pt>
              </c:strCache>
            </c:strRef>
          </c:tx>
          <c:layout>
            <c:manualLayout>
              <c:xMode val="edge"/>
              <c:yMode val="edge"/>
              <c:x val="2.4740193902737694E-2"/>
              <c:y val="0.256007691379953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310576"/>
        <c:crosses val="autoZero"/>
        <c:crossBetween val="midCat"/>
        <c:majorUnit val="40"/>
      </c:valAx>
      <c:valAx>
        <c:axId val="702215760"/>
        <c:scaling>
          <c:orientation val="minMax"/>
          <c:max val="12"/>
        </c:scaling>
        <c:delete val="0"/>
        <c:axPos val="r"/>
        <c:title>
          <c:tx>
            <c:strRef>
              <c:f>Annex_B!$U$267</c:f>
              <c:strCache>
                <c:ptCount val="1"/>
                <c:pt idx="0">
                  <c:v>Number of persons [n]</c:v>
                </c:pt>
              </c:strCache>
            </c:strRef>
          </c:tx>
          <c:layout>
            <c:manualLayout>
              <c:xMode val="edge"/>
              <c:yMode val="edge"/>
              <c:x val="0.93547288345691515"/>
              <c:y val="0.2166815368506457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213136"/>
        <c:crosses val="max"/>
        <c:crossBetween val="midCat"/>
      </c:valAx>
      <c:valAx>
        <c:axId val="702213136"/>
        <c:scaling>
          <c:orientation val="minMax"/>
        </c:scaling>
        <c:delete val="1"/>
        <c:axPos val="b"/>
        <c:numFmt formatCode="General" sourceLinked="1"/>
        <c:majorTickMark val="out"/>
        <c:minorTickMark val="none"/>
        <c:tickLblPos val="nextTo"/>
        <c:crossAx val="702215760"/>
        <c:crosses val="autoZero"/>
        <c:crossBetween val="midCat"/>
      </c:valAx>
      <c:spPr>
        <a:noFill/>
        <a:ln>
          <a:noFill/>
        </a:ln>
        <a:effectLst/>
      </c:spPr>
    </c:plotArea>
    <c:legend>
      <c:legendPos val="b"/>
      <c:layout>
        <c:manualLayout>
          <c:xMode val="edge"/>
          <c:yMode val="edge"/>
          <c:x val="1.1856043223977802E-2"/>
          <c:y val="0.88577437339648712"/>
          <c:w val="0.97450147236689566"/>
          <c:h val="0.1011713867508716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7.png"/><Relationship Id="rId7" Type="http://schemas.openxmlformats.org/officeDocument/2006/relationships/image" Target="../media/image10.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9.png"/><Relationship Id="rId5" Type="http://schemas.openxmlformats.org/officeDocument/2006/relationships/image" Target="../media/image4.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image" Target="../media/image7.png"/><Relationship Id="rId7" Type="http://schemas.openxmlformats.org/officeDocument/2006/relationships/image" Target="../media/image10.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9.png"/><Relationship Id="rId5" Type="http://schemas.openxmlformats.org/officeDocument/2006/relationships/image" Target="../media/image4.pn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9</xdr:col>
      <xdr:colOff>95249</xdr:colOff>
      <xdr:row>70</xdr:row>
      <xdr:rowOff>120689</xdr:rowOff>
    </xdr:from>
    <xdr:to>
      <xdr:col>9</xdr:col>
      <xdr:colOff>6136821</xdr:colOff>
      <xdr:row>79</xdr:row>
      <xdr:rowOff>381404</xdr:rowOff>
    </xdr:to>
    <xdr:pic>
      <xdr:nvPicPr>
        <xdr:cNvPr id="2" name="Immagine 1">
          <a:extLst>
            <a:ext uri="{FF2B5EF4-FFF2-40B4-BE49-F238E27FC236}">
              <a16:creationId xmlns:a16="http://schemas.microsoft.com/office/drawing/2014/main" id="{762B5A93-E4E8-41DA-A58C-6136987CB53A}"/>
            </a:ext>
          </a:extLst>
        </xdr:cNvPr>
        <xdr:cNvPicPr>
          <a:picLocks noChangeAspect="1"/>
        </xdr:cNvPicPr>
      </xdr:nvPicPr>
      <xdr:blipFill>
        <a:blip xmlns:r="http://schemas.openxmlformats.org/officeDocument/2006/relationships" r:embed="rId1"/>
        <a:stretch>
          <a:fillRect/>
        </a:stretch>
      </xdr:blipFill>
      <xdr:spPr>
        <a:xfrm>
          <a:off x="14001749" y="16743885"/>
          <a:ext cx="6041572" cy="4715930"/>
        </a:xfrm>
        <a:prstGeom prst="rect">
          <a:avLst/>
        </a:prstGeom>
      </xdr:spPr>
    </xdr:pic>
    <xdr:clientData/>
  </xdr:twoCellAnchor>
  <xdr:twoCellAnchor editAs="oneCell">
    <xdr:from>
      <xdr:col>9</xdr:col>
      <xdr:colOff>54427</xdr:colOff>
      <xdr:row>113</xdr:row>
      <xdr:rowOff>42125</xdr:rowOff>
    </xdr:from>
    <xdr:to>
      <xdr:col>9</xdr:col>
      <xdr:colOff>6259284</xdr:colOff>
      <xdr:row>133</xdr:row>
      <xdr:rowOff>14293</xdr:rowOff>
    </xdr:to>
    <xdr:pic>
      <xdr:nvPicPr>
        <xdr:cNvPr id="3" name="Immagine 2">
          <a:extLst>
            <a:ext uri="{FF2B5EF4-FFF2-40B4-BE49-F238E27FC236}">
              <a16:creationId xmlns:a16="http://schemas.microsoft.com/office/drawing/2014/main" id="{982E5CCD-0AC7-4464-A0F4-2627E951C993}"/>
            </a:ext>
          </a:extLst>
        </xdr:cNvPr>
        <xdr:cNvPicPr>
          <a:picLocks noChangeAspect="1"/>
        </xdr:cNvPicPr>
      </xdr:nvPicPr>
      <xdr:blipFill>
        <a:blip xmlns:r="http://schemas.openxmlformats.org/officeDocument/2006/relationships" r:embed="rId2"/>
        <a:stretch>
          <a:fillRect/>
        </a:stretch>
      </xdr:blipFill>
      <xdr:spPr>
        <a:xfrm>
          <a:off x="13960927" y="29412255"/>
          <a:ext cx="6204857" cy="4817494"/>
        </a:xfrm>
        <a:prstGeom prst="rect">
          <a:avLst/>
        </a:prstGeom>
      </xdr:spPr>
    </xdr:pic>
    <xdr:clientData/>
  </xdr:twoCellAnchor>
  <xdr:twoCellAnchor editAs="oneCell">
    <xdr:from>
      <xdr:col>9</xdr:col>
      <xdr:colOff>96433</xdr:colOff>
      <xdr:row>36</xdr:row>
      <xdr:rowOff>69811</xdr:rowOff>
    </xdr:from>
    <xdr:to>
      <xdr:col>9</xdr:col>
      <xdr:colOff>6174543</xdr:colOff>
      <xdr:row>66</xdr:row>
      <xdr:rowOff>77856</xdr:rowOff>
    </xdr:to>
    <xdr:pic>
      <xdr:nvPicPr>
        <xdr:cNvPr id="4" name="Immagine 3">
          <a:extLst>
            <a:ext uri="{FF2B5EF4-FFF2-40B4-BE49-F238E27FC236}">
              <a16:creationId xmlns:a16="http://schemas.microsoft.com/office/drawing/2014/main" id="{11E92396-EA57-478D-8713-B08265CAC8AB}"/>
            </a:ext>
          </a:extLst>
        </xdr:cNvPr>
        <xdr:cNvPicPr>
          <a:picLocks noChangeAspect="1"/>
        </xdr:cNvPicPr>
      </xdr:nvPicPr>
      <xdr:blipFill>
        <a:blip xmlns:r="http://schemas.openxmlformats.org/officeDocument/2006/relationships" r:embed="rId3"/>
        <a:stretch>
          <a:fillRect/>
        </a:stretch>
      </xdr:blipFill>
      <xdr:spPr>
        <a:xfrm>
          <a:off x="14002933" y="8923920"/>
          <a:ext cx="6078110" cy="5529232"/>
        </a:xfrm>
        <a:prstGeom prst="rect">
          <a:avLst/>
        </a:prstGeom>
      </xdr:spPr>
    </xdr:pic>
    <xdr:clientData/>
  </xdr:twoCellAnchor>
  <xdr:twoCellAnchor editAs="oneCell">
    <xdr:from>
      <xdr:col>9</xdr:col>
      <xdr:colOff>1455965</xdr:colOff>
      <xdr:row>213</xdr:row>
      <xdr:rowOff>108857</xdr:rowOff>
    </xdr:from>
    <xdr:to>
      <xdr:col>10</xdr:col>
      <xdr:colOff>382930</xdr:colOff>
      <xdr:row>237</xdr:row>
      <xdr:rowOff>95252</xdr:rowOff>
    </xdr:to>
    <xdr:pic>
      <xdr:nvPicPr>
        <xdr:cNvPr id="5" name="Immagine 4">
          <a:extLst>
            <a:ext uri="{FF2B5EF4-FFF2-40B4-BE49-F238E27FC236}">
              <a16:creationId xmlns:a16="http://schemas.microsoft.com/office/drawing/2014/main" id="{B0ADDA6A-AB01-40CC-95C7-F5D054B2DC02}"/>
            </a:ext>
          </a:extLst>
        </xdr:cNvPr>
        <xdr:cNvPicPr>
          <a:picLocks noChangeAspect="1"/>
        </xdr:cNvPicPr>
      </xdr:nvPicPr>
      <xdr:blipFill>
        <a:blip xmlns:r="http://schemas.openxmlformats.org/officeDocument/2006/relationships" r:embed="rId4"/>
        <a:stretch>
          <a:fillRect/>
        </a:stretch>
      </xdr:blipFill>
      <xdr:spPr>
        <a:xfrm>
          <a:off x="9228365" y="25435832"/>
          <a:ext cx="5232515" cy="3872595"/>
        </a:xfrm>
        <a:prstGeom prst="rect">
          <a:avLst/>
        </a:prstGeom>
      </xdr:spPr>
    </xdr:pic>
    <xdr:clientData/>
  </xdr:twoCellAnchor>
  <xdr:oneCellAnchor>
    <xdr:from>
      <xdr:col>9</xdr:col>
      <xdr:colOff>1857375</xdr:colOff>
      <xdr:row>51</xdr:row>
      <xdr:rowOff>85725</xdr:rowOff>
    </xdr:from>
    <xdr:ext cx="28534" cy="125227"/>
    <xdr:sp macro="" textlink="#REF!">
      <xdr:nvSpPr>
        <xdr:cNvPr id="6" name="CasellaDiTesto 5">
          <a:extLst>
            <a:ext uri="{FF2B5EF4-FFF2-40B4-BE49-F238E27FC236}">
              <a16:creationId xmlns:a16="http://schemas.microsoft.com/office/drawing/2014/main" id="{68936F22-4FFE-4E49-8EEA-271A8FC1F063}"/>
            </a:ext>
          </a:extLst>
        </xdr:cNvPr>
        <xdr:cNvSpPr txBox="1"/>
      </xdr:nvSpPr>
      <xdr:spPr>
        <a:xfrm>
          <a:off x="9629775" y="6438900"/>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10C9C337-F67C-4EA9-8A44-116151E61FAE}" type="TxLink">
            <a:rPr lang="en-US" sz="800" b="0" i="0" u="none" strike="noStrike">
              <a:solidFill>
                <a:srgbClr val="000000"/>
              </a:solidFill>
              <a:effectLst/>
              <a:latin typeface="Arial"/>
              <a:ea typeface="+mn-ea"/>
              <a:cs typeface="Arial"/>
            </a:rPr>
            <a:pPr algn="l"/>
            <a:t> </a:t>
          </a:fld>
          <a:endParaRPr lang="en-US" sz="800" b="0" i="1">
            <a:solidFill>
              <a:schemeClr val="tx1"/>
            </a:solidFill>
            <a:effectLst/>
            <a:latin typeface="+mn-lt"/>
            <a:ea typeface="+mn-ea"/>
            <a:cs typeface="+mn-cs"/>
          </a:endParaRPr>
        </a:p>
      </xdr:txBody>
    </xdr:sp>
    <xdr:clientData/>
  </xdr:oneCellAnchor>
  <xdr:oneCellAnchor>
    <xdr:from>
      <xdr:col>9</xdr:col>
      <xdr:colOff>1885950</xdr:colOff>
      <xdr:row>54</xdr:row>
      <xdr:rowOff>28575</xdr:rowOff>
    </xdr:from>
    <xdr:ext cx="28534" cy="125227"/>
    <xdr:sp macro="" textlink="#REF!">
      <xdr:nvSpPr>
        <xdr:cNvPr id="7" name="CasellaDiTesto 6">
          <a:extLst>
            <a:ext uri="{FF2B5EF4-FFF2-40B4-BE49-F238E27FC236}">
              <a16:creationId xmlns:a16="http://schemas.microsoft.com/office/drawing/2014/main" id="{3C3EF24F-97AA-41A3-99B1-2A0C4A7EE5D6}"/>
            </a:ext>
          </a:extLst>
        </xdr:cNvPr>
        <xdr:cNvSpPr txBox="1"/>
      </xdr:nvSpPr>
      <xdr:spPr>
        <a:xfrm>
          <a:off x="9658350" y="6867525"/>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6350B21A-6E35-49F5-B465-27B5F3899EC0}" type="TxLink">
            <a:rPr lang="en-US" sz="800" b="0" i="0" u="none" strike="noStrike">
              <a:solidFill>
                <a:srgbClr val="000000"/>
              </a:solidFill>
              <a:effectLst/>
              <a:latin typeface="Arial"/>
              <a:ea typeface="+mn-ea"/>
              <a:cs typeface="Arial"/>
            </a:rPr>
            <a:pPr algn="l"/>
            <a:t> </a:t>
          </a:fld>
          <a:endParaRPr lang="en-US" sz="600" b="0" i="1">
            <a:solidFill>
              <a:schemeClr val="tx1"/>
            </a:solidFill>
            <a:effectLst/>
            <a:latin typeface="+mn-lt"/>
            <a:ea typeface="+mn-ea"/>
            <a:cs typeface="+mn-cs"/>
          </a:endParaRPr>
        </a:p>
      </xdr:txBody>
    </xdr:sp>
    <xdr:clientData/>
  </xdr:oneCellAnchor>
  <xdr:oneCellAnchor>
    <xdr:from>
      <xdr:col>9</xdr:col>
      <xdr:colOff>581025</xdr:colOff>
      <xdr:row>49</xdr:row>
      <xdr:rowOff>9525</xdr:rowOff>
    </xdr:from>
    <xdr:ext cx="28534" cy="125227"/>
    <xdr:sp macro="" textlink="#REF!">
      <xdr:nvSpPr>
        <xdr:cNvPr id="8" name="CasellaDiTesto 7">
          <a:extLst>
            <a:ext uri="{FF2B5EF4-FFF2-40B4-BE49-F238E27FC236}">
              <a16:creationId xmlns:a16="http://schemas.microsoft.com/office/drawing/2014/main" id="{A02B7DAD-3A58-429B-9821-0F6FF67307DA}"/>
            </a:ext>
          </a:extLst>
        </xdr:cNvPr>
        <xdr:cNvSpPr txBox="1"/>
      </xdr:nvSpPr>
      <xdr:spPr>
        <a:xfrm>
          <a:off x="8353425" y="6038850"/>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B73BD8FD-5E46-4B6B-A035-C56AE1559241}" type="TxLink">
            <a:rPr lang="en-US" sz="800" b="0" i="0" u="none" strike="noStrike">
              <a:solidFill>
                <a:srgbClr val="000000"/>
              </a:solidFill>
              <a:effectLst/>
              <a:latin typeface="Arial"/>
              <a:ea typeface="+mn-ea"/>
              <a:cs typeface="Arial"/>
            </a:rPr>
            <a:pPr algn="l"/>
            <a:t> </a:t>
          </a:fld>
          <a:endParaRPr lang="en-US" sz="400" b="0" i="1">
            <a:solidFill>
              <a:schemeClr val="tx1"/>
            </a:solidFill>
            <a:effectLst/>
            <a:latin typeface="+mn-lt"/>
            <a:ea typeface="+mn-ea"/>
            <a:cs typeface="+mn-cs"/>
          </a:endParaRPr>
        </a:p>
      </xdr:txBody>
    </xdr:sp>
    <xdr:clientData/>
  </xdr:oneCellAnchor>
  <xdr:oneCellAnchor>
    <xdr:from>
      <xdr:col>9</xdr:col>
      <xdr:colOff>1679331</xdr:colOff>
      <xdr:row>53</xdr:row>
      <xdr:rowOff>62278</xdr:rowOff>
    </xdr:from>
    <xdr:ext cx="343364" cy="125227"/>
    <xdr:sp macro="" textlink="$I$59">
      <xdr:nvSpPr>
        <xdr:cNvPr id="9" name="CasellaDiTesto 8">
          <a:extLst>
            <a:ext uri="{FF2B5EF4-FFF2-40B4-BE49-F238E27FC236}">
              <a16:creationId xmlns:a16="http://schemas.microsoft.com/office/drawing/2014/main" id="{51FBBA3C-D5C3-4CE3-A423-BE09F745CAFE}"/>
            </a:ext>
          </a:extLst>
        </xdr:cNvPr>
        <xdr:cNvSpPr txBox="1"/>
      </xdr:nvSpPr>
      <xdr:spPr>
        <a:xfrm>
          <a:off x="15785856" y="11673253"/>
          <a:ext cx="34336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76B8F600-7D08-4065-AF5F-1626BB0CA1D4}" type="TxLink">
            <a:rPr lang="en-US" sz="800" b="0" i="0" u="none" strike="noStrike">
              <a:solidFill>
                <a:srgbClr val="000000"/>
              </a:solidFill>
              <a:effectLst/>
              <a:latin typeface="Arial"/>
              <a:ea typeface="+mn-ea"/>
              <a:cs typeface="Arial"/>
            </a:rPr>
            <a:pPr algn="l"/>
            <a:t>27,5 °C</a:t>
          </a:fld>
          <a:endParaRPr lang="en-US" sz="600" b="0" i="1">
            <a:solidFill>
              <a:schemeClr val="tx1"/>
            </a:solidFill>
            <a:effectLst/>
            <a:latin typeface="+mn-lt"/>
            <a:ea typeface="+mn-ea"/>
            <a:cs typeface="+mn-cs"/>
          </a:endParaRPr>
        </a:p>
      </xdr:txBody>
    </xdr:sp>
    <xdr:clientData/>
  </xdr:oneCellAnchor>
  <xdr:oneCellAnchor>
    <xdr:from>
      <xdr:col>9</xdr:col>
      <xdr:colOff>2190749</xdr:colOff>
      <xdr:row>46</xdr:row>
      <xdr:rowOff>21248</xdr:rowOff>
    </xdr:from>
    <xdr:ext cx="467757" cy="117917"/>
    <xdr:sp macro="" textlink="$I$148">
      <xdr:nvSpPr>
        <xdr:cNvPr id="10" name="CasellaDiTesto 9">
          <a:extLst>
            <a:ext uri="{FF2B5EF4-FFF2-40B4-BE49-F238E27FC236}">
              <a16:creationId xmlns:a16="http://schemas.microsoft.com/office/drawing/2014/main" id="{AFD5AC7B-8A74-4F0B-B4F4-4FC4A7B69196}"/>
            </a:ext>
          </a:extLst>
        </xdr:cNvPr>
        <xdr:cNvSpPr txBox="1"/>
      </xdr:nvSpPr>
      <xdr:spPr>
        <a:xfrm>
          <a:off x="16297274" y="10498748"/>
          <a:ext cx="467757"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1001EA65-C9FB-4F7A-9800-B0F6C69FB25B}" type="TxLink">
            <a:rPr lang="en-US" sz="800" b="1" i="0" u="none" strike="noStrike">
              <a:solidFill>
                <a:srgbClr val="000000"/>
              </a:solidFill>
              <a:effectLst/>
              <a:latin typeface="Arial"/>
              <a:ea typeface="+mn-ea"/>
              <a:cs typeface="Arial"/>
            </a:rPr>
            <a:pPr marL="0" indent="0" algn="l"/>
            <a:t>12,0 l/min</a:t>
          </a:fld>
          <a:endParaRPr lang="en-US" sz="800" b="1" i="0" u="none" strike="noStrike">
            <a:solidFill>
              <a:srgbClr val="000000"/>
            </a:solidFill>
            <a:effectLst/>
            <a:latin typeface="Arial"/>
            <a:ea typeface="+mn-ea"/>
            <a:cs typeface="Arial"/>
          </a:endParaRPr>
        </a:p>
      </xdr:txBody>
    </xdr:sp>
    <xdr:clientData/>
  </xdr:oneCellAnchor>
  <xdr:oneCellAnchor>
    <xdr:from>
      <xdr:col>9</xdr:col>
      <xdr:colOff>191965</xdr:colOff>
      <xdr:row>63</xdr:row>
      <xdr:rowOff>46159</xdr:rowOff>
    </xdr:from>
    <xdr:ext cx="444865" cy="117917"/>
    <xdr:sp macro="" textlink="$I$148">
      <xdr:nvSpPr>
        <xdr:cNvPr id="11" name="CasellaDiTesto 10">
          <a:extLst>
            <a:ext uri="{FF2B5EF4-FFF2-40B4-BE49-F238E27FC236}">
              <a16:creationId xmlns:a16="http://schemas.microsoft.com/office/drawing/2014/main" id="{CAE2E60E-F521-44F1-A2C9-2AD51152AF93}"/>
            </a:ext>
          </a:extLst>
        </xdr:cNvPr>
        <xdr:cNvSpPr txBox="1"/>
      </xdr:nvSpPr>
      <xdr:spPr>
        <a:xfrm>
          <a:off x="14298490" y="13276384"/>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C744807-3552-4EB2-9F1A-3A8BAFA40E75}" type="TxLink">
            <a:rPr lang="en-US" sz="800" b="0" i="0" u="none" strike="noStrike">
              <a:solidFill>
                <a:srgbClr val="0000FF"/>
              </a:solidFill>
              <a:effectLst/>
              <a:latin typeface="Arial"/>
              <a:ea typeface="+mn-ea"/>
              <a:cs typeface="Arial"/>
            </a:rPr>
            <a:pPr marL="0" indent="0" algn="l"/>
            <a:t>12,0 l/min</a:t>
          </a:fld>
          <a:endParaRPr lang="en-US" sz="800" b="0" i="0" u="none" strike="noStrike">
            <a:solidFill>
              <a:srgbClr val="0000FF"/>
            </a:solidFill>
            <a:effectLst/>
            <a:latin typeface="Arial"/>
            <a:ea typeface="+mn-ea"/>
            <a:cs typeface="Arial"/>
          </a:endParaRPr>
        </a:p>
      </xdr:txBody>
    </xdr:sp>
    <xdr:clientData/>
  </xdr:oneCellAnchor>
  <xdr:oneCellAnchor>
    <xdr:from>
      <xdr:col>9</xdr:col>
      <xdr:colOff>612532</xdr:colOff>
      <xdr:row>38</xdr:row>
      <xdr:rowOff>296740</xdr:rowOff>
    </xdr:from>
    <xdr:ext cx="387798" cy="125227"/>
    <xdr:sp macro="" textlink="$I$61">
      <xdr:nvSpPr>
        <xdr:cNvPr id="12" name="CasellaDiTesto 11">
          <a:extLst>
            <a:ext uri="{FF2B5EF4-FFF2-40B4-BE49-F238E27FC236}">
              <a16:creationId xmlns:a16="http://schemas.microsoft.com/office/drawing/2014/main" id="{C6740D03-F0E3-4866-B633-722F2F2A6425}"/>
            </a:ext>
          </a:extLst>
        </xdr:cNvPr>
        <xdr:cNvSpPr txBox="1"/>
      </xdr:nvSpPr>
      <xdr:spPr>
        <a:xfrm>
          <a:off x="14719057" y="9288340"/>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08E96958-972D-4CDA-8B5C-E2019690F25C}" type="TxLink">
            <a:rPr lang="en-US" sz="800" b="0" i="0" u="none" strike="noStrike">
              <a:solidFill>
                <a:srgbClr val="000000"/>
              </a:solidFill>
              <a:effectLst/>
              <a:latin typeface="Arial"/>
              <a:ea typeface="+mn-ea"/>
              <a:cs typeface="Arial"/>
            </a:rPr>
            <a:pPr algn="l"/>
            <a:t>4,6 l/min</a:t>
          </a:fld>
          <a:endParaRPr lang="en-US" sz="400" b="0" i="1">
            <a:solidFill>
              <a:schemeClr val="tx1"/>
            </a:solidFill>
            <a:effectLst/>
            <a:latin typeface="+mn-lt"/>
            <a:ea typeface="+mn-ea"/>
            <a:cs typeface="+mn-cs"/>
          </a:endParaRPr>
        </a:p>
      </xdr:txBody>
    </xdr:sp>
    <xdr:clientData/>
  </xdr:oneCellAnchor>
  <xdr:oneCellAnchor>
    <xdr:from>
      <xdr:col>9</xdr:col>
      <xdr:colOff>1504951</xdr:colOff>
      <xdr:row>45</xdr:row>
      <xdr:rowOff>30773</xdr:rowOff>
    </xdr:from>
    <xdr:ext cx="387798" cy="125227"/>
    <xdr:sp macro="" textlink="$I$62">
      <xdr:nvSpPr>
        <xdr:cNvPr id="13" name="CasellaDiTesto 12">
          <a:extLst>
            <a:ext uri="{FF2B5EF4-FFF2-40B4-BE49-F238E27FC236}">
              <a16:creationId xmlns:a16="http://schemas.microsoft.com/office/drawing/2014/main" id="{A6320268-7AB0-4E35-9203-E7D34BCC120A}"/>
            </a:ext>
          </a:extLst>
        </xdr:cNvPr>
        <xdr:cNvSpPr txBox="1"/>
      </xdr:nvSpPr>
      <xdr:spPr>
        <a:xfrm>
          <a:off x="15420976" y="11146448"/>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E727480B-55E5-4CF2-B0A0-AC7F9347D639}" type="TxLink">
            <a:rPr lang="en-US" sz="800" b="0" i="0" u="none" strike="noStrike">
              <a:solidFill>
                <a:srgbClr val="000000"/>
              </a:solidFill>
              <a:effectLst/>
              <a:latin typeface="Arial"/>
              <a:ea typeface="+mn-ea"/>
              <a:cs typeface="Arial"/>
            </a:rPr>
            <a:pPr algn="l"/>
            <a:t>7,4 l/min</a:t>
          </a:fld>
          <a:endParaRPr lang="en-US" sz="200" b="0" i="1">
            <a:solidFill>
              <a:schemeClr val="tx1"/>
            </a:solidFill>
            <a:effectLst/>
            <a:latin typeface="+mn-lt"/>
            <a:ea typeface="+mn-ea"/>
            <a:cs typeface="+mn-cs"/>
          </a:endParaRPr>
        </a:p>
      </xdr:txBody>
    </xdr:sp>
    <xdr:clientData/>
  </xdr:oneCellAnchor>
  <xdr:oneCellAnchor>
    <xdr:from>
      <xdr:col>9</xdr:col>
      <xdr:colOff>304800</xdr:colOff>
      <xdr:row>77</xdr:row>
      <xdr:rowOff>171450</xdr:rowOff>
    </xdr:from>
    <xdr:ext cx="28534" cy="125227"/>
    <xdr:sp macro="" textlink="#REF!">
      <xdr:nvSpPr>
        <xdr:cNvPr id="14" name="CasellaDiTesto 13">
          <a:extLst>
            <a:ext uri="{FF2B5EF4-FFF2-40B4-BE49-F238E27FC236}">
              <a16:creationId xmlns:a16="http://schemas.microsoft.com/office/drawing/2014/main" id="{0E46BAD7-E0A6-4D81-9B07-ABAFED36C430}"/>
            </a:ext>
          </a:extLst>
        </xdr:cNvPr>
        <xdr:cNvSpPr txBox="1"/>
      </xdr:nvSpPr>
      <xdr:spPr>
        <a:xfrm>
          <a:off x="14220825" y="18573750"/>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BAB27D39-0ED6-4D7C-BEC9-19F7E97D56F2}" type="TxLink">
            <a:rPr lang="en-US" sz="800" b="0" i="0" u="none" strike="noStrike">
              <a:solidFill>
                <a:srgbClr val="000000"/>
              </a:solidFill>
              <a:effectLst/>
              <a:latin typeface="Arial"/>
              <a:ea typeface="+mn-ea"/>
              <a:cs typeface="Arial"/>
            </a:rPr>
            <a:pPr algn="l"/>
            <a:t> </a:t>
          </a:fld>
          <a:endParaRPr lang="en-US" sz="1000" b="0" i="1">
            <a:solidFill>
              <a:schemeClr val="tx1"/>
            </a:solidFill>
            <a:effectLst/>
            <a:latin typeface="+mn-lt"/>
            <a:ea typeface="+mn-ea"/>
            <a:cs typeface="+mn-cs"/>
          </a:endParaRPr>
        </a:p>
      </xdr:txBody>
    </xdr:sp>
    <xdr:clientData/>
  </xdr:oneCellAnchor>
  <xdr:oneCellAnchor>
    <xdr:from>
      <xdr:col>9</xdr:col>
      <xdr:colOff>2066925</xdr:colOff>
      <xdr:row>74</xdr:row>
      <xdr:rowOff>428625</xdr:rowOff>
    </xdr:from>
    <xdr:ext cx="28534" cy="125227"/>
    <xdr:sp macro="" textlink="#REF!">
      <xdr:nvSpPr>
        <xdr:cNvPr id="15" name="CasellaDiTesto 14">
          <a:extLst>
            <a:ext uri="{FF2B5EF4-FFF2-40B4-BE49-F238E27FC236}">
              <a16:creationId xmlns:a16="http://schemas.microsoft.com/office/drawing/2014/main" id="{54F94CCA-D76E-4423-8FBC-C9811BC649F0}"/>
            </a:ext>
          </a:extLst>
        </xdr:cNvPr>
        <xdr:cNvSpPr txBox="1"/>
      </xdr:nvSpPr>
      <xdr:spPr>
        <a:xfrm>
          <a:off x="15982950" y="17116425"/>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6350B21A-6E35-49F5-B465-27B5F3899EC0}" type="TxLink">
            <a:rPr lang="en-US" sz="800" b="0" i="0" u="none" strike="noStrike">
              <a:solidFill>
                <a:srgbClr val="000000"/>
              </a:solidFill>
              <a:effectLst/>
              <a:latin typeface="Arial"/>
              <a:ea typeface="+mn-ea"/>
              <a:cs typeface="Arial"/>
            </a:rPr>
            <a:pPr algn="l"/>
            <a:t> </a:t>
          </a:fld>
          <a:endParaRPr lang="en-US" sz="600" b="0" i="1">
            <a:solidFill>
              <a:schemeClr val="tx1"/>
            </a:solidFill>
            <a:effectLst/>
            <a:latin typeface="+mn-lt"/>
            <a:ea typeface="+mn-ea"/>
            <a:cs typeface="+mn-cs"/>
          </a:endParaRPr>
        </a:p>
      </xdr:txBody>
    </xdr:sp>
    <xdr:clientData/>
  </xdr:oneCellAnchor>
  <xdr:oneCellAnchor>
    <xdr:from>
      <xdr:col>9</xdr:col>
      <xdr:colOff>1709849</xdr:colOff>
      <xdr:row>76</xdr:row>
      <xdr:rowOff>212577</xdr:rowOff>
    </xdr:from>
    <xdr:ext cx="343364" cy="125227"/>
    <xdr:sp macro="" textlink="$I$101">
      <xdr:nvSpPr>
        <xdr:cNvPr id="16" name="CasellaDiTesto 15">
          <a:extLst>
            <a:ext uri="{FF2B5EF4-FFF2-40B4-BE49-F238E27FC236}">
              <a16:creationId xmlns:a16="http://schemas.microsoft.com/office/drawing/2014/main" id="{D6EA42EF-6F9C-49B4-986D-6AC001AA8338}"/>
            </a:ext>
          </a:extLst>
        </xdr:cNvPr>
        <xdr:cNvSpPr txBox="1"/>
      </xdr:nvSpPr>
      <xdr:spPr>
        <a:xfrm>
          <a:off x="15616349" y="18293512"/>
          <a:ext cx="34336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8D938A9E-E316-41EA-8D45-636FF9ECD125}" type="TxLink">
            <a:rPr lang="en-US" sz="800" b="0" i="0" u="none" strike="noStrike">
              <a:solidFill>
                <a:srgbClr val="000000"/>
              </a:solidFill>
              <a:effectLst/>
              <a:latin typeface="Arial"/>
              <a:ea typeface="+mn-ea"/>
              <a:cs typeface="Arial"/>
            </a:rPr>
            <a:pPr algn="l"/>
            <a:t>30,7 °C</a:t>
          </a:fld>
          <a:endParaRPr lang="en-US" sz="400" b="0" i="1">
            <a:solidFill>
              <a:schemeClr val="tx1"/>
            </a:solidFill>
            <a:effectLst/>
            <a:latin typeface="+mn-lt"/>
            <a:ea typeface="+mn-ea"/>
            <a:cs typeface="+mn-cs"/>
          </a:endParaRPr>
        </a:p>
      </xdr:txBody>
    </xdr:sp>
    <xdr:clientData/>
  </xdr:oneCellAnchor>
  <xdr:oneCellAnchor>
    <xdr:from>
      <xdr:col>9</xdr:col>
      <xdr:colOff>644153</xdr:colOff>
      <xdr:row>73</xdr:row>
      <xdr:rowOff>280313</xdr:rowOff>
    </xdr:from>
    <xdr:ext cx="343364" cy="117917"/>
    <xdr:sp macro="" textlink="$I$35">
      <xdr:nvSpPr>
        <xdr:cNvPr id="17" name="CasellaDiTesto 16">
          <a:extLst>
            <a:ext uri="{FF2B5EF4-FFF2-40B4-BE49-F238E27FC236}">
              <a16:creationId xmlns:a16="http://schemas.microsoft.com/office/drawing/2014/main" id="{5606DE60-4BA9-4551-A76F-4D3C3F72D97A}"/>
            </a:ext>
          </a:extLst>
        </xdr:cNvPr>
        <xdr:cNvSpPr txBox="1"/>
      </xdr:nvSpPr>
      <xdr:spPr>
        <a:xfrm>
          <a:off x="14750678" y="15672713"/>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016B1DB1-77AB-4092-9D77-E6B46ABD048A}" type="TxLink">
            <a:rPr lang="en-US" sz="800" b="1" i="0" u="none" strike="noStrike">
              <a:solidFill>
                <a:srgbClr val="000000"/>
              </a:solidFill>
              <a:effectLst/>
              <a:latin typeface="Arial"/>
              <a:ea typeface="+mn-ea"/>
              <a:cs typeface="Arial"/>
            </a:rPr>
            <a:pPr marL="0" indent="0" algn="l"/>
            <a:t>60,0 °C</a:t>
          </a:fld>
          <a:endParaRPr lang="en-US" sz="800" b="1" i="0" u="none" strike="noStrike">
            <a:solidFill>
              <a:srgbClr val="000000"/>
            </a:solidFill>
            <a:effectLst/>
            <a:latin typeface="Arial"/>
            <a:ea typeface="+mn-ea"/>
            <a:cs typeface="Arial"/>
          </a:endParaRPr>
        </a:p>
      </xdr:txBody>
    </xdr:sp>
    <xdr:clientData/>
  </xdr:oneCellAnchor>
  <xdr:oneCellAnchor>
    <xdr:from>
      <xdr:col>9</xdr:col>
      <xdr:colOff>656146</xdr:colOff>
      <xdr:row>72</xdr:row>
      <xdr:rowOff>374406</xdr:rowOff>
    </xdr:from>
    <xdr:ext cx="387798" cy="125227"/>
    <xdr:sp macro="" textlink="$I$103">
      <xdr:nvSpPr>
        <xdr:cNvPr id="18" name="CasellaDiTesto 17">
          <a:extLst>
            <a:ext uri="{FF2B5EF4-FFF2-40B4-BE49-F238E27FC236}">
              <a16:creationId xmlns:a16="http://schemas.microsoft.com/office/drawing/2014/main" id="{47732E20-6075-484D-8757-222211682E42}"/>
            </a:ext>
          </a:extLst>
        </xdr:cNvPr>
        <xdr:cNvSpPr txBox="1"/>
      </xdr:nvSpPr>
      <xdr:spPr>
        <a:xfrm>
          <a:off x="14572171" y="16071606"/>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A5FD96D8-0679-49E4-9E9D-C54DE3FEED39}" type="TxLink">
            <a:rPr lang="en-US" sz="800" b="0" i="0" u="none" strike="noStrike">
              <a:solidFill>
                <a:srgbClr val="000000"/>
              </a:solidFill>
              <a:effectLst/>
              <a:latin typeface="Arial"/>
              <a:ea typeface="+mn-ea"/>
              <a:cs typeface="Arial"/>
            </a:rPr>
            <a:pPr algn="l"/>
            <a:t>3,8 l/min</a:t>
          </a:fld>
          <a:endParaRPr lang="en-US" sz="200" b="0" i="1">
            <a:solidFill>
              <a:schemeClr val="tx1"/>
            </a:solidFill>
            <a:effectLst/>
            <a:latin typeface="+mn-lt"/>
            <a:ea typeface="+mn-ea"/>
            <a:cs typeface="+mn-cs"/>
          </a:endParaRPr>
        </a:p>
      </xdr:txBody>
    </xdr:sp>
    <xdr:clientData/>
  </xdr:oneCellAnchor>
  <xdr:oneCellAnchor>
    <xdr:from>
      <xdr:col>9</xdr:col>
      <xdr:colOff>1501414</xdr:colOff>
      <xdr:row>72</xdr:row>
      <xdr:rowOff>373005</xdr:rowOff>
    </xdr:from>
    <xdr:ext cx="387798" cy="125227"/>
    <xdr:sp macro="" textlink="$I$104">
      <xdr:nvSpPr>
        <xdr:cNvPr id="19" name="CasellaDiTesto 18">
          <a:extLst>
            <a:ext uri="{FF2B5EF4-FFF2-40B4-BE49-F238E27FC236}">
              <a16:creationId xmlns:a16="http://schemas.microsoft.com/office/drawing/2014/main" id="{6BD5D5E8-D793-4768-99A2-0A2B2E2B3FED}"/>
            </a:ext>
          </a:extLst>
        </xdr:cNvPr>
        <xdr:cNvSpPr txBox="1"/>
      </xdr:nvSpPr>
      <xdr:spPr>
        <a:xfrm>
          <a:off x="15407914" y="16242483"/>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9DD8EDBC-4678-424D-859D-390C13C78A00}" type="TxLink">
            <a:rPr lang="en-US" sz="800" b="0" i="0" u="none" strike="noStrike">
              <a:solidFill>
                <a:srgbClr val="000000"/>
              </a:solidFill>
              <a:effectLst/>
              <a:latin typeface="Arial"/>
              <a:ea typeface="+mn-ea"/>
              <a:cs typeface="Arial"/>
            </a:rPr>
            <a:pPr algn="l"/>
            <a:t>8,2 l/min</a:t>
          </a:fld>
          <a:endParaRPr lang="en-US" sz="100" b="0" i="1">
            <a:solidFill>
              <a:schemeClr val="tx1"/>
            </a:solidFill>
            <a:effectLst/>
            <a:latin typeface="+mn-lt"/>
            <a:ea typeface="+mn-ea"/>
            <a:cs typeface="+mn-cs"/>
          </a:endParaRPr>
        </a:p>
      </xdr:txBody>
    </xdr:sp>
    <xdr:clientData/>
  </xdr:oneCellAnchor>
  <xdr:oneCellAnchor>
    <xdr:from>
      <xdr:col>9</xdr:col>
      <xdr:colOff>1614090</xdr:colOff>
      <xdr:row>78</xdr:row>
      <xdr:rowOff>416233</xdr:rowOff>
    </xdr:from>
    <xdr:ext cx="387798" cy="117917"/>
    <xdr:sp macro="" textlink="$I$93">
      <xdr:nvSpPr>
        <xdr:cNvPr id="20" name="CasellaDiTesto 19">
          <a:extLst>
            <a:ext uri="{FF2B5EF4-FFF2-40B4-BE49-F238E27FC236}">
              <a16:creationId xmlns:a16="http://schemas.microsoft.com/office/drawing/2014/main" id="{95E242F7-3EAD-4950-84C8-7550904A76C2}"/>
            </a:ext>
          </a:extLst>
        </xdr:cNvPr>
        <xdr:cNvSpPr txBox="1"/>
      </xdr:nvSpPr>
      <xdr:spPr>
        <a:xfrm>
          <a:off x="15520590" y="19648450"/>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FBEA92E9-D944-4AB2-A7EF-3F121D35B327}" type="TxLink">
            <a:rPr lang="en-US" sz="800" b="0" i="0" u="none" strike="noStrike">
              <a:solidFill>
                <a:srgbClr val="000000"/>
              </a:solidFill>
              <a:effectLst/>
              <a:latin typeface="Arial"/>
              <a:ea typeface="+mn-ea"/>
              <a:cs typeface="Arial"/>
            </a:rPr>
            <a:pPr marL="0" indent="0" algn="l"/>
            <a:t>8,2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1529862</xdr:colOff>
      <xdr:row>54</xdr:row>
      <xdr:rowOff>128221</xdr:rowOff>
    </xdr:from>
    <xdr:ext cx="444865" cy="125227"/>
    <xdr:sp macro="" textlink="$I$48">
      <xdr:nvSpPr>
        <xdr:cNvPr id="21" name="CasellaDiTesto 20">
          <a:extLst>
            <a:ext uri="{FF2B5EF4-FFF2-40B4-BE49-F238E27FC236}">
              <a16:creationId xmlns:a16="http://schemas.microsoft.com/office/drawing/2014/main" id="{9BBCF9BA-2F95-4AF2-B250-CEAFF2D3EFA8}"/>
            </a:ext>
          </a:extLst>
        </xdr:cNvPr>
        <xdr:cNvSpPr txBox="1"/>
      </xdr:nvSpPr>
      <xdr:spPr>
        <a:xfrm>
          <a:off x="15636387" y="11901121"/>
          <a:ext cx="444865"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990C3A87-0F4B-4A75-90FE-5D59E394DB28}" type="TxLink">
            <a:rPr lang="en-US" sz="800" b="0" i="0" u="none" strike="noStrike">
              <a:solidFill>
                <a:srgbClr val="000000"/>
              </a:solidFill>
              <a:effectLst/>
              <a:latin typeface="Arial"/>
              <a:ea typeface="+mn-ea"/>
              <a:cs typeface="Arial"/>
            </a:rPr>
            <a:pPr algn="l"/>
            <a:t>12,0 l/min</a:t>
          </a:fld>
          <a:endParaRPr lang="en-US" sz="600" b="0" i="1">
            <a:solidFill>
              <a:schemeClr val="tx1"/>
            </a:solidFill>
            <a:effectLst/>
            <a:latin typeface="+mn-lt"/>
            <a:ea typeface="+mn-ea"/>
            <a:cs typeface="+mn-cs"/>
          </a:endParaRPr>
        </a:p>
      </xdr:txBody>
    </xdr:sp>
    <xdr:clientData/>
  </xdr:oneCellAnchor>
  <xdr:oneCellAnchor>
    <xdr:from>
      <xdr:col>9</xdr:col>
      <xdr:colOff>668820</xdr:colOff>
      <xdr:row>41</xdr:row>
      <xdr:rowOff>112229</xdr:rowOff>
    </xdr:from>
    <xdr:ext cx="343364" cy="117917"/>
    <xdr:sp macro="" textlink="$I$35">
      <xdr:nvSpPr>
        <xdr:cNvPr id="22" name="CasellaDiTesto 21">
          <a:extLst>
            <a:ext uri="{FF2B5EF4-FFF2-40B4-BE49-F238E27FC236}">
              <a16:creationId xmlns:a16="http://schemas.microsoft.com/office/drawing/2014/main" id="{B0AC5971-CECD-43CC-83D9-3BDA017CECA5}"/>
            </a:ext>
          </a:extLst>
        </xdr:cNvPr>
        <xdr:cNvSpPr txBox="1"/>
      </xdr:nvSpPr>
      <xdr:spPr>
        <a:xfrm>
          <a:off x="14775345" y="9742004"/>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16B1DB1-77AB-4092-9D77-E6B46ABD048A}" type="TxLink">
            <a:rPr lang="en-US" sz="800" b="0" i="0" u="none" strike="noStrike">
              <a:solidFill>
                <a:srgbClr val="000000"/>
              </a:solidFill>
              <a:effectLst/>
              <a:latin typeface="Arial"/>
              <a:ea typeface="+mn-ea"/>
              <a:cs typeface="Arial"/>
            </a:rPr>
            <a:pPr marL="0" indent="0" algn="l"/>
            <a:t>60,0 °C</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1496157</xdr:colOff>
      <xdr:row>61</xdr:row>
      <xdr:rowOff>39565</xdr:rowOff>
    </xdr:from>
    <xdr:ext cx="444865" cy="117917"/>
    <xdr:sp macro="" textlink="$I$48">
      <xdr:nvSpPr>
        <xdr:cNvPr id="23" name="CasellaDiTesto 22">
          <a:extLst>
            <a:ext uri="{FF2B5EF4-FFF2-40B4-BE49-F238E27FC236}">
              <a16:creationId xmlns:a16="http://schemas.microsoft.com/office/drawing/2014/main" id="{7809CFA5-2A83-4183-B8CE-E934987103A5}"/>
            </a:ext>
          </a:extLst>
        </xdr:cNvPr>
        <xdr:cNvSpPr txBox="1"/>
      </xdr:nvSpPr>
      <xdr:spPr>
        <a:xfrm>
          <a:off x="15602682" y="12945940"/>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4D8E7D4-29E5-4059-8A3E-F00E6533788D}"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2181893</xdr:colOff>
      <xdr:row>52</xdr:row>
      <xdr:rowOff>15514</xdr:rowOff>
    </xdr:from>
    <xdr:ext cx="444865" cy="117917"/>
    <xdr:sp macro="" textlink="$I$49">
      <xdr:nvSpPr>
        <xdr:cNvPr id="24" name="CasellaDiTesto 23">
          <a:extLst>
            <a:ext uri="{FF2B5EF4-FFF2-40B4-BE49-F238E27FC236}">
              <a16:creationId xmlns:a16="http://schemas.microsoft.com/office/drawing/2014/main" id="{BC597565-AD94-4FA1-B563-6C2099D775A2}"/>
            </a:ext>
          </a:extLst>
        </xdr:cNvPr>
        <xdr:cNvSpPr txBox="1"/>
      </xdr:nvSpPr>
      <xdr:spPr>
        <a:xfrm>
          <a:off x="16288418" y="11464564"/>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68C0E22A-E78A-4DAD-85B0-6A5CF949F0DA}"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2511670</xdr:colOff>
      <xdr:row>42</xdr:row>
      <xdr:rowOff>116497</xdr:rowOff>
    </xdr:from>
    <xdr:ext cx="343364" cy="117917"/>
    <xdr:sp macro="" textlink="$I$17">
      <xdr:nvSpPr>
        <xdr:cNvPr id="25" name="CasellaDiTesto 24">
          <a:extLst>
            <a:ext uri="{FF2B5EF4-FFF2-40B4-BE49-F238E27FC236}">
              <a16:creationId xmlns:a16="http://schemas.microsoft.com/office/drawing/2014/main" id="{FA319378-A771-4689-8ACC-9D8116974BE4}"/>
            </a:ext>
          </a:extLst>
        </xdr:cNvPr>
        <xdr:cNvSpPr txBox="1"/>
      </xdr:nvSpPr>
      <xdr:spPr>
        <a:xfrm>
          <a:off x="16618195" y="9908197"/>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8E60663-BC41-4FFF-AEEE-F63E6F1B49BD}" type="TxLink">
            <a:rPr lang="en-US" sz="800" b="1" i="0" u="none" strike="noStrike">
              <a:solidFill>
                <a:srgbClr val="FF0000"/>
              </a:solidFill>
              <a:effectLst/>
              <a:latin typeface="Arial"/>
              <a:ea typeface="+mn-ea"/>
              <a:cs typeface="Arial"/>
            </a:rPr>
            <a:pPr marL="0" indent="0" algn="l"/>
            <a:t>40,0 °C</a:t>
          </a:fld>
          <a:endParaRPr lang="en-US" sz="800" b="1" i="0" u="none" strike="noStrike">
            <a:solidFill>
              <a:srgbClr val="FF0000"/>
            </a:solidFill>
            <a:effectLst/>
            <a:latin typeface="Arial"/>
            <a:ea typeface="+mn-ea"/>
            <a:cs typeface="Arial"/>
          </a:endParaRPr>
        </a:p>
      </xdr:txBody>
    </xdr:sp>
    <xdr:clientData/>
  </xdr:oneCellAnchor>
  <xdr:oneCellAnchor>
    <xdr:from>
      <xdr:col>9</xdr:col>
      <xdr:colOff>2215216</xdr:colOff>
      <xdr:row>50</xdr:row>
      <xdr:rowOff>159153</xdr:rowOff>
    </xdr:from>
    <xdr:ext cx="343364" cy="117917"/>
    <xdr:sp macro="" textlink="$I$34">
      <xdr:nvSpPr>
        <xdr:cNvPr id="26" name="CasellaDiTesto 25">
          <a:extLst>
            <a:ext uri="{FF2B5EF4-FFF2-40B4-BE49-F238E27FC236}">
              <a16:creationId xmlns:a16="http://schemas.microsoft.com/office/drawing/2014/main" id="{AA7DA03C-C4F0-4430-8C21-5DE3720BBB56}"/>
            </a:ext>
          </a:extLst>
        </xdr:cNvPr>
        <xdr:cNvSpPr txBox="1"/>
      </xdr:nvSpPr>
      <xdr:spPr>
        <a:xfrm>
          <a:off x="16321741" y="11284353"/>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DD4896C-2F49-4DD1-A745-F8E8FCBB40CC}" type="TxLink">
            <a:rPr lang="en-US" sz="800" b="1" i="0" u="none" strike="noStrike">
              <a:solidFill>
                <a:srgbClr val="000000"/>
              </a:solidFill>
              <a:effectLst/>
              <a:latin typeface="Arial"/>
              <a:ea typeface="+mn-ea"/>
              <a:cs typeface="Arial"/>
            </a:rPr>
            <a:pPr marL="0" indent="0" algn="l"/>
            <a:t>35,0 °C</a:t>
          </a:fld>
          <a:endParaRPr lang="en-US" sz="800" b="1" i="0" u="none" strike="noStrike">
            <a:solidFill>
              <a:srgbClr val="000000"/>
            </a:solidFill>
            <a:effectLst/>
            <a:latin typeface="Arial"/>
            <a:ea typeface="+mn-ea"/>
            <a:cs typeface="Arial"/>
          </a:endParaRPr>
        </a:p>
      </xdr:txBody>
    </xdr:sp>
    <xdr:clientData/>
  </xdr:oneCellAnchor>
  <xdr:oneCellAnchor>
    <xdr:from>
      <xdr:col>9</xdr:col>
      <xdr:colOff>191965</xdr:colOff>
      <xdr:row>61</xdr:row>
      <xdr:rowOff>28575</xdr:rowOff>
    </xdr:from>
    <xdr:ext cx="343364" cy="117917"/>
    <xdr:sp macro="" textlink="$I$18">
      <xdr:nvSpPr>
        <xdr:cNvPr id="27" name="CasellaDiTesto 26">
          <a:extLst>
            <a:ext uri="{FF2B5EF4-FFF2-40B4-BE49-F238E27FC236}">
              <a16:creationId xmlns:a16="http://schemas.microsoft.com/office/drawing/2014/main" id="{BA9CA3EA-1E31-49F6-966D-BC1F82B4A2CB}"/>
            </a:ext>
          </a:extLst>
        </xdr:cNvPr>
        <xdr:cNvSpPr txBox="1"/>
      </xdr:nvSpPr>
      <xdr:spPr>
        <a:xfrm>
          <a:off x="14298490" y="12934950"/>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56225A4-6D7A-4E3A-B8A2-DDCB491A1D05}" type="TxLink">
            <a:rPr lang="en-US" sz="800" b="1" i="0" u="none" strike="noStrike">
              <a:solidFill>
                <a:srgbClr val="0000FF"/>
              </a:solidFill>
              <a:effectLst/>
              <a:latin typeface="Arial"/>
              <a:ea typeface="+mn-ea"/>
              <a:cs typeface="Arial"/>
            </a:rPr>
            <a:pPr marL="0" indent="0" algn="l"/>
            <a:t>15,0 °C</a:t>
          </a:fld>
          <a:endParaRPr lang="en-US" sz="800" b="1" i="0" u="none" strike="noStrike">
            <a:solidFill>
              <a:srgbClr val="0000FF"/>
            </a:solidFill>
            <a:effectLst/>
            <a:latin typeface="Arial"/>
            <a:ea typeface="+mn-ea"/>
            <a:cs typeface="Arial"/>
          </a:endParaRPr>
        </a:p>
      </xdr:txBody>
    </xdr:sp>
    <xdr:clientData/>
  </xdr:oneCellAnchor>
  <xdr:oneCellAnchor>
    <xdr:from>
      <xdr:col>9</xdr:col>
      <xdr:colOff>264502</xdr:colOff>
      <xdr:row>79</xdr:row>
      <xdr:rowOff>38833</xdr:rowOff>
    </xdr:from>
    <xdr:ext cx="444865" cy="117917"/>
    <xdr:sp macro="" textlink="$I$148">
      <xdr:nvSpPr>
        <xdr:cNvPr id="28" name="CasellaDiTesto 27">
          <a:extLst>
            <a:ext uri="{FF2B5EF4-FFF2-40B4-BE49-F238E27FC236}">
              <a16:creationId xmlns:a16="http://schemas.microsoft.com/office/drawing/2014/main" id="{25B65796-CA74-46A7-A101-B8B6A119335C}"/>
            </a:ext>
          </a:extLst>
        </xdr:cNvPr>
        <xdr:cNvSpPr txBox="1"/>
      </xdr:nvSpPr>
      <xdr:spPr>
        <a:xfrm>
          <a:off x="14180527" y="19660333"/>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C744807-3552-4EB2-9F1A-3A8BAFA40E75}"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293077</xdr:colOff>
      <xdr:row>78</xdr:row>
      <xdr:rowOff>409575</xdr:rowOff>
    </xdr:from>
    <xdr:ext cx="343364" cy="137699"/>
    <xdr:sp macro="" textlink="$I$18">
      <xdr:nvSpPr>
        <xdr:cNvPr id="29" name="CasellaDiTesto 28">
          <a:extLst>
            <a:ext uri="{FF2B5EF4-FFF2-40B4-BE49-F238E27FC236}">
              <a16:creationId xmlns:a16="http://schemas.microsoft.com/office/drawing/2014/main" id="{19CA176E-6743-47C4-BDE1-361D48BEDD99}"/>
            </a:ext>
          </a:extLst>
        </xdr:cNvPr>
        <xdr:cNvSpPr txBox="1"/>
      </xdr:nvSpPr>
      <xdr:spPr>
        <a:xfrm>
          <a:off x="14209102" y="19469100"/>
          <a:ext cx="343364" cy="13769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noAutofit/>
        </a:bodyPr>
        <a:lstStyle/>
        <a:p>
          <a:pPr marL="0" indent="0" algn="l"/>
          <a:fld id="{E56225A4-6D7A-4E3A-B8A2-DDCB491A1D05}" type="TxLink">
            <a:rPr lang="en-US" sz="800" b="1" i="0" u="none" strike="noStrike">
              <a:solidFill>
                <a:srgbClr val="0000FF"/>
              </a:solidFill>
              <a:effectLst/>
              <a:latin typeface="Arial"/>
              <a:ea typeface="+mn-ea"/>
              <a:cs typeface="Arial"/>
            </a:rPr>
            <a:pPr marL="0" indent="0" algn="l"/>
            <a:t>15,0 °C</a:t>
          </a:fld>
          <a:endParaRPr lang="en-US" sz="800" b="1" i="0" u="none" strike="noStrike">
            <a:solidFill>
              <a:srgbClr val="0000FF"/>
            </a:solidFill>
            <a:effectLst/>
            <a:latin typeface="Arial"/>
            <a:ea typeface="+mn-ea"/>
            <a:cs typeface="Arial"/>
          </a:endParaRPr>
        </a:p>
      </xdr:txBody>
    </xdr:sp>
    <xdr:clientData/>
  </xdr:oneCellAnchor>
  <xdr:oneCellAnchor>
    <xdr:from>
      <xdr:col>9</xdr:col>
      <xdr:colOff>2104419</xdr:colOff>
      <xdr:row>74</xdr:row>
      <xdr:rowOff>454524</xdr:rowOff>
    </xdr:from>
    <xdr:ext cx="467757" cy="117917"/>
    <xdr:sp macro="" textlink="$I$148">
      <xdr:nvSpPr>
        <xdr:cNvPr id="30" name="CasellaDiTesto 29">
          <a:extLst>
            <a:ext uri="{FF2B5EF4-FFF2-40B4-BE49-F238E27FC236}">
              <a16:creationId xmlns:a16="http://schemas.microsoft.com/office/drawing/2014/main" id="{72C34CF9-2163-4F7B-85BC-B22CA9B91A3C}"/>
            </a:ext>
          </a:extLst>
        </xdr:cNvPr>
        <xdr:cNvSpPr txBox="1"/>
      </xdr:nvSpPr>
      <xdr:spPr>
        <a:xfrm>
          <a:off x="16010919" y="17317915"/>
          <a:ext cx="467757"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1001EA65-C9FB-4F7A-9800-B0F6C69FB25B}" type="TxLink">
            <a:rPr lang="en-US" sz="800" b="1" i="0" u="none" strike="noStrike">
              <a:solidFill>
                <a:srgbClr val="000000"/>
              </a:solidFill>
              <a:effectLst/>
              <a:latin typeface="Arial"/>
              <a:ea typeface="+mn-ea"/>
              <a:cs typeface="Arial"/>
            </a:rPr>
            <a:pPr marL="0" indent="0" algn="l"/>
            <a:t>12,0 l/min</a:t>
          </a:fld>
          <a:endParaRPr lang="en-US" sz="800" b="1" i="0" u="none" strike="noStrike">
            <a:solidFill>
              <a:srgbClr val="000000"/>
            </a:solidFill>
            <a:effectLst/>
            <a:latin typeface="Arial"/>
            <a:ea typeface="+mn-ea"/>
            <a:cs typeface="Arial"/>
          </a:endParaRPr>
        </a:p>
      </xdr:txBody>
    </xdr:sp>
    <xdr:clientData/>
  </xdr:oneCellAnchor>
  <xdr:oneCellAnchor>
    <xdr:from>
      <xdr:col>9</xdr:col>
      <xdr:colOff>2524329</xdr:colOff>
      <xdr:row>74</xdr:row>
      <xdr:rowOff>114452</xdr:rowOff>
    </xdr:from>
    <xdr:ext cx="343364" cy="117917"/>
    <xdr:sp macro="" textlink="$I$17">
      <xdr:nvSpPr>
        <xdr:cNvPr id="31" name="CasellaDiTesto 30">
          <a:extLst>
            <a:ext uri="{FF2B5EF4-FFF2-40B4-BE49-F238E27FC236}">
              <a16:creationId xmlns:a16="http://schemas.microsoft.com/office/drawing/2014/main" id="{B2C6CF2A-78C4-4F1B-85F9-FED94EE52960}"/>
            </a:ext>
          </a:extLst>
        </xdr:cNvPr>
        <xdr:cNvSpPr txBox="1"/>
      </xdr:nvSpPr>
      <xdr:spPr>
        <a:xfrm>
          <a:off x="16430829" y="16977843"/>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8E60663-BC41-4FFF-AEEE-F63E6F1B49BD}" type="TxLink">
            <a:rPr lang="en-US" sz="800" b="1" i="0" u="none" strike="noStrike">
              <a:solidFill>
                <a:srgbClr val="FF0000"/>
              </a:solidFill>
              <a:effectLst/>
              <a:latin typeface="Arial"/>
              <a:ea typeface="+mn-ea"/>
              <a:cs typeface="Arial"/>
            </a:rPr>
            <a:pPr marL="0" indent="0" algn="l"/>
            <a:t>40,0 °C</a:t>
          </a:fld>
          <a:endParaRPr lang="en-US" sz="800" b="1" i="0" u="none" strike="noStrike">
            <a:solidFill>
              <a:srgbClr val="FF0000"/>
            </a:solidFill>
            <a:effectLst/>
            <a:latin typeface="Arial"/>
            <a:ea typeface="+mn-ea"/>
            <a:cs typeface="Arial"/>
          </a:endParaRPr>
        </a:p>
      </xdr:txBody>
    </xdr:sp>
    <xdr:clientData/>
  </xdr:oneCellAnchor>
  <xdr:oneCellAnchor>
    <xdr:from>
      <xdr:col>9</xdr:col>
      <xdr:colOff>2194605</xdr:colOff>
      <xdr:row>76</xdr:row>
      <xdr:rowOff>56990</xdr:rowOff>
    </xdr:from>
    <xdr:ext cx="444865" cy="117917"/>
    <xdr:sp macro="" textlink="$I$49">
      <xdr:nvSpPr>
        <xdr:cNvPr id="32" name="CasellaDiTesto 31">
          <a:extLst>
            <a:ext uri="{FF2B5EF4-FFF2-40B4-BE49-F238E27FC236}">
              <a16:creationId xmlns:a16="http://schemas.microsoft.com/office/drawing/2014/main" id="{C529A8D4-D2C4-410E-B3A1-950466843879}"/>
            </a:ext>
          </a:extLst>
        </xdr:cNvPr>
        <xdr:cNvSpPr txBox="1"/>
      </xdr:nvSpPr>
      <xdr:spPr>
        <a:xfrm>
          <a:off x="16101105" y="18137925"/>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68C0E22A-E78A-4DAD-85B0-6A5CF949F0DA}"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2206422</xdr:colOff>
      <xdr:row>75</xdr:row>
      <xdr:rowOff>448537</xdr:rowOff>
    </xdr:from>
    <xdr:ext cx="343364" cy="117917"/>
    <xdr:sp macro="" textlink="$I$34">
      <xdr:nvSpPr>
        <xdr:cNvPr id="33" name="CasellaDiTesto 32">
          <a:extLst>
            <a:ext uri="{FF2B5EF4-FFF2-40B4-BE49-F238E27FC236}">
              <a16:creationId xmlns:a16="http://schemas.microsoft.com/office/drawing/2014/main" id="{7FCACF01-BD18-4331-9C01-FD9A4E05545B}"/>
            </a:ext>
          </a:extLst>
        </xdr:cNvPr>
        <xdr:cNvSpPr txBox="1"/>
      </xdr:nvSpPr>
      <xdr:spPr>
        <a:xfrm>
          <a:off x="16112922" y="17966254"/>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DD4896C-2F49-4DD1-A745-F8E8FCBB40CC}" type="TxLink">
            <a:rPr lang="en-US" sz="800" b="1" i="0" u="none" strike="noStrike">
              <a:solidFill>
                <a:srgbClr val="000000"/>
              </a:solidFill>
              <a:effectLst/>
              <a:latin typeface="Arial"/>
              <a:ea typeface="+mn-ea"/>
              <a:cs typeface="Arial"/>
            </a:rPr>
            <a:pPr marL="0" indent="0" algn="l"/>
            <a:t>35,0 °C</a:t>
          </a:fld>
          <a:endParaRPr lang="en-US" sz="800" b="1" i="0" u="none" strike="noStrike">
            <a:solidFill>
              <a:srgbClr val="000000"/>
            </a:solidFill>
            <a:effectLst/>
            <a:latin typeface="Arial"/>
            <a:ea typeface="+mn-ea"/>
            <a:cs typeface="Arial"/>
          </a:endParaRPr>
        </a:p>
      </xdr:txBody>
    </xdr:sp>
    <xdr:clientData/>
  </xdr:oneCellAnchor>
  <xdr:oneCellAnchor>
    <xdr:from>
      <xdr:col>9</xdr:col>
      <xdr:colOff>1674077</xdr:colOff>
      <xdr:row>121</xdr:row>
      <xdr:rowOff>104763</xdr:rowOff>
    </xdr:from>
    <xdr:ext cx="343364" cy="117917"/>
    <xdr:sp macro="" textlink="$I$134">
      <xdr:nvSpPr>
        <xdr:cNvPr id="34" name="CasellaDiTesto 33">
          <a:extLst>
            <a:ext uri="{FF2B5EF4-FFF2-40B4-BE49-F238E27FC236}">
              <a16:creationId xmlns:a16="http://schemas.microsoft.com/office/drawing/2014/main" id="{DDA890DF-2C61-4D5D-8D14-D402768E18DC}"/>
            </a:ext>
          </a:extLst>
        </xdr:cNvPr>
        <xdr:cNvSpPr txBox="1"/>
      </xdr:nvSpPr>
      <xdr:spPr>
        <a:xfrm>
          <a:off x="15780602" y="32089713"/>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66A012A4-8112-4AAB-8197-457634DE78B2}" type="TxLink">
            <a:rPr lang="en-US" sz="800" b="0" i="0" u="none" strike="noStrike">
              <a:solidFill>
                <a:srgbClr val="000000"/>
              </a:solidFill>
              <a:effectLst/>
              <a:latin typeface="Arial"/>
              <a:ea typeface="+mn-ea"/>
              <a:cs typeface="Arial"/>
            </a:rPr>
            <a:pPr marL="0" indent="0" algn="l"/>
            <a:t>32,2 °C</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656370</xdr:colOff>
      <xdr:row>116</xdr:row>
      <xdr:rowOff>259491</xdr:rowOff>
    </xdr:from>
    <xdr:ext cx="343364" cy="117917"/>
    <xdr:sp macro="" textlink="$I$35">
      <xdr:nvSpPr>
        <xdr:cNvPr id="35" name="CasellaDiTesto 34">
          <a:extLst>
            <a:ext uri="{FF2B5EF4-FFF2-40B4-BE49-F238E27FC236}">
              <a16:creationId xmlns:a16="http://schemas.microsoft.com/office/drawing/2014/main" id="{027C8FDD-D1B3-4EAB-8648-88F1D0076A50}"/>
            </a:ext>
          </a:extLst>
        </xdr:cNvPr>
        <xdr:cNvSpPr txBox="1"/>
      </xdr:nvSpPr>
      <xdr:spPr>
        <a:xfrm>
          <a:off x="14562870" y="30673230"/>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016B1DB1-77AB-4092-9D77-E6B46ABD048A}" type="TxLink">
            <a:rPr lang="en-US" sz="800" b="0" i="0" u="none" strike="noStrike">
              <a:solidFill>
                <a:srgbClr val="000000"/>
              </a:solidFill>
              <a:effectLst/>
              <a:latin typeface="Arial"/>
              <a:ea typeface="+mn-ea"/>
              <a:cs typeface="Arial"/>
            </a:rPr>
            <a:pPr marL="0" indent="0" algn="l"/>
            <a:t>60,0 °C</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607916</xdr:colOff>
      <xdr:row>115</xdr:row>
      <xdr:rowOff>165006</xdr:rowOff>
    </xdr:from>
    <xdr:ext cx="387798" cy="117917"/>
    <xdr:sp macro="" textlink="$I$136">
      <xdr:nvSpPr>
        <xdr:cNvPr id="36" name="CasellaDiTesto 35">
          <a:extLst>
            <a:ext uri="{FF2B5EF4-FFF2-40B4-BE49-F238E27FC236}">
              <a16:creationId xmlns:a16="http://schemas.microsoft.com/office/drawing/2014/main" id="{484898A5-94E6-4776-B219-0F310D85CA42}"/>
            </a:ext>
          </a:extLst>
        </xdr:cNvPr>
        <xdr:cNvSpPr txBox="1"/>
      </xdr:nvSpPr>
      <xdr:spPr>
        <a:xfrm>
          <a:off x="14514416" y="30156332"/>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B52C42EC-E35F-4A7D-8094-CE13BB1C0DF7}" type="TxLink">
            <a:rPr lang="en-US" sz="800" b="0" i="0" u="none" strike="noStrike">
              <a:solidFill>
                <a:srgbClr val="000000"/>
              </a:solidFill>
              <a:effectLst/>
              <a:latin typeface="Arial"/>
              <a:ea typeface="+mn-ea"/>
              <a:cs typeface="Arial"/>
            </a:rPr>
            <a:pPr marL="0" indent="0" algn="l"/>
            <a:t>6,7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2427412</xdr:colOff>
      <xdr:row>114</xdr:row>
      <xdr:rowOff>343370</xdr:rowOff>
    </xdr:from>
    <xdr:ext cx="387798" cy="117917"/>
    <xdr:sp macro="" textlink="$I$137">
      <xdr:nvSpPr>
        <xdr:cNvPr id="37" name="CasellaDiTesto 36">
          <a:extLst>
            <a:ext uri="{FF2B5EF4-FFF2-40B4-BE49-F238E27FC236}">
              <a16:creationId xmlns:a16="http://schemas.microsoft.com/office/drawing/2014/main" id="{58AABACF-D9AA-40D8-A851-256672898439}"/>
            </a:ext>
          </a:extLst>
        </xdr:cNvPr>
        <xdr:cNvSpPr txBox="1"/>
      </xdr:nvSpPr>
      <xdr:spPr>
        <a:xfrm>
          <a:off x="16333912" y="29879153"/>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764C2DE5-149E-44AD-AB7A-D08A07C1E33A}" type="TxLink">
            <a:rPr lang="en-US" sz="800" b="0" i="0" u="none" strike="noStrike">
              <a:solidFill>
                <a:srgbClr val="000000"/>
              </a:solidFill>
              <a:effectLst/>
              <a:latin typeface="Arial"/>
              <a:ea typeface="+mn-ea"/>
              <a:cs typeface="Arial"/>
            </a:rPr>
            <a:pPr marL="0" indent="0" algn="l"/>
            <a:t>5,3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1567805</xdr:colOff>
      <xdr:row>129</xdr:row>
      <xdr:rowOff>105271</xdr:rowOff>
    </xdr:from>
    <xdr:ext cx="387798" cy="117917"/>
    <xdr:sp macro="" textlink="$I$136">
      <xdr:nvSpPr>
        <xdr:cNvPr id="38" name="CasellaDiTesto 37">
          <a:extLst>
            <a:ext uri="{FF2B5EF4-FFF2-40B4-BE49-F238E27FC236}">
              <a16:creationId xmlns:a16="http://schemas.microsoft.com/office/drawing/2014/main" id="{B81F299A-D16B-4AA8-83DB-235BA108FF6B}"/>
            </a:ext>
          </a:extLst>
        </xdr:cNvPr>
        <xdr:cNvSpPr txBox="1"/>
      </xdr:nvSpPr>
      <xdr:spPr>
        <a:xfrm>
          <a:off x="15474305" y="33658119"/>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904A5D2-FADB-44FF-8797-C7331F6D2C78}" type="TxLink">
            <a:rPr lang="en-US" sz="800" b="0" i="0" u="none" strike="noStrike">
              <a:solidFill>
                <a:srgbClr val="000000"/>
              </a:solidFill>
              <a:effectLst/>
              <a:latin typeface="Arial"/>
              <a:ea typeface="+mn-ea"/>
              <a:cs typeface="Arial"/>
            </a:rPr>
            <a:pPr marL="0" indent="0" algn="l"/>
            <a:t>6,7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204200</xdr:colOff>
      <xdr:row>130</xdr:row>
      <xdr:rowOff>109740</xdr:rowOff>
    </xdr:from>
    <xdr:ext cx="444865" cy="117917"/>
    <xdr:sp macro="" textlink="$I$148">
      <xdr:nvSpPr>
        <xdr:cNvPr id="39" name="CasellaDiTesto 38">
          <a:extLst>
            <a:ext uri="{FF2B5EF4-FFF2-40B4-BE49-F238E27FC236}">
              <a16:creationId xmlns:a16="http://schemas.microsoft.com/office/drawing/2014/main" id="{67959336-32B9-4D54-B917-B81319785D4C}"/>
            </a:ext>
          </a:extLst>
        </xdr:cNvPr>
        <xdr:cNvSpPr txBox="1"/>
      </xdr:nvSpPr>
      <xdr:spPr>
        <a:xfrm>
          <a:off x="14110700" y="33828240"/>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C744807-3552-4EB2-9F1A-3A8BAFA40E75}"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232775</xdr:colOff>
      <xdr:row>129</xdr:row>
      <xdr:rowOff>100214</xdr:rowOff>
    </xdr:from>
    <xdr:ext cx="343364" cy="117917"/>
    <xdr:sp macro="" textlink="$I$18">
      <xdr:nvSpPr>
        <xdr:cNvPr id="40" name="CasellaDiTesto 39">
          <a:extLst>
            <a:ext uri="{FF2B5EF4-FFF2-40B4-BE49-F238E27FC236}">
              <a16:creationId xmlns:a16="http://schemas.microsoft.com/office/drawing/2014/main" id="{E96F50A6-8FA4-4FE0-8BCD-165B976F5189}"/>
            </a:ext>
          </a:extLst>
        </xdr:cNvPr>
        <xdr:cNvSpPr txBox="1"/>
      </xdr:nvSpPr>
      <xdr:spPr>
        <a:xfrm>
          <a:off x="14139275" y="33653062"/>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56225A4-6D7A-4E3A-B8A2-DDCB491A1D05}" type="TxLink">
            <a:rPr lang="en-US" sz="800" b="1" i="0" u="none" strike="noStrike">
              <a:solidFill>
                <a:srgbClr val="0000FF"/>
              </a:solidFill>
              <a:effectLst/>
              <a:latin typeface="Arial"/>
              <a:ea typeface="+mn-ea"/>
              <a:cs typeface="Arial"/>
            </a:rPr>
            <a:pPr marL="0" indent="0" algn="l"/>
            <a:t>15,0 °C</a:t>
          </a:fld>
          <a:endParaRPr lang="en-US" sz="800" b="1" i="0" u="none" strike="noStrike">
            <a:solidFill>
              <a:srgbClr val="0000FF"/>
            </a:solidFill>
            <a:effectLst/>
            <a:latin typeface="Arial"/>
            <a:ea typeface="+mn-ea"/>
            <a:cs typeface="Arial"/>
          </a:endParaRPr>
        </a:p>
      </xdr:txBody>
    </xdr:sp>
    <xdr:clientData/>
  </xdr:oneCellAnchor>
  <xdr:oneCellAnchor>
    <xdr:from>
      <xdr:col>9</xdr:col>
      <xdr:colOff>2139972</xdr:colOff>
      <xdr:row>117</xdr:row>
      <xdr:rowOff>450209</xdr:rowOff>
    </xdr:from>
    <xdr:ext cx="467757" cy="117917"/>
    <xdr:sp macro="" textlink="$I$148">
      <xdr:nvSpPr>
        <xdr:cNvPr id="41" name="CasellaDiTesto 40">
          <a:extLst>
            <a:ext uri="{FF2B5EF4-FFF2-40B4-BE49-F238E27FC236}">
              <a16:creationId xmlns:a16="http://schemas.microsoft.com/office/drawing/2014/main" id="{3AC3C2F8-D461-4E0B-8F47-384251B7B153}"/>
            </a:ext>
          </a:extLst>
        </xdr:cNvPr>
        <xdr:cNvSpPr txBox="1"/>
      </xdr:nvSpPr>
      <xdr:spPr>
        <a:xfrm>
          <a:off x="16046472" y="31286361"/>
          <a:ext cx="467757"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1001EA65-C9FB-4F7A-9800-B0F6C69FB25B}" type="TxLink">
            <a:rPr lang="en-US" sz="800" b="1" i="0" u="none" strike="noStrike">
              <a:solidFill>
                <a:srgbClr val="000000"/>
              </a:solidFill>
              <a:effectLst/>
              <a:latin typeface="Arial"/>
              <a:ea typeface="+mn-ea"/>
              <a:cs typeface="Arial"/>
            </a:rPr>
            <a:pPr marL="0" indent="0" algn="l"/>
            <a:t>12,0 l/min</a:t>
          </a:fld>
          <a:endParaRPr lang="en-US" sz="800" b="1" i="0" u="none" strike="noStrike">
            <a:solidFill>
              <a:srgbClr val="000000"/>
            </a:solidFill>
            <a:effectLst/>
            <a:latin typeface="Arial"/>
            <a:ea typeface="+mn-ea"/>
            <a:cs typeface="Arial"/>
          </a:endParaRPr>
        </a:p>
      </xdr:txBody>
    </xdr:sp>
    <xdr:clientData/>
  </xdr:oneCellAnchor>
  <xdr:oneCellAnchor>
    <xdr:from>
      <xdr:col>9</xdr:col>
      <xdr:colOff>2535702</xdr:colOff>
      <xdr:row>117</xdr:row>
      <xdr:rowOff>80990</xdr:rowOff>
    </xdr:from>
    <xdr:ext cx="343364" cy="117917"/>
    <xdr:sp macro="" textlink="$I$17">
      <xdr:nvSpPr>
        <xdr:cNvPr id="42" name="CasellaDiTesto 41">
          <a:extLst>
            <a:ext uri="{FF2B5EF4-FFF2-40B4-BE49-F238E27FC236}">
              <a16:creationId xmlns:a16="http://schemas.microsoft.com/office/drawing/2014/main" id="{79DA01EF-FD15-4ACF-A00E-8194F6C19C5D}"/>
            </a:ext>
          </a:extLst>
        </xdr:cNvPr>
        <xdr:cNvSpPr txBox="1"/>
      </xdr:nvSpPr>
      <xdr:spPr>
        <a:xfrm>
          <a:off x="16442202" y="30917142"/>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8E60663-BC41-4FFF-AEEE-F63E6F1B49BD}" type="TxLink">
            <a:rPr lang="en-US" sz="800" b="1" i="0" u="none" strike="noStrike">
              <a:solidFill>
                <a:srgbClr val="FF0000"/>
              </a:solidFill>
              <a:effectLst/>
              <a:latin typeface="Arial"/>
              <a:ea typeface="+mn-ea"/>
              <a:cs typeface="Arial"/>
            </a:rPr>
            <a:pPr marL="0" indent="0" algn="l"/>
            <a:t>40,0 °C</a:t>
          </a:fld>
          <a:endParaRPr lang="en-US" sz="800" b="1" i="0" u="none" strike="noStrike">
            <a:solidFill>
              <a:srgbClr val="FF0000"/>
            </a:solidFill>
            <a:effectLst/>
            <a:latin typeface="Arial"/>
            <a:ea typeface="+mn-ea"/>
            <a:cs typeface="Arial"/>
          </a:endParaRPr>
        </a:p>
      </xdr:txBody>
    </xdr:sp>
    <xdr:clientData/>
  </xdr:oneCellAnchor>
  <xdr:oneCellAnchor>
    <xdr:from>
      <xdr:col>9</xdr:col>
      <xdr:colOff>2244209</xdr:colOff>
      <xdr:row>120</xdr:row>
      <xdr:rowOff>96733</xdr:rowOff>
    </xdr:from>
    <xdr:ext cx="444865" cy="117917"/>
    <xdr:sp macro="" textlink="$I$49">
      <xdr:nvSpPr>
        <xdr:cNvPr id="43" name="CasellaDiTesto 42">
          <a:extLst>
            <a:ext uri="{FF2B5EF4-FFF2-40B4-BE49-F238E27FC236}">
              <a16:creationId xmlns:a16="http://schemas.microsoft.com/office/drawing/2014/main" id="{EDA23958-3378-4B72-8DE2-ADF41164A3AA}"/>
            </a:ext>
          </a:extLst>
        </xdr:cNvPr>
        <xdr:cNvSpPr txBox="1"/>
      </xdr:nvSpPr>
      <xdr:spPr>
        <a:xfrm>
          <a:off x="16150709" y="32158711"/>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68C0E22A-E78A-4DAD-85B0-6A5CF949F0DA}"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9</xdr:col>
      <xdr:colOff>2202186</xdr:colOff>
      <xdr:row>119</xdr:row>
      <xdr:rowOff>95461</xdr:rowOff>
    </xdr:from>
    <xdr:ext cx="343364" cy="117917"/>
    <xdr:sp macro="" textlink="$I$34">
      <xdr:nvSpPr>
        <xdr:cNvPr id="44" name="CasellaDiTesto 43">
          <a:extLst>
            <a:ext uri="{FF2B5EF4-FFF2-40B4-BE49-F238E27FC236}">
              <a16:creationId xmlns:a16="http://schemas.microsoft.com/office/drawing/2014/main" id="{B60EBC60-E2E4-4497-B172-491E49BA11AA}"/>
            </a:ext>
          </a:extLst>
        </xdr:cNvPr>
        <xdr:cNvSpPr txBox="1"/>
      </xdr:nvSpPr>
      <xdr:spPr>
        <a:xfrm>
          <a:off x="16108686" y="31991787"/>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DD4896C-2F49-4DD1-A745-F8E8FCBB40CC}" type="TxLink">
            <a:rPr lang="en-US" sz="800" b="1" i="0" u="none" strike="noStrike">
              <a:solidFill>
                <a:srgbClr val="000000"/>
              </a:solidFill>
              <a:effectLst/>
              <a:latin typeface="Arial"/>
              <a:ea typeface="+mn-ea"/>
              <a:cs typeface="Arial"/>
            </a:rPr>
            <a:pPr marL="0" indent="0" algn="l"/>
            <a:t>35,0 °C</a:t>
          </a:fld>
          <a:endParaRPr lang="en-US" sz="800" b="1" i="0" u="none" strike="noStrike">
            <a:solidFill>
              <a:srgbClr val="000000"/>
            </a:solidFill>
            <a:effectLst/>
            <a:latin typeface="Arial"/>
            <a:ea typeface="+mn-ea"/>
            <a:cs typeface="Arial"/>
          </a:endParaRPr>
        </a:p>
      </xdr:txBody>
    </xdr:sp>
    <xdr:clientData/>
  </xdr:oneCellAnchor>
  <xdr:oneCellAnchor>
    <xdr:from>
      <xdr:col>9</xdr:col>
      <xdr:colOff>2529987</xdr:colOff>
      <xdr:row>43</xdr:row>
      <xdr:rowOff>82061</xdr:rowOff>
    </xdr:from>
    <xdr:ext cx="388326" cy="125227"/>
    <xdr:sp macro="" textlink="">
      <xdr:nvSpPr>
        <xdr:cNvPr id="45" name="CasellaDiTesto 44">
          <a:extLst>
            <a:ext uri="{FF2B5EF4-FFF2-40B4-BE49-F238E27FC236}">
              <a16:creationId xmlns:a16="http://schemas.microsoft.com/office/drawing/2014/main" id="{2EA08D86-CC28-4CA3-AA08-95EC2995BFEF}"/>
            </a:ext>
          </a:extLst>
        </xdr:cNvPr>
        <xdr:cNvSpPr txBox="1"/>
      </xdr:nvSpPr>
      <xdr:spPr>
        <a:xfrm>
          <a:off x="16636512" y="10035686"/>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800" b="1" i="1">
              <a:solidFill>
                <a:srgbClr val="FF0000"/>
              </a:solidFill>
              <a:effectLst/>
              <a:latin typeface="Arial" panose="020B0604020202020204" pitchFamily="34" charset="0"/>
              <a:ea typeface="+mn-ea"/>
              <a:cs typeface="Arial" panose="020B0604020202020204" pitchFamily="34" charset="0"/>
            </a:rPr>
            <a:t>θ</a:t>
          </a:r>
          <a:r>
            <a:rPr lang="it-IT" sz="800" b="1" i="1" baseline="-25000">
              <a:solidFill>
                <a:srgbClr val="FF0000"/>
              </a:solidFill>
              <a:effectLst/>
              <a:latin typeface="Calibri" panose="020F0502020204030204" pitchFamily="34" charset="0"/>
              <a:ea typeface="+mn-ea"/>
              <a:cs typeface="Calibri" panose="020F0502020204030204" pitchFamily="34" charset="0"/>
            </a:rPr>
            <a:t>W;draw</a:t>
          </a:r>
          <a:endParaRPr lang="en-US" sz="800" b="1" i="1" baseline="-25000">
            <a:solidFill>
              <a:srgbClr val="FF0000"/>
            </a:solidFill>
            <a:effectLst/>
            <a:latin typeface="+mn-lt"/>
            <a:ea typeface="+mn-ea"/>
            <a:cs typeface="+mn-cs"/>
          </a:endParaRPr>
        </a:p>
      </xdr:txBody>
    </xdr:sp>
    <xdr:clientData/>
  </xdr:oneCellAnchor>
  <xdr:oneCellAnchor>
    <xdr:from>
      <xdr:col>9</xdr:col>
      <xdr:colOff>2677544</xdr:colOff>
      <xdr:row>50</xdr:row>
      <xdr:rowOff>143385</xdr:rowOff>
    </xdr:from>
    <xdr:ext cx="388326" cy="140872"/>
    <xdr:sp macro="" textlink="">
      <xdr:nvSpPr>
        <xdr:cNvPr id="46" name="CasellaDiTesto 45">
          <a:extLst>
            <a:ext uri="{FF2B5EF4-FFF2-40B4-BE49-F238E27FC236}">
              <a16:creationId xmlns:a16="http://schemas.microsoft.com/office/drawing/2014/main" id="{0C436B61-6735-4A78-816B-8BCA0CABAABA}"/>
            </a:ext>
          </a:extLst>
        </xdr:cNvPr>
        <xdr:cNvSpPr txBox="1"/>
      </xdr:nvSpPr>
      <xdr:spPr>
        <a:xfrm>
          <a:off x="16784069" y="11268585"/>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W;drain</a:t>
          </a:r>
          <a:endParaRPr lang="en-US" sz="900" b="1" i="1" baseline="-25000">
            <a:solidFill>
              <a:schemeClr val="tx1"/>
            </a:solidFill>
            <a:effectLst/>
            <a:latin typeface="+mn-lt"/>
            <a:ea typeface="+mn-ea"/>
            <a:cs typeface="+mn-cs"/>
          </a:endParaRPr>
        </a:p>
      </xdr:txBody>
    </xdr:sp>
    <xdr:clientData/>
  </xdr:oneCellAnchor>
  <xdr:oneCellAnchor>
    <xdr:from>
      <xdr:col>9</xdr:col>
      <xdr:colOff>230798</xdr:colOff>
      <xdr:row>62</xdr:row>
      <xdr:rowOff>67408</xdr:rowOff>
    </xdr:from>
    <xdr:ext cx="388326" cy="140872"/>
    <xdr:sp macro="" textlink="">
      <xdr:nvSpPr>
        <xdr:cNvPr id="47" name="CasellaDiTesto 46">
          <a:extLst>
            <a:ext uri="{FF2B5EF4-FFF2-40B4-BE49-F238E27FC236}">
              <a16:creationId xmlns:a16="http://schemas.microsoft.com/office/drawing/2014/main" id="{ACDF266C-35A2-4330-A5A0-DF648A1541AC}"/>
            </a:ext>
          </a:extLst>
        </xdr:cNvPr>
        <xdr:cNvSpPr txBox="1"/>
      </xdr:nvSpPr>
      <xdr:spPr>
        <a:xfrm>
          <a:off x="14337323" y="13135708"/>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rgbClr val="0000FF"/>
              </a:solidFill>
              <a:effectLst/>
              <a:latin typeface="Arial" panose="020B0604020202020204" pitchFamily="34" charset="0"/>
              <a:ea typeface="+mn-ea"/>
              <a:cs typeface="Arial" panose="020B0604020202020204" pitchFamily="34" charset="0"/>
            </a:rPr>
            <a:t>θ</a:t>
          </a:r>
          <a:r>
            <a:rPr lang="it-IT" sz="900" b="1" i="1" baseline="-25000">
              <a:solidFill>
                <a:srgbClr val="0000FF"/>
              </a:solidFill>
              <a:effectLst/>
              <a:latin typeface="Calibri" panose="020F0502020204030204" pitchFamily="34" charset="0"/>
              <a:ea typeface="+mn-ea"/>
              <a:cs typeface="Calibri" panose="020F0502020204030204" pitchFamily="34" charset="0"/>
            </a:rPr>
            <a:t>W;cold</a:t>
          </a:r>
          <a:endParaRPr lang="en-US" sz="900" b="1" i="1" baseline="-25000">
            <a:solidFill>
              <a:srgbClr val="0000FF"/>
            </a:solidFill>
            <a:effectLst/>
            <a:latin typeface="+mn-lt"/>
            <a:ea typeface="+mn-ea"/>
            <a:cs typeface="+mn-cs"/>
          </a:endParaRPr>
        </a:p>
      </xdr:txBody>
    </xdr:sp>
    <xdr:clientData/>
  </xdr:oneCellAnchor>
  <xdr:oneCellAnchor>
    <xdr:from>
      <xdr:col>9</xdr:col>
      <xdr:colOff>2216395</xdr:colOff>
      <xdr:row>45</xdr:row>
      <xdr:rowOff>9526</xdr:rowOff>
    </xdr:from>
    <xdr:ext cx="388326" cy="125227"/>
    <xdr:sp macro="" textlink="">
      <xdr:nvSpPr>
        <xdr:cNvPr id="48" name="CasellaDiTesto 47">
          <a:extLst>
            <a:ext uri="{FF2B5EF4-FFF2-40B4-BE49-F238E27FC236}">
              <a16:creationId xmlns:a16="http://schemas.microsoft.com/office/drawing/2014/main" id="{16405D86-A7E3-41E3-BBB4-112037D80209}"/>
            </a:ext>
          </a:extLst>
        </xdr:cNvPr>
        <xdr:cNvSpPr txBox="1"/>
      </xdr:nvSpPr>
      <xdr:spPr>
        <a:xfrm>
          <a:off x="16322920" y="10325101"/>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W;draw</a:t>
          </a:r>
          <a:endParaRPr lang="en-US" sz="800" b="1" i="1" baseline="-25000">
            <a:solidFill>
              <a:sysClr val="windowText" lastClr="000000"/>
            </a:solidFill>
            <a:effectLst/>
            <a:latin typeface="+mn-lt"/>
            <a:ea typeface="+mn-ea"/>
            <a:cs typeface="+mn-cs"/>
          </a:endParaRPr>
        </a:p>
      </xdr:txBody>
    </xdr:sp>
    <xdr:clientData/>
  </xdr:oneCellAnchor>
  <xdr:oneCellAnchor>
    <xdr:from>
      <xdr:col>9</xdr:col>
      <xdr:colOff>1552576</xdr:colOff>
      <xdr:row>62</xdr:row>
      <xdr:rowOff>87923</xdr:rowOff>
    </xdr:from>
    <xdr:ext cx="388326" cy="125227"/>
    <xdr:sp macro="" textlink="">
      <xdr:nvSpPr>
        <xdr:cNvPr id="49" name="CasellaDiTesto 48">
          <a:extLst>
            <a:ext uri="{FF2B5EF4-FFF2-40B4-BE49-F238E27FC236}">
              <a16:creationId xmlns:a16="http://schemas.microsoft.com/office/drawing/2014/main" id="{F47AA750-BCA4-42E3-AABC-D1E302CBF25A}"/>
            </a:ext>
          </a:extLst>
        </xdr:cNvPr>
        <xdr:cNvSpPr txBox="1"/>
      </xdr:nvSpPr>
      <xdr:spPr>
        <a:xfrm>
          <a:off x="15659101" y="13156223"/>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W;wwhr</a:t>
          </a:r>
          <a:endParaRPr lang="en-US" sz="800" b="1" i="1" baseline="-25000">
            <a:solidFill>
              <a:sysClr val="windowText" lastClr="000000"/>
            </a:solidFill>
            <a:effectLst/>
            <a:latin typeface="+mn-lt"/>
            <a:ea typeface="+mn-ea"/>
            <a:cs typeface="+mn-cs"/>
          </a:endParaRPr>
        </a:p>
      </xdr:txBody>
    </xdr:sp>
    <xdr:clientData/>
  </xdr:oneCellAnchor>
  <xdr:oneCellAnchor>
    <xdr:from>
      <xdr:col>9</xdr:col>
      <xdr:colOff>2559199</xdr:colOff>
      <xdr:row>73</xdr:row>
      <xdr:rowOff>452707</xdr:rowOff>
    </xdr:from>
    <xdr:ext cx="388326" cy="125227"/>
    <xdr:sp macro="" textlink="">
      <xdr:nvSpPr>
        <xdr:cNvPr id="50" name="CasellaDiTesto 49">
          <a:extLst>
            <a:ext uri="{FF2B5EF4-FFF2-40B4-BE49-F238E27FC236}">
              <a16:creationId xmlns:a16="http://schemas.microsoft.com/office/drawing/2014/main" id="{3D512261-BBB1-4180-A786-28C49598921A}"/>
            </a:ext>
          </a:extLst>
        </xdr:cNvPr>
        <xdr:cNvSpPr txBox="1"/>
      </xdr:nvSpPr>
      <xdr:spPr>
        <a:xfrm>
          <a:off x="16465699" y="16819142"/>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800" b="1" i="1">
              <a:solidFill>
                <a:srgbClr val="FF0000"/>
              </a:solidFill>
              <a:effectLst/>
              <a:latin typeface="Arial" panose="020B0604020202020204" pitchFamily="34" charset="0"/>
              <a:ea typeface="+mn-ea"/>
              <a:cs typeface="Arial" panose="020B0604020202020204" pitchFamily="34" charset="0"/>
            </a:rPr>
            <a:t>θ</a:t>
          </a:r>
          <a:r>
            <a:rPr lang="it-IT" sz="800" b="1" i="1" baseline="-25000">
              <a:solidFill>
                <a:srgbClr val="FF0000"/>
              </a:solidFill>
              <a:effectLst/>
              <a:latin typeface="Calibri" panose="020F0502020204030204" pitchFamily="34" charset="0"/>
              <a:ea typeface="+mn-ea"/>
              <a:cs typeface="Calibri" panose="020F0502020204030204" pitchFamily="34" charset="0"/>
            </a:rPr>
            <a:t>W;draw</a:t>
          </a:r>
          <a:endParaRPr lang="en-US" sz="800" b="1" i="1" baseline="-25000">
            <a:solidFill>
              <a:srgbClr val="FF0000"/>
            </a:solidFill>
            <a:effectLst/>
            <a:latin typeface="+mn-lt"/>
            <a:ea typeface="+mn-ea"/>
            <a:cs typeface="+mn-cs"/>
          </a:endParaRPr>
        </a:p>
      </xdr:txBody>
    </xdr:sp>
    <xdr:clientData/>
  </xdr:oneCellAnchor>
  <xdr:oneCellAnchor>
    <xdr:from>
      <xdr:col>9</xdr:col>
      <xdr:colOff>308463</xdr:colOff>
      <xdr:row>78</xdr:row>
      <xdr:rowOff>172183</xdr:rowOff>
    </xdr:from>
    <xdr:ext cx="388326" cy="140872"/>
    <xdr:sp macro="" textlink="">
      <xdr:nvSpPr>
        <xdr:cNvPr id="51" name="CasellaDiTesto 50">
          <a:extLst>
            <a:ext uri="{FF2B5EF4-FFF2-40B4-BE49-F238E27FC236}">
              <a16:creationId xmlns:a16="http://schemas.microsoft.com/office/drawing/2014/main" id="{583962CF-3A7B-43B0-BB14-F72D25286E31}"/>
            </a:ext>
          </a:extLst>
        </xdr:cNvPr>
        <xdr:cNvSpPr txBox="1"/>
      </xdr:nvSpPr>
      <xdr:spPr>
        <a:xfrm>
          <a:off x="14224488" y="19231708"/>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rgbClr val="0000FF"/>
              </a:solidFill>
              <a:effectLst/>
              <a:latin typeface="Arial" panose="020B0604020202020204" pitchFamily="34" charset="0"/>
              <a:ea typeface="+mn-ea"/>
              <a:cs typeface="Arial" panose="020B0604020202020204" pitchFamily="34" charset="0"/>
            </a:rPr>
            <a:t>θ</a:t>
          </a:r>
          <a:r>
            <a:rPr lang="it-IT" sz="900" b="1" i="1" baseline="-25000">
              <a:solidFill>
                <a:srgbClr val="0000FF"/>
              </a:solidFill>
              <a:effectLst/>
              <a:latin typeface="Calibri" panose="020F0502020204030204" pitchFamily="34" charset="0"/>
              <a:ea typeface="+mn-ea"/>
              <a:cs typeface="Calibri" panose="020F0502020204030204" pitchFamily="34" charset="0"/>
            </a:rPr>
            <a:t>W;cold</a:t>
          </a:r>
          <a:endParaRPr lang="en-US" sz="900" b="1" i="1" baseline="-25000">
            <a:solidFill>
              <a:srgbClr val="0000FF"/>
            </a:solidFill>
            <a:effectLst/>
            <a:latin typeface="+mn-lt"/>
            <a:ea typeface="+mn-ea"/>
            <a:cs typeface="+mn-cs"/>
          </a:endParaRPr>
        </a:p>
      </xdr:txBody>
    </xdr:sp>
    <xdr:clientData/>
  </xdr:oneCellAnchor>
  <xdr:oneCellAnchor>
    <xdr:from>
      <xdr:col>9</xdr:col>
      <xdr:colOff>2191770</xdr:colOff>
      <xdr:row>74</xdr:row>
      <xdr:rowOff>314741</xdr:rowOff>
    </xdr:from>
    <xdr:ext cx="388326" cy="125227"/>
    <xdr:sp macro="" textlink="">
      <xdr:nvSpPr>
        <xdr:cNvPr id="52" name="CasellaDiTesto 51">
          <a:extLst>
            <a:ext uri="{FF2B5EF4-FFF2-40B4-BE49-F238E27FC236}">
              <a16:creationId xmlns:a16="http://schemas.microsoft.com/office/drawing/2014/main" id="{6CCED8C3-739C-4DF6-BF4C-049D2DDC203C}"/>
            </a:ext>
          </a:extLst>
        </xdr:cNvPr>
        <xdr:cNvSpPr txBox="1"/>
      </xdr:nvSpPr>
      <xdr:spPr>
        <a:xfrm>
          <a:off x="16098270" y="17178132"/>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W;draw</a:t>
          </a:r>
          <a:endParaRPr lang="en-US" sz="800" b="1" i="1" baseline="-25000">
            <a:solidFill>
              <a:sysClr val="windowText" lastClr="000000"/>
            </a:solidFill>
            <a:effectLst/>
            <a:latin typeface="+mn-lt"/>
            <a:ea typeface="+mn-ea"/>
            <a:cs typeface="+mn-cs"/>
          </a:endParaRPr>
        </a:p>
      </xdr:txBody>
    </xdr:sp>
    <xdr:clientData/>
  </xdr:oneCellAnchor>
  <xdr:oneCellAnchor>
    <xdr:from>
      <xdr:col>9</xdr:col>
      <xdr:colOff>1592969</xdr:colOff>
      <xdr:row>78</xdr:row>
      <xdr:rowOff>148801</xdr:rowOff>
    </xdr:from>
    <xdr:ext cx="388326" cy="125227"/>
    <xdr:sp macro="" textlink="">
      <xdr:nvSpPr>
        <xdr:cNvPr id="53" name="CasellaDiTesto 52">
          <a:extLst>
            <a:ext uri="{FF2B5EF4-FFF2-40B4-BE49-F238E27FC236}">
              <a16:creationId xmlns:a16="http://schemas.microsoft.com/office/drawing/2014/main" id="{479544A0-10D4-4635-9572-05D7873BC90C}"/>
            </a:ext>
          </a:extLst>
        </xdr:cNvPr>
        <xdr:cNvSpPr txBox="1"/>
      </xdr:nvSpPr>
      <xdr:spPr>
        <a:xfrm>
          <a:off x="15499469" y="19381018"/>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W;wwhr</a:t>
          </a:r>
          <a:endParaRPr lang="en-US" sz="800" b="1" i="1" baseline="-25000">
            <a:solidFill>
              <a:sysClr val="windowText" lastClr="000000"/>
            </a:solidFill>
            <a:effectLst/>
            <a:latin typeface="+mn-lt"/>
            <a:ea typeface="+mn-ea"/>
            <a:cs typeface="+mn-cs"/>
          </a:endParaRPr>
        </a:p>
      </xdr:txBody>
    </xdr:sp>
    <xdr:clientData/>
  </xdr:oneCellAnchor>
  <xdr:oneCellAnchor>
    <xdr:from>
      <xdr:col>9</xdr:col>
      <xdr:colOff>2632213</xdr:colOff>
      <xdr:row>75</xdr:row>
      <xdr:rowOff>441528</xdr:rowOff>
    </xdr:from>
    <xdr:ext cx="388326" cy="140872"/>
    <xdr:sp macro="" textlink="">
      <xdr:nvSpPr>
        <xdr:cNvPr id="54" name="CasellaDiTesto 53">
          <a:extLst>
            <a:ext uri="{FF2B5EF4-FFF2-40B4-BE49-F238E27FC236}">
              <a16:creationId xmlns:a16="http://schemas.microsoft.com/office/drawing/2014/main" id="{15627071-E250-4ABA-BAF9-56659468F312}"/>
            </a:ext>
          </a:extLst>
        </xdr:cNvPr>
        <xdr:cNvSpPr txBox="1"/>
      </xdr:nvSpPr>
      <xdr:spPr>
        <a:xfrm>
          <a:off x="16538713" y="17959245"/>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W;drain</a:t>
          </a:r>
          <a:endParaRPr lang="en-US" sz="900" b="1" i="1" baseline="-25000">
            <a:solidFill>
              <a:schemeClr val="tx1"/>
            </a:solidFill>
            <a:effectLst/>
            <a:latin typeface="+mn-lt"/>
            <a:ea typeface="+mn-ea"/>
            <a:cs typeface="+mn-cs"/>
          </a:endParaRPr>
        </a:p>
      </xdr:txBody>
    </xdr:sp>
    <xdr:clientData/>
  </xdr:oneCellAnchor>
  <xdr:oneCellAnchor>
    <xdr:from>
      <xdr:col>9</xdr:col>
      <xdr:colOff>2565825</xdr:colOff>
      <xdr:row>116</xdr:row>
      <xdr:rowOff>330954</xdr:rowOff>
    </xdr:from>
    <xdr:ext cx="388326" cy="125227"/>
    <xdr:sp macro="" textlink="">
      <xdr:nvSpPr>
        <xdr:cNvPr id="55" name="CasellaDiTesto 54">
          <a:extLst>
            <a:ext uri="{FF2B5EF4-FFF2-40B4-BE49-F238E27FC236}">
              <a16:creationId xmlns:a16="http://schemas.microsoft.com/office/drawing/2014/main" id="{3AA29DD7-FB64-479B-8AE5-CCBE971A9F75}"/>
            </a:ext>
          </a:extLst>
        </xdr:cNvPr>
        <xdr:cNvSpPr txBox="1"/>
      </xdr:nvSpPr>
      <xdr:spPr>
        <a:xfrm>
          <a:off x="16472325" y="30744693"/>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800" b="1" i="1">
              <a:solidFill>
                <a:srgbClr val="FF0000"/>
              </a:solidFill>
              <a:effectLst/>
              <a:latin typeface="Arial" panose="020B0604020202020204" pitchFamily="34" charset="0"/>
              <a:ea typeface="+mn-ea"/>
              <a:cs typeface="Arial" panose="020B0604020202020204" pitchFamily="34" charset="0"/>
            </a:rPr>
            <a:t>θ</a:t>
          </a:r>
          <a:r>
            <a:rPr lang="it-IT" sz="800" b="1" i="1" baseline="-25000">
              <a:solidFill>
                <a:srgbClr val="FF0000"/>
              </a:solidFill>
              <a:effectLst/>
              <a:latin typeface="Calibri" panose="020F0502020204030204" pitchFamily="34" charset="0"/>
              <a:ea typeface="+mn-ea"/>
              <a:cs typeface="Calibri" panose="020F0502020204030204" pitchFamily="34" charset="0"/>
            </a:rPr>
            <a:t>W;draw</a:t>
          </a:r>
          <a:endParaRPr lang="en-US" sz="800" b="1" i="1" baseline="-25000">
            <a:solidFill>
              <a:srgbClr val="FF0000"/>
            </a:solidFill>
            <a:effectLst/>
            <a:latin typeface="+mn-lt"/>
            <a:ea typeface="+mn-ea"/>
            <a:cs typeface="+mn-cs"/>
          </a:endParaRPr>
        </a:p>
      </xdr:txBody>
    </xdr:sp>
    <xdr:clientData/>
  </xdr:oneCellAnchor>
  <xdr:oneCellAnchor>
    <xdr:from>
      <xdr:col>9</xdr:col>
      <xdr:colOff>248414</xdr:colOff>
      <xdr:row>128</xdr:row>
      <xdr:rowOff>34277</xdr:rowOff>
    </xdr:from>
    <xdr:ext cx="388326" cy="140872"/>
    <xdr:sp macro="" textlink="">
      <xdr:nvSpPr>
        <xdr:cNvPr id="56" name="CasellaDiTesto 55">
          <a:extLst>
            <a:ext uri="{FF2B5EF4-FFF2-40B4-BE49-F238E27FC236}">
              <a16:creationId xmlns:a16="http://schemas.microsoft.com/office/drawing/2014/main" id="{6026C652-1928-4AD9-8460-1443F1954DA7}"/>
            </a:ext>
          </a:extLst>
        </xdr:cNvPr>
        <xdr:cNvSpPr txBox="1"/>
      </xdr:nvSpPr>
      <xdr:spPr>
        <a:xfrm>
          <a:off x="14354939" y="32314502"/>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rgbClr val="0000FF"/>
              </a:solidFill>
              <a:effectLst/>
              <a:latin typeface="Arial" panose="020B0604020202020204" pitchFamily="34" charset="0"/>
              <a:ea typeface="+mn-ea"/>
              <a:cs typeface="Arial" panose="020B0604020202020204" pitchFamily="34" charset="0"/>
            </a:rPr>
            <a:t>θ</a:t>
          </a:r>
          <a:r>
            <a:rPr lang="it-IT" sz="900" b="1" i="1" baseline="-25000">
              <a:solidFill>
                <a:srgbClr val="0000FF"/>
              </a:solidFill>
              <a:effectLst/>
              <a:latin typeface="Calibri" panose="020F0502020204030204" pitchFamily="34" charset="0"/>
              <a:ea typeface="+mn-ea"/>
              <a:cs typeface="Calibri" panose="020F0502020204030204" pitchFamily="34" charset="0"/>
            </a:rPr>
            <a:t>W;cold</a:t>
          </a:r>
          <a:endParaRPr lang="en-US" sz="900" b="1" i="1" baseline="-25000">
            <a:solidFill>
              <a:srgbClr val="0000FF"/>
            </a:solidFill>
            <a:effectLst/>
            <a:latin typeface="+mn-lt"/>
            <a:ea typeface="+mn-ea"/>
            <a:cs typeface="+mn-cs"/>
          </a:endParaRPr>
        </a:p>
      </xdr:txBody>
    </xdr:sp>
    <xdr:clientData/>
  </xdr:oneCellAnchor>
  <xdr:oneCellAnchor>
    <xdr:from>
      <xdr:col>9</xdr:col>
      <xdr:colOff>2210405</xdr:colOff>
      <xdr:row>117</xdr:row>
      <xdr:rowOff>315155</xdr:rowOff>
    </xdr:from>
    <xdr:ext cx="388326" cy="125227"/>
    <xdr:sp macro="" textlink="">
      <xdr:nvSpPr>
        <xdr:cNvPr id="57" name="CasellaDiTesto 56">
          <a:extLst>
            <a:ext uri="{FF2B5EF4-FFF2-40B4-BE49-F238E27FC236}">
              <a16:creationId xmlns:a16="http://schemas.microsoft.com/office/drawing/2014/main" id="{26D5C80C-14FD-4453-BF51-071DA42BF625}"/>
            </a:ext>
          </a:extLst>
        </xdr:cNvPr>
        <xdr:cNvSpPr txBox="1"/>
      </xdr:nvSpPr>
      <xdr:spPr>
        <a:xfrm>
          <a:off x="16116905" y="31151307"/>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W;draw</a:t>
          </a:r>
          <a:endParaRPr lang="en-US" sz="800" b="1" i="1" baseline="-25000">
            <a:solidFill>
              <a:sysClr val="windowText" lastClr="000000"/>
            </a:solidFill>
            <a:effectLst/>
            <a:latin typeface="+mn-lt"/>
            <a:ea typeface="+mn-ea"/>
            <a:cs typeface="+mn-cs"/>
          </a:endParaRPr>
        </a:p>
      </xdr:txBody>
    </xdr:sp>
    <xdr:clientData/>
  </xdr:oneCellAnchor>
  <xdr:oneCellAnchor>
    <xdr:from>
      <xdr:col>9</xdr:col>
      <xdr:colOff>1569778</xdr:colOff>
      <xdr:row>128</xdr:row>
      <xdr:rowOff>58519</xdr:rowOff>
    </xdr:from>
    <xdr:ext cx="388326" cy="125227"/>
    <xdr:sp macro="" textlink="">
      <xdr:nvSpPr>
        <xdr:cNvPr id="58" name="CasellaDiTesto 57">
          <a:extLst>
            <a:ext uri="{FF2B5EF4-FFF2-40B4-BE49-F238E27FC236}">
              <a16:creationId xmlns:a16="http://schemas.microsoft.com/office/drawing/2014/main" id="{337ABB56-F306-47FC-9BAA-69DCE9C77560}"/>
            </a:ext>
          </a:extLst>
        </xdr:cNvPr>
        <xdr:cNvSpPr txBox="1"/>
      </xdr:nvSpPr>
      <xdr:spPr>
        <a:xfrm>
          <a:off x="15476278" y="33445715"/>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W;wwhr</a:t>
          </a:r>
          <a:endParaRPr lang="en-US" sz="800" b="1" i="1" baseline="-25000">
            <a:solidFill>
              <a:sysClr val="windowText" lastClr="000000"/>
            </a:solidFill>
            <a:effectLst/>
            <a:latin typeface="+mn-lt"/>
            <a:ea typeface="+mn-ea"/>
            <a:cs typeface="+mn-cs"/>
          </a:endParaRPr>
        </a:p>
      </xdr:txBody>
    </xdr:sp>
    <xdr:clientData/>
  </xdr:oneCellAnchor>
  <xdr:oneCellAnchor>
    <xdr:from>
      <xdr:col>9</xdr:col>
      <xdr:colOff>2603223</xdr:colOff>
      <xdr:row>119</xdr:row>
      <xdr:rowOff>73366</xdr:rowOff>
    </xdr:from>
    <xdr:ext cx="388326" cy="140872"/>
    <xdr:sp macro="" textlink="">
      <xdr:nvSpPr>
        <xdr:cNvPr id="59" name="CasellaDiTesto 58">
          <a:extLst>
            <a:ext uri="{FF2B5EF4-FFF2-40B4-BE49-F238E27FC236}">
              <a16:creationId xmlns:a16="http://schemas.microsoft.com/office/drawing/2014/main" id="{7E64D595-BC02-494A-981F-FAD529DA91CB}"/>
            </a:ext>
          </a:extLst>
        </xdr:cNvPr>
        <xdr:cNvSpPr txBox="1"/>
      </xdr:nvSpPr>
      <xdr:spPr>
        <a:xfrm>
          <a:off x="16509723" y="31969692"/>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W;drain</a:t>
          </a:r>
          <a:endParaRPr lang="en-US" sz="900" b="1" i="1" baseline="-25000">
            <a:solidFill>
              <a:schemeClr val="tx1"/>
            </a:solidFill>
            <a:effectLst/>
            <a:latin typeface="+mn-lt"/>
            <a:ea typeface="+mn-ea"/>
            <a:cs typeface="+mn-cs"/>
          </a:endParaRPr>
        </a:p>
      </xdr:txBody>
    </xdr:sp>
    <xdr:clientData/>
  </xdr:oneCellAnchor>
  <xdr:oneCellAnchor>
    <xdr:from>
      <xdr:col>9</xdr:col>
      <xdr:colOff>494298</xdr:colOff>
      <xdr:row>73</xdr:row>
      <xdr:rowOff>41957</xdr:rowOff>
    </xdr:from>
    <xdr:ext cx="388326" cy="140872"/>
    <xdr:sp macro="" textlink="">
      <xdr:nvSpPr>
        <xdr:cNvPr id="60" name="CasellaDiTesto 59">
          <a:extLst>
            <a:ext uri="{FF2B5EF4-FFF2-40B4-BE49-F238E27FC236}">
              <a16:creationId xmlns:a16="http://schemas.microsoft.com/office/drawing/2014/main" id="{89A48786-5112-431C-9A85-84CEEF311082}"/>
            </a:ext>
          </a:extLst>
        </xdr:cNvPr>
        <xdr:cNvSpPr txBox="1"/>
      </xdr:nvSpPr>
      <xdr:spPr>
        <a:xfrm>
          <a:off x="14600823" y="15434357"/>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W;dis</a:t>
          </a:r>
          <a:endParaRPr lang="en-US" sz="900" b="1" i="1" baseline="-25000">
            <a:solidFill>
              <a:schemeClr val="tx1"/>
            </a:solidFill>
            <a:effectLst/>
            <a:latin typeface="+mn-lt"/>
            <a:ea typeface="+mn-ea"/>
            <a:cs typeface="+mn-cs"/>
          </a:endParaRPr>
        </a:p>
      </xdr:txBody>
    </xdr:sp>
    <xdr:clientData/>
  </xdr:oneCellAnchor>
  <xdr:oneCellAnchor>
    <xdr:from>
      <xdr:col>9</xdr:col>
      <xdr:colOff>2690382</xdr:colOff>
      <xdr:row>52</xdr:row>
      <xdr:rowOff>7868</xdr:rowOff>
    </xdr:from>
    <xdr:ext cx="388326" cy="125227"/>
    <xdr:sp macro="" textlink="">
      <xdr:nvSpPr>
        <xdr:cNvPr id="61" name="CasellaDiTesto 60">
          <a:extLst>
            <a:ext uri="{FF2B5EF4-FFF2-40B4-BE49-F238E27FC236}">
              <a16:creationId xmlns:a16="http://schemas.microsoft.com/office/drawing/2014/main" id="{3B896F2F-BA2D-4DE5-BE5B-9EFE818303FB}"/>
            </a:ext>
          </a:extLst>
        </xdr:cNvPr>
        <xdr:cNvSpPr txBox="1"/>
      </xdr:nvSpPr>
      <xdr:spPr>
        <a:xfrm>
          <a:off x="16796907" y="11456918"/>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W;drain</a:t>
          </a:r>
          <a:endParaRPr lang="en-US" sz="800" b="1" i="1" baseline="-25000">
            <a:solidFill>
              <a:sysClr val="windowText" lastClr="000000"/>
            </a:solidFill>
            <a:effectLst/>
            <a:latin typeface="+mn-lt"/>
            <a:ea typeface="+mn-ea"/>
            <a:cs typeface="+mn-cs"/>
          </a:endParaRPr>
        </a:p>
      </xdr:txBody>
    </xdr:sp>
    <xdr:clientData/>
  </xdr:oneCellAnchor>
  <xdr:oneCellAnchor>
    <xdr:from>
      <xdr:col>9</xdr:col>
      <xdr:colOff>461341</xdr:colOff>
      <xdr:row>40</xdr:row>
      <xdr:rowOff>31888</xdr:rowOff>
    </xdr:from>
    <xdr:ext cx="388326" cy="140872"/>
    <xdr:sp macro="" textlink="">
      <xdr:nvSpPr>
        <xdr:cNvPr id="62" name="CasellaDiTesto 61">
          <a:extLst>
            <a:ext uri="{FF2B5EF4-FFF2-40B4-BE49-F238E27FC236}">
              <a16:creationId xmlns:a16="http://schemas.microsoft.com/office/drawing/2014/main" id="{C129E878-76B2-4538-9C9C-B57266C55FDE}"/>
            </a:ext>
          </a:extLst>
        </xdr:cNvPr>
        <xdr:cNvSpPr txBox="1"/>
      </xdr:nvSpPr>
      <xdr:spPr>
        <a:xfrm>
          <a:off x="14567866" y="9499738"/>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W;dis</a:t>
          </a:r>
          <a:endParaRPr lang="en-US" sz="900" b="1" i="1" baseline="-25000">
            <a:solidFill>
              <a:schemeClr val="tx1"/>
            </a:solidFill>
            <a:effectLst/>
            <a:latin typeface="+mn-lt"/>
            <a:ea typeface="+mn-ea"/>
            <a:cs typeface="+mn-cs"/>
          </a:endParaRPr>
        </a:p>
      </xdr:txBody>
    </xdr:sp>
    <xdr:clientData/>
  </xdr:oneCellAnchor>
  <xdr:twoCellAnchor>
    <xdr:from>
      <xdr:col>12</xdr:col>
      <xdr:colOff>127553</xdr:colOff>
      <xdr:row>117</xdr:row>
      <xdr:rowOff>95250</xdr:rowOff>
    </xdr:from>
    <xdr:to>
      <xdr:col>17</xdr:col>
      <xdr:colOff>279952</xdr:colOff>
      <xdr:row>133</xdr:row>
      <xdr:rowOff>80962</xdr:rowOff>
    </xdr:to>
    <xdr:graphicFrame macro="">
      <xdr:nvGraphicFramePr>
        <xdr:cNvPr id="63" name="Grafico 62">
          <a:extLst>
            <a:ext uri="{FF2B5EF4-FFF2-40B4-BE49-F238E27FC236}">
              <a16:creationId xmlns:a16="http://schemas.microsoft.com/office/drawing/2014/main" id="{3525D4EA-FD02-4A0B-BFB8-8AE4BB9581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9</xdr:col>
      <xdr:colOff>2274054</xdr:colOff>
      <xdr:row>130</xdr:row>
      <xdr:rowOff>2504</xdr:rowOff>
    </xdr:from>
    <xdr:ext cx="343364" cy="117917"/>
    <xdr:sp macro="" textlink="$I$143">
      <xdr:nvSpPr>
        <xdr:cNvPr id="64" name="CasellaDiTesto 63">
          <a:extLst>
            <a:ext uri="{FF2B5EF4-FFF2-40B4-BE49-F238E27FC236}">
              <a16:creationId xmlns:a16="http://schemas.microsoft.com/office/drawing/2014/main" id="{A03DC02C-905F-4977-B75C-5107EF814B0D}"/>
            </a:ext>
          </a:extLst>
        </xdr:cNvPr>
        <xdr:cNvSpPr txBox="1"/>
      </xdr:nvSpPr>
      <xdr:spPr>
        <a:xfrm>
          <a:off x="16380579" y="33444779"/>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8B91D72-920C-4A35-811C-FC298646F0DB}" type="TxLink">
            <a:rPr lang="en-US" sz="800" b="1" i="0" u="none" strike="noStrike">
              <a:solidFill>
                <a:srgbClr val="000000"/>
              </a:solidFill>
              <a:effectLst/>
              <a:latin typeface="Arial"/>
              <a:ea typeface="+mn-ea"/>
              <a:cs typeface="Arial"/>
            </a:rPr>
            <a:pPr marL="0" indent="0" algn="l"/>
            <a:t>25,4 °C</a:t>
          </a:fld>
          <a:endParaRPr lang="en-US" sz="800" b="1" i="0" u="none" strike="noStrike">
            <a:solidFill>
              <a:srgbClr val="000000"/>
            </a:solidFill>
            <a:effectLst/>
            <a:latin typeface="Arial"/>
            <a:ea typeface="+mn-ea"/>
            <a:cs typeface="Arial"/>
          </a:endParaRPr>
        </a:p>
      </xdr:txBody>
    </xdr:sp>
    <xdr:clientData/>
  </xdr:oneCellAnchor>
  <xdr:twoCellAnchor>
    <xdr:from>
      <xdr:col>12</xdr:col>
      <xdr:colOff>175593</xdr:colOff>
      <xdr:row>74</xdr:row>
      <xdr:rowOff>111401</xdr:rowOff>
    </xdr:from>
    <xdr:to>
      <xdr:col>17</xdr:col>
      <xdr:colOff>327992</xdr:colOff>
      <xdr:row>101</xdr:row>
      <xdr:rowOff>111400</xdr:rowOff>
    </xdr:to>
    <xdr:graphicFrame macro="">
      <xdr:nvGraphicFramePr>
        <xdr:cNvPr id="65" name="Grafico 64">
          <a:extLst>
            <a:ext uri="{FF2B5EF4-FFF2-40B4-BE49-F238E27FC236}">
              <a16:creationId xmlns:a16="http://schemas.microsoft.com/office/drawing/2014/main" id="{1DDC42DC-CAC8-48C6-87D6-B4800A834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9</xdr:col>
      <xdr:colOff>2276060</xdr:colOff>
      <xdr:row>78</xdr:row>
      <xdr:rowOff>412061</xdr:rowOff>
    </xdr:from>
    <xdr:ext cx="343364" cy="117917"/>
    <xdr:sp macro="" textlink="$I$112">
      <xdr:nvSpPr>
        <xdr:cNvPr id="66" name="CasellaDiTesto 65">
          <a:extLst>
            <a:ext uri="{FF2B5EF4-FFF2-40B4-BE49-F238E27FC236}">
              <a16:creationId xmlns:a16="http://schemas.microsoft.com/office/drawing/2014/main" id="{9AE67D67-2090-40B3-A8B2-C2290246AAE9}"/>
            </a:ext>
          </a:extLst>
        </xdr:cNvPr>
        <xdr:cNvSpPr txBox="1"/>
      </xdr:nvSpPr>
      <xdr:spPr>
        <a:xfrm>
          <a:off x="16182560" y="19644278"/>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1A6A23B-D84F-4F41-B3BF-B7448BF58C24}" type="TxLink">
            <a:rPr lang="en-US" sz="800" b="1" i="0" u="none" strike="noStrike">
              <a:solidFill>
                <a:srgbClr val="000000"/>
              </a:solidFill>
              <a:effectLst/>
              <a:latin typeface="Arial"/>
              <a:ea typeface="+mn-ea"/>
              <a:cs typeface="Arial"/>
            </a:rPr>
            <a:pPr marL="0" indent="0" algn="l"/>
            <a:t>24,3 °C</a:t>
          </a:fld>
          <a:endParaRPr lang="en-US" sz="800" b="1" i="0" u="none" strike="noStrike">
            <a:solidFill>
              <a:srgbClr val="000000"/>
            </a:solidFill>
            <a:effectLst/>
            <a:latin typeface="Arial"/>
            <a:ea typeface="+mn-ea"/>
            <a:cs typeface="Arial"/>
          </a:endParaRPr>
        </a:p>
      </xdr:txBody>
    </xdr:sp>
    <xdr:clientData/>
  </xdr:oneCellAnchor>
  <xdr:twoCellAnchor>
    <xdr:from>
      <xdr:col>12</xdr:col>
      <xdr:colOff>259246</xdr:colOff>
      <xdr:row>48</xdr:row>
      <xdr:rowOff>90695</xdr:rowOff>
    </xdr:from>
    <xdr:to>
      <xdr:col>17</xdr:col>
      <xdr:colOff>411645</xdr:colOff>
      <xdr:row>66</xdr:row>
      <xdr:rowOff>90695</xdr:rowOff>
    </xdr:to>
    <xdr:graphicFrame macro="">
      <xdr:nvGraphicFramePr>
        <xdr:cNvPr id="67" name="Grafico 66">
          <a:extLst>
            <a:ext uri="{FF2B5EF4-FFF2-40B4-BE49-F238E27FC236}">
              <a16:creationId xmlns:a16="http://schemas.microsoft.com/office/drawing/2014/main" id="{43031102-229B-4150-943A-60CFD09CF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9</xdr:col>
      <xdr:colOff>2181225</xdr:colOff>
      <xdr:row>62</xdr:row>
      <xdr:rowOff>133350</xdr:rowOff>
    </xdr:from>
    <xdr:ext cx="343364" cy="117917"/>
    <xdr:sp macro="" textlink="$I$63">
      <xdr:nvSpPr>
        <xdr:cNvPr id="68" name="CasellaDiTesto 67">
          <a:extLst>
            <a:ext uri="{FF2B5EF4-FFF2-40B4-BE49-F238E27FC236}">
              <a16:creationId xmlns:a16="http://schemas.microsoft.com/office/drawing/2014/main" id="{D34816FF-94DB-4B4D-9BC6-9990A1F56D6B}"/>
            </a:ext>
          </a:extLst>
        </xdr:cNvPr>
        <xdr:cNvSpPr txBox="1"/>
      </xdr:nvSpPr>
      <xdr:spPr>
        <a:xfrm>
          <a:off x="16287750" y="13201650"/>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57B3CDE8-1CAB-48F7-8A63-5C8E02C01B9F}" type="TxLink">
            <a:rPr lang="en-US" sz="800" b="1" i="0" u="none" strike="noStrike">
              <a:solidFill>
                <a:srgbClr val="000000"/>
              </a:solidFill>
              <a:effectLst/>
              <a:latin typeface="Arial"/>
              <a:ea typeface="+mn-ea"/>
              <a:cs typeface="Arial"/>
            </a:rPr>
            <a:pPr marL="0" indent="0" algn="l"/>
            <a:t>22,5 °C</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105020</xdr:colOff>
      <xdr:row>22</xdr:row>
      <xdr:rowOff>103664</xdr:rowOff>
    </xdr:from>
    <xdr:ext cx="2795573" cy="375167"/>
    <mc:AlternateContent xmlns:mc="http://schemas.openxmlformats.org/markup-compatibility/2006" xmlns:a14="http://schemas.microsoft.com/office/drawing/2010/main">
      <mc:Choice Requires="a14">
        <xdr:sp macro="" textlink="">
          <xdr:nvSpPr>
            <xdr:cNvPr id="69" name="CasellaDiTesto 68">
              <a:extLst>
                <a:ext uri="{FF2B5EF4-FFF2-40B4-BE49-F238E27FC236}">
                  <a16:creationId xmlns:a16="http://schemas.microsoft.com/office/drawing/2014/main" id="{689E55CE-0D67-3588-F2EB-3BCBFDE5CE3B}"/>
                </a:ext>
              </a:extLst>
            </xdr:cNvPr>
            <xdr:cNvSpPr txBox="1"/>
          </xdr:nvSpPr>
          <xdr:spPr>
            <a:xfrm>
              <a:off x="7824411" y="7814773"/>
              <a:ext cx="2795573" cy="375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𝑛𝑑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𝑄</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𝑛𝑑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num>
                      <m:den>
                        <m:sSub>
                          <m:sSubPr>
                            <m:ctrlPr>
                              <a:rPr lang="it-IT" sz="1100" b="0" i="1">
                                <a:solidFill>
                                  <a:schemeClr val="tx1"/>
                                </a:solidFill>
                                <a:effectLst/>
                                <a:latin typeface="Cambria Math" panose="02040503050406030204" pitchFamily="18" charset="0"/>
                                <a:ea typeface="Cambria Math" panose="02040503050406030204" pitchFamily="18" charset="0"/>
                                <a:cs typeface="+mn-cs"/>
                              </a:rPr>
                            </m:ctrlPr>
                          </m:sSubPr>
                          <m:e>
                            <m:r>
                              <a:rPr lang="en-US" sz="1100" b="0" i="1">
                                <a:solidFill>
                                  <a:schemeClr val="tx1"/>
                                </a:solidFill>
                                <a:effectLst/>
                                <a:latin typeface="Cambria Math" panose="02040503050406030204" pitchFamily="18" charset="0"/>
                                <a:ea typeface="Cambria Math" panose="02040503050406030204" pitchFamily="18" charset="0"/>
                                <a:cs typeface="+mn-cs"/>
                              </a:rPr>
                              <m:t>𝜌</m:t>
                            </m:r>
                          </m:e>
                          <m:sub>
                            <m:r>
                              <a:rPr lang="it-IT" sz="1100" b="0" i="1">
                                <a:solidFill>
                                  <a:schemeClr val="tx1"/>
                                </a:solidFill>
                                <a:effectLst/>
                                <a:latin typeface="Cambria Math" panose="02040503050406030204" pitchFamily="18" charset="0"/>
                                <a:ea typeface="Cambria Math" panose="02040503050406030204" pitchFamily="18" charset="0"/>
                                <a:cs typeface="+mn-cs"/>
                              </a:rPr>
                              <m:t>𝑊</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𝑐</m:t>
                            </m:r>
                          </m:e>
                          <m:sub>
                            <m:r>
                              <a:rPr lang="it-IT" sz="1100" b="0" i="1">
                                <a:solidFill>
                                  <a:schemeClr val="tx1"/>
                                </a:solidFill>
                                <a:effectLst/>
                                <a:latin typeface="Cambria Math" panose="02040503050406030204" pitchFamily="18" charset="0"/>
                                <a:ea typeface="+mn-ea"/>
                                <a:cs typeface="+mn-cs"/>
                              </a:rPr>
                              <m:t>𝑊</m:t>
                            </m:r>
                          </m:sub>
                        </m:sSub>
                        <m:r>
                          <a:rPr lang="it-IT" sz="1100" b="0" i="1">
                            <a:solidFill>
                              <a:schemeClr val="tx1"/>
                            </a:solidFill>
                            <a:effectLst/>
                            <a:latin typeface="Cambria Math" panose="02040503050406030204" pitchFamily="18" charset="0"/>
                            <a:ea typeface="+mn-ea"/>
                            <a:cs typeface="+mn-cs"/>
                          </a:rPr>
                          <m:t>∙</m:t>
                        </m:r>
                        <m:d>
                          <m:dPr>
                            <m:ctrlPr>
                              <a:rPr lang="it-IT" sz="1100" b="0" i="1">
                                <a:solidFill>
                                  <a:schemeClr val="tx1"/>
                                </a:solidFill>
                                <a:effectLst/>
                                <a:latin typeface="Cambria Math" panose="02040503050406030204" pitchFamily="18" charset="0"/>
                                <a:ea typeface="+mn-ea"/>
                                <a:cs typeface="+mn-cs"/>
                              </a:rPr>
                            </m:ctrlPr>
                          </m:dPr>
                          <m:e>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𝑑𝑟𝑎𝑤</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e>
                        </m:d>
                      </m:den>
                    </m:f>
                  </m:oMath>
                </m:oMathPara>
              </a14:m>
              <a:endParaRPr lang="en-US" sz="1100" b="0" i="1">
                <a:solidFill>
                  <a:schemeClr val="tx1"/>
                </a:solidFill>
                <a:effectLst/>
                <a:latin typeface="+mn-lt"/>
                <a:ea typeface="+mn-ea"/>
                <a:cs typeface="+mn-cs"/>
              </a:endParaRPr>
            </a:p>
          </xdr:txBody>
        </xdr:sp>
      </mc:Choice>
      <mc:Fallback xmlns="">
        <xdr:sp macro="" textlink="">
          <xdr:nvSpPr>
            <xdr:cNvPr id="69" name="CasellaDiTesto 68">
              <a:extLst>
                <a:ext uri="{FF2B5EF4-FFF2-40B4-BE49-F238E27FC236}">
                  <a16:creationId xmlns:a16="http://schemas.microsoft.com/office/drawing/2014/main" id="{689E55CE-0D67-3588-F2EB-3BCBFDE5CE3B}"/>
                </a:ext>
              </a:extLst>
            </xdr:cNvPr>
            <xdr:cNvSpPr txBox="1"/>
          </xdr:nvSpPr>
          <xdr:spPr>
            <a:xfrm>
              <a:off x="7824411" y="7814773"/>
              <a:ext cx="2795573" cy="375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𝑉_(𝑊;𝑛𝑑;𝑠ℎ𝑤,𝑐𝑖)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𝑄</a:t>
              </a:r>
              <a:r>
                <a:rPr lang="it-IT" sz="1100" b="0" i="0">
                  <a:solidFill>
                    <a:schemeClr val="tx1"/>
                  </a:solidFill>
                  <a:effectLst/>
                  <a:latin typeface="+mn-lt"/>
                  <a:ea typeface="+mn-ea"/>
                  <a:cs typeface="+mn-cs"/>
                </a:rPr>
                <a:t>_(𝑊;𝑛𝑑</a:t>
              </a:r>
              <a:r>
                <a:rPr lang="it-IT" sz="1100" b="0" i="0">
                  <a:solidFill>
                    <a:schemeClr val="tx1"/>
                  </a:solidFill>
                  <a:effectLst/>
                  <a:latin typeface="Cambria Math" panose="02040503050406030204" pitchFamily="18" charset="0"/>
                  <a:ea typeface="+mn-ea"/>
                  <a:cs typeface="+mn-cs"/>
                </a:rPr>
                <a:t>;𝑠ℎ𝑤</a:t>
              </a:r>
              <a:r>
                <a:rPr lang="it-IT" sz="1100" b="0" i="0">
                  <a:solidFill>
                    <a:schemeClr val="tx1"/>
                  </a:solidFill>
                  <a:effectLst/>
                  <a:latin typeface="+mn-lt"/>
                  <a:ea typeface="+mn-ea"/>
                  <a:cs typeface="+mn-cs"/>
                </a:rPr>
                <a:t>,𝑐𝑖)</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Cambria Math" panose="02040503050406030204" pitchFamily="18" charset="0"/>
                  <a:cs typeface="+mn-cs"/>
                </a:rPr>
                <a:t>𝜌</a:t>
              </a:r>
              <a:r>
                <a:rPr lang="it-IT" sz="1100" b="0" i="0">
                  <a:solidFill>
                    <a:schemeClr val="tx1"/>
                  </a:solidFill>
                  <a:effectLst/>
                  <a:latin typeface="Cambria Math" panose="02040503050406030204" pitchFamily="18" charset="0"/>
                  <a:ea typeface="Cambria Math" panose="02040503050406030204" pitchFamily="18" charset="0"/>
                  <a:cs typeface="+mn-cs"/>
                </a:rPr>
                <a:t>_𝑊</a:t>
              </a:r>
              <a:r>
                <a:rPr lang="it-IT" sz="1100" b="0" i="0">
                  <a:solidFill>
                    <a:schemeClr val="tx1"/>
                  </a:solidFill>
                  <a:effectLst/>
                  <a:latin typeface="+mn-lt"/>
                  <a:ea typeface="+mn-ea"/>
                  <a:cs typeface="+mn-cs"/>
                </a:rPr>
                <a:t>∙𝑐_𝑊∙(𝜃_(𝑊;𝑑𝑟𝑎𝑤)−𝜃_(𝑊;</a:t>
              </a:r>
              <a:r>
                <a:rPr lang="it-IT" sz="1100" b="0" i="0">
                  <a:solidFill>
                    <a:schemeClr val="tx1"/>
                  </a:solidFill>
                  <a:effectLst/>
                  <a:latin typeface="Cambria Math" panose="02040503050406030204" pitchFamily="18" charset="0"/>
                  <a:ea typeface="+mn-ea"/>
                  <a:cs typeface="+mn-cs"/>
                </a:rPr>
                <a:t>𝑐𝑜𝑙𝑑,𝑐𝑖</a:t>
              </a:r>
              <a:r>
                <a:rPr lang="it-IT"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140804</xdr:colOff>
      <xdr:row>21</xdr:row>
      <xdr:rowOff>149087</xdr:rowOff>
    </xdr:from>
    <xdr:ext cx="2111797" cy="177036"/>
    <mc:AlternateContent xmlns:mc="http://schemas.openxmlformats.org/markup-compatibility/2006" xmlns:a14="http://schemas.microsoft.com/office/drawing/2010/main">
      <mc:Choice Requires="a14">
        <xdr:sp macro="" textlink="">
          <xdr:nvSpPr>
            <xdr:cNvPr id="70" name="CasellaDiTesto 69">
              <a:extLst>
                <a:ext uri="{FF2B5EF4-FFF2-40B4-BE49-F238E27FC236}">
                  <a16:creationId xmlns:a16="http://schemas.microsoft.com/office/drawing/2014/main" id="{311E2357-BFF9-4836-B1AB-793C87EB441C}"/>
                </a:ext>
              </a:extLst>
            </xdr:cNvPr>
            <xdr:cNvSpPr txBox="1"/>
          </xdr:nvSpPr>
          <xdr:spPr>
            <a:xfrm>
              <a:off x="7860195" y="7371522"/>
              <a:ext cx="2111797" cy="177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𝑄</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𝑛𝑑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US"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𝑄</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𝑛𝑑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sSub>
                      <m:sSubPr>
                        <m:ctrlPr>
                          <a:rPr lang="it-IT" sz="1100" b="0" i="1">
                            <a:solidFill>
                              <a:schemeClr val="tx1"/>
                            </a:solidFill>
                            <a:effectLst/>
                            <a:latin typeface="Cambria Math" panose="02040503050406030204" pitchFamily="18" charset="0"/>
                            <a:ea typeface="Cambria Math" panose="02040503050406030204" pitchFamily="18" charset="0"/>
                            <a:cs typeface="+mn-cs"/>
                          </a:rPr>
                        </m:ctrlPr>
                      </m:sSubPr>
                      <m:e>
                        <m:r>
                          <a:rPr lang="it-IT" sz="1100" b="0" i="1">
                            <a:solidFill>
                              <a:schemeClr val="tx1"/>
                            </a:solidFill>
                            <a:effectLst/>
                            <a:latin typeface="Cambria Math" panose="02040503050406030204" pitchFamily="18" charset="0"/>
                            <a:ea typeface="Cambria Math" panose="02040503050406030204" pitchFamily="18" charset="0"/>
                            <a:cs typeface="+mn-cs"/>
                          </a:rPr>
                          <m:t>𝑘</m:t>
                        </m:r>
                      </m:e>
                      <m:sub>
                        <m:r>
                          <a:rPr lang="it-IT" sz="1100" b="0" i="1">
                            <a:solidFill>
                              <a:schemeClr val="tx1"/>
                            </a:solidFill>
                            <a:effectLst/>
                            <a:latin typeface="Cambria Math" panose="02040503050406030204" pitchFamily="18" charset="0"/>
                            <a:ea typeface="Cambria Math" panose="02040503050406030204" pitchFamily="18" charset="0"/>
                            <a:cs typeface="+mn-cs"/>
                          </a:rPr>
                          <m:t>𝑊</m:t>
                        </m:r>
                        <m:r>
                          <a:rPr lang="it-IT" sz="1100" b="0" i="1">
                            <a:solidFill>
                              <a:schemeClr val="tx1"/>
                            </a:solidFill>
                            <a:effectLst/>
                            <a:latin typeface="Cambria Math" panose="02040503050406030204" pitchFamily="18" charset="0"/>
                            <a:ea typeface="Cambria Math" panose="02040503050406030204" pitchFamily="18" charset="0"/>
                            <a:cs typeface="+mn-cs"/>
                          </a:rPr>
                          <m:t>;</m:t>
                        </m:r>
                        <m:r>
                          <a:rPr lang="it-IT" sz="1100" b="0" i="1">
                            <a:solidFill>
                              <a:schemeClr val="tx1"/>
                            </a:solidFill>
                            <a:effectLst/>
                            <a:latin typeface="Cambria Math" panose="02040503050406030204" pitchFamily="18" charset="0"/>
                            <a:ea typeface="Cambria Math" panose="02040503050406030204" pitchFamily="18" charset="0"/>
                            <a:cs typeface="+mn-cs"/>
                          </a:rPr>
                          <m:t>𝑛𝑑</m:t>
                        </m:r>
                        <m:r>
                          <a:rPr lang="it-IT" sz="1100" b="0" i="1">
                            <a:solidFill>
                              <a:schemeClr val="tx1"/>
                            </a:solidFill>
                            <a:effectLst/>
                            <a:latin typeface="Cambria Math" panose="02040503050406030204" pitchFamily="18" charset="0"/>
                            <a:ea typeface="Cambria Math" panose="02040503050406030204" pitchFamily="18" charset="0"/>
                            <a:cs typeface="+mn-cs"/>
                          </a:rPr>
                          <m:t>;</m:t>
                        </m:r>
                        <m:r>
                          <a:rPr lang="it-IT" sz="1100" b="0" i="1">
                            <a:solidFill>
                              <a:schemeClr val="tx1"/>
                            </a:solidFill>
                            <a:effectLst/>
                            <a:latin typeface="Cambria Math" panose="02040503050406030204" pitchFamily="18" charset="0"/>
                            <a:ea typeface="Cambria Math" panose="02040503050406030204" pitchFamily="18" charset="0"/>
                            <a:cs typeface="+mn-cs"/>
                          </a:rPr>
                          <m:t>𝑠h𝑤</m:t>
                        </m:r>
                      </m:sub>
                    </m:sSub>
                  </m:oMath>
                </m:oMathPara>
              </a14:m>
              <a:endParaRPr lang="en-US" sz="1100" b="0" i="1">
                <a:solidFill>
                  <a:schemeClr val="tx1"/>
                </a:solidFill>
                <a:effectLst/>
                <a:latin typeface="+mn-lt"/>
                <a:ea typeface="+mn-ea"/>
                <a:cs typeface="+mn-cs"/>
              </a:endParaRPr>
            </a:p>
          </xdr:txBody>
        </xdr:sp>
      </mc:Choice>
      <mc:Fallback xmlns="">
        <xdr:sp macro="" textlink="">
          <xdr:nvSpPr>
            <xdr:cNvPr id="70" name="CasellaDiTesto 69">
              <a:extLst>
                <a:ext uri="{FF2B5EF4-FFF2-40B4-BE49-F238E27FC236}">
                  <a16:creationId xmlns:a16="http://schemas.microsoft.com/office/drawing/2014/main" id="{311E2357-BFF9-4836-B1AB-793C87EB441C}"/>
                </a:ext>
              </a:extLst>
            </xdr:cNvPr>
            <xdr:cNvSpPr txBox="1"/>
          </xdr:nvSpPr>
          <xdr:spPr>
            <a:xfrm>
              <a:off x="7860195" y="7371522"/>
              <a:ext cx="2111797" cy="177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𝑄_(𝑊;𝑛𝑑;𝑠ℎ𝑤,𝑐𝑖)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𝑄_(𝑊;𝑛𝑑,𝑐𝑖)</a:t>
              </a:r>
              <a:r>
                <a:rPr lang="it-IT" sz="1100" b="0" i="0">
                  <a:solidFill>
                    <a:schemeClr val="tx1"/>
                  </a:solidFill>
                  <a:effectLst/>
                  <a:latin typeface="Cambria Math" panose="02040503050406030204" pitchFamily="18" charset="0"/>
                  <a:ea typeface="Cambria Math" panose="02040503050406030204" pitchFamily="18" charset="0"/>
                  <a:cs typeface="+mn-cs"/>
                </a:rPr>
                <a:t>∙𝑘_(𝑊;𝑛𝑑;𝑠ℎ𝑤)</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405848</xdr:colOff>
      <xdr:row>37</xdr:row>
      <xdr:rowOff>57978</xdr:rowOff>
    </xdr:from>
    <xdr:ext cx="2190600" cy="361061"/>
    <mc:AlternateContent xmlns:mc="http://schemas.openxmlformats.org/markup-compatibility/2006" xmlns:a14="http://schemas.microsoft.com/office/drawing/2010/main">
      <mc:Choice Requires="a14">
        <xdr:sp macro="" textlink="">
          <xdr:nvSpPr>
            <xdr:cNvPr id="73" name="CasellaDiTesto 72">
              <a:extLst>
                <a:ext uri="{FF2B5EF4-FFF2-40B4-BE49-F238E27FC236}">
                  <a16:creationId xmlns:a16="http://schemas.microsoft.com/office/drawing/2014/main" id="{A436D6F6-DAB7-4A92-8C01-8A83FFCE869A}"/>
                </a:ext>
              </a:extLst>
            </xdr:cNvPr>
            <xdr:cNvSpPr txBox="1"/>
          </xdr:nvSpPr>
          <xdr:spPr>
            <a:xfrm>
              <a:off x="8315739" y="8572500"/>
              <a:ext cx="2190600" cy="361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𝑘</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𝑟𝑏𝑙</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𝐴</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𝑑𝑟𝑎𝑖𝑛</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𝑑𝑟𝑎𝑤</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den>
                    </m:f>
                  </m:oMath>
                </m:oMathPara>
              </a14:m>
              <a:endParaRPr lang="en-US" sz="1100" b="0" i="1">
                <a:solidFill>
                  <a:schemeClr val="tx1"/>
                </a:solidFill>
                <a:effectLst/>
                <a:latin typeface="+mn-lt"/>
                <a:ea typeface="+mn-ea"/>
                <a:cs typeface="+mn-cs"/>
              </a:endParaRPr>
            </a:p>
          </xdr:txBody>
        </xdr:sp>
      </mc:Choice>
      <mc:Fallback xmlns="">
        <xdr:sp macro="" textlink="">
          <xdr:nvSpPr>
            <xdr:cNvPr id="73" name="CasellaDiTesto 72">
              <a:extLst>
                <a:ext uri="{FF2B5EF4-FFF2-40B4-BE49-F238E27FC236}">
                  <a16:creationId xmlns:a16="http://schemas.microsoft.com/office/drawing/2014/main" id="{A436D6F6-DAB7-4A92-8C01-8A83FFCE869A}"/>
                </a:ext>
              </a:extLst>
            </xdr:cNvPr>
            <xdr:cNvSpPr txBox="1"/>
          </xdr:nvSpPr>
          <xdr:spPr>
            <a:xfrm>
              <a:off x="8315739" y="8572500"/>
              <a:ext cx="2190600" cy="361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𝑘_(𝑤𝑤ℎ𝑟;𝑟𝑏𝑙;𝐴,𝑐𝑖)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𝜃_(𝑊;𝑑𝑟𝑎𝑖𝑛)−𝜃_(𝑊;𝑐𝑜𝑙𝑑,𝑐𝑖)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𝜃_(𝑊;𝑑𝑟𝑎𝑤)−𝜃_(𝑊;𝑐𝑜𝑙𝑑,𝑐𝑖) </a:t>
              </a:r>
              <a:r>
                <a:rPr lang="en-US" sz="1100" b="0" i="0">
                  <a:solidFill>
                    <a:schemeClr val="tx1"/>
                  </a:solidFill>
                  <a:effectLst/>
                  <a:latin typeface="Cambria Math" panose="02040503050406030204" pitchFamily="18" charset="0"/>
                  <a:ea typeface="+mn-ea"/>
                  <a:cs typeface="+mn-cs"/>
                </a:rPr>
                <a:t>)</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140805</xdr:colOff>
      <xdr:row>28</xdr:row>
      <xdr:rowOff>49696</xdr:rowOff>
    </xdr:from>
    <xdr:ext cx="3806940" cy="372474"/>
    <mc:AlternateContent xmlns:mc="http://schemas.openxmlformats.org/markup-compatibility/2006" xmlns:a14="http://schemas.microsoft.com/office/drawing/2010/main">
      <mc:Choice Requires="a14">
        <xdr:sp macro="" textlink="">
          <xdr:nvSpPr>
            <xdr:cNvPr id="74" name="CasellaDiTesto 73">
              <a:extLst>
                <a:ext uri="{FF2B5EF4-FFF2-40B4-BE49-F238E27FC236}">
                  <a16:creationId xmlns:a16="http://schemas.microsoft.com/office/drawing/2014/main" id="{8871D177-E2A0-470E-831E-16E458686A50}"/>
                </a:ext>
              </a:extLst>
            </xdr:cNvPr>
            <xdr:cNvSpPr txBox="1"/>
          </xdr:nvSpPr>
          <xdr:spPr>
            <a:xfrm>
              <a:off x="7860196" y="9425609"/>
              <a:ext cx="3806940" cy="372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Cambria Math" panose="02040503050406030204" pitchFamily="18" charset="0"/>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US"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𝐴</m:t>
                        </m:r>
                      </m:sub>
                    </m:sSub>
                    <m:r>
                      <a:rPr lang="it-IT" sz="1100" b="0" i="1">
                        <a:solidFill>
                          <a:schemeClr val="tx1"/>
                        </a:solidFill>
                        <a:effectLst/>
                        <a:latin typeface="Cambria Math" panose="02040503050406030204" pitchFamily="18" charset="0"/>
                        <a:ea typeface="+mn-ea"/>
                        <a:cs typeface="+mn-cs"/>
                      </a:rPr>
                      <m:t>+</m:t>
                    </m:r>
                    <m:d>
                      <m:dPr>
                        <m:ctrlPr>
                          <a:rPr lang="it-IT" sz="1100" b="0" i="1">
                            <a:solidFill>
                              <a:schemeClr val="tx1"/>
                            </a:solidFill>
                            <a:effectLst/>
                            <a:latin typeface="Cambria Math" panose="02040503050406030204" pitchFamily="18" charset="0"/>
                            <a:ea typeface="+mn-ea"/>
                            <a:cs typeface="+mn-cs"/>
                          </a:rPr>
                        </m:ctrlPr>
                      </m:dPr>
                      <m:e>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𝐵</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𝐴</m:t>
                            </m:r>
                          </m:sub>
                        </m:sSub>
                      </m:e>
                    </m:d>
                    <m:r>
                      <a:rPr lang="it-IT" sz="1100" b="0" i="1">
                        <a:solidFill>
                          <a:schemeClr val="tx1"/>
                        </a:solidFill>
                        <a:effectLst/>
                        <a:latin typeface="Cambria Math" panose="02040503050406030204" pitchFamily="18" charset="0"/>
                        <a:ea typeface="Cambria Math" panose="02040503050406030204" pitchFamily="18" charset="0"/>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r>
                              <a:rPr lang="it-IT" sz="1100" b="0" i="1">
                                <a:solidFill>
                                  <a:schemeClr val="tx1"/>
                                </a:solidFill>
                                <a:effectLst/>
                                <a:latin typeface="Cambria Math" panose="02040503050406030204" pitchFamily="18" charset="0"/>
                                <a:ea typeface="+mn-ea"/>
                                <a:cs typeface="+mn-cs"/>
                              </a:rPr>
                              <m:t>′</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r>
                              <a:rPr lang="it-IT" sz="1100" b="0" i="1">
                                <a:solidFill>
                                  <a:schemeClr val="tx1"/>
                                </a:solidFill>
                                <a:effectLst/>
                                <a:latin typeface="Cambria Math" panose="02040503050406030204" pitchFamily="18" charset="0"/>
                                <a:ea typeface="+mn-ea"/>
                                <a:cs typeface="+mn-cs"/>
                              </a:rPr>
                              <m:t>′</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𝐴</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r>
                              <a:rPr lang="it-IT" sz="1100" b="0" i="1">
                                <a:solidFill>
                                  <a:schemeClr val="tx1"/>
                                </a:solidFill>
                                <a:effectLst/>
                                <a:latin typeface="Cambria Math" panose="02040503050406030204" pitchFamily="18" charset="0"/>
                                <a:ea typeface="+mn-ea"/>
                                <a:cs typeface="+mn-cs"/>
                              </a:rPr>
                              <m:t>′</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𝐵</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r>
                              <a:rPr lang="it-IT" sz="1100" b="0" i="1">
                                <a:solidFill>
                                  <a:schemeClr val="tx1"/>
                                </a:solidFill>
                                <a:effectLst/>
                                <a:latin typeface="Cambria Math" panose="02040503050406030204" pitchFamily="18" charset="0"/>
                                <a:ea typeface="+mn-ea"/>
                                <a:cs typeface="+mn-cs"/>
                              </a:rPr>
                              <m:t>′</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𝐴</m:t>
                            </m:r>
                          </m:sub>
                        </m:sSub>
                      </m:den>
                    </m:f>
                  </m:oMath>
                </m:oMathPara>
              </a14:m>
              <a:endParaRPr lang="en-US" sz="1100" b="0" i="1">
                <a:solidFill>
                  <a:schemeClr val="tx1"/>
                </a:solidFill>
                <a:effectLst/>
                <a:latin typeface="+mn-lt"/>
                <a:ea typeface="+mn-ea"/>
                <a:cs typeface="+mn-cs"/>
              </a:endParaRPr>
            </a:p>
          </xdr:txBody>
        </xdr:sp>
      </mc:Choice>
      <mc:Fallback xmlns="">
        <xdr:sp macro="" textlink="">
          <xdr:nvSpPr>
            <xdr:cNvPr id="74" name="CasellaDiTesto 73">
              <a:extLst>
                <a:ext uri="{FF2B5EF4-FFF2-40B4-BE49-F238E27FC236}">
                  <a16:creationId xmlns:a16="http://schemas.microsoft.com/office/drawing/2014/main" id="{8871D177-E2A0-470E-831E-16E458686A50}"/>
                </a:ext>
              </a:extLst>
            </xdr:cNvPr>
            <xdr:cNvSpPr txBox="1"/>
          </xdr:nvSpPr>
          <xdr:spPr>
            <a:xfrm>
              <a:off x="7860196" y="9425609"/>
              <a:ext cx="3806940" cy="372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Cambria Math" panose="02040503050406030204" pitchFamily="18" charset="0"/>
                  <a:cs typeface="+mn-cs"/>
                </a:rPr>
                <a:t>𝜂</a:t>
              </a:r>
              <a:r>
                <a:rPr lang="it-IT" sz="1100" b="0" i="0">
                  <a:solidFill>
                    <a:schemeClr val="tx1"/>
                  </a:solidFill>
                  <a:effectLst/>
                  <a:latin typeface="Cambria Math" panose="02040503050406030204" pitchFamily="18" charset="0"/>
                  <a:ea typeface="+mn-ea"/>
                  <a:cs typeface="+mn-cs"/>
                </a:rPr>
                <a:t>_(𝑤𝑤ℎ𝑟,𝑐𝑖)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𝜂_(𝑤𝑤ℎ𝑟,</a:t>
              </a:r>
              <a:r>
                <a:rPr lang="it-IT" sz="1100" b="0" i="0">
                  <a:solidFill>
                    <a:schemeClr val="tx1"/>
                  </a:solidFill>
                  <a:effectLst/>
                  <a:latin typeface="Cambria Math" panose="02040503050406030204" pitchFamily="18" charset="0"/>
                  <a:ea typeface="+mn-ea"/>
                  <a:cs typeface="+mn-cs"/>
                </a:rPr>
                <a:t>𝐴</a:t>
              </a:r>
              <a:r>
                <a:rPr lang="it-IT"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𝜂_(𝑤𝑤ℎ𝑟,</a:t>
              </a:r>
              <a:r>
                <a:rPr lang="it-IT" sz="1100" b="0" i="0">
                  <a:solidFill>
                    <a:schemeClr val="tx1"/>
                  </a:solidFill>
                  <a:effectLst/>
                  <a:latin typeface="Cambria Math" panose="02040503050406030204" pitchFamily="18" charset="0"/>
                  <a:ea typeface="+mn-ea"/>
                  <a:cs typeface="+mn-cs"/>
                </a:rPr>
                <a:t>𝐵</a:t>
              </a:r>
              <a:r>
                <a:rPr lang="it-IT"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𝜂_(𝑤𝑤ℎ𝑟,𝐴)</a:t>
              </a:r>
              <a:r>
                <a:rPr lang="it-IT" sz="1100" b="0" i="0">
                  <a:solidFill>
                    <a:schemeClr val="tx1"/>
                  </a:solidFill>
                  <a:effectLst/>
                  <a:latin typeface="Cambria Math" panose="02040503050406030204" pitchFamily="18" charset="0"/>
                  <a:ea typeface="+mn-ea"/>
                  <a:cs typeface="+mn-cs"/>
                </a:rPr>
                <a:t> )</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𝑉′</a:t>
              </a:r>
              <a:r>
                <a:rPr lang="it-IT" sz="1100" b="0" i="0">
                  <a:solidFill>
                    <a:schemeClr val="tx1"/>
                  </a:solidFill>
                  <a:effectLst/>
                  <a:latin typeface="+mn-lt"/>
                  <a:ea typeface="+mn-ea"/>
                  <a:cs typeface="+mn-cs"/>
                </a:rPr>
                <a:t>〗_(</a:t>
              </a:r>
              <a:r>
                <a:rPr lang="it-IT" sz="1100" b="0" i="0">
                  <a:solidFill>
                    <a:schemeClr val="tx1"/>
                  </a:solidFill>
                  <a:effectLst/>
                  <a:latin typeface="Cambria Math" panose="02040503050406030204" pitchFamily="18" charset="0"/>
                  <a:ea typeface="+mn-ea"/>
                  <a:cs typeface="+mn-cs"/>
                </a:rPr>
                <a:t>𝑊;𝑠ℎ𝑤</a:t>
              </a:r>
              <a:r>
                <a:rPr lang="it-IT" sz="1100" b="0" i="0">
                  <a:solidFill>
                    <a:schemeClr val="tx1"/>
                  </a:solidFill>
                  <a:effectLst/>
                  <a:latin typeface="+mn-lt"/>
                  <a:ea typeface="+mn-ea"/>
                  <a:cs typeface="+mn-cs"/>
                </a:rPr>
                <a:t>,𝑐𝑖)</a:t>
              </a:r>
              <a:r>
                <a:rPr lang="it-IT"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〖𝑉′〗_(</a:t>
              </a:r>
              <a:r>
                <a:rPr lang="it-IT" sz="1100" b="0" i="0">
                  <a:solidFill>
                    <a:schemeClr val="tx1"/>
                  </a:solidFill>
                  <a:effectLst/>
                  <a:latin typeface="Cambria Math" panose="02040503050406030204" pitchFamily="18" charset="0"/>
                  <a:ea typeface="+mn-ea"/>
                  <a:cs typeface="+mn-cs"/>
                </a:rPr>
                <a:t>𝑤𝑤ℎ𝑟;𝐴</a:t>
              </a:r>
              <a:r>
                <a:rPr lang="it-IT"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〖𝑉′〗_(𝑤𝑤ℎ𝑟;</a:t>
              </a:r>
              <a:r>
                <a:rPr lang="it-IT" sz="1100" b="0" i="0">
                  <a:solidFill>
                    <a:schemeClr val="tx1"/>
                  </a:solidFill>
                  <a:effectLst/>
                  <a:latin typeface="Cambria Math" panose="02040503050406030204" pitchFamily="18" charset="0"/>
                  <a:ea typeface="+mn-ea"/>
                  <a:cs typeface="+mn-cs"/>
                </a:rPr>
                <a:t>𝐵</a:t>
              </a:r>
              <a:r>
                <a:rPr lang="it-IT"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〖𝑉′〗_(𝑤𝑤ℎ𝑟;𝐴)</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394911</xdr:colOff>
      <xdr:row>72</xdr:row>
      <xdr:rowOff>70532</xdr:rowOff>
    </xdr:from>
    <xdr:ext cx="1660968" cy="331437"/>
    <mc:AlternateContent xmlns:mc="http://schemas.openxmlformats.org/markup-compatibility/2006" xmlns:a14="http://schemas.microsoft.com/office/drawing/2010/main">
      <mc:Choice Requires="a14">
        <xdr:sp macro="" textlink="">
          <xdr:nvSpPr>
            <xdr:cNvPr id="75" name="CasellaDiTesto 74">
              <a:extLst>
                <a:ext uri="{FF2B5EF4-FFF2-40B4-BE49-F238E27FC236}">
                  <a16:creationId xmlns:a16="http://schemas.microsoft.com/office/drawing/2014/main" id="{098FBB45-A167-9395-A95D-C6A695B6E3D7}"/>
                </a:ext>
              </a:extLst>
            </xdr:cNvPr>
            <xdr:cNvSpPr txBox="1"/>
          </xdr:nvSpPr>
          <xdr:spPr>
            <a:xfrm>
              <a:off x="8114302" y="17356336"/>
              <a:ext cx="1660968" cy="33143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it-IT" sz="1100" b="0" i="1">
                        <a:solidFill>
                          <a:sysClr val="windowText" lastClr="000000"/>
                        </a:solidFill>
                        <a:effectLst/>
                        <a:latin typeface="Cambria Math" panose="02040503050406030204" pitchFamily="18" charset="0"/>
                        <a:ea typeface="+mn-ea"/>
                        <a:cs typeface="+mn-cs"/>
                      </a:rPr>
                      <m:t>𝑁𝑇</m:t>
                    </m:r>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𝑈</m:t>
                        </m:r>
                      </m:e>
                      <m:sub>
                        <m:r>
                          <a:rPr lang="it-IT" sz="1100" b="0" i="1">
                            <a:solidFill>
                              <a:sysClr val="windowText" lastClr="000000"/>
                            </a:solidFill>
                            <a:effectLst/>
                            <a:latin typeface="Cambria Math" panose="02040503050406030204" pitchFamily="18" charset="0"/>
                            <a:ea typeface="+mn-ea"/>
                            <a:cs typeface="+mn-cs"/>
                          </a:rPr>
                          <m:t>𝑤𝑤h𝑟</m:t>
                        </m:r>
                        <m:r>
                          <a:rPr lang="it-IT" sz="1100" b="0" i="1">
                            <a:solidFill>
                              <a:sysClr val="windowText" lastClr="000000"/>
                            </a:solidFill>
                            <a:effectLst/>
                            <a:latin typeface="Cambria Math" panose="02040503050406030204" pitchFamily="18" charset="0"/>
                            <a:ea typeface="+mn-ea"/>
                            <a:cs typeface="+mn-cs"/>
                          </a:rPr>
                          <m:t>;0</m:t>
                        </m:r>
                      </m:sub>
                    </m:sSub>
                    <m:r>
                      <a:rPr lang="en-US" sz="1100" b="0" i="1">
                        <a:solidFill>
                          <a:sysClr val="windowText" lastClr="000000"/>
                        </a:solidFill>
                        <a:effectLst/>
                        <a:latin typeface="Cambria Math" panose="02040503050406030204" pitchFamily="18" charset="0"/>
                        <a:ea typeface="+mn-ea"/>
                        <a:cs typeface="+mn-cs"/>
                      </a:rPr>
                      <m:t>=</m:t>
                    </m:r>
                    <m:f>
                      <m:fPr>
                        <m:ctrlPr>
                          <a:rPr lang="en-US" sz="1100" b="0" i="1">
                            <a:solidFill>
                              <a:sysClr val="windowText" lastClr="000000"/>
                            </a:solidFill>
                            <a:effectLst/>
                            <a:latin typeface="Cambria Math" panose="02040503050406030204" pitchFamily="18" charset="0"/>
                            <a:ea typeface="+mn-ea"/>
                            <a:cs typeface="+mn-cs"/>
                          </a:rPr>
                        </m:ctrlPr>
                      </m:fPr>
                      <m:num>
                        <m:sSub>
                          <m:sSubPr>
                            <m:ctrlPr>
                              <a:rPr lang="it-IT" sz="11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en-US" sz="1100" b="0" i="1">
                                <a:solidFill>
                                  <a:sysClr val="windowText" lastClr="000000"/>
                                </a:solidFill>
                                <a:effectLst/>
                                <a:latin typeface="Cambria Math" panose="02040503050406030204" pitchFamily="18" charset="0"/>
                                <a:ea typeface="Cambria Math" panose="02040503050406030204" pitchFamily="18" charset="0"/>
                                <a:cs typeface="+mn-cs"/>
                              </a:rPr>
                              <m:t>𝜂</m:t>
                            </m:r>
                          </m:e>
                          <m:sub>
                            <m:r>
                              <a:rPr lang="it-IT" sz="1100" b="0" i="1">
                                <a:solidFill>
                                  <a:sysClr val="windowText" lastClr="000000"/>
                                </a:solidFill>
                                <a:effectLst/>
                                <a:latin typeface="Cambria Math" panose="02040503050406030204" pitchFamily="18" charset="0"/>
                                <a:ea typeface="Cambria Math" panose="02040503050406030204" pitchFamily="18" charset="0"/>
                                <a:cs typeface="+mn-cs"/>
                              </a:rPr>
                              <m:t>𝑤𝑤h𝑟</m:t>
                            </m:r>
                            <m:r>
                              <a:rPr lang="it-IT" sz="1100" b="0" i="1">
                                <a:solidFill>
                                  <a:sysClr val="windowText" lastClr="000000"/>
                                </a:solidFill>
                                <a:effectLst/>
                                <a:latin typeface="Cambria Math" panose="02040503050406030204" pitchFamily="18" charset="0"/>
                                <a:ea typeface="Cambria Math" panose="02040503050406030204" pitchFamily="18" charset="0"/>
                                <a:cs typeface="+mn-cs"/>
                              </a:rPr>
                              <m:t>;</m:t>
                            </m:r>
                            <m:r>
                              <a:rPr lang="it-IT" sz="1100" b="0" i="1">
                                <a:solidFill>
                                  <a:sysClr val="windowText" lastClr="000000"/>
                                </a:solidFill>
                                <a:effectLst/>
                                <a:latin typeface="Cambria Math" panose="02040503050406030204" pitchFamily="18" charset="0"/>
                                <a:ea typeface="Cambria Math" panose="02040503050406030204" pitchFamily="18" charset="0"/>
                                <a:cs typeface="+mn-cs"/>
                              </a:rPr>
                              <m:t>𝑐𝑖</m:t>
                            </m:r>
                            <m:r>
                              <a:rPr lang="it-IT" sz="11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100" b="0" i="1">
                            <a:solidFill>
                              <a:sysClr val="windowText" lastClr="000000"/>
                            </a:solidFill>
                            <a:effectLst/>
                            <a:latin typeface="Cambria Math" panose="02040503050406030204" pitchFamily="18" charset="0"/>
                            <a:ea typeface="+mn-ea"/>
                            <a:cs typeface="+mn-cs"/>
                          </a:rPr>
                          <m:t>1−</m:t>
                        </m:r>
                        <m:sSub>
                          <m:sSubPr>
                            <m:ctrlPr>
                              <a:rPr lang="it-IT"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r>
                              <a:rPr lang="it-IT" sz="1100" b="0" i="1">
                                <a:solidFill>
                                  <a:schemeClr val="tx1"/>
                                </a:solidFill>
                                <a:effectLst/>
                                <a:latin typeface="Cambria Math" panose="02040503050406030204" pitchFamily="18" charset="0"/>
                                <a:ea typeface="+mn-ea"/>
                                <a:cs typeface="+mn-cs"/>
                              </a:rPr>
                              <m:t>;0</m:t>
                            </m:r>
                          </m:sub>
                        </m:sSub>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75" name="CasellaDiTesto 74">
              <a:extLst>
                <a:ext uri="{FF2B5EF4-FFF2-40B4-BE49-F238E27FC236}">
                  <a16:creationId xmlns:a16="http://schemas.microsoft.com/office/drawing/2014/main" id="{098FBB45-A167-9395-A95D-C6A695B6E3D7}"/>
                </a:ext>
              </a:extLst>
            </xdr:cNvPr>
            <xdr:cNvSpPr txBox="1"/>
          </xdr:nvSpPr>
          <xdr:spPr>
            <a:xfrm>
              <a:off x="8114302" y="17356336"/>
              <a:ext cx="1660968" cy="33143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ysClr val="windowText" lastClr="000000"/>
                  </a:solidFill>
                  <a:effectLst/>
                  <a:latin typeface="Cambria Math" panose="02040503050406030204" pitchFamily="18" charset="0"/>
                  <a:ea typeface="+mn-ea"/>
                  <a:cs typeface="+mn-cs"/>
                </a:rPr>
                <a:t>𝑁𝑇𝑈_(𝑤𝑤ℎ𝑟;0)</a:t>
              </a:r>
              <a:r>
                <a:rPr lang="en-US" sz="1100" b="0" i="0">
                  <a:solidFill>
                    <a:sysClr val="windowText" lastClr="000000"/>
                  </a:solidFill>
                  <a:effectLst/>
                  <a:latin typeface="Cambria Math" panose="02040503050406030204" pitchFamily="18" charset="0"/>
                  <a:ea typeface="+mn-ea"/>
                  <a:cs typeface="+mn-cs"/>
                </a:rPr>
                <a:t>=</a:t>
              </a:r>
              <a:r>
                <a:rPr lang="en-US" sz="1100" b="0" i="0">
                  <a:solidFill>
                    <a:sysClr val="windowText" lastClr="000000"/>
                  </a:solidFill>
                  <a:effectLst/>
                  <a:latin typeface="Cambria Math" panose="02040503050406030204" pitchFamily="18" charset="0"/>
                  <a:ea typeface="Cambria Math" panose="02040503050406030204" pitchFamily="18" charset="0"/>
                  <a:cs typeface="+mn-cs"/>
                </a:rPr>
                <a:t>𝜂</a:t>
              </a:r>
              <a:r>
                <a:rPr lang="it-IT" sz="1100" b="0" i="0">
                  <a:solidFill>
                    <a:sysClr val="windowText" lastClr="000000"/>
                  </a:solidFill>
                  <a:effectLst/>
                  <a:latin typeface="Cambria Math" panose="02040503050406030204" pitchFamily="18" charset="0"/>
                  <a:ea typeface="Cambria Math" panose="02040503050406030204" pitchFamily="18" charset="0"/>
                  <a:cs typeface="+mn-cs"/>
                </a:rPr>
                <a:t>_(𝑤𝑤ℎ𝑟;𝑐𝑖;0)</a:t>
              </a:r>
              <a:r>
                <a:rPr lang="en-US" sz="1100" b="0" i="0">
                  <a:solidFill>
                    <a:sysClr val="windowText" lastClr="000000"/>
                  </a:solidFill>
                  <a:effectLst/>
                  <a:latin typeface="Cambria Math" panose="02040503050406030204" pitchFamily="18" charset="0"/>
                  <a:ea typeface="+mn-ea"/>
                  <a:cs typeface="+mn-cs"/>
                </a:rPr>
                <a:t>/(</a:t>
              </a:r>
              <a:r>
                <a:rPr lang="it-IT" sz="1100" b="0" i="0">
                  <a:solidFill>
                    <a:sysClr val="windowText" lastClr="000000"/>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𝜂</a:t>
              </a:r>
              <a:r>
                <a:rPr lang="it-IT" sz="1100" b="0" i="0">
                  <a:solidFill>
                    <a:schemeClr val="tx1"/>
                  </a:solidFill>
                  <a:effectLst/>
                  <a:latin typeface="+mn-lt"/>
                  <a:ea typeface="+mn-ea"/>
                  <a:cs typeface="+mn-cs"/>
                </a:rPr>
                <a:t>_(𝑤𝑤ℎ𝑟;𝑐𝑖</a:t>
              </a:r>
              <a:r>
                <a:rPr lang="it-IT" sz="1100" b="0" i="0">
                  <a:solidFill>
                    <a:schemeClr val="tx1"/>
                  </a:solidFill>
                  <a:effectLst/>
                  <a:latin typeface="Cambria Math" panose="02040503050406030204" pitchFamily="18" charset="0"/>
                  <a:ea typeface="+mn-ea"/>
                  <a:cs typeface="+mn-cs"/>
                </a:rPr>
                <a:t>;0</a:t>
              </a:r>
              <a:r>
                <a:rPr lang="it-IT" sz="1100" b="0" i="0">
                  <a:solidFill>
                    <a:schemeClr val="tx1"/>
                  </a:solidFill>
                  <a:effectLst/>
                  <a:latin typeface="+mn-lt"/>
                  <a:ea typeface="+mn-ea"/>
                  <a:cs typeface="+mn-cs"/>
                </a:rPr>
                <a:t>)</a:t>
              </a:r>
              <a:r>
                <a:rPr lang="en-US" sz="1100" b="0" i="0">
                  <a:solidFill>
                    <a:sysClr val="windowText" lastClr="000000"/>
                  </a:solidFill>
                  <a:effectLst/>
                  <a:latin typeface="Cambria Math" panose="02040503050406030204" pitchFamily="18" charset="0"/>
                  <a:ea typeface="+mn-ea"/>
                  <a:cs typeface="+mn-cs"/>
                </a:rPr>
                <a:t> )</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25677</xdr:colOff>
      <xdr:row>73</xdr:row>
      <xdr:rowOff>52179</xdr:rowOff>
    </xdr:from>
    <xdr:ext cx="4036298" cy="376642"/>
    <mc:AlternateContent xmlns:mc="http://schemas.openxmlformats.org/markup-compatibility/2006">
      <mc:Choice xmlns:a14="http://schemas.microsoft.com/office/drawing/2010/main" Requires="a14">
        <xdr:sp macro="" textlink="">
          <xdr:nvSpPr>
            <xdr:cNvPr id="78" name="CasellaDiTesto 77">
              <a:extLst>
                <a:ext uri="{FF2B5EF4-FFF2-40B4-BE49-F238E27FC236}">
                  <a16:creationId xmlns:a16="http://schemas.microsoft.com/office/drawing/2014/main" id="{52066B45-470E-4907-9811-8C8440AA7CE5}"/>
                </a:ext>
              </a:extLst>
            </xdr:cNvPr>
            <xdr:cNvSpPr txBox="1"/>
          </xdr:nvSpPr>
          <xdr:spPr>
            <a:xfrm>
              <a:off x="7940952" y="15444579"/>
              <a:ext cx="4036298" cy="376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,0</m:t>
                        </m:r>
                      </m:sub>
                      <m:sup>
                        <m:r>
                          <a:rPr lang="it-IT"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𝑑𝑖𝑠</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𝑑𝑟𝑎𝑤</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𝑑𝑖𝑠</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mn-lt"/>
                            <a:ea typeface="+mn-ea"/>
                            <a:cs typeface="+mn-cs"/>
                          </a:rPr>
                          <m:t>−</m:t>
                        </m:r>
                        <m:sSub>
                          <m:sSubPr>
                            <m:ctrlPr>
                              <a:rPr lang="it-IT" sz="1100" b="0" i="1">
                                <a:solidFill>
                                  <a:schemeClr val="tx1"/>
                                </a:solidFill>
                                <a:effectLst/>
                                <a:latin typeface="+mn-lt"/>
                                <a:ea typeface="+mn-ea"/>
                                <a:cs typeface="+mn-cs"/>
                              </a:rPr>
                            </m:ctrlPr>
                          </m:sSubPr>
                          <m:e>
                            <m:r>
                              <a:rPr lang="it-IT" sz="1100" b="0" i="1">
                                <a:solidFill>
                                  <a:schemeClr val="tx1"/>
                                </a:solidFill>
                                <a:effectLst/>
                                <a:latin typeface="+mn-lt"/>
                                <a:ea typeface="+mn-ea"/>
                                <a:cs typeface="+mn-cs"/>
                              </a:rPr>
                              <m:t>𝜃</m:t>
                            </m:r>
                          </m:e>
                          <m:sub>
                            <m:r>
                              <a:rPr lang="it-IT" sz="1100" b="0" i="1">
                                <a:solidFill>
                                  <a:schemeClr val="tx1"/>
                                </a:solidFill>
                                <a:effectLst/>
                                <a:latin typeface="+mn-lt"/>
                                <a:ea typeface="+mn-ea"/>
                                <a:cs typeface="+mn-cs"/>
                              </a:rPr>
                              <m:t>𝑊</m:t>
                            </m:r>
                            <m:r>
                              <a:rPr lang="it-IT" sz="1100" b="0" i="1">
                                <a:solidFill>
                                  <a:schemeClr val="tx1"/>
                                </a:solidFill>
                                <a:effectLst/>
                                <a:latin typeface="+mn-lt"/>
                                <a:ea typeface="+mn-ea"/>
                                <a:cs typeface="+mn-cs"/>
                              </a:rPr>
                              <m:t>;</m:t>
                            </m:r>
                            <m:r>
                              <a:rPr lang="it-IT" sz="1100" b="0" i="1">
                                <a:solidFill>
                                  <a:schemeClr val="tx1"/>
                                </a:solidFill>
                                <a:effectLst/>
                                <a:latin typeface="+mn-lt"/>
                                <a:ea typeface="+mn-ea"/>
                                <a:cs typeface="+mn-cs"/>
                              </a:rPr>
                              <m:t>𝑐𝑜𝑙𝑑</m:t>
                            </m:r>
                            <m:r>
                              <a:rPr lang="it-IT" sz="1100" b="0" i="1">
                                <a:solidFill>
                                  <a:schemeClr val="tx1"/>
                                </a:solidFill>
                                <a:effectLst/>
                                <a:latin typeface="+mn-lt"/>
                                <a:ea typeface="+mn-ea"/>
                                <a:cs typeface="+mn-cs"/>
                              </a:rPr>
                              <m:t>,</m:t>
                            </m:r>
                            <m:r>
                              <a:rPr lang="it-IT" sz="1100" b="0" i="1">
                                <a:solidFill>
                                  <a:schemeClr val="tx1"/>
                                </a:solidFill>
                                <a:effectLst/>
                                <a:latin typeface="+mn-lt"/>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r>
                              <a:rPr lang="it-IT" sz="1100" b="0" i="1">
                                <a:solidFill>
                                  <a:schemeClr val="tx1"/>
                                </a:solidFill>
                                <a:effectLst/>
                                <a:latin typeface="Cambria Math" panose="02040503050406030204" pitchFamily="18" charset="0"/>
                                <a:ea typeface="+mn-ea"/>
                                <a:cs typeface="+mn-cs"/>
                              </a:rPr>
                              <m:t>;0</m:t>
                            </m:r>
                          </m:sub>
                        </m:sSub>
                        <m:r>
                          <a:rPr lang="it-IT" sz="1100" b="0" i="1">
                            <a:solidFill>
                              <a:schemeClr val="tx1"/>
                            </a:solidFill>
                            <a:effectLst/>
                            <a:latin typeface="Cambria Math" panose="02040503050406030204" pitchFamily="18" charset="0"/>
                            <a:ea typeface="+mn-ea"/>
                            <a:cs typeface="+mn-cs"/>
                          </a:rPr>
                          <m:t>∙</m:t>
                        </m:r>
                        <m:d>
                          <m:dPr>
                            <m:ctrlPr>
                              <a:rPr lang="it-IT" sz="1100" b="0" i="1">
                                <a:solidFill>
                                  <a:schemeClr val="tx1"/>
                                </a:solidFill>
                                <a:effectLst/>
                                <a:latin typeface="Cambria Math" panose="02040503050406030204" pitchFamily="18" charset="0"/>
                                <a:ea typeface="+mn-ea"/>
                                <a:cs typeface="+mn-cs"/>
                              </a:rPr>
                            </m:ctrlPr>
                          </m:dPr>
                          <m:e>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𝑑𝑟𝑎𝑖𝑛</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e>
                        </m:d>
                      </m:den>
                    </m:f>
                  </m:oMath>
                </m:oMathPara>
              </a14:m>
              <a:endParaRPr lang="en-US" sz="1100" b="0" i="1">
                <a:solidFill>
                  <a:schemeClr val="tx1"/>
                </a:solidFill>
                <a:effectLst/>
                <a:latin typeface="+mn-lt"/>
                <a:ea typeface="+mn-ea"/>
                <a:cs typeface="+mn-cs"/>
              </a:endParaRPr>
            </a:p>
          </xdr:txBody>
        </xdr:sp>
      </mc:Choice>
      <mc:Fallback>
        <xdr:sp macro="" textlink="">
          <xdr:nvSpPr>
            <xdr:cNvPr id="78" name="CasellaDiTesto 77">
              <a:extLst>
                <a:ext uri="{FF2B5EF4-FFF2-40B4-BE49-F238E27FC236}">
                  <a16:creationId xmlns:a16="http://schemas.microsoft.com/office/drawing/2014/main" id="{52066B45-470E-4907-9811-8C8440AA7CE5}"/>
                </a:ext>
              </a:extLst>
            </xdr:cNvPr>
            <xdr:cNvSpPr txBox="1"/>
          </xdr:nvSpPr>
          <xdr:spPr>
            <a:xfrm>
              <a:off x="7940952" y="15444579"/>
              <a:ext cx="4036298" cy="3766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𝐶_(𝑤𝑤ℎ𝑟,0)^∗</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𝜃_(𝑊;𝑑𝑖𝑠,𝑐𝑖)−𝜃_(𝑊;𝑑𝑟𝑎𝑤)</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𝜃_(𝑊;𝑑𝑖𝑠,𝑐𝑖)</a:t>
              </a:r>
              <a:r>
                <a:rPr lang="it-IT" sz="1100" b="0" i="0">
                  <a:solidFill>
                    <a:schemeClr val="tx1"/>
                  </a:solidFill>
                  <a:effectLst/>
                  <a:latin typeface="+mn-lt"/>
                  <a:ea typeface="+mn-ea"/>
                  <a:cs typeface="+mn-cs"/>
                </a:rPr>
                <a:t>−𝜃_(𝑊;𝑐𝑜𝑙𝑑,𝑐𝑖)</a:t>
              </a:r>
              <a:r>
                <a:rPr lang="it-IT"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𝜂</a:t>
              </a:r>
              <a:r>
                <a:rPr lang="it-IT" sz="1100" b="0" i="0">
                  <a:solidFill>
                    <a:schemeClr val="tx1"/>
                  </a:solidFill>
                  <a:effectLst/>
                  <a:latin typeface="Cambria Math" panose="02040503050406030204" pitchFamily="18" charset="0"/>
                  <a:ea typeface="+mn-ea"/>
                  <a:cs typeface="+mn-cs"/>
                </a:rPr>
                <a:t>_(𝑤𝑤ℎ𝑟;𝑐𝑖;0)∙(𝜃_(𝑊;𝑑𝑟𝑎𝑖𝑛)−𝜃_(𝑊;𝑐𝑜𝑙𝑑,𝑐𝑖) ) </a:t>
              </a:r>
              <a:r>
                <a:rPr lang="en-US" sz="1100" b="0" i="0">
                  <a:solidFill>
                    <a:schemeClr val="tx1"/>
                  </a:solidFill>
                  <a:effectLst/>
                  <a:latin typeface="Cambria Math" panose="02040503050406030204" pitchFamily="18" charset="0"/>
                  <a:ea typeface="+mn-ea"/>
                  <a:cs typeface="+mn-cs"/>
                </a:rPr>
                <a:t>)</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520562</xdr:colOff>
      <xdr:row>71</xdr:row>
      <xdr:rowOff>79928</xdr:rowOff>
    </xdr:from>
    <xdr:ext cx="1203726" cy="177036"/>
    <mc:AlternateContent xmlns:mc="http://schemas.openxmlformats.org/markup-compatibility/2006" xmlns:a14="http://schemas.microsoft.com/office/drawing/2010/main">
      <mc:Choice Requires="a14">
        <xdr:sp macro="" textlink="">
          <xdr:nvSpPr>
            <xdr:cNvPr id="80" name="CasellaDiTesto 79">
              <a:extLst>
                <a:ext uri="{FF2B5EF4-FFF2-40B4-BE49-F238E27FC236}">
                  <a16:creationId xmlns:a16="http://schemas.microsoft.com/office/drawing/2014/main" id="{D7409DD3-DE0F-4E51-9678-4136416D9693}"/>
                </a:ext>
              </a:extLst>
            </xdr:cNvPr>
            <xdr:cNvSpPr txBox="1"/>
          </xdr:nvSpPr>
          <xdr:spPr>
            <a:xfrm>
              <a:off x="8245337" y="15415178"/>
              <a:ext cx="1203726" cy="17703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r>
                          <a:rPr lang="it-IT" sz="1100" b="0" i="1">
                            <a:solidFill>
                              <a:schemeClr val="tx1"/>
                            </a:solidFill>
                            <a:effectLst/>
                            <a:latin typeface="Cambria Math" panose="02040503050406030204" pitchFamily="18" charset="0"/>
                            <a:ea typeface="+mn-ea"/>
                            <a:cs typeface="+mn-cs"/>
                          </a:rPr>
                          <m:t>;0</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80" name="CasellaDiTesto 79">
              <a:extLst>
                <a:ext uri="{FF2B5EF4-FFF2-40B4-BE49-F238E27FC236}">
                  <a16:creationId xmlns:a16="http://schemas.microsoft.com/office/drawing/2014/main" id="{D7409DD3-DE0F-4E51-9678-4136416D9693}"/>
                </a:ext>
              </a:extLst>
            </xdr:cNvPr>
            <xdr:cNvSpPr txBox="1"/>
          </xdr:nvSpPr>
          <xdr:spPr>
            <a:xfrm>
              <a:off x="8245337" y="15415178"/>
              <a:ext cx="1203726" cy="17703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n-US" sz="1100" b="0" i="0">
                  <a:solidFill>
                    <a:schemeClr val="tx1"/>
                  </a:solidFill>
                  <a:effectLst/>
                  <a:latin typeface="Cambria Math" panose="02040503050406030204" pitchFamily="18" charset="0"/>
                  <a:ea typeface="+mn-ea"/>
                  <a:cs typeface="+mn-cs"/>
                </a:rPr>
                <a:t>𝜂</a:t>
              </a:r>
              <a:r>
                <a:rPr lang="it-IT" sz="1100" b="0" i="0">
                  <a:solidFill>
                    <a:schemeClr val="tx1"/>
                  </a:solidFill>
                  <a:effectLst/>
                  <a:latin typeface="Cambria Math" panose="02040503050406030204" pitchFamily="18" charset="0"/>
                  <a:ea typeface="+mn-ea"/>
                  <a:cs typeface="+mn-cs"/>
                </a:rPr>
                <a:t>_(𝑤𝑤ℎ𝑟;𝑐𝑖;0)=</a:t>
              </a:r>
              <a:r>
                <a:rPr lang="en-US" sz="1100" b="0" i="0">
                  <a:solidFill>
                    <a:schemeClr val="tx1"/>
                  </a:solidFill>
                  <a:effectLst/>
                  <a:latin typeface="Cambria Math" panose="02040503050406030204" pitchFamily="18" charset="0"/>
                  <a:ea typeface="+mn-ea"/>
                  <a:cs typeface="+mn-cs"/>
                </a:rPr>
                <a:t>𝜂</a:t>
              </a:r>
              <a:r>
                <a:rPr lang="it-IT" sz="1100" b="0" i="0">
                  <a:solidFill>
                    <a:schemeClr val="tx1"/>
                  </a:solidFill>
                  <a:effectLst/>
                  <a:latin typeface="Cambria Math" panose="02040503050406030204" pitchFamily="18" charset="0"/>
                  <a:ea typeface="+mn-ea"/>
                  <a:cs typeface="+mn-cs"/>
                </a:rPr>
                <a:t>_(𝑤𝑤ℎ𝑟;𝑐𝑖)</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9</xdr:col>
      <xdr:colOff>627571</xdr:colOff>
      <xdr:row>76</xdr:row>
      <xdr:rowOff>2931</xdr:rowOff>
    </xdr:from>
    <xdr:ext cx="387798" cy="125227"/>
    <xdr:sp macro="" textlink="$I$103">
      <xdr:nvSpPr>
        <xdr:cNvPr id="82" name="CasellaDiTesto 81">
          <a:extLst>
            <a:ext uri="{FF2B5EF4-FFF2-40B4-BE49-F238E27FC236}">
              <a16:creationId xmlns:a16="http://schemas.microsoft.com/office/drawing/2014/main" id="{1491A9D3-60D1-4D82-8DB6-CCB1B624C122}"/>
            </a:ext>
          </a:extLst>
        </xdr:cNvPr>
        <xdr:cNvSpPr txBox="1"/>
      </xdr:nvSpPr>
      <xdr:spPr>
        <a:xfrm>
          <a:off x="14543596" y="17909931"/>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A5FD96D8-0679-49E4-9E9D-C54DE3FEED39}" type="TxLink">
            <a:rPr lang="en-US" sz="800" b="0" i="0" u="none" strike="noStrike">
              <a:solidFill>
                <a:srgbClr val="000000"/>
              </a:solidFill>
              <a:effectLst/>
              <a:latin typeface="Arial"/>
              <a:ea typeface="+mn-ea"/>
              <a:cs typeface="Arial"/>
            </a:rPr>
            <a:pPr algn="l"/>
            <a:t>3,8 l/min</a:t>
          </a:fld>
          <a:endParaRPr lang="en-US" sz="200" b="0" i="1">
            <a:solidFill>
              <a:schemeClr val="tx1"/>
            </a:solidFill>
            <a:effectLst/>
            <a:latin typeface="+mn-lt"/>
            <a:ea typeface="+mn-ea"/>
            <a:cs typeface="+mn-cs"/>
          </a:endParaRPr>
        </a:p>
      </xdr:txBody>
    </xdr:sp>
    <xdr:clientData/>
  </xdr:oneCellAnchor>
  <xdr:oneCellAnchor>
    <xdr:from>
      <xdr:col>9</xdr:col>
      <xdr:colOff>1592523</xdr:colOff>
      <xdr:row>76</xdr:row>
      <xdr:rowOff>439265</xdr:rowOff>
    </xdr:from>
    <xdr:ext cx="387798" cy="125227"/>
    <xdr:sp macro="" textlink="$I$104">
      <xdr:nvSpPr>
        <xdr:cNvPr id="83" name="CasellaDiTesto 82">
          <a:extLst>
            <a:ext uri="{FF2B5EF4-FFF2-40B4-BE49-F238E27FC236}">
              <a16:creationId xmlns:a16="http://schemas.microsoft.com/office/drawing/2014/main" id="{7CF1EF7B-28C4-4310-877C-E704034E61BF}"/>
            </a:ext>
          </a:extLst>
        </xdr:cNvPr>
        <xdr:cNvSpPr txBox="1"/>
      </xdr:nvSpPr>
      <xdr:spPr>
        <a:xfrm>
          <a:off x="15499023" y="18520200"/>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9DD8EDBC-4678-424D-859D-390C13C78A00}" type="TxLink">
            <a:rPr lang="en-US" sz="800" b="0" i="0" u="none" strike="noStrike">
              <a:solidFill>
                <a:srgbClr val="000000"/>
              </a:solidFill>
              <a:effectLst/>
              <a:latin typeface="Arial"/>
              <a:ea typeface="+mn-ea"/>
              <a:cs typeface="Arial"/>
            </a:rPr>
            <a:pPr algn="l"/>
            <a:t>8,2 l/min</a:t>
          </a:fld>
          <a:endParaRPr lang="en-US" sz="100" b="0" i="1">
            <a:solidFill>
              <a:schemeClr val="tx1"/>
            </a:solidFill>
            <a:effectLst/>
            <a:latin typeface="+mn-lt"/>
            <a:ea typeface="+mn-ea"/>
            <a:cs typeface="+mn-cs"/>
          </a:endParaRPr>
        </a:p>
      </xdr:txBody>
    </xdr:sp>
    <xdr:clientData/>
  </xdr:oneCellAnchor>
  <xdr:oneCellAnchor>
    <xdr:from>
      <xdr:col>6</xdr:col>
      <xdr:colOff>149502</xdr:colOff>
      <xdr:row>76</xdr:row>
      <xdr:rowOff>55492</xdr:rowOff>
    </xdr:from>
    <xdr:ext cx="3966663" cy="376642"/>
    <mc:AlternateContent xmlns:mc="http://schemas.openxmlformats.org/markup-compatibility/2006">
      <mc:Choice xmlns:a14="http://schemas.microsoft.com/office/drawing/2010/main" Requires="a14">
        <xdr:sp macro="" textlink="">
          <xdr:nvSpPr>
            <xdr:cNvPr id="84" name="CasellaDiTesto 83">
              <a:extLst>
                <a:ext uri="{FF2B5EF4-FFF2-40B4-BE49-F238E27FC236}">
                  <a16:creationId xmlns:a16="http://schemas.microsoft.com/office/drawing/2014/main" id="{399D968D-2496-4EAC-B2DE-C5D0E8789FC9}"/>
                </a:ext>
              </a:extLst>
            </xdr:cNvPr>
            <xdr:cNvSpPr txBox="1"/>
          </xdr:nvSpPr>
          <xdr:spPr>
            <a:xfrm>
              <a:off x="8064777" y="17162392"/>
              <a:ext cx="3966663" cy="37664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sub>
                      <m:sup>
                        <m:r>
                          <a:rPr lang="it-IT"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𝑑𝑖𝑠</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𝑑𝑟𝑎𝑤</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𝑑𝑖𝑠</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mn-lt"/>
                                <a:ea typeface="+mn-ea"/>
                                <a:cs typeface="+mn-cs"/>
                              </a:rPr>
                            </m:ctrlPr>
                          </m:sSubPr>
                          <m:e>
                            <m:r>
                              <a:rPr lang="it-IT" sz="1100" b="0" i="1">
                                <a:solidFill>
                                  <a:schemeClr val="tx1"/>
                                </a:solidFill>
                                <a:effectLst/>
                                <a:latin typeface="+mn-lt"/>
                                <a:ea typeface="+mn-ea"/>
                                <a:cs typeface="+mn-cs"/>
                              </a:rPr>
                              <m:t>𝜃</m:t>
                            </m:r>
                          </m:e>
                          <m:sub>
                            <m:r>
                              <a:rPr lang="it-IT" sz="1100" b="0" i="1">
                                <a:solidFill>
                                  <a:schemeClr val="tx1"/>
                                </a:solidFill>
                                <a:effectLst/>
                                <a:latin typeface="+mn-lt"/>
                                <a:ea typeface="+mn-ea"/>
                                <a:cs typeface="+mn-cs"/>
                              </a:rPr>
                              <m:t>𝑊</m:t>
                            </m:r>
                            <m:r>
                              <a:rPr lang="it-IT" sz="1100" b="0" i="1">
                                <a:solidFill>
                                  <a:schemeClr val="tx1"/>
                                </a:solidFill>
                                <a:effectLst/>
                                <a:latin typeface="+mn-lt"/>
                                <a:ea typeface="+mn-ea"/>
                                <a:cs typeface="+mn-cs"/>
                              </a:rPr>
                              <m:t>;</m:t>
                            </m:r>
                            <m:r>
                              <a:rPr lang="it-IT" sz="1100" b="0" i="1">
                                <a:solidFill>
                                  <a:schemeClr val="tx1"/>
                                </a:solidFill>
                                <a:effectLst/>
                                <a:latin typeface="+mn-lt"/>
                                <a:ea typeface="+mn-ea"/>
                                <a:cs typeface="+mn-cs"/>
                              </a:rPr>
                              <m:t>𝑐𝑜𝑙𝑑</m:t>
                            </m:r>
                            <m:r>
                              <a:rPr lang="it-IT" sz="1100" b="0" i="1">
                                <a:solidFill>
                                  <a:schemeClr val="tx1"/>
                                </a:solidFill>
                                <a:effectLst/>
                                <a:latin typeface="+mn-lt"/>
                                <a:ea typeface="+mn-ea"/>
                                <a:cs typeface="+mn-cs"/>
                              </a:rPr>
                              <m:t>,</m:t>
                            </m:r>
                            <m:r>
                              <a:rPr lang="it-IT" sz="1100" b="0" i="1">
                                <a:solidFill>
                                  <a:schemeClr val="tx1"/>
                                </a:solidFill>
                                <a:effectLst/>
                                <a:latin typeface="+mn-lt"/>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sub>
                        </m:sSub>
                        <m:r>
                          <a:rPr lang="it-IT" sz="1100" b="0" i="1">
                            <a:solidFill>
                              <a:schemeClr val="tx1"/>
                            </a:solidFill>
                            <a:effectLst/>
                            <a:latin typeface="Cambria Math" panose="02040503050406030204" pitchFamily="18" charset="0"/>
                            <a:ea typeface="+mn-ea"/>
                            <a:cs typeface="+mn-cs"/>
                          </a:rPr>
                          <m:t>∙</m:t>
                        </m:r>
                        <m:d>
                          <m:dPr>
                            <m:ctrlPr>
                              <a:rPr lang="it-IT" sz="1100" b="0" i="1">
                                <a:solidFill>
                                  <a:schemeClr val="tx1"/>
                                </a:solidFill>
                                <a:effectLst/>
                                <a:latin typeface="Cambria Math" panose="02040503050406030204" pitchFamily="18" charset="0"/>
                                <a:ea typeface="+mn-ea"/>
                                <a:cs typeface="+mn-cs"/>
                              </a:rPr>
                            </m:ctrlPr>
                          </m:dPr>
                          <m:e>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𝑑𝑟𝑎𝑖𝑛</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e>
                        </m:d>
                      </m:den>
                    </m:f>
                  </m:oMath>
                </m:oMathPara>
              </a14:m>
              <a:endParaRPr lang="en-US" sz="1100" b="0" i="1">
                <a:solidFill>
                  <a:schemeClr val="tx1"/>
                </a:solidFill>
                <a:effectLst/>
                <a:latin typeface="+mn-lt"/>
                <a:ea typeface="+mn-ea"/>
                <a:cs typeface="+mn-cs"/>
              </a:endParaRPr>
            </a:p>
          </xdr:txBody>
        </xdr:sp>
      </mc:Choice>
      <mc:Fallback>
        <xdr:sp macro="" textlink="">
          <xdr:nvSpPr>
            <xdr:cNvPr id="84" name="CasellaDiTesto 83">
              <a:extLst>
                <a:ext uri="{FF2B5EF4-FFF2-40B4-BE49-F238E27FC236}">
                  <a16:creationId xmlns:a16="http://schemas.microsoft.com/office/drawing/2014/main" id="{399D968D-2496-4EAC-B2DE-C5D0E8789FC9}"/>
                </a:ext>
              </a:extLst>
            </xdr:cNvPr>
            <xdr:cNvSpPr txBox="1"/>
          </xdr:nvSpPr>
          <xdr:spPr>
            <a:xfrm>
              <a:off x="8064777" y="17162392"/>
              <a:ext cx="3966663" cy="37664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𝐶_(𝑤𝑤ℎ𝑟,𝑖)^∗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𝜃_(𝑊;𝑑𝑖𝑠,𝑐𝑖)−𝜃_(𝑊;𝑑𝑟𝑎𝑤)</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𝜃_(𝑊;𝑑𝑖𝑠,𝑐𝑖)−</a:t>
              </a:r>
              <a:r>
                <a:rPr lang="it-IT" sz="1100" b="0" i="0">
                  <a:solidFill>
                    <a:schemeClr val="tx1"/>
                  </a:solidFill>
                  <a:effectLst/>
                  <a:latin typeface="+mn-lt"/>
                  <a:ea typeface="+mn-ea"/>
                  <a:cs typeface="+mn-cs"/>
                </a:rPr>
                <a:t>𝜃_(𝑊;𝑐𝑜𝑙𝑑,𝑐𝑖)</a:t>
              </a:r>
              <a:r>
                <a:rPr lang="it-IT"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𝜂</a:t>
              </a:r>
              <a:r>
                <a:rPr lang="it-IT" sz="1100" b="0" i="0">
                  <a:solidFill>
                    <a:schemeClr val="tx1"/>
                  </a:solidFill>
                  <a:effectLst/>
                  <a:latin typeface="Cambria Math" panose="02040503050406030204" pitchFamily="18" charset="0"/>
                  <a:ea typeface="+mn-ea"/>
                  <a:cs typeface="+mn-cs"/>
                </a:rPr>
                <a:t>_(𝑤𝑤ℎ𝑟;𝑐𝑖;𝑖)∙(𝜃_(𝑊;𝑑𝑟𝑎𝑖𝑛)−𝜃_(𝑊;𝑐𝑜𝑙𝑑,𝑐𝑖) ) </a:t>
              </a:r>
              <a:r>
                <a:rPr lang="en-US" sz="1100" b="0" i="0">
                  <a:solidFill>
                    <a:schemeClr val="tx1"/>
                  </a:solidFill>
                  <a:effectLst/>
                  <a:latin typeface="Cambria Math" panose="02040503050406030204" pitchFamily="18" charset="0"/>
                  <a:ea typeface="+mn-ea"/>
                  <a:cs typeface="+mn-cs"/>
                </a:rPr>
                <a:t>)</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136250</xdr:colOff>
      <xdr:row>75</xdr:row>
      <xdr:rowOff>84068</xdr:rowOff>
    </xdr:from>
    <xdr:ext cx="3108736" cy="464551"/>
    <mc:AlternateContent xmlns:mc="http://schemas.openxmlformats.org/markup-compatibility/2006" xmlns:a14="http://schemas.microsoft.com/office/drawing/2010/main">
      <mc:Choice Requires="a14">
        <xdr:sp macro="" textlink="">
          <xdr:nvSpPr>
            <xdr:cNvPr id="86" name="CasellaDiTesto 85">
              <a:extLst>
                <a:ext uri="{FF2B5EF4-FFF2-40B4-BE49-F238E27FC236}">
                  <a16:creationId xmlns:a16="http://schemas.microsoft.com/office/drawing/2014/main" id="{2B10DC28-B61A-4C3D-9DC3-B07E5D6B9949}"/>
                </a:ext>
              </a:extLst>
            </xdr:cNvPr>
            <xdr:cNvSpPr txBox="1"/>
          </xdr:nvSpPr>
          <xdr:spPr>
            <a:xfrm>
              <a:off x="7861025" y="17429093"/>
              <a:ext cx="3108736" cy="46455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sub>
                    </m:sSub>
                    <m:r>
                      <a:rPr lang="en-US" sz="1100" b="0" i="1">
                        <a:solidFill>
                          <a:sysClr val="windowText" lastClr="000000"/>
                        </a:solidFill>
                        <a:effectLst/>
                        <a:latin typeface="Cambria Math" panose="02040503050406030204" pitchFamily="18" charset="0"/>
                        <a:ea typeface="+mn-ea"/>
                        <a:cs typeface="+mn-cs"/>
                      </a:rPr>
                      <m:t>=</m:t>
                    </m:r>
                    <m:f>
                      <m:fPr>
                        <m:ctrlPr>
                          <a:rPr lang="en-US"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1−</m:t>
                        </m:r>
                        <m:sSup>
                          <m:sSupPr>
                            <m:ctrlPr>
                              <a:rPr lang="it-IT" sz="1100" b="0" i="1">
                                <a:solidFill>
                                  <a:sysClr val="windowText" lastClr="000000"/>
                                </a:solidFill>
                                <a:effectLst/>
                                <a:latin typeface="Cambria Math" panose="02040503050406030204" pitchFamily="18" charset="0"/>
                                <a:ea typeface="+mn-ea"/>
                                <a:cs typeface="+mn-cs"/>
                              </a:rPr>
                            </m:ctrlPr>
                          </m:sSupPr>
                          <m:e>
                            <m:r>
                              <a:rPr lang="it-IT" sz="1100" b="0" i="1">
                                <a:solidFill>
                                  <a:sysClr val="windowText" lastClr="000000"/>
                                </a:solidFill>
                                <a:effectLst/>
                                <a:latin typeface="Cambria Math" panose="02040503050406030204" pitchFamily="18" charset="0"/>
                                <a:ea typeface="+mn-ea"/>
                                <a:cs typeface="+mn-cs"/>
                              </a:rPr>
                              <m:t>𝑒</m:t>
                            </m:r>
                          </m:e>
                          <m:sup>
                            <m:r>
                              <a:rPr lang="it-IT" sz="1100" b="0" i="1">
                                <a:solidFill>
                                  <a:sysClr val="windowText" lastClr="000000"/>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𝑁𝑇</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𝑈</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d>
                              <m:dPr>
                                <m:ctrlPr>
                                  <a:rPr lang="it-IT" sz="1100" b="0" i="1">
                                    <a:solidFill>
                                      <a:schemeClr val="tx1"/>
                                    </a:solidFill>
                                    <a:effectLst/>
                                    <a:latin typeface="Cambria Math" panose="02040503050406030204" pitchFamily="18" charset="0"/>
                                    <a:ea typeface="Cambria Math" panose="02040503050406030204" pitchFamily="18" charset="0"/>
                                    <a:cs typeface="+mn-cs"/>
                                  </a:rPr>
                                </m:ctrlPr>
                              </m:dPr>
                              <m:e>
                                <m:r>
                                  <a:rPr lang="it-IT" sz="1100" b="0" i="1">
                                    <a:solidFill>
                                      <a:schemeClr val="tx1"/>
                                    </a:solidFill>
                                    <a:effectLst/>
                                    <a:latin typeface="Cambria Math" panose="02040503050406030204" pitchFamily="18" charset="0"/>
                                    <a:ea typeface="Cambria Math" panose="02040503050406030204" pitchFamily="18" charset="0"/>
                                    <a:cs typeface="+mn-cs"/>
                                  </a:rPr>
                                  <m:t>1−</m:t>
                                </m:r>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−1</m:t>
                                    </m:r>
                                  </m:sub>
                                  <m:sup>
                                    <m:r>
                                      <a:rPr lang="it-IT" sz="1100" b="0" i="1">
                                        <a:solidFill>
                                          <a:schemeClr val="tx1"/>
                                        </a:solidFill>
                                        <a:effectLst/>
                                        <a:latin typeface="Cambria Math" panose="02040503050406030204" pitchFamily="18" charset="0"/>
                                        <a:ea typeface="+mn-ea"/>
                                        <a:cs typeface="+mn-cs"/>
                                      </a:rPr>
                                      <m:t>∗</m:t>
                                    </m:r>
                                  </m:sup>
                                </m:sSubSup>
                              </m:e>
                            </m:d>
                          </m:sup>
                        </m:sSup>
                      </m:num>
                      <m:den>
                        <m:r>
                          <a:rPr lang="it-IT" sz="1100" b="0" i="1">
                            <a:solidFill>
                              <a:schemeClr val="tx1"/>
                            </a:solidFill>
                            <a:effectLst/>
                            <a:latin typeface="Cambria Math" panose="02040503050406030204" pitchFamily="18" charset="0"/>
                            <a:ea typeface="+mn-ea"/>
                            <a:cs typeface="+mn-cs"/>
                          </a:rPr>
                          <m:t>1−</m:t>
                        </m:r>
                        <m:sSup>
                          <m:sSupPr>
                            <m:ctrlPr>
                              <a:rPr lang="it-IT" sz="1100" b="0" i="1">
                                <a:solidFill>
                                  <a:schemeClr val="tx1"/>
                                </a:solidFill>
                                <a:effectLst/>
                                <a:latin typeface="Cambria Math" panose="02040503050406030204" pitchFamily="18" charset="0"/>
                                <a:ea typeface="+mn-ea"/>
                                <a:cs typeface="+mn-cs"/>
                              </a:rPr>
                            </m:ctrlPr>
                          </m:sSupPr>
                          <m:e>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−1</m:t>
                                </m:r>
                              </m:sub>
                              <m:sup>
                                <m:r>
                                  <a:rPr lang="it-IT" sz="1100" b="0" i="1">
                                    <a:solidFill>
                                      <a:schemeClr val="tx1"/>
                                    </a:solidFill>
                                    <a:effectLst/>
                                    <a:latin typeface="Cambria Math" panose="02040503050406030204" pitchFamily="18" charset="0"/>
                                    <a:ea typeface="+mn-ea"/>
                                    <a:cs typeface="+mn-cs"/>
                                  </a:rPr>
                                  <m:t>∗</m:t>
                                </m:r>
                              </m:sup>
                            </m:sSubSup>
                            <m:r>
                              <a:rPr lang="it-IT" sz="1100" b="0" i="1">
                                <a:solidFill>
                                  <a:schemeClr val="tx1"/>
                                </a:solidFill>
                                <a:effectLst/>
                                <a:latin typeface="Cambria Math" panose="02040503050406030204" pitchFamily="18" charset="0"/>
                                <a:ea typeface="Cambria Math" panose="02040503050406030204" pitchFamily="18" charset="0"/>
                                <a:cs typeface="+mn-cs"/>
                              </a:rPr>
                              <m:t>∙</m:t>
                            </m:r>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𝑁𝑇</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𝑈</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sub>
                            </m:sSub>
                            <m:r>
                              <a:rPr lang="it-IT" sz="1100" b="0" i="1">
                                <a:solidFill>
                                  <a:schemeClr val="tx1"/>
                                </a:solidFill>
                                <a:effectLst/>
                                <a:latin typeface="Cambria Math" panose="02040503050406030204" pitchFamily="18" charset="0"/>
                                <a:ea typeface="+mn-ea"/>
                                <a:cs typeface="+mn-cs"/>
                              </a:rPr>
                              <m:t>∙</m:t>
                            </m:r>
                            <m:d>
                              <m:dPr>
                                <m:ctrlPr>
                                  <a:rPr lang="it-IT" sz="1100" b="0" i="1">
                                    <a:solidFill>
                                      <a:schemeClr val="tx1"/>
                                    </a:solidFill>
                                    <a:effectLst/>
                                    <a:latin typeface="Cambria Math" panose="02040503050406030204" pitchFamily="18" charset="0"/>
                                    <a:ea typeface="+mn-ea"/>
                                    <a:cs typeface="+mn-cs"/>
                                  </a:rPr>
                                </m:ctrlPr>
                              </m:dPr>
                              <m:e>
                                <m:r>
                                  <a:rPr lang="it-IT" sz="1100" b="0" i="1">
                                    <a:solidFill>
                                      <a:schemeClr val="tx1"/>
                                    </a:solidFill>
                                    <a:effectLst/>
                                    <a:latin typeface="Cambria Math" panose="02040503050406030204" pitchFamily="18" charset="0"/>
                                    <a:ea typeface="+mn-ea"/>
                                    <a:cs typeface="+mn-cs"/>
                                  </a:rPr>
                                  <m:t>1−</m:t>
                                </m:r>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−1</m:t>
                                    </m:r>
                                  </m:sub>
                                  <m:sup>
                                    <m:r>
                                      <a:rPr lang="it-IT" sz="1100" b="0" i="1">
                                        <a:solidFill>
                                          <a:schemeClr val="tx1"/>
                                        </a:solidFill>
                                        <a:effectLst/>
                                        <a:latin typeface="Cambria Math" panose="02040503050406030204" pitchFamily="18" charset="0"/>
                                        <a:ea typeface="+mn-ea"/>
                                        <a:cs typeface="+mn-cs"/>
                                      </a:rPr>
                                      <m:t>∗</m:t>
                                    </m:r>
                                  </m:sup>
                                </m:sSubSup>
                              </m:e>
                            </m:d>
                          </m:sup>
                        </m:sSup>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86" name="CasellaDiTesto 85">
              <a:extLst>
                <a:ext uri="{FF2B5EF4-FFF2-40B4-BE49-F238E27FC236}">
                  <a16:creationId xmlns:a16="http://schemas.microsoft.com/office/drawing/2014/main" id="{2B10DC28-B61A-4C3D-9DC3-B07E5D6B9949}"/>
                </a:ext>
              </a:extLst>
            </xdr:cNvPr>
            <xdr:cNvSpPr txBox="1"/>
          </xdr:nvSpPr>
          <xdr:spPr>
            <a:xfrm>
              <a:off x="7861025" y="17429093"/>
              <a:ext cx="3108736" cy="46455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n-US" sz="1100" b="0" i="0">
                  <a:solidFill>
                    <a:schemeClr val="tx1"/>
                  </a:solidFill>
                  <a:effectLst/>
                  <a:latin typeface="Cambria Math" panose="02040503050406030204" pitchFamily="18" charset="0"/>
                  <a:ea typeface="+mn-ea"/>
                  <a:cs typeface="+mn-cs"/>
                </a:rPr>
                <a:t>𝜂</a:t>
              </a:r>
              <a:r>
                <a:rPr lang="it-IT" sz="1100" b="0" i="0">
                  <a:solidFill>
                    <a:schemeClr val="tx1"/>
                  </a:solidFill>
                  <a:effectLst/>
                  <a:latin typeface="Cambria Math" panose="02040503050406030204" pitchFamily="18" charset="0"/>
                  <a:ea typeface="+mn-ea"/>
                  <a:cs typeface="+mn-cs"/>
                </a:rPr>
                <a:t>_(𝑤𝑤ℎ𝑟;𝑐𝑖;𝑖)</a:t>
              </a:r>
              <a:r>
                <a:rPr lang="en-US" sz="1100" b="0" i="0">
                  <a:solidFill>
                    <a:sysClr val="windowText" lastClr="000000"/>
                  </a:solidFill>
                  <a:effectLst/>
                  <a:latin typeface="Cambria Math" panose="02040503050406030204" pitchFamily="18" charset="0"/>
                  <a:ea typeface="+mn-ea"/>
                  <a:cs typeface="+mn-cs"/>
                </a:rPr>
                <a:t>=(</a:t>
              </a:r>
              <a:r>
                <a:rPr lang="it-IT" sz="1100" b="0" i="0">
                  <a:solidFill>
                    <a:sysClr val="windowText" lastClr="000000"/>
                  </a:solidFill>
                  <a:effectLst/>
                  <a:latin typeface="Cambria Math" panose="02040503050406030204" pitchFamily="18" charset="0"/>
                  <a:ea typeface="+mn-ea"/>
                  <a:cs typeface="+mn-cs"/>
                </a:rPr>
                <a:t>1−𝑒^(−</a:t>
              </a:r>
              <a:r>
                <a:rPr lang="it-IT" sz="1100" b="0" i="0">
                  <a:solidFill>
                    <a:schemeClr val="tx1"/>
                  </a:solidFill>
                  <a:effectLst/>
                  <a:latin typeface="Cambria Math" panose="02040503050406030204" pitchFamily="18" charset="0"/>
                  <a:ea typeface="+mn-ea"/>
                  <a:cs typeface="+mn-cs"/>
                </a:rPr>
                <a:t>𝑁𝑇𝑈_(𝑤𝑤ℎ𝑟;𝑖)</a:t>
              </a:r>
              <a:r>
                <a:rPr lang="it-IT" sz="1100" b="0" i="0">
                  <a:solidFill>
                    <a:schemeClr val="tx1"/>
                  </a:solidFill>
                  <a:effectLst/>
                  <a:latin typeface="Cambria Math" panose="02040503050406030204" pitchFamily="18" charset="0"/>
                  <a:ea typeface="Cambria Math" panose="02040503050406030204" pitchFamily="18" charset="0"/>
                  <a:cs typeface="+mn-cs"/>
                </a:rPr>
                <a:t>∙(1−</a:t>
              </a:r>
              <a:r>
                <a:rPr lang="it-IT" sz="1100" b="0" i="0">
                  <a:solidFill>
                    <a:schemeClr val="tx1"/>
                  </a:solidFill>
                  <a:effectLst/>
                  <a:latin typeface="Cambria Math" panose="02040503050406030204" pitchFamily="18" charset="0"/>
                  <a:ea typeface="+mn-ea"/>
                  <a:cs typeface="+mn-cs"/>
                </a:rPr>
                <a:t>𝐶_(𝑤𝑤ℎ𝑟,𝑖−1)^∗ ) </a:t>
              </a:r>
              <a:r>
                <a:rPr lang="it-IT" sz="1100" b="0" i="0">
                  <a:solidFill>
                    <a:sysClr val="windowText" lastClr="000000"/>
                  </a:solidFill>
                  <a:effectLst/>
                  <a:latin typeface="Cambria Math" panose="02040503050406030204" pitchFamily="18" charset="0"/>
                  <a:ea typeface="+mn-ea"/>
                  <a:cs typeface="+mn-cs"/>
                </a:rPr>
                <a:t>)</a:t>
              </a:r>
              <a:r>
                <a:rPr lang="en-US" sz="1100" b="0" i="0">
                  <a:solidFill>
                    <a:sysClr val="windowText" lastClr="000000"/>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1−〖𝐶_(𝑤𝑤ℎ𝑟,𝑖−1)^∗</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𝑒〗^(−𝑁𝑇𝑈_(𝑤𝑤ℎ𝑟;𝑖)∙(1−𝐶_(𝑤𝑤ℎ𝑟,𝑖−1)^∗ ) ) </a:t>
              </a:r>
              <a:r>
                <a:rPr lang="en-US" sz="1100" b="0" i="0">
                  <a:solidFill>
                    <a:sysClr val="windowText" lastClr="000000"/>
                  </a:solidFill>
                  <a:effectLst/>
                  <a:latin typeface="Cambria Math" panose="02040503050406030204" pitchFamily="18" charset="0"/>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95664</xdr:colOff>
      <xdr:row>89</xdr:row>
      <xdr:rowOff>91109</xdr:rowOff>
    </xdr:from>
    <xdr:ext cx="4896277" cy="376642"/>
    <mc:AlternateContent xmlns:mc="http://schemas.openxmlformats.org/markup-compatibility/2006" xmlns:a14="http://schemas.microsoft.com/office/drawing/2010/main">
      <mc:Choice Requires="a14">
        <xdr:sp macro="" textlink="">
          <xdr:nvSpPr>
            <xdr:cNvPr id="87" name="CasellaDiTesto 86">
              <a:extLst>
                <a:ext uri="{FF2B5EF4-FFF2-40B4-BE49-F238E27FC236}">
                  <a16:creationId xmlns:a16="http://schemas.microsoft.com/office/drawing/2014/main" id="{32AB9767-8BCB-4FA0-8032-511B7BBD837F}"/>
                </a:ext>
              </a:extLst>
            </xdr:cNvPr>
            <xdr:cNvSpPr txBox="1"/>
          </xdr:nvSpPr>
          <xdr:spPr>
            <a:xfrm>
              <a:off x="7820439" y="24103634"/>
              <a:ext cx="4896277" cy="37664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𝑤</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𝑟𝑏𝑙</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𝐵</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𝑑𝑟𝑎𝑖𝑛</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𝑑𝑟𝑎𝑤</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den>
                    </m:f>
                    <m:r>
                      <a:rPr lang="en-US" sz="1100" b="0" i="1">
                        <a:solidFill>
                          <a:schemeClr val="tx1"/>
                        </a:solidFill>
                        <a:effectLst/>
                        <a:latin typeface="Cambria Math" panose="02040503050406030204" pitchFamily="18" charset="0"/>
                        <a:ea typeface="Cambria Math" panose="02040503050406030204" pitchFamily="18" charset="0"/>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𝑑𝑖𝑠</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𝑑𝑟𝑎𝑤</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𝑑𝑖𝑠</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sub>
                        </m:sSub>
                        <m:r>
                          <a:rPr lang="it-IT" sz="1100" b="0" i="1">
                            <a:solidFill>
                              <a:schemeClr val="tx1"/>
                            </a:solidFill>
                            <a:effectLst/>
                            <a:latin typeface="Cambria Math" panose="02040503050406030204" pitchFamily="18" charset="0"/>
                            <a:ea typeface="+mn-ea"/>
                            <a:cs typeface="+mn-cs"/>
                          </a:rPr>
                          <m:t>∙</m:t>
                        </m:r>
                        <m:d>
                          <m:dPr>
                            <m:ctrlPr>
                              <a:rPr lang="it-IT" sz="1100" b="0" i="1">
                                <a:solidFill>
                                  <a:schemeClr val="tx1"/>
                                </a:solidFill>
                                <a:effectLst/>
                                <a:latin typeface="Cambria Math" panose="02040503050406030204" pitchFamily="18" charset="0"/>
                                <a:ea typeface="+mn-ea"/>
                                <a:cs typeface="+mn-cs"/>
                              </a:rPr>
                            </m:ctrlPr>
                          </m:dPr>
                          <m:e>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𝑑𝑟𝑎𝑖𝑛</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e>
                        </m:d>
                      </m:den>
                    </m:f>
                  </m:oMath>
                </m:oMathPara>
              </a14:m>
              <a:endParaRPr lang="en-US" sz="1100" b="0" i="1">
                <a:solidFill>
                  <a:schemeClr val="tx1"/>
                </a:solidFill>
                <a:effectLst/>
                <a:latin typeface="+mn-lt"/>
                <a:ea typeface="+mn-ea"/>
                <a:cs typeface="+mn-cs"/>
              </a:endParaRPr>
            </a:p>
          </xdr:txBody>
        </xdr:sp>
      </mc:Choice>
      <mc:Fallback xmlns="">
        <xdr:sp macro="" textlink="">
          <xdr:nvSpPr>
            <xdr:cNvPr id="87" name="CasellaDiTesto 86">
              <a:extLst>
                <a:ext uri="{FF2B5EF4-FFF2-40B4-BE49-F238E27FC236}">
                  <a16:creationId xmlns:a16="http://schemas.microsoft.com/office/drawing/2014/main" id="{32AB9767-8BCB-4FA0-8032-511B7BBD837F}"/>
                </a:ext>
              </a:extLst>
            </xdr:cNvPr>
            <xdr:cNvSpPr txBox="1"/>
          </xdr:nvSpPr>
          <xdr:spPr>
            <a:xfrm>
              <a:off x="7820439" y="24103634"/>
              <a:ext cx="4896277" cy="37664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𝑤_(𝑤𝑤ℎ𝑟;𝑟𝑏𝑙;𝐵,𝑐𝑖)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𝜃_(𝑊;𝑑𝑟𝑎𝑖𝑛)−𝜃_(𝑊;𝑐𝑜𝑙𝑑,𝑐𝑖)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𝜃_(𝑊;𝑑𝑟𝑎𝑤)−𝜃_(𝑊;𝑐𝑜𝑙𝑑,𝑐𝑖)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𝜃_(𝑊;𝑑𝑖𝑠,𝑐𝑖)−𝜃_(𝑊;𝑑𝑟𝑎𝑤)</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𝜃_(𝑊;𝑑𝑖𝑠,𝑐𝑖)−</a:t>
              </a:r>
              <a:r>
                <a:rPr lang="en-US" sz="1100" b="0" i="0">
                  <a:solidFill>
                    <a:schemeClr val="tx1"/>
                  </a:solidFill>
                  <a:effectLst/>
                  <a:latin typeface="Cambria Math" panose="02040503050406030204" pitchFamily="18" charset="0"/>
                  <a:ea typeface="+mn-ea"/>
                  <a:cs typeface="+mn-cs"/>
                </a:rPr>
                <a:t>𝜂</a:t>
              </a:r>
              <a:r>
                <a:rPr lang="it-IT" sz="1100" b="0" i="0">
                  <a:solidFill>
                    <a:schemeClr val="tx1"/>
                  </a:solidFill>
                  <a:effectLst/>
                  <a:latin typeface="Cambria Math" panose="02040503050406030204" pitchFamily="18" charset="0"/>
                  <a:ea typeface="+mn-ea"/>
                  <a:cs typeface="+mn-cs"/>
                </a:rPr>
                <a:t>_(𝑤𝑤ℎ𝑟;𝑐𝑖;𝑖)∙(𝜃_(𝑊;𝑑𝑟𝑎𝑖𝑛)−𝜃_(𝑊;𝑐𝑜𝑙𝑑,𝑐𝑖) ) </a:t>
              </a:r>
              <a:r>
                <a:rPr lang="en-US" sz="1100" b="0" i="0">
                  <a:solidFill>
                    <a:schemeClr val="tx1"/>
                  </a:solidFill>
                  <a:effectLst/>
                  <a:latin typeface="Cambria Math" panose="02040503050406030204" pitchFamily="18" charset="0"/>
                  <a:ea typeface="+mn-ea"/>
                  <a:cs typeface="+mn-cs"/>
                </a:rPr>
                <a:t>)</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161511</xdr:colOff>
      <xdr:row>89</xdr:row>
      <xdr:rowOff>596348</xdr:rowOff>
    </xdr:from>
    <xdr:ext cx="2727285" cy="361061"/>
    <mc:AlternateContent xmlns:mc="http://schemas.openxmlformats.org/markup-compatibility/2006" xmlns:a14="http://schemas.microsoft.com/office/drawing/2010/main">
      <mc:Choice Requires="a14">
        <xdr:sp macro="" textlink="">
          <xdr:nvSpPr>
            <xdr:cNvPr id="88" name="CasellaDiTesto 87">
              <a:extLst>
                <a:ext uri="{FF2B5EF4-FFF2-40B4-BE49-F238E27FC236}">
                  <a16:creationId xmlns:a16="http://schemas.microsoft.com/office/drawing/2014/main" id="{EA0988D9-8B85-46EB-BFAA-C0AB87BE7638}"/>
                </a:ext>
              </a:extLst>
            </xdr:cNvPr>
            <xdr:cNvSpPr txBox="1"/>
          </xdr:nvSpPr>
          <xdr:spPr>
            <a:xfrm>
              <a:off x="7886286" y="24608873"/>
              <a:ext cx="2727285" cy="36106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𝑤</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𝑟𝑏𝑙</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𝐵</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𝑑𝑟𝑎𝑖𝑛</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𝑑𝑟𝑎𝑤</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den>
                    </m:f>
                    <m:r>
                      <a:rPr lang="en-US" sz="1100" b="0" i="1">
                        <a:solidFill>
                          <a:schemeClr val="tx1"/>
                        </a:solidFill>
                        <a:effectLst/>
                        <a:latin typeface="Cambria Math" panose="02040503050406030204" pitchFamily="18" charset="0"/>
                        <a:ea typeface="Cambria Math" panose="02040503050406030204" pitchFamily="18" charset="0"/>
                        <a:cs typeface="+mn-cs"/>
                      </a:rPr>
                      <m:t>∙</m:t>
                    </m:r>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,5</m:t>
                        </m:r>
                      </m:sub>
                      <m:sup>
                        <m:r>
                          <a:rPr lang="it-IT" sz="1100" b="0" i="1">
                            <a:solidFill>
                              <a:schemeClr val="tx1"/>
                            </a:solidFill>
                            <a:effectLst/>
                            <a:latin typeface="Cambria Math" panose="02040503050406030204" pitchFamily="18" charset="0"/>
                            <a:ea typeface="+mn-ea"/>
                            <a:cs typeface="+mn-cs"/>
                          </a:rPr>
                          <m:t>∗</m:t>
                        </m:r>
                      </m:sup>
                    </m:sSubSup>
                  </m:oMath>
                </m:oMathPara>
              </a14:m>
              <a:endParaRPr lang="en-US" sz="1100" b="0" i="1">
                <a:solidFill>
                  <a:schemeClr val="tx1"/>
                </a:solidFill>
                <a:effectLst/>
                <a:latin typeface="+mn-lt"/>
                <a:ea typeface="+mn-ea"/>
                <a:cs typeface="+mn-cs"/>
              </a:endParaRPr>
            </a:p>
          </xdr:txBody>
        </xdr:sp>
      </mc:Choice>
      <mc:Fallback xmlns="">
        <xdr:sp macro="" textlink="">
          <xdr:nvSpPr>
            <xdr:cNvPr id="88" name="CasellaDiTesto 87">
              <a:extLst>
                <a:ext uri="{FF2B5EF4-FFF2-40B4-BE49-F238E27FC236}">
                  <a16:creationId xmlns:a16="http://schemas.microsoft.com/office/drawing/2014/main" id="{EA0988D9-8B85-46EB-BFAA-C0AB87BE7638}"/>
                </a:ext>
              </a:extLst>
            </xdr:cNvPr>
            <xdr:cNvSpPr txBox="1"/>
          </xdr:nvSpPr>
          <xdr:spPr>
            <a:xfrm>
              <a:off x="7886286" y="24608873"/>
              <a:ext cx="2727285" cy="36106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𝑤_(𝑤𝑤ℎ𝑟;𝑟𝑏𝑙;𝐵,𝑐𝑖)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𝜃_(𝑊;𝑑𝑟𝑎𝑖𝑛)−𝜃_(𝑊;𝑐𝑜𝑙𝑑,𝑐𝑖)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𝜃_(𝑊;𝑑𝑟𝑎𝑤)−𝜃_(𝑊;𝑐𝑜𝑙𝑑,𝑐𝑖)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𝐶_(𝑤𝑤ℎ𝑟,5)^∗</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198782</xdr:colOff>
      <xdr:row>115</xdr:row>
      <xdr:rowOff>16565</xdr:rowOff>
    </xdr:from>
    <xdr:ext cx="2062809" cy="361061"/>
    <mc:AlternateContent xmlns:mc="http://schemas.openxmlformats.org/markup-compatibility/2006" xmlns:a14="http://schemas.microsoft.com/office/drawing/2010/main">
      <mc:Choice Requires="a14">
        <xdr:sp macro="" textlink="">
          <xdr:nvSpPr>
            <xdr:cNvPr id="89" name="CasellaDiTesto 88">
              <a:extLst>
                <a:ext uri="{FF2B5EF4-FFF2-40B4-BE49-F238E27FC236}">
                  <a16:creationId xmlns:a16="http://schemas.microsoft.com/office/drawing/2014/main" id="{9EA95D9F-4D9D-46F7-8055-89B42F50BA20}"/>
                </a:ext>
              </a:extLst>
            </xdr:cNvPr>
            <xdr:cNvSpPr txBox="1"/>
          </xdr:nvSpPr>
          <xdr:spPr>
            <a:xfrm>
              <a:off x="8114057" y="28943990"/>
              <a:ext cx="2062809" cy="361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𝑘</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𝑠𝑒𝑐</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𝑑𝑟𝑎𝑤</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𝑑𝑖𝑠</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den>
                    </m:f>
                  </m:oMath>
                </m:oMathPara>
              </a14:m>
              <a:endParaRPr lang="en-US" sz="1100" b="0" i="1">
                <a:solidFill>
                  <a:schemeClr val="tx1"/>
                </a:solidFill>
                <a:effectLst/>
                <a:latin typeface="+mn-lt"/>
                <a:ea typeface="+mn-ea"/>
                <a:cs typeface="+mn-cs"/>
              </a:endParaRPr>
            </a:p>
          </xdr:txBody>
        </xdr:sp>
      </mc:Choice>
      <mc:Fallback xmlns="">
        <xdr:sp macro="" textlink="">
          <xdr:nvSpPr>
            <xdr:cNvPr id="89" name="CasellaDiTesto 88">
              <a:extLst>
                <a:ext uri="{FF2B5EF4-FFF2-40B4-BE49-F238E27FC236}">
                  <a16:creationId xmlns:a16="http://schemas.microsoft.com/office/drawing/2014/main" id="{9EA95D9F-4D9D-46F7-8055-89B42F50BA20}"/>
                </a:ext>
              </a:extLst>
            </xdr:cNvPr>
            <xdr:cNvSpPr txBox="1"/>
          </xdr:nvSpPr>
          <xdr:spPr>
            <a:xfrm>
              <a:off x="8114057" y="28943990"/>
              <a:ext cx="2062809" cy="361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𝑘_(𝑤𝑤ℎ𝑟;𝑠𝑒𝑐;𝐶)</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𝜃_(𝑊;𝑑𝑟𝑎𝑤)−𝜃_(𝑊;𝑐𝑜𝑙𝑑,𝑐𝑖)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𝜃_(𝑊;𝑑𝑖𝑠,𝑐𝑖)−𝜃_(𝑊;𝑐𝑜𝑙𝑑,𝑐𝑖) </a:t>
              </a:r>
              <a:r>
                <a:rPr lang="en-US" sz="1100" b="0" i="0">
                  <a:solidFill>
                    <a:schemeClr val="tx1"/>
                  </a:solidFill>
                  <a:effectLst/>
                  <a:latin typeface="Cambria Math" panose="02040503050406030204" pitchFamily="18" charset="0"/>
                  <a:ea typeface="+mn-ea"/>
                  <a:cs typeface="+mn-cs"/>
                </a:rPr>
                <a:t>)</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278954</xdr:colOff>
      <xdr:row>114</xdr:row>
      <xdr:rowOff>78815</xdr:rowOff>
    </xdr:from>
    <xdr:ext cx="1660968" cy="331437"/>
    <mc:AlternateContent xmlns:mc="http://schemas.openxmlformats.org/markup-compatibility/2006" xmlns:a14="http://schemas.microsoft.com/office/drawing/2010/main">
      <mc:Choice Requires="a14">
        <xdr:sp macro="" textlink="">
          <xdr:nvSpPr>
            <xdr:cNvPr id="90" name="CasellaDiTesto 89">
              <a:extLst>
                <a:ext uri="{FF2B5EF4-FFF2-40B4-BE49-F238E27FC236}">
                  <a16:creationId xmlns:a16="http://schemas.microsoft.com/office/drawing/2014/main" id="{84F2D9B3-A6CC-4A60-AB24-E517C8B8A590}"/>
                </a:ext>
              </a:extLst>
            </xdr:cNvPr>
            <xdr:cNvSpPr txBox="1"/>
          </xdr:nvSpPr>
          <xdr:spPr>
            <a:xfrm>
              <a:off x="7998345" y="29614598"/>
              <a:ext cx="1660968" cy="33143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it-IT" sz="1100" b="0" i="1">
                        <a:solidFill>
                          <a:sysClr val="windowText" lastClr="000000"/>
                        </a:solidFill>
                        <a:effectLst/>
                        <a:latin typeface="Cambria Math" panose="02040503050406030204" pitchFamily="18" charset="0"/>
                        <a:ea typeface="+mn-ea"/>
                        <a:cs typeface="+mn-cs"/>
                      </a:rPr>
                      <m:t>𝑁𝑇</m:t>
                    </m:r>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𝑈</m:t>
                        </m:r>
                      </m:e>
                      <m:sub>
                        <m:r>
                          <a:rPr lang="it-IT" sz="1100" b="0" i="1">
                            <a:solidFill>
                              <a:sysClr val="windowText" lastClr="000000"/>
                            </a:solidFill>
                            <a:effectLst/>
                            <a:latin typeface="Cambria Math" panose="02040503050406030204" pitchFamily="18" charset="0"/>
                            <a:ea typeface="+mn-ea"/>
                            <a:cs typeface="+mn-cs"/>
                          </a:rPr>
                          <m:t>𝑤𝑤h𝑟</m:t>
                        </m:r>
                        <m:r>
                          <a:rPr lang="it-IT" sz="1100" b="0" i="1">
                            <a:solidFill>
                              <a:sysClr val="windowText" lastClr="000000"/>
                            </a:solidFill>
                            <a:effectLst/>
                            <a:latin typeface="Cambria Math" panose="02040503050406030204" pitchFamily="18" charset="0"/>
                            <a:ea typeface="+mn-ea"/>
                            <a:cs typeface="+mn-cs"/>
                          </a:rPr>
                          <m:t>;0</m:t>
                        </m:r>
                      </m:sub>
                    </m:sSub>
                    <m:r>
                      <a:rPr lang="en-US" sz="1100" b="0" i="1">
                        <a:solidFill>
                          <a:sysClr val="windowText" lastClr="000000"/>
                        </a:solidFill>
                        <a:effectLst/>
                        <a:latin typeface="Cambria Math" panose="02040503050406030204" pitchFamily="18" charset="0"/>
                        <a:ea typeface="+mn-ea"/>
                        <a:cs typeface="+mn-cs"/>
                      </a:rPr>
                      <m:t>=</m:t>
                    </m:r>
                    <m:f>
                      <m:fPr>
                        <m:ctrlPr>
                          <a:rPr lang="en-US" sz="1100" b="0" i="1">
                            <a:solidFill>
                              <a:sysClr val="windowText" lastClr="000000"/>
                            </a:solidFill>
                            <a:effectLst/>
                            <a:latin typeface="Cambria Math" panose="02040503050406030204" pitchFamily="18" charset="0"/>
                            <a:ea typeface="+mn-ea"/>
                            <a:cs typeface="+mn-cs"/>
                          </a:rPr>
                        </m:ctrlPr>
                      </m:fPr>
                      <m:num>
                        <m:sSub>
                          <m:sSubPr>
                            <m:ctrlPr>
                              <a:rPr lang="it-IT" sz="1100" b="0" i="1">
                                <a:solidFill>
                                  <a:sysClr val="windowText" lastClr="000000"/>
                                </a:solidFill>
                                <a:effectLst/>
                                <a:latin typeface="Cambria Math" panose="02040503050406030204" pitchFamily="18" charset="0"/>
                                <a:ea typeface="Cambria Math" panose="02040503050406030204" pitchFamily="18" charset="0"/>
                                <a:cs typeface="+mn-cs"/>
                              </a:rPr>
                            </m:ctrlPr>
                          </m:sSubPr>
                          <m:e>
                            <m:r>
                              <a:rPr lang="en-US" sz="1100" b="0" i="1">
                                <a:solidFill>
                                  <a:sysClr val="windowText" lastClr="000000"/>
                                </a:solidFill>
                                <a:effectLst/>
                                <a:latin typeface="Cambria Math" panose="02040503050406030204" pitchFamily="18" charset="0"/>
                                <a:ea typeface="Cambria Math" panose="02040503050406030204" pitchFamily="18" charset="0"/>
                                <a:cs typeface="+mn-cs"/>
                              </a:rPr>
                              <m:t>𝜂</m:t>
                            </m:r>
                          </m:e>
                          <m:sub>
                            <m:r>
                              <a:rPr lang="it-IT" sz="1100" b="0" i="1">
                                <a:solidFill>
                                  <a:sysClr val="windowText" lastClr="000000"/>
                                </a:solidFill>
                                <a:effectLst/>
                                <a:latin typeface="Cambria Math" panose="02040503050406030204" pitchFamily="18" charset="0"/>
                                <a:ea typeface="Cambria Math" panose="02040503050406030204" pitchFamily="18" charset="0"/>
                                <a:cs typeface="+mn-cs"/>
                              </a:rPr>
                              <m:t>𝑤𝑤h𝑟</m:t>
                            </m:r>
                            <m:r>
                              <a:rPr lang="it-IT" sz="1100" b="0" i="1">
                                <a:solidFill>
                                  <a:sysClr val="windowText" lastClr="000000"/>
                                </a:solidFill>
                                <a:effectLst/>
                                <a:latin typeface="Cambria Math" panose="02040503050406030204" pitchFamily="18" charset="0"/>
                                <a:ea typeface="Cambria Math" panose="02040503050406030204" pitchFamily="18" charset="0"/>
                                <a:cs typeface="+mn-cs"/>
                              </a:rPr>
                              <m:t>;</m:t>
                            </m:r>
                            <m:r>
                              <a:rPr lang="it-IT" sz="1100" b="0" i="1">
                                <a:solidFill>
                                  <a:sysClr val="windowText" lastClr="000000"/>
                                </a:solidFill>
                                <a:effectLst/>
                                <a:latin typeface="Cambria Math" panose="02040503050406030204" pitchFamily="18" charset="0"/>
                                <a:ea typeface="Cambria Math" panose="02040503050406030204" pitchFamily="18" charset="0"/>
                                <a:cs typeface="+mn-cs"/>
                              </a:rPr>
                              <m:t>𝑐𝑖</m:t>
                            </m:r>
                            <m:r>
                              <a:rPr lang="it-IT" sz="1100" b="0" i="1">
                                <a:solidFill>
                                  <a:sysClr val="windowText" lastClr="000000"/>
                                </a:solidFill>
                                <a:effectLst/>
                                <a:latin typeface="Cambria Math" panose="02040503050406030204" pitchFamily="18" charset="0"/>
                                <a:ea typeface="Cambria Math" panose="02040503050406030204" pitchFamily="18" charset="0"/>
                                <a:cs typeface="+mn-cs"/>
                              </a:rPr>
                              <m:t>;0</m:t>
                            </m:r>
                          </m:sub>
                        </m:sSub>
                      </m:num>
                      <m:den>
                        <m:r>
                          <a:rPr lang="it-IT" sz="1100" b="0" i="1">
                            <a:solidFill>
                              <a:sysClr val="windowText" lastClr="000000"/>
                            </a:solidFill>
                            <a:effectLst/>
                            <a:latin typeface="Cambria Math" panose="02040503050406030204" pitchFamily="18" charset="0"/>
                            <a:ea typeface="+mn-ea"/>
                            <a:cs typeface="+mn-cs"/>
                          </a:rPr>
                          <m:t>1−</m:t>
                        </m:r>
                        <m:sSub>
                          <m:sSubPr>
                            <m:ctrlPr>
                              <a:rPr lang="it-IT"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r>
                              <a:rPr lang="it-IT" sz="1100" b="0" i="1">
                                <a:solidFill>
                                  <a:schemeClr val="tx1"/>
                                </a:solidFill>
                                <a:effectLst/>
                                <a:latin typeface="Cambria Math" panose="02040503050406030204" pitchFamily="18" charset="0"/>
                                <a:ea typeface="+mn-ea"/>
                                <a:cs typeface="+mn-cs"/>
                              </a:rPr>
                              <m:t>;0</m:t>
                            </m:r>
                          </m:sub>
                        </m:sSub>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90" name="CasellaDiTesto 89">
              <a:extLst>
                <a:ext uri="{FF2B5EF4-FFF2-40B4-BE49-F238E27FC236}">
                  <a16:creationId xmlns:a16="http://schemas.microsoft.com/office/drawing/2014/main" id="{84F2D9B3-A6CC-4A60-AB24-E517C8B8A590}"/>
                </a:ext>
              </a:extLst>
            </xdr:cNvPr>
            <xdr:cNvSpPr txBox="1"/>
          </xdr:nvSpPr>
          <xdr:spPr>
            <a:xfrm>
              <a:off x="7998345" y="29614598"/>
              <a:ext cx="1660968" cy="33143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ysClr val="windowText" lastClr="000000"/>
                  </a:solidFill>
                  <a:effectLst/>
                  <a:latin typeface="Cambria Math" panose="02040503050406030204" pitchFamily="18" charset="0"/>
                  <a:ea typeface="+mn-ea"/>
                  <a:cs typeface="+mn-cs"/>
                </a:rPr>
                <a:t>𝑁𝑇𝑈_(𝑤𝑤ℎ𝑟;0)</a:t>
              </a:r>
              <a:r>
                <a:rPr lang="en-US" sz="1100" b="0" i="0">
                  <a:solidFill>
                    <a:sysClr val="windowText" lastClr="000000"/>
                  </a:solidFill>
                  <a:effectLst/>
                  <a:latin typeface="Cambria Math" panose="02040503050406030204" pitchFamily="18" charset="0"/>
                  <a:ea typeface="+mn-ea"/>
                  <a:cs typeface="+mn-cs"/>
                </a:rPr>
                <a:t>=</a:t>
              </a:r>
              <a:r>
                <a:rPr lang="en-US" sz="1100" b="0" i="0">
                  <a:solidFill>
                    <a:sysClr val="windowText" lastClr="000000"/>
                  </a:solidFill>
                  <a:effectLst/>
                  <a:latin typeface="Cambria Math" panose="02040503050406030204" pitchFamily="18" charset="0"/>
                  <a:ea typeface="Cambria Math" panose="02040503050406030204" pitchFamily="18" charset="0"/>
                  <a:cs typeface="+mn-cs"/>
                </a:rPr>
                <a:t>𝜂</a:t>
              </a:r>
              <a:r>
                <a:rPr lang="it-IT" sz="1100" b="0" i="0">
                  <a:solidFill>
                    <a:sysClr val="windowText" lastClr="000000"/>
                  </a:solidFill>
                  <a:effectLst/>
                  <a:latin typeface="Cambria Math" panose="02040503050406030204" pitchFamily="18" charset="0"/>
                  <a:ea typeface="Cambria Math" panose="02040503050406030204" pitchFamily="18" charset="0"/>
                  <a:cs typeface="+mn-cs"/>
                </a:rPr>
                <a:t>_(𝑤𝑤ℎ𝑟;𝑐𝑖;0)</a:t>
              </a:r>
              <a:r>
                <a:rPr lang="en-US" sz="1100" b="0" i="0">
                  <a:solidFill>
                    <a:sysClr val="windowText" lastClr="000000"/>
                  </a:solidFill>
                  <a:effectLst/>
                  <a:latin typeface="Cambria Math" panose="02040503050406030204" pitchFamily="18" charset="0"/>
                  <a:ea typeface="+mn-ea"/>
                  <a:cs typeface="+mn-cs"/>
                </a:rPr>
                <a:t>/(</a:t>
              </a:r>
              <a:r>
                <a:rPr lang="it-IT" sz="1100" b="0" i="0">
                  <a:solidFill>
                    <a:sysClr val="windowText" lastClr="000000"/>
                  </a:solidFill>
                  <a:effectLst/>
                  <a:latin typeface="Cambria Math" panose="02040503050406030204" pitchFamily="18" charset="0"/>
                  <a:ea typeface="+mn-ea"/>
                  <a:cs typeface="+mn-cs"/>
                </a:rPr>
                <a:t>1−</a:t>
              </a:r>
              <a:r>
                <a:rPr lang="en-US" sz="1100" b="0" i="0">
                  <a:solidFill>
                    <a:schemeClr val="tx1"/>
                  </a:solidFill>
                  <a:effectLst/>
                  <a:latin typeface="Cambria Math" panose="02040503050406030204" pitchFamily="18" charset="0"/>
                  <a:ea typeface="+mn-ea"/>
                  <a:cs typeface="+mn-cs"/>
                </a:rPr>
                <a:t>𝜂</a:t>
              </a:r>
              <a:r>
                <a:rPr lang="it-IT" sz="1100" b="0" i="0">
                  <a:solidFill>
                    <a:schemeClr val="tx1"/>
                  </a:solidFill>
                  <a:effectLst/>
                  <a:latin typeface="Cambria Math" panose="02040503050406030204" pitchFamily="18" charset="0"/>
                  <a:ea typeface="+mn-ea"/>
                  <a:cs typeface="+mn-cs"/>
                </a:rPr>
                <a:t>_(𝑤𝑤ℎ𝑟;𝑐𝑖;0) </a:t>
              </a:r>
              <a:r>
                <a:rPr lang="en-US" sz="1100" b="0" i="0">
                  <a:solidFill>
                    <a:sysClr val="windowText" lastClr="000000"/>
                  </a:solidFill>
                  <a:effectLst/>
                  <a:latin typeface="Cambria Math" panose="02040503050406030204" pitchFamily="18" charset="0"/>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273326</xdr:colOff>
      <xdr:row>116</xdr:row>
      <xdr:rowOff>124240</xdr:rowOff>
    </xdr:from>
    <xdr:ext cx="1307987" cy="183063"/>
    <mc:AlternateContent xmlns:mc="http://schemas.openxmlformats.org/markup-compatibility/2006" xmlns:a14="http://schemas.microsoft.com/office/drawing/2010/main">
      <mc:Choice Requires="a14">
        <xdr:sp macro="" textlink="">
          <xdr:nvSpPr>
            <xdr:cNvPr id="91" name="CasellaDiTesto 90">
              <a:extLst>
                <a:ext uri="{FF2B5EF4-FFF2-40B4-BE49-F238E27FC236}">
                  <a16:creationId xmlns:a16="http://schemas.microsoft.com/office/drawing/2014/main" id="{DC1DD791-552B-4E0F-91E2-93F3394D3071}"/>
                </a:ext>
              </a:extLst>
            </xdr:cNvPr>
            <xdr:cNvSpPr txBox="1"/>
          </xdr:nvSpPr>
          <xdr:spPr>
            <a:xfrm>
              <a:off x="7992717" y="31623001"/>
              <a:ext cx="1307987" cy="183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up>
                        <m:r>
                          <a:rPr lang="it-IT"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𝑘</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𝑠𝑒𝑐</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Sub>
                  </m:oMath>
                </m:oMathPara>
              </a14:m>
              <a:endParaRPr lang="en-US" sz="1100" b="0" i="1">
                <a:solidFill>
                  <a:schemeClr val="tx1"/>
                </a:solidFill>
                <a:effectLst/>
                <a:latin typeface="+mn-lt"/>
                <a:ea typeface="+mn-ea"/>
                <a:cs typeface="+mn-cs"/>
              </a:endParaRPr>
            </a:p>
          </xdr:txBody>
        </xdr:sp>
      </mc:Choice>
      <mc:Fallback xmlns="">
        <xdr:sp macro="" textlink="">
          <xdr:nvSpPr>
            <xdr:cNvPr id="91" name="CasellaDiTesto 90">
              <a:extLst>
                <a:ext uri="{FF2B5EF4-FFF2-40B4-BE49-F238E27FC236}">
                  <a16:creationId xmlns:a16="http://schemas.microsoft.com/office/drawing/2014/main" id="{DC1DD791-552B-4E0F-91E2-93F3394D3071}"/>
                </a:ext>
              </a:extLst>
            </xdr:cNvPr>
            <xdr:cNvSpPr txBox="1"/>
          </xdr:nvSpPr>
          <xdr:spPr>
            <a:xfrm>
              <a:off x="7992717" y="31623001"/>
              <a:ext cx="1307987" cy="183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mn-lt"/>
                  <a:ea typeface="+mn-ea"/>
                  <a:cs typeface="+mn-cs"/>
                </a:rPr>
                <a:t>𝐶_(𝑤𝑤ℎ𝑟</a:t>
              </a:r>
              <a:r>
                <a:rPr lang="it-IT" sz="1100" b="0" i="0">
                  <a:solidFill>
                    <a:schemeClr val="tx1"/>
                  </a:solidFill>
                  <a:effectLst/>
                  <a:latin typeface="Cambria Math" panose="02040503050406030204" pitchFamily="18" charset="0"/>
                  <a:ea typeface="+mn-ea"/>
                  <a:cs typeface="+mn-cs"/>
                </a:rPr>
                <a:t>;𝐶</a:t>
              </a:r>
              <a:r>
                <a:rPr lang="it-IT"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𝑘_(𝑤𝑤ℎ𝑟;𝑠𝑒𝑐;𝐶)</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115957</xdr:colOff>
      <xdr:row>118</xdr:row>
      <xdr:rowOff>24848</xdr:rowOff>
    </xdr:from>
    <xdr:ext cx="3019032" cy="463781"/>
    <mc:AlternateContent xmlns:mc="http://schemas.openxmlformats.org/markup-compatibility/2006" xmlns:a14="http://schemas.microsoft.com/office/drawing/2010/main">
      <mc:Choice Requires="a14">
        <xdr:sp macro="" textlink="">
          <xdr:nvSpPr>
            <xdr:cNvPr id="92" name="CasellaDiTesto 91">
              <a:extLst>
                <a:ext uri="{FF2B5EF4-FFF2-40B4-BE49-F238E27FC236}">
                  <a16:creationId xmlns:a16="http://schemas.microsoft.com/office/drawing/2014/main" id="{1A3FCE4A-7374-48EB-AC66-F3BA1D21B9B1}"/>
                </a:ext>
              </a:extLst>
            </xdr:cNvPr>
            <xdr:cNvSpPr txBox="1"/>
          </xdr:nvSpPr>
          <xdr:spPr>
            <a:xfrm>
              <a:off x="7835348" y="32492674"/>
              <a:ext cx="3019032" cy="46378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Sub>
                    <m:r>
                      <a:rPr lang="en-US" sz="1100" b="0" i="1">
                        <a:solidFill>
                          <a:sysClr val="windowText" lastClr="000000"/>
                        </a:solidFill>
                        <a:effectLst/>
                        <a:latin typeface="Cambria Math" panose="02040503050406030204" pitchFamily="18" charset="0"/>
                        <a:ea typeface="+mn-ea"/>
                        <a:cs typeface="+mn-cs"/>
                      </a:rPr>
                      <m:t>=</m:t>
                    </m:r>
                    <m:f>
                      <m:fPr>
                        <m:ctrlPr>
                          <a:rPr lang="en-US"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1−</m:t>
                        </m:r>
                        <m:sSup>
                          <m:sSupPr>
                            <m:ctrlPr>
                              <a:rPr lang="it-IT" sz="1100" b="0" i="1">
                                <a:solidFill>
                                  <a:sysClr val="windowText" lastClr="000000"/>
                                </a:solidFill>
                                <a:effectLst/>
                                <a:latin typeface="Cambria Math" panose="02040503050406030204" pitchFamily="18" charset="0"/>
                                <a:ea typeface="+mn-ea"/>
                                <a:cs typeface="+mn-cs"/>
                              </a:rPr>
                            </m:ctrlPr>
                          </m:sSupPr>
                          <m:e>
                            <m:r>
                              <a:rPr lang="it-IT" sz="1100" b="0" i="1">
                                <a:solidFill>
                                  <a:sysClr val="windowText" lastClr="000000"/>
                                </a:solidFill>
                                <a:effectLst/>
                                <a:latin typeface="Cambria Math" panose="02040503050406030204" pitchFamily="18" charset="0"/>
                                <a:ea typeface="+mn-ea"/>
                                <a:cs typeface="+mn-cs"/>
                              </a:rPr>
                              <m:t>𝑒</m:t>
                            </m:r>
                          </m:e>
                          <m:sup>
                            <m:r>
                              <a:rPr lang="it-IT" sz="1100" b="0" i="1">
                                <a:solidFill>
                                  <a:sysClr val="windowText" lastClr="000000"/>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𝑁𝑇</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𝑈</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d>
                              <m:dPr>
                                <m:ctrlPr>
                                  <a:rPr lang="it-IT" sz="1100" b="0" i="1">
                                    <a:solidFill>
                                      <a:schemeClr val="tx1"/>
                                    </a:solidFill>
                                    <a:effectLst/>
                                    <a:latin typeface="Cambria Math" panose="02040503050406030204" pitchFamily="18" charset="0"/>
                                    <a:ea typeface="Cambria Math" panose="02040503050406030204" pitchFamily="18" charset="0"/>
                                    <a:cs typeface="+mn-cs"/>
                                  </a:rPr>
                                </m:ctrlPr>
                              </m:dPr>
                              <m:e>
                                <m:r>
                                  <a:rPr lang="it-IT" sz="1100" b="0" i="1">
                                    <a:solidFill>
                                      <a:schemeClr val="tx1"/>
                                    </a:solidFill>
                                    <a:effectLst/>
                                    <a:latin typeface="Cambria Math" panose="02040503050406030204" pitchFamily="18" charset="0"/>
                                    <a:ea typeface="Cambria Math" panose="02040503050406030204" pitchFamily="18" charset="0"/>
                                    <a:cs typeface="+mn-cs"/>
                                  </a:rPr>
                                  <m:t>1−</m:t>
                                </m:r>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up>
                                    <m:r>
                                      <a:rPr lang="it-IT" sz="1100" b="0" i="1">
                                        <a:solidFill>
                                          <a:schemeClr val="tx1"/>
                                        </a:solidFill>
                                        <a:effectLst/>
                                        <a:latin typeface="Cambria Math" panose="02040503050406030204" pitchFamily="18" charset="0"/>
                                        <a:ea typeface="+mn-ea"/>
                                        <a:cs typeface="+mn-cs"/>
                                      </a:rPr>
                                      <m:t>∗</m:t>
                                    </m:r>
                                  </m:sup>
                                </m:sSubSup>
                              </m:e>
                            </m:d>
                          </m:sup>
                        </m:sSup>
                      </m:num>
                      <m:den>
                        <m:r>
                          <a:rPr lang="it-IT" sz="1100" b="0" i="1">
                            <a:solidFill>
                              <a:schemeClr val="tx1"/>
                            </a:solidFill>
                            <a:effectLst/>
                            <a:latin typeface="Cambria Math" panose="02040503050406030204" pitchFamily="18" charset="0"/>
                            <a:ea typeface="+mn-ea"/>
                            <a:cs typeface="+mn-cs"/>
                          </a:rPr>
                          <m:t>1−</m:t>
                        </m:r>
                        <m:sSup>
                          <m:sSupPr>
                            <m:ctrlPr>
                              <a:rPr lang="it-IT" sz="1100" b="0" i="1">
                                <a:solidFill>
                                  <a:schemeClr val="tx1"/>
                                </a:solidFill>
                                <a:effectLst/>
                                <a:latin typeface="Cambria Math" panose="02040503050406030204" pitchFamily="18" charset="0"/>
                                <a:ea typeface="+mn-ea"/>
                                <a:cs typeface="+mn-cs"/>
                              </a:rPr>
                            </m:ctrlPr>
                          </m:sSupPr>
                          <m:e>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up>
                                <m:r>
                                  <a:rPr lang="it-IT" sz="1100" b="0" i="1">
                                    <a:solidFill>
                                      <a:schemeClr val="tx1"/>
                                    </a:solidFill>
                                    <a:effectLst/>
                                    <a:latin typeface="Cambria Math" panose="02040503050406030204" pitchFamily="18" charset="0"/>
                                    <a:ea typeface="+mn-ea"/>
                                    <a:cs typeface="+mn-cs"/>
                                  </a:rPr>
                                  <m:t>∗</m:t>
                                </m:r>
                              </m:sup>
                            </m:sSubSup>
                            <m:r>
                              <a:rPr lang="it-IT" sz="1100" b="0" i="1">
                                <a:solidFill>
                                  <a:schemeClr val="tx1"/>
                                </a:solidFill>
                                <a:effectLst/>
                                <a:latin typeface="Cambria Math" panose="02040503050406030204" pitchFamily="18" charset="0"/>
                                <a:ea typeface="Cambria Math" panose="02040503050406030204" pitchFamily="18" charset="0"/>
                                <a:cs typeface="+mn-cs"/>
                              </a:rPr>
                              <m:t>∙</m:t>
                            </m:r>
                            <m:r>
                              <a:rPr lang="it-IT" sz="1100" b="0" i="1">
                                <a:solidFill>
                                  <a:schemeClr val="tx1"/>
                                </a:solidFill>
                                <a:effectLst/>
                                <a:latin typeface="Cambria Math" panose="02040503050406030204" pitchFamily="18" charset="0"/>
                                <a:ea typeface="+mn-ea"/>
                                <a:cs typeface="+mn-cs"/>
                              </a:rPr>
                              <m:t>𝑒</m:t>
                            </m:r>
                          </m:e>
                          <m:sup>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𝑁𝑇</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𝑈</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Sub>
                            <m:r>
                              <a:rPr lang="it-IT" sz="1100" b="0" i="1">
                                <a:solidFill>
                                  <a:schemeClr val="tx1"/>
                                </a:solidFill>
                                <a:effectLst/>
                                <a:latin typeface="Cambria Math" panose="02040503050406030204" pitchFamily="18" charset="0"/>
                                <a:ea typeface="+mn-ea"/>
                                <a:cs typeface="+mn-cs"/>
                              </a:rPr>
                              <m:t>∙</m:t>
                            </m:r>
                            <m:d>
                              <m:dPr>
                                <m:ctrlPr>
                                  <a:rPr lang="it-IT" sz="1100" b="0" i="1">
                                    <a:solidFill>
                                      <a:schemeClr val="tx1"/>
                                    </a:solidFill>
                                    <a:effectLst/>
                                    <a:latin typeface="Cambria Math" panose="02040503050406030204" pitchFamily="18" charset="0"/>
                                    <a:ea typeface="+mn-ea"/>
                                    <a:cs typeface="+mn-cs"/>
                                  </a:rPr>
                                </m:ctrlPr>
                              </m:dPr>
                              <m:e>
                                <m:r>
                                  <a:rPr lang="it-IT" sz="1100" b="0" i="1">
                                    <a:solidFill>
                                      <a:schemeClr val="tx1"/>
                                    </a:solidFill>
                                    <a:effectLst/>
                                    <a:latin typeface="Cambria Math" panose="02040503050406030204" pitchFamily="18" charset="0"/>
                                    <a:ea typeface="+mn-ea"/>
                                    <a:cs typeface="+mn-cs"/>
                                  </a:rPr>
                                  <m:t>1−</m:t>
                                </m:r>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up>
                                    <m:r>
                                      <a:rPr lang="it-IT" sz="1100" b="0" i="1">
                                        <a:solidFill>
                                          <a:schemeClr val="tx1"/>
                                        </a:solidFill>
                                        <a:effectLst/>
                                        <a:latin typeface="Cambria Math" panose="02040503050406030204" pitchFamily="18" charset="0"/>
                                        <a:ea typeface="+mn-ea"/>
                                        <a:cs typeface="+mn-cs"/>
                                      </a:rPr>
                                      <m:t>∗</m:t>
                                    </m:r>
                                  </m:sup>
                                </m:sSubSup>
                              </m:e>
                            </m:d>
                          </m:sup>
                        </m:sSup>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92" name="CasellaDiTesto 91">
              <a:extLst>
                <a:ext uri="{FF2B5EF4-FFF2-40B4-BE49-F238E27FC236}">
                  <a16:creationId xmlns:a16="http://schemas.microsoft.com/office/drawing/2014/main" id="{1A3FCE4A-7374-48EB-AC66-F3BA1D21B9B1}"/>
                </a:ext>
              </a:extLst>
            </xdr:cNvPr>
            <xdr:cNvSpPr txBox="1"/>
          </xdr:nvSpPr>
          <xdr:spPr>
            <a:xfrm>
              <a:off x="7835348" y="32492674"/>
              <a:ext cx="3019032" cy="46378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n-US" sz="1100" b="0" i="0">
                  <a:solidFill>
                    <a:schemeClr val="tx1"/>
                  </a:solidFill>
                  <a:effectLst/>
                  <a:latin typeface="Cambria Math" panose="02040503050406030204" pitchFamily="18" charset="0"/>
                  <a:ea typeface="+mn-ea"/>
                  <a:cs typeface="+mn-cs"/>
                </a:rPr>
                <a:t>𝜂</a:t>
              </a:r>
              <a:r>
                <a:rPr lang="it-IT" sz="1100" b="0" i="0">
                  <a:solidFill>
                    <a:schemeClr val="tx1"/>
                  </a:solidFill>
                  <a:effectLst/>
                  <a:latin typeface="Cambria Math" panose="02040503050406030204" pitchFamily="18" charset="0"/>
                  <a:ea typeface="+mn-ea"/>
                  <a:cs typeface="+mn-cs"/>
                </a:rPr>
                <a:t>_(𝑤𝑤ℎ𝑟;𝑐𝑖;𝐶)</a:t>
              </a:r>
              <a:r>
                <a:rPr lang="en-US" sz="1100" b="0" i="0">
                  <a:solidFill>
                    <a:sysClr val="windowText" lastClr="000000"/>
                  </a:solidFill>
                  <a:effectLst/>
                  <a:latin typeface="Cambria Math" panose="02040503050406030204" pitchFamily="18" charset="0"/>
                  <a:ea typeface="+mn-ea"/>
                  <a:cs typeface="+mn-cs"/>
                </a:rPr>
                <a:t>=(</a:t>
              </a:r>
              <a:r>
                <a:rPr lang="it-IT" sz="1100" b="0" i="0">
                  <a:solidFill>
                    <a:sysClr val="windowText" lastClr="000000"/>
                  </a:solidFill>
                  <a:effectLst/>
                  <a:latin typeface="Cambria Math" panose="02040503050406030204" pitchFamily="18" charset="0"/>
                  <a:ea typeface="+mn-ea"/>
                  <a:cs typeface="+mn-cs"/>
                </a:rPr>
                <a:t>1−𝑒^(−</a:t>
              </a:r>
              <a:r>
                <a:rPr lang="it-IT" sz="1100" b="0" i="0">
                  <a:solidFill>
                    <a:schemeClr val="tx1"/>
                  </a:solidFill>
                  <a:effectLst/>
                  <a:latin typeface="Cambria Math" panose="02040503050406030204" pitchFamily="18" charset="0"/>
                  <a:ea typeface="+mn-ea"/>
                  <a:cs typeface="+mn-cs"/>
                </a:rPr>
                <a:t>𝑁𝑇𝑈_(𝑤𝑤ℎ𝑟;𝐶)</a:t>
              </a:r>
              <a:r>
                <a:rPr lang="it-IT" sz="1100" b="0" i="0">
                  <a:solidFill>
                    <a:schemeClr val="tx1"/>
                  </a:solidFill>
                  <a:effectLst/>
                  <a:latin typeface="Cambria Math" panose="02040503050406030204" pitchFamily="18" charset="0"/>
                  <a:ea typeface="Cambria Math" panose="02040503050406030204" pitchFamily="18" charset="0"/>
                  <a:cs typeface="+mn-cs"/>
                </a:rPr>
                <a:t>∙(1−</a:t>
              </a:r>
              <a:r>
                <a:rPr lang="it-IT" sz="1100" b="0" i="0">
                  <a:solidFill>
                    <a:schemeClr val="tx1"/>
                  </a:solidFill>
                  <a:effectLst/>
                  <a:latin typeface="Cambria Math" panose="02040503050406030204" pitchFamily="18" charset="0"/>
                  <a:ea typeface="+mn-ea"/>
                  <a:cs typeface="+mn-cs"/>
                </a:rPr>
                <a:t>𝐶_(𝑤𝑤ℎ𝑟,𝐶)^∗ ) </a:t>
              </a:r>
              <a:r>
                <a:rPr lang="it-IT" sz="1100" b="0" i="0">
                  <a:solidFill>
                    <a:sysClr val="windowText" lastClr="000000"/>
                  </a:solidFill>
                  <a:effectLst/>
                  <a:latin typeface="Cambria Math" panose="02040503050406030204" pitchFamily="18" charset="0"/>
                  <a:ea typeface="+mn-ea"/>
                  <a:cs typeface="+mn-cs"/>
                </a:rPr>
                <a:t>)</a:t>
              </a:r>
              <a:r>
                <a:rPr lang="en-US" sz="1100" b="0" i="0">
                  <a:solidFill>
                    <a:sysClr val="windowText" lastClr="000000"/>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1−〖𝐶_(𝑤𝑤ℎ𝑟,𝐶)^∗</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𝑒〗^(−𝑁𝑇𝑈_(𝑤𝑤ℎ𝑟;𝐶)∙(1−𝐶_(𝑤𝑤ℎ𝑟,𝐶)^∗ ) ) </a:t>
              </a:r>
              <a:r>
                <a:rPr lang="en-US" sz="1100" b="0" i="0">
                  <a:solidFill>
                    <a:sysClr val="windowText" lastClr="000000"/>
                  </a:solidFill>
                  <a:effectLst/>
                  <a:latin typeface="Cambria Math" panose="02040503050406030204" pitchFamily="18" charset="0"/>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240196</xdr:colOff>
      <xdr:row>117</xdr:row>
      <xdr:rowOff>91109</xdr:rowOff>
    </xdr:from>
    <xdr:ext cx="1516633" cy="369140"/>
    <mc:AlternateContent xmlns:mc="http://schemas.openxmlformats.org/markup-compatibility/2006" xmlns:a14="http://schemas.microsoft.com/office/drawing/2010/main">
      <mc:Choice Requires="a14">
        <xdr:sp macro="" textlink="">
          <xdr:nvSpPr>
            <xdr:cNvPr id="93" name="CasellaDiTesto 92">
              <a:extLst>
                <a:ext uri="{FF2B5EF4-FFF2-40B4-BE49-F238E27FC236}">
                  <a16:creationId xmlns:a16="http://schemas.microsoft.com/office/drawing/2014/main" id="{3DD48BF3-0927-466C-8B74-8B125EA54BAC}"/>
                </a:ext>
              </a:extLst>
            </xdr:cNvPr>
            <xdr:cNvSpPr txBox="1"/>
          </xdr:nvSpPr>
          <xdr:spPr>
            <a:xfrm>
              <a:off x="7959587" y="30927261"/>
              <a:ext cx="1516633" cy="36914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it-IT" sz="1100" b="0" i="1">
                        <a:solidFill>
                          <a:sysClr val="windowText" lastClr="000000"/>
                        </a:solidFill>
                        <a:effectLst/>
                        <a:latin typeface="Cambria Math" panose="02040503050406030204" pitchFamily="18" charset="0"/>
                        <a:ea typeface="+mn-ea"/>
                        <a:cs typeface="+mn-cs"/>
                      </a:rPr>
                      <m:t>𝑁𝑇</m:t>
                    </m:r>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𝑈</m:t>
                        </m:r>
                      </m:e>
                      <m:sub>
                        <m:r>
                          <a:rPr lang="it-IT" sz="1100" b="0" i="1">
                            <a:solidFill>
                              <a:sysClr val="windowText" lastClr="000000"/>
                            </a:solidFill>
                            <a:effectLst/>
                            <a:latin typeface="Cambria Math" panose="02040503050406030204" pitchFamily="18" charset="0"/>
                            <a:ea typeface="+mn-ea"/>
                            <a:cs typeface="+mn-cs"/>
                          </a:rPr>
                          <m:t>𝑤𝑤h𝑟</m:t>
                        </m:r>
                        <m:r>
                          <a:rPr lang="it-IT" sz="1100" b="0" i="1">
                            <a:solidFill>
                              <a:sysClr val="windowText" lastClr="000000"/>
                            </a:solidFill>
                            <a:effectLst/>
                            <a:latin typeface="Cambria Math" panose="02040503050406030204" pitchFamily="18" charset="0"/>
                            <a:ea typeface="+mn-ea"/>
                            <a:cs typeface="+mn-cs"/>
                          </a:rPr>
                          <m:t>;</m:t>
                        </m:r>
                        <m:r>
                          <a:rPr lang="it-IT" sz="1100" b="0" i="1">
                            <a:solidFill>
                              <a:sysClr val="windowText" lastClr="000000"/>
                            </a:solidFill>
                            <a:effectLst/>
                            <a:latin typeface="Cambria Math" panose="02040503050406030204" pitchFamily="18" charset="0"/>
                            <a:ea typeface="+mn-ea"/>
                            <a:cs typeface="+mn-cs"/>
                          </a:rPr>
                          <m:t>𝐶</m:t>
                        </m:r>
                      </m:sub>
                    </m:sSub>
                    <m:r>
                      <a:rPr lang="en-US" sz="1100" b="0" i="1">
                        <a:solidFill>
                          <a:sysClr val="windowText" lastClr="000000"/>
                        </a:solidFill>
                        <a:effectLst/>
                        <a:latin typeface="Cambria Math" panose="02040503050406030204" pitchFamily="18" charset="0"/>
                        <a:ea typeface="+mn-ea"/>
                        <a:cs typeface="+mn-cs"/>
                      </a:rPr>
                      <m:t>=</m:t>
                    </m:r>
                    <m:f>
                      <m:fPr>
                        <m:ctrlPr>
                          <a:rPr lang="it-IT" sz="1100" b="0" i="1">
                            <a:solidFill>
                              <a:schemeClr val="tx1"/>
                            </a:solidFill>
                            <a:effectLst/>
                            <a:latin typeface="Cambria Math" panose="02040503050406030204" pitchFamily="18" charset="0"/>
                            <a:ea typeface="Cambria Math" panose="02040503050406030204" pitchFamily="18" charset="0"/>
                            <a:cs typeface="+mn-cs"/>
                          </a:rPr>
                        </m:ctrlPr>
                      </m:fPr>
                      <m:num>
                        <m:r>
                          <a:rPr lang="it-IT" sz="1100" b="0" i="1">
                            <a:solidFill>
                              <a:schemeClr val="tx1"/>
                            </a:solidFill>
                            <a:effectLst/>
                            <a:latin typeface="Cambria Math" panose="02040503050406030204" pitchFamily="18" charset="0"/>
                            <a:ea typeface="+mn-ea"/>
                            <a:cs typeface="+mn-cs"/>
                          </a:rPr>
                          <m:t>𝑁𝑇</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𝑈</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;0</m:t>
                            </m:r>
                          </m:sub>
                        </m:sSub>
                      </m:num>
                      <m:den>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sub>
                          <m:sup>
                            <m:r>
                              <a:rPr lang="it-IT" sz="1100" b="0" i="1">
                                <a:solidFill>
                                  <a:schemeClr val="tx1"/>
                                </a:solidFill>
                                <a:effectLst/>
                                <a:latin typeface="Cambria Math" panose="02040503050406030204" pitchFamily="18" charset="0"/>
                                <a:ea typeface="+mn-ea"/>
                                <a:cs typeface="+mn-cs"/>
                              </a:rPr>
                              <m:t>∗</m:t>
                            </m:r>
                          </m:sup>
                        </m:sSubSup>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93" name="CasellaDiTesto 92">
              <a:extLst>
                <a:ext uri="{FF2B5EF4-FFF2-40B4-BE49-F238E27FC236}">
                  <a16:creationId xmlns:a16="http://schemas.microsoft.com/office/drawing/2014/main" id="{3DD48BF3-0927-466C-8B74-8B125EA54BAC}"/>
                </a:ext>
              </a:extLst>
            </xdr:cNvPr>
            <xdr:cNvSpPr txBox="1"/>
          </xdr:nvSpPr>
          <xdr:spPr>
            <a:xfrm>
              <a:off x="7959587" y="30927261"/>
              <a:ext cx="1516633" cy="36914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ysClr val="windowText" lastClr="000000"/>
                  </a:solidFill>
                  <a:effectLst/>
                  <a:latin typeface="Cambria Math" panose="02040503050406030204" pitchFamily="18" charset="0"/>
                  <a:ea typeface="+mn-ea"/>
                  <a:cs typeface="+mn-cs"/>
                </a:rPr>
                <a:t>𝑁𝑇𝑈_(𝑤𝑤ℎ𝑟;𝐶)</a:t>
              </a:r>
              <a:r>
                <a:rPr lang="en-US" sz="1100" b="0" i="0">
                  <a:solidFill>
                    <a:sysClr val="windowText" lastClr="000000"/>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𝑁𝑇𝑈_(𝑤𝑤ℎ𝑟;0)</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𝐶_(𝑤𝑤ℎ𝑟,𝐶)^∗ </a:t>
              </a:r>
              <a:r>
                <a:rPr lang="it-IT" sz="1100" b="0" i="0">
                  <a:solidFill>
                    <a:schemeClr val="tx1"/>
                  </a:solidFill>
                  <a:effectLst/>
                  <a:latin typeface="Cambria Math" panose="02040503050406030204" pitchFamily="18" charset="0"/>
                  <a:ea typeface="Cambria Math" panose="02040503050406030204" pitchFamily="18" charset="0"/>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295275</xdr:colOff>
      <xdr:row>149</xdr:row>
      <xdr:rowOff>104775</xdr:rowOff>
    </xdr:from>
    <xdr:ext cx="1473159" cy="176972"/>
    <mc:AlternateContent xmlns:mc="http://schemas.openxmlformats.org/markup-compatibility/2006" xmlns:a14="http://schemas.microsoft.com/office/drawing/2010/main">
      <mc:Choice Requires="a14">
        <xdr:sp macro="" textlink="">
          <xdr:nvSpPr>
            <xdr:cNvPr id="71" name="CasellaDiTesto 70">
              <a:extLst>
                <a:ext uri="{FF2B5EF4-FFF2-40B4-BE49-F238E27FC236}">
                  <a16:creationId xmlns:a16="http://schemas.microsoft.com/office/drawing/2014/main" id="{6E3EB715-00F1-4A09-9D87-B0BA4A446361}"/>
                </a:ext>
              </a:extLst>
            </xdr:cNvPr>
            <xdr:cNvSpPr txBox="1"/>
          </xdr:nvSpPr>
          <xdr:spPr>
            <a:xfrm>
              <a:off x="8020050" y="3181350"/>
              <a:ext cx="1473159"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US"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r>
                          <a:rPr lang="it-IT" sz="1100" b="0" i="1">
                            <a:solidFill>
                              <a:schemeClr val="tx1"/>
                            </a:solidFill>
                            <a:effectLst/>
                            <a:latin typeface="Cambria Math" panose="02040503050406030204" pitchFamily="18" charset="0"/>
                            <a:ea typeface="+mn-ea"/>
                            <a:cs typeface="+mn-cs"/>
                          </a:rPr>
                          <m:t>′</m:t>
                        </m:r>
                      </m:e>
                      <m:sub>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𝑡</m:t>
                        </m:r>
                      </m:e>
                      <m:sub>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oMath>
                </m:oMathPara>
              </a14:m>
              <a:endParaRPr lang="en-US" sz="1100" b="0" i="1">
                <a:solidFill>
                  <a:schemeClr val="tx1"/>
                </a:solidFill>
                <a:effectLst/>
                <a:latin typeface="+mn-lt"/>
                <a:ea typeface="+mn-ea"/>
                <a:cs typeface="+mn-cs"/>
              </a:endParaRPr>
            </a:p>
          </xdr:txBody>
        </xdr:sp>
      </mc:Choice>
      <mc:Fallback xmlns="">
        <xdr:sp macro="" textlink="">
          <xdr:nvSpPr>
            <xdr:cNvPr id="71" name="CasellaDiTesto 70">
              <a:extLst>
                <a:ext uri="{FF2B5EF4-FFF2-40B4-BE49-F238E27FC236}">
                  <a16:creationId xmlns:a16="http://schemas.microsoft.com/office/drawing/2014/main" id="{6E3EB715-00F1-4A09-9D87-B0BA4A446361}"/>
                </a:ext>
              </a:extLst>
            </xdr:cNvPr>
            <xdr:cNvSpPr txBox="1"/>
          </xdr:nvSpPr>
          <xdr:spPr>
            <a:xfrm>
              <a:off x="8020050" y="3181350"/>
              <a:ext cx="1473159" cy="176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𝑉_(𝑠ℎ𝑤,𝑐𝑖)</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〖𝑉</a:t>
              </a:r>
              <a:r>
                <a:rPr lang="it-IT"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〗_(𝑠ℎ𝑤,𝑐𝑖)</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𝑡</a:t>
              </a:r>
              <a:r>
                <a:rPr lang="it-IT" sz="1100" b="0" i="0">
                  <a:solidFill>
                    <a:schemeClr val="tx1"/>
                  </a:solidFill>
                  <a:effectLst/>
                  <a:latin typeface="+mn-lt"/>
                  <a:ea typeface="+mn-ea"/>
                  <a:cs typeface="+mn-cs"/>
                </a:rPr>
                <a:t>_(𝑠ℎ𝑤,𝑐𝑖)</a:t>
              </a:r>
              <a:endParaRPr lang="en-US" sz="1100" b="0" i="1">
                <a:solidFill>
                  <a:schemeClr val="tx1"/>
                </a:solidFill>
                <a:effectLst/>
                <a:latin typeface="+mn-lt"/>
                <a:ea typeface="+mn-ea"/>
                <a:cs typeface="+mn-cs"/>
              </a:endParaRPr>
            </a:p>
          </xdr:txBody>
        </xdr:sp>
      </mc:Fallback>
    </mc:AlternateContent>
    <xdr:clientData/>
  </xdr:oneCellAnchor>
  <xdr:oneCellAnchor>
    <xdr:from>
      <xdr:col>6</xdr:col>
      <xdr:colOff>742950</xdr:colOff>
      <xdr:row>74</xdr:row>
      <xdr:rowOff>200025</xdr:rowOff>
    </xdr:from>
    <xdr:ext cx="1519134" cy="368755"/>
    <mc:AlternateContent xmlns:mc="http://schemas.openxmlformats.org/markup-compatibility/2006" xmlns:a14="http://schemas.microsoft.com/office/drawing/2010/main">
      <mc:Choice Requires="a14">
        <xdr:sp macro="" textlink="">
          <xdr:nvSpPr>
            <xdr:cNvPr id="72" name="CasellaDiTesto 71">
              <a:extLst>
                <a:ext uri="{FF2B5EF4-FFF2-40B4-BE49-F238E27FC236}">
                  <a16:creationId xmlns:a16="http://schemas.microsoft.com/office/drawing/2014/main" id="{4BF541F2-8521-4925-92E6-A696906A691C}"/>
                </a:ext>
              </a:extLst>
            </xdr:cNvPr>
            <xdr:cNvSpPr txBox="1"/>
          </xdr:nvSpPr>
          <xdr:spPr>
            <a:xfrm>
              <a:off x="8467725" y="16887825"/>
              <a:ext cx="1519134" cy="36875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it-IT" sz="1100" b="0" i="1">
                        <a:solidFill>
                          <a:sysClr val="windowText" lastClr="000000"/>
                        </a:solidFill>
                        <a:effectLst/>
                        <a:latin typeface="Cambria Math" panose="02040503050406030204" pitchFamily="18" charset="0"/>
                        <a:ea typeface="+mn-ea"/>
                        <a:cs typeface="+mn-cs"/>
                      </a:rPr>
                      <m:t>𝑁𝑇</m:t>
                    </m:r>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𝑈</m:t>
                        </m:r>
                      </m:e>
                      <m:sub>
                        <m:r>
                          <a:rPr lang="it-IT" sz="1100" b="0" i="1">
                            <a:solidFill>
                              <a:sysClr val="windowText" lastClr="000000"/>
                            </a:solidFill>
                            <a:effectLst/>
                            <a:latin typeface="Cambria Math" panose="02040503050406030204" pitchFamily="18" charset="0"/>
                            <a:ea typeface="+mn-ea"/>
                            <a:cs typeface="+mn-cs"/>
                          </a:rPr>
                          <m:t>𝑤𝑤h𝑟</m:t>
                        </m:r>
                        <m:r>
                          <a:rPr lang="it-IT" sz="1100" b="0" i="1">
                            <a:solidFill>
                              <a:sysClr val="windowText" lastClr="000000"/>
                            </a:solidFill>
                            <a:effectLst/>
                            <a:latin typeface="Cambria Math" panose="02040503050406030204" pitchFamily="18" charset="0"/>
                            <a:ea typeface="+mn-ea"/>
                            <a:cs typeface="+mn-cs"/>
                          </a:rPr>
                          <m:t>;</m:t>
                        </m:r>
                        <m:r>
                          <a:rPr lang="it-IT" sz="1100" b="0" i="1">
                            <a:solidFill>
                              <a:sysClr val="windowText" lastClr="000000"/>
                            </a:solidFill>
                            <a:effectLst/>
                            <a:latin typeface="Cambria Math" panose="02040503050406030204" pitchFamily="18" charset="0"/>
                            <a:ea typeface="+mn-ea"/>
                            <a:cs typeface="+mn-cs"/>
                          </a:rPr>
                          <m:t>𝑖</m:t>
                        </m:r>
                      </m:sub>
                    </m:sSub>
                    <m:r>
                      <a:rPr lang="en-US" sz="1100" b="0" i="1">
                        <a:solidFill>
                          <a:sysClr val="windowText" lastClr="000000"/>
                        </a:solidFill>
                        <a:effectLst/>
                        <a:latin typeface="Cambria Math" panose="02040503050406030204" pitchFamily="18" charset="0"/>
                        <a:ea typeface="+mn-ea"/>
                        <a:cs typeface="+mn-cs"/>
                      </a:rPr>
                      <m:t>=</m:t>
                    </m:r>
                    <m:f>
                      <m:fPr>
                        <m:ctrlPr>
                          <a:rPr lang="it-IT" sz="1100" b="0" i="1">
                            <a:solidFill>
                              <a:schemeClr val="tx1"/>
                            </a:solidFill>
                            <a:effectLst/>
                            <a:latin typeface="Cambria Math" panose="02040503050406030204" pitchFamily="18" charset="0"/>
                            <a:ea typeface="Cambria Math" panose="02040503050406030204" pitchFamily="18" charset="0"/>
                            <a:cs typeface="+mn-cs"/>
                          </a:rPr>
                        </m:ctrlPr>
                      </m:fPr>
                      <m:num>
                        <m:r>
                          <a:rPr lang="it-IT" sz="1100" b="0" i="1">
                            <a:solidFill>
                              <a:schemeClr val="tx1"/>
                            </a:solidFill>
                            <a:effectLst/>
                            <a:latin typeface="Cambria Math" panose="02040503050406030204" pitchFamily="18" charset="0"/>
                            <a:ea typeface="+mn-ea"/>
                            <a:cs typeface="+mn-cs"/>
                          </a:rPr>
                          <m:t>𝑁𝑇</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𝑈</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;0</m:t>
                            </m:r>
                          </m:sub>
                        </m:sSub>
                      </m:num>
                      <m:den>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𝐶</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−1</m:t>
                            </m:r>
                          </m:sub>
                          <m:sup>
                            <m:r>
                              <a:rPr lang="it-IT" sz="1100" b="0" i="1">
                                <a:solidFill>
                                  <a:schemeClr val="tx1"/>
                                </a:solidFill>
                                <a:effectLst/>
                                <a:latin typeface="Cambria Math" panose="02040503050406030204" pitchFamily="18" charset="0"/>
                                <a:ea typeface="+mn-ea"/>
                                <a:cs typeface="+mn-cs"/>
                              </a:rPr>
                              <m:t>∗</m:t>
                            </m:r>
                          </m:sup>
                        </m:sSubSup>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72" name="CasellaDiTesto 71">
              <a:extLst>
                <a:ext uri="{FF2B5EF4-FFF2-40B4-BE49-F238E27FC236}">
                  <a16:creationId xmlns:a16="http://schemas.microsoft.com/office/drawing/2014/main" id="{4BF541F2-8521-4925-92E6-A696906A691C}"/>
                </a:ext>
              </a:extLst>
            </xdr:cNvPr>
            <xdr:cNvSpPr txBox="1"/>
          </xdr:nvSpPr>
          <xdr:spPr>
            <a:xfrm>
              <a:off x="8467725" y="16887825"/>
              <a:ext cx="1519134" cy="36875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ysClr val="windowText" lastClr="000000"/>
                  </a:solidFill>
                  <a:effectLst/>
                  <a:latin typeface="Cambria Math" panose="02040503050406030204" pitchFamily="18" charset="0"/>
                  <a:ea typeface="+mn-ea"/>
                  <a:cs typeface="+mn-cs"/>
                </a:rPr>
                <a:t>𝑁𝑇𝑈_(𝑤𝑤ℎ𝑟;𝑖)</a:t>
              </a:r>
              <a:r>
                <a:rPr lang="en-US" sz="1100" b="0" i="0">
                  <a:solidFill>
                    <a:sysClr val="windowText" lastClr="000000"/>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𝑁𝑇𝑈_(𝑤𝑤ℎ𝑟;0)</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𝐶_(𝑤𝑤ℎ𝑟,𝑖−1)^∗ </a:t>
              </a:r>
              <a:r>
                <a:rPr lang="it-IT" sz="1100" b="0" i="0">
                  <a:solidFill>
                    <a:schemeClr val="tx1"/>
                  </a:solidFill>
                  <a:effectLst/>
                  <a:latin typeface="Cambria Math" panose="02040503050406030204" pitchFamily="18" charset="0"/>
                  <a:ea typeface="Cambria Math" panose="02040503050406030204" pitchFamily="18" charset="0"/>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9</xdr:col>
      <xdr:colOff>1703509</xdr:colOff>
      <xdr:row>52</xdr:row>
      <xdr:rowOff>47307</xdr:rowOff>
    </xdr:from>
    <xdr:ext cx="388326" cy="140872"/>
    <xdr:sp macro="" textlink="">
      <xdr:nvSpPr>
        <xdr:cNvPr id="76" name="CasellaDiTesto 75">
          <a:extLst>
            <a:ext uri="{FF2B5EF4-FFF2-40B4-BE49-F238E27FC236}">
              <a16:creationId xmlns:a16="http://schemas.microsoft.com/office/drawing/2014/main" id="{BB040601-76EE-4214-9EDB-3DAD258C2B6A}"/>
            </a:ext>
          </a:extLst>
        </xdr:cNvPr>
        <xdr:cNvSpPr txBox="1"/>
      </xdr:nvSpPr>
      <xdr:spPr>
        <a:xfrm>
          <a:off x="15810034" y="11496357"/>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W;pre</a:t>
          </a:r>
          <a:endParaRPr lang="en-US" sz="900" b="1" i="1" baseline="-25000">
            <a:solidFill>
              <a:schemeClr val="tx1"/>
            </a:solidFill>
            <a:effectLst/>
            <a:latin typeface="+mn-lt"/>
            <a:ea typeface="+mn-ea"/>
            <a:cs typeface="+mn-cs"/>
          </a:endParaRPr>
        </a:p>
      </xdr:txBody>
    </xdr:sp>
    <xdr:clientData/>
  </xdr:oneCellAnchor>
  <xdr:oneCellAnchor>
    <xdr:from>
      <xdr:col>6</xdr:col>
      <xdr:colOff>165652</xdr:colOff>
      <xdr:row>156</xdr:row>
      <xdr:rowOff>99391</xdr:rowOff>
    </xdr:from>
    <xdr:ext cx="2086404" cy="318357"/>
    <mc:AlternateContent xmlns:mc="http://schemas.openxmlformats.org/markup-compatibility/2006" xmlns:a14="http://schemas.microsoft.com/office/drawing/2010/main">
      <mc:Choice Requires="a14">
        <xdr:sp macro="" textlink="">
          <xdr:nvSpPr>
            <xdr:cNvPr id="77" name="CasellaDiTesto 76">
              <a:extLst>
                <a:ext uri="{FF2B5EF4-FFF2-40B4-BE49-F238E27FC236}">
                  <a16:creationId xmlns:a16="http://schemas.microsoft.com/office/drawing/2014/main" id="{5A0D58E2-EC8C-4842-9C12-04ACD00EC357}"/>
                </a:ext>
              </a:extLst>
            </xdr:cNvPr>
            <xdr:cNvSpPr txBox="1"/>
          </xdr:nvSpPr>
          <xdr:spPr>
            <a:xfrm>
              <a:off x="7885043" y="37992326"/>
              <a:ext cx="2086404" cy="31835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𝑊</m:t>
                        </m:r>
                      </m:sub>
                    </m:sSub>
                    <m:r>
                      <a:rPr lang="en-US" sz="1100" b="0" i="1">
                        <a:solidFill>
                          <a:sysClr val="windowText" lastClr="000000"/>
                        </a:solidFill>
                        <a:effectLst/>
                        <a:latin typeface="Cambria Math" panose="02040503050406030204" pitchFamily="18" charset="0"/>
                        <a:ea typeface="+mn-ea"/>
                        <a:cs typeface="+mn-cs"/>
                      </a:rPr>
                      <m:t>=</m:t>
                    </m:r>
                    <m:f>
                      <m:fPr>
                        <m:ctrlPr>
                          <a:rPr lang="en-US" sz="1100" b="0" i="1">
                            <a:solidFill>
                              <a:sysClr val="windowText" lastClr="000000"/>
                            </a:solidFill>
                            <a:effectLst/>
                            <a:latin typeface="Cambria Math" panose="02040503050406030204" pitchFamily="18" charset="0"/>
                            <a:ea typeface="+mn-ea"/>
                            <a:cs typeface="+mn-cs"/>
                          </a:rPr>
                        </m:ctrlPr>
                      </m:fPr>
                      <m:num>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𝑚</m:t>
                            </m:r>
                          </m:e>
                          <m:sub>
                            <m:r>
                              <a:rPr lang="it-IT" sz="1100" b="0" i="1">
                                <a:solidFill>
                                  <a:sysClr val="windowText" lastClr="000000"/>
                                </a:solidFill>
                                <a:effectLst/>
                                <a:latin typeface="Cambria Math" panose="02040503050406030204" pitchFamily="18" charset="0"/>
                                <a:ea typeface="+mn-ea"/>
                                <a:cs typeface="+mn-cs"/>
                              </a:rPr>
                              <m:t>𝑤𝑤h𝑟</m:t>
                            </m:r>
                            <m:r>
                              <a:rPr lang="it-IT" sz="1100" b="0" i="1">
                                <a:solidFill>
                                  <a:sysClr val="windowText" lastClr="000000"/>
                                </a:solidFill>
                                <a:effectLst/>
                                <a:latin typeface="Cambria Math" panose="02040503050406030204" pitchFamily="18" charset="0"/>
                                <a:ea typeface="+mn-ea"/>
                                <a:cs typeface="+mn-cs"/>
                              </a:rPr>
                              <m:t>;</m:t>
                            </m:r>
                            <m:r>
                              <a:rPr lang="it-IT" sz="1100" b="0" i="1">
                                <a:solidFill>
                                  <a:sysClr val="windowText" lastClr="000000"/>
                                </a:solidFill>
                                <a:effectLst/>
                                <a:latin typeface="Cambria Math" panose="02040503050406030204" pitchFamily="18" charset="0"/>
                                <a:ea typeface="+mn-ea"/>
                                <a:cs typeface="+mn-cs"/>
                              </a:rPr>
                              <m:t>𝑒𝑥𝑐</m:t>
                            </m:r>
                          </m:sub>
                        </m:sSub>
                        <m:r>
                          <a:rPr lang="it-IT" sz="1100" b="0" i="1">
                            <a:solidFill>
                              <a:sysClr val="windowText" lastClr="000000"/>
                            </a:solidFill>
                            <a:effectLst/>
                            <a:latin typeface="Cambria Math" panose="02040503050406030204" pitchFamily="18" charset="0"/>
                            <a:ea typeface="Cambria Math" panose="02040503050406030204" pitchFamily="18" charset="0"/>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𝑐</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𝑒𝑥𝑐</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𝑐</m:t>
                            </m:r>
                          </m:e>
                          <m:sub>
                            <m:r>
                              <a:rPr lang="it-IT" sz="1100" b="0" i="1">
                                <a:solidFill>
                                  <a:schemeClr val="tx1"/>
                                </a:solidFill>
                                <a:effectLst/>
                                <a:latin typeface="Cambria Math" panose="02040503050406030204" pitchFamily="18" charset="0"/>
                                <a:ea typeface="+mn-ea"/>
                                <a:cs typeface="+mn-cs"/>
                              </a:rPr>
                              <m:t>𝑊</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sSub>
                          <m:sSubPr>
                            <m:ctrlPr>
                              <a:rPr lang="it-IT" sz="1100" b="0" i="1">
                                <a:solidFill>
                                  <a:schemeClr val="tx1"/>
                                </a:solidFill>
                                <a:effectLst/>
                                <a:latin typeface="Cambria Math" panose="02040503050406030204" pitchFamily="18" charset="0"/>
                                <a:ea typeface="Cambria Math" panose="02040503050406030204" pitchFamily="18" charset="0"/>
                                <a:cs typeface="+mn-cs"/>
                              </a:rPr>
                            </m:ctrlPr>
                          </m:sSubPr>
                          <m:e>
                            <m:r>
                              <a:rPr lang="it-IT" sz="1100" b="0" i="1">
                                <a:solidFill>
                                  <a:schemeClr val="tx1"/>
                                </a:solidFill>
                                <a:effectLst/>
                                <a:latin typeface="Cambria Math" panose="02040503050406030204" pitchFamily="18" charset="0"/>
                                <a:ea typeface="Cambria Math" panose="02040503050406030204" pitchFamily="18" charset="0"/>
                                <a:cs typeface="+mn-cs"/>
                              </a:rPr>
                              <m:t>𝜌</m:t>
                            </m:r>
                          </m:e>
                          <m:sub>
                            <m:r>
                              <a:rPr lang="it-IT" sz="1100" b="0" i="1">
                                <a:solidFill>
                                  <a:schemeClr val="tx1"/>
                                </a:solidFill>
                                <a:effectLst/>
                                <a:latin typeface="Cambria Math" panose="02040503050406030204" pitchFamily="18" charset="0"/>
                                <a:ea typeface="Cambria Math" panose="02040503050406030204" pitchFamily="18" charset="0"/>
                                <a:cs typeface="+mn-cs"/>
                              </a:rPr>
                              <m:t>𝑤</m:t>
                            </m:r>
                          </m:sub>
                        </m:sSub>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77" name="CasellaDiTesto 76">
              <a:extLst>
                <a:ext uri="{FF2B5EF4-FFF2-40B4-BE49-F238E27FC236}">
                  <a16:creationId xmlns:a16="http://schemas.microsoft.com/office/drawing/2014/main" id="{5A0D58E2-EC8C-4842-9C12-04ACD00EC357}"/>
                </a:ext>
              </a:extLst>
            </xdr:cNvPr>
            <xdr:cNvSpPr txBox="1"/>
          </xdr:nvSpPr>
          <xdr:spPr>
            <a:xfrm>
              <a:off x="7885043" y="37992326"/>
              <a:ext cx="2086404" cy="31835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𝑉_(𝑤𝑤ℎ𝑟;𝑒𝑞;𝑊)</a:t>
              </a:r>
              <a:r>
                <a:rPr lang="en-US" sz="1100" b="0" i="0">
                  <a:solidFill>
                    <a:sysClr val="windowText" lastClr="000000"/>
                  </a:solidFill>
                  <a:effectLst/>
                  <a:latin typeface="Cambria Math" panose="02040503050406030204" pitchFamily="18" charset="0"/>
                  <a:ea typeface="+mn-ea"/>
                  <a:cs typeface="+mn-cs"/>
                </a:rPr>
                <a:t>=(</a:t>
              </a:r>
              <a:r>
                <a:rPr lang="it-IT" sz="1100" b="0" i="0">
                  <a:solidFill>
                    <a:sysClr val="windowText" lastClr="000000"/>
                  </a:solidFill>
                  <a:effectLst/>
                  <a:latin typeface="Cambria Math" panose="02040503050406030204" pitchFamily="18" charset="0"/>
                  <a:ea typeface="+mn-ea"/>
                  <a:cs typeface="+mn-cs"/>
                </a:rPr>
                <a:t>𝑚_(𝑤𝑤ℎ𝑟;𝑒𝑥𝑐)</a:t>
              </a:r>
              <a:r>
                <a:rPr lang="it-IT" sz="1100" b="0" i="0">
                  <a:solidFill>
                    <a:sysClr val="windowText" lastClr="000000"/>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𝑐</a:t>
              </a:r>
              <a:r>
                <a:rPr lang="it-IT" sz="1100" b="0" i="0">
                  <a:solidFill>
                    <a:schemeClr val="tx1"/>
                  </a:solidFill>
                  <a:effectLst/>
                  <a:latin typeface="+mn-lt"/>
                  <a:ea typeface="+mn-ea"/>
                  <a:cs typeface="+mn-cs"/>
                </a:rPr>
                <a:t>_(𝑤𝑤ℎ𝑟;𝑒𝑥𝑐)</a:t>
              </a:r>
              <a:r>
                <a:rPr lang="en-US" sz="1100" b="0" i="0">
                  <a:solidFill>
                    <a:sysClr val="windowText" lastClr="000000"/>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𝑐_𝑊</a:t>
              </a:r>
              <a:r>
                <a:rPr lang="it-IT" sz="1100" b="0" i="0">
                  <a:solidFill>
                    <a:schemeClr val="tx1"/>
                  </a:solidFill>
                  <a:effectLst/>
                  <a:latin typeface="Cambria Math" panose="02040503050406030204" pitchFamily="18" charset="0"/>
                  <a:ea typeface="Cambria Math" panose="02040503050406030204" pitchFamily="18" charset="0"/>
                  <a:cs typeface="+mn-cs"/>
                </a:rPr>
                <a:t>∙𝜌_𝑤</a:t>
              </a:r>
              <a:r>
                <a:rPr lang="it-IT" sz="1100" b="0" i="0">
                  <a:solidFill>
                    <a:schemeClr val="tx1"/>
                  </a:solidFill>
                  <a:effectLst/>
                  <a:latin typeface="Cambria Math" panose="02040503050406030204" pitchFamily="18" charset="0"/>
                  <a:ea typeface="+mn-ea"/>
                  <a:cs typeface="+mn-cs"/>
                </a:rPr>
                <a:t> </a:t>
              </a:r>
              <a:r>
                <a:rPr lang="en-US" sz="1100" b="0" i="0">
                  <a:solidFill>
                    <a:sysClr val="windowText" lastClr="000000"/>
                  </a:solidFill>
                  <a:effectLst/>
                  <a:latin typeface="Cambria Math" panose="02040503050406030204" pitchFamily="18" charset="0"/>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165652</xdr:colOff>
      <xdr:row>159</xdr:row>
      <xdr:rowOff>57978</xdr:rowOff>
    </xdr:from>
    <xdr:ext cx="1722908" cy="312843"/>
    <mc:AlternateContent xmlns:mc="http://schemas.openxmlformats.org/markup-compatibility/2006" xmlns:a14="http://schemas.microsoft.com/office/drawing/2010/main">
      <mc:Choice Requires="a14">
        <xdr:sp macro="" textlink="">
          <xdr:nvSpPr>
            <xdr:cNvPr id="95" name="CasellaDiTesto 94">
              <a:extLst>
                <a:ext uri="{FF2B5EF4-FFF2-40B4-BE49-F238E27FC236}">
                  <a16:creationId xmlns:a16="http://schemas.microsoft.com/office/drawing/2014/main" id="{7E9CFEF2-D767-4901-8931-5C18CECC5F94}"/>
                </a:ext>
              </a:extLst>
            </xdr:cNvPr>
            <xdr:cNvSpPr txBox="1"/>
          </xdr:nvSpPr>
          <xdr:spPr>
            <a:xfrm>
              <a:off x="7992717" y="38845435"/>
              <a:ext cx="1722908" cy="31284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𝑝𝑟𝑒</m:t>
                        </m:r>
                      </m:sub>
                    </m:sSub>
                    <m:r>
                      <a:rPr lang="en-US" sz="1100" b="0" i="1">
                        <a:solidFill>
                          <a:sysClr val="windowText" lastClr="000000"/>
                        </a:solidFill>
                        <a:effectLst/>
                        <a:latin typeface="Cambria Math" panose="02040503050406030204" pitchFamily="18" charset="0"/>
                        <a:ea typeface="+mn-ea"/>
                        <a:cs typeface="+mn-cs"/>
                      </a:rPr>
                      <m:t>=</m:t>
                    </m:r>
                    <m:f>
                      <m:fPr>
                        <m:ctrlPr>
                          <a:rPr lang="it-IT" sz="1100" b="0" i="1">
                            <a:solidFill>
                              <a:schemeClr val="tx1"/>
                            </a:solidFill>
                            <a:effectLst/>
                            <a:latin typeface="Cambria Math" panose="02040503050406030204" pitchFamily="18" charset="0"/>
                            <a:ea typeface="+mn-ea"/>
                            <a:cs typeface="+mn-cs"/>
                          </a:rPr>
                        </m:ctrlPr>
                      </m:fPr>
                      <m:num>
                        <m:r>
                          <a:rPr lang="it-IT" sz="1100" b="0" i="1">
                            <a:solidFill>
                              <a:schemeClr val="tx1"/>
                            </a:solidFill>
                            <a:effectLst/>
                            <a:latin typeface="Cambria Math" panose="02040503050406030204" pitchFamily="18" charset="0"/>
                            <a:ea typeface="+mn-ea"/>
                            <a:cs typeface="+mn-cs"/>
                          </a:rPr>
                          <m:t>𝜋</m:t>
                        </m:r>
                      </m:num>
                      <m:den>
                        <m:r>
                          <a:rPr lang="it-IT" sz="1100" b="0" i="1">
                            <a:solidFill>
                              <a:schemeClr val="tx1"/>
                            </a:solidFill>
                            <a:effectLst/>
                            <a:latin typeface="Cambria Math" panose="02040503050406030204" pitchFamily="18" charset="0"/>
                            <a:ea typeface="+mn-ea"/>
                            <a:cs typeface="+mn-cs"/>
                          </a:rPr>
                          <m:t>4</m:t>
                        </m:r>
                      </m:den>
                    </m:f>
                    <m:r>
                      <a:rPr lang="it-IT" sz="1100" b="0" i="1">
                        <a:solidFill>
                          <a:schemeClr val="tx1"/>
                        </a:solidFill>
                        <a:effectLst/>
                        <a:latin typeface="Cambria Math" panose="02040503050406030204" pitchFamily="18" charset="0"/>
                        <a:ea typeface="Cambria Math" panose="02040503050406030204" pitchFamily="18" charset="0"/>
                        <a:cs typeface="+mn-cs"/>
                      </a:rPr>
                      <m:t>∙</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it-IT" sz="1100" b="0" i="1">
                            <a:solidFill>
                              <a:schemeClr val="tx1"/>
                            </a:solidFill>
                            <a:effectLst/>
                            <a:latin typeface="Cambria Math" panose="02040503050406030204" pitchFamily="18" charset="0"/>
                            <a:ea typeface="+mn-ea"/>
                            <a:cs typeface="+mn-cs"/>
                          </a:rPr>
                          <m:t>𝑖</m:t>
                        </m:r>
                      </m:sub>
                      <m:sup/>
                      <m:e>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𝑑</m:t>
                            </m:r>
                          </m:e>
                          <m:sub>
                            <m:r>
                              <a:rPr lang="it-IT" sz="1100" b="0" i="1">
                                <a:solidFill>
                                  <a:schemeClr val="tx1"/>
                                </a:solidFill>
                                <a:effectLst/>
                                <a:latin typeface="Cambria Math" panose="02040503050406030204" pitchFamily="18" charset="0"/>
                                <a:ea typeface="+mn-ea"/>
                                <a:cs typeface="+mn-cs"/>
                              </a:rPr>
                              <m:t>𝑖𝑛</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𝑝𝑟𝑒</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sub>
                          <m:sup>
                            <m:r>
                              <a:rPr lang="it-IT" sz="1100" b="0" i="1">
                                <a:solidFill>
                                  <a:schemeClr val="tx1"/>
                                </a:solidFill>
                                <a:effectLst/>
                                <a:latin typeface="Cambria Math" panose="02040503050406030204" pitchFamily="18" charset="0"/>
                                <a:ea typeface="+mn-ea"/>
                                <a:cs typeface="+mn-cs"/>
                              </a:rPr>
                              <m:t>2</m:t>
                            </m:r>
                          </m:sup>
                        </m:sSubSup>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𝑙</m:t>
                            </m:r>
                          </m:e>
                          <m:sub>
                            <m:r>
                              <a:rPr lang="it-IT" sz="1100" b="0" i="1">
                                <a:solidFill>
                                  <a:schemeClr val="tx1"/>
                                </a:solidFill>
                                <a:effectLst/>
                                <a:latin typeface="Cambria Math" panose="02040503050406030204" pitchFamily="18" charset="0"/>
                                <a:ea typeface="+mn-ea"/>
                                <a:cs typeface="+mn-cs"/>
                              </a:rPr>
                              <m:t>𝑝𝑟𝑒</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𝑖</m:t>
                            </m:r>
                          </m:sub>
                        </m:sSub>
                      </m:e>
                    </m:nary>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95" name="CasellaDiTesto 94">
              <a:extLst>
                <a:ext uri="{FF2B5EF4-FFF2-40B4-BE49-F238E27FC236}">
                  <a16:creationId xmlns:a16="http://schemas.microsoft.com/office/drawing/2014/main" id="{7E9CFEF2-D767-4901-8931-5C18CECC5F94}"/>
                </a:ext>
              </a:extLst>
            </xdr:cNvPr>
            <xdr:cNvSpPr txBox="1"/>
          </xdr:nvSpPr>
          <xdr:spPr>
            <a:xfrm>
              <a:off x="7992717" y="38845435"/>
              <a:ext cx="1722908" cy="31284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𝑉_𝑝𝑟𝑒</a:t>
              </a:r>
              <a:r>
                <a:rPr lang="en-US" sz="1100" b="0" i="0">
                  <a:solidFill>
                    <a:sysClr val="windowText" lastClr="000000"/>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𝜋</a:t>
              </a:r>
              <a:r>
                <a:rPr lang="it-IT" sz="1100" b="0" i="0">
                  <a:solidFill>
                    <a:schemeClr val="tx1"/>
                  </a:solidFill>
                  <a:effectLst/>
                  <a:latin typeface="Cambria Math" panose="02040503050406030204" pitchFamily="18" charset="0"/>
                  <a:ea typeface="+mn-ea"/>
                  <a:cs typeface="+mn-cs"/>
                </a:rPr>
                <a:t>/4</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mn-lt"/>
                  <a:ea typeface="+mn-ea"/>
                  <a:cs typeface="+mn-cs"/>
                </a:rPr>
                <a:t>∑2</a:t>
              </a:r>
              <a:r>
                <a:rPr lang="it-IT" sz="1100" b="0" i="0">
                  <a:solidFill>
                    <a:schemeClr val="tx1"/>
                  </a:solidFill>
                  <a:effectLst/>
                  <a:latin typeface="+mn-lt"/>
                  <a:ea typeface="+mn-ea"/>
                  <a:cs typeface="+mn-cs"/>
                </a:rPr>
                <a:t>_𝑖▒</a:t>
              </a:r>
              <a:r>
                <a:rPr lang="en-US" sz="1100" b="0" i="0">
                  <a:solidFill>
                    <a:schemeClr val="tx1"/>
                  </a:solidFill>
                  <a:effectLst/>
                  <a:latin typeface="+mn-lt"/>
                  <a:ea typeface="+mn-ea"/>
                  <a:cs typeface="+mn-cs"/>
                </a:rPr>
                <a:t>〖</a:t>
              </a:r>
              <a:r>
                <a:rPr lang="it-IT" sz="1100" b="0" i="0">
                  <a:solidFill>
                    <a:schemeClr val="tx1"/>
                  </a:solidFill>
                  <a:effectLst/>
                  <a:latin typeface="+mn-lt"/>
                  <a:ea typeface="+mn-ea"/>
                  <a:cs typeface="+mn-cs"/>
                </a:rPr>
                <a:t>𝑑_(𝑖𝑛;𝑝𝑟𝑒,𝑖)^2∙𝑙_(𝑝𝑟𝑒,𝑖) </a:t>
              </a:r>
              <a:r>
                <a:rPr lang="en-US" sz="1100" b="0" i="0">
                  <a:solidFill>
                    <a:schemeClr val="tx1"/>
                  </a:solidFill>
                  <a:effectLst/>
                  <a:latin typeface="+mn-lt"/>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157370</xdr:colOff>
      <xdr:row>160</xdr:row>
      <xdr:rowOff>115956</xdr:rowOff>
    </xdr:from>
    <xdr:ext cx="3298019" cy="194412"/>
    <mc:AlternateContent xmlns:mc="http://schemas.openxmlformats.org/markup-compatibility/2006" xmlns:a14="http://schemas.microsoft.com/office/drawing/2010/main">
      <mc:Choice Requires="a14">
        <xdr:sp macro="" textlink="">
          <xdr:nvSpPr>
            <xdr:cNvPr id="96" name="CasellaDiTesto 95">
              <a:extLst>
                <a:ext uri="{FF2B5EF4-FFF2-40B4-BE49-F238E27FC236}">
                  <a16:creationId xmlns:a16="http://schemas.microsoft.com/office/drawing/2014/main" id="{A1E0BC84-33E6-4623-9170-FA5E08637B63}"/>
                </a:ext>
              </a:extLst>
            </xdr:cNvPr>
            <xdr:cNvSpPr txBox="1"/>
          </xdr:nvSpPr>
          <xdr:spPr>
            <a:xfrm>
              <a:off x="7984435" y="39383804"/>
              <a:ext cx="3298019" cy="19441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𝑡𝑟𝑎𝑛𝑠</m:t>
                        </m:r>
                      </m:sub>
                    </m:sSub>
                    <m:r>
                      <a:rPr lang="en-US" sz="1100" b="0" i="1">
                        <a:solidFill>
                          <a:sysClr val="windowText" lastClr="000000"/>
                        </a:solidFill>
                        <a:effectLst/>
                        <a:latin typeface="Cambria Math" panose="02040503050406030204" pitchFamily="18" charset="0"/>
                        <a:ea typeface="+mn-ea"/>
                        <a:cs typeface="+mn-cs"/>
                      </a:rPr>
                      <m:t>=</m:t>
                    </m:r>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𝑉</m:t>
                        </m:r>
                      </m:e>
                      <m:sub>
                        <m:r>
                          <a:rPr lang="it-IT" sz="1100" b="0" i="1">
                            <a:solidFill>
                              <a:sysClr val="windowText" lastClr="000000"/>
                            </a:solidFill>
                            <a:effectLst/>
                            <a:latin typeface="Cambria Math" panose="02040503050406030204" pitchFamily="18" charset="0"/>
                            <a:ea typeface="+mn-ea"/>
                            <a:cs typeface="+mn-cs"/>
                          </a:rPr>
                          <m:t>𝑠h𝑤</m:t>
                        </m:r>
                        <m:r>
                          <a:rPr lang="it-IT" sz="1100" b="0" i="1">
                            <a:solidFill>
                              <a:sysClr val="windowText" lastClr="000000"/>
                            </a:solidFill>
                            <a:effectLst/>
                            <a:latin typeface="Cambria Math" panose="02040503050406030204" pitchFamily="18" charset="0"/>
                            <a:ea typeface="+mn-ea"/>
                            <a:cs typeface="+mn-cs"/>
                          </a:rPr>
                          <m:t>;</m:t>
                        </m:r>
                        <m:r>
                          <a:rPr lang="it-IT" sz="1100" b="0" i="1">
                            <a:solidFill>
                              <a:sysClr val="windowText" lastClr="000000"/>
                            </a:solidFill>
                            <a:effectLst/>
                            <a:latin typeface="Cambria Math" panose="02040503050406030204" pitchFamily="18" charset="0"/>
                            <a:ea typeface="+mn-ea"/>
                            <a:cs typeface="+mn-cs"/>
                          </a:rPr>
                          <m:t>𝑏𝑜𝑥</m:t>
                        </m:r>
                      </m:sub>
                    </m:sSub>
                    <m:r>
                      <a:rPr lang="it-IT" sz="1100" b="0" i="1">
                        <a:solidFill>
                          <a:sysClr val="windowText" lastClr="000000"/>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𝑝𝑟𝑒</m:t>
                        </m:r>
                      </m:sub>
                    </m:sSub>
                    <m:r>
                      <a:rPr lang="it-IT" sz="1100" b="0" i="1">
                        <a:solidFill>
                          <a:schemeClr val="tx1"/>
                        </a:solidFill>
                        <a:effectLst/>
                        <a:latin typeface="Cambria Math" panose="02040503050406030204" pitchFamily="18" charset="0"/>
                        <a:ea typeface="+mn-ea"/>
                        <a:cs typeface="+mn-cs"/>
                      </a:rPr>
                      <m:t>+0,5</m:t>
                    </m:r>
                    <m:r>
                      <a:rPr lang="it-IT" sz="1100" b="0" i="1">
                        <a:solidFill>
                          <a:schemeClr val="tx1"/>
                        </a:solidFill>
                        <a:effectLst/>
                        <a:latin typeface="Cambria Math" panose="02040503050406030204" pitchFamily="18" charset="0"/>
                        <a:ea typeface="Cambria Math" panose="02040503050406030204" pitchFamily="18" charset="0"/>
                        <a:cs typeface="+mn-cs"/>
                      </a:rPr>
                      <m:t>∙</m:t>
                    </m:r>
                    <m:d>
                      <m:dPr>
                        <m:ctrlPr>
                          <a:rPr lang="it-IT" sz="1100" b="0" i="1">
                            <a:solidFill>
                              <a:schemeClr val="tx1"/>
                            </a:solidFill>
                            <a:effectLst/>
                            <a:latin typeface="Cambria Math" panose="02040503050406030204" pitchFamily="18" charset="0"/>
                            <a:ea typeface="Cambria Math" panose="02040503050406030204" pitchFamily="18" charset="0"/>
                            <a:cs typeface="+mn-cs"/>
                          </a:rPr>
                        </m:ctrlPr>
                      </m:dPr>
                      <m:e>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𝑤</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𝑤</m:t>
                            </m:r>
                          </m:sub>
                        </m:sSub>
                      </m:e>
                    </m:d>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96" name="CasellaDiTesto 95">
              <a:extLst>
                <a:ext uri="{FF2B5EF4-FFF2-40B4-BE49-F238E27FC236}">
                  <a16:creationId xmlns:a16="http://schemas.microsoft.com/office/drawing/2014/main" id="{A1E0BC84-33E6-4623-9170-FA5E08637B63}"/>
                </a:ext>
              </a:extLst>
            </xdr:cNvPr>
            <xdr:cNvSpPr txBox="1"/>
          </xdr:nvSpPr>
          <xdr:spPr>
            <a:xfrm>
              <a:off x="7984435" y="39383804"/>
              <a:ext cx="3298019" cy="19441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𝑉_𝑡𝑟𝑎𝑛𝑠</a:t>
              </a:r>
              <a:r>
                <a:rPr lang="en-US" sz="1100" b="0" i="0">
                  <a:solidFill>
                    <a:sysClr val="windowText" lastClr="000000"/>
                  </a:solidFill>
                  <a:effectLst/>
                  <a:latin typeface="Cambria Math" panose="02040503050406030204" pitchFamily="18" charset="0"/>
                  <a:ea typeface="+mn-ea"/>
                  <a:cs typeface="+mn-cs"/>
                </a:rPr>
                <a:t>=</a:t>
              </a:r>
              <a:r>
                <a:rPr lang="it-IT" sz="1100" b="0" i="0">
                  <a:solidFill>
                    <a:sysClr val="windowText" lastClr="000000"/>
                  </a:solidFill>
                  <a:effectLst/>
                  <a:latin typeface="Cambria Math" panose="02040503050406030204" pitchFamily="18" charset="0"/>
                  <a:ea typeface="+mn-ea"/>
                  <a:cs typeface="+mn-cs"/>
                </a:rPr>
                <a:t>𝑉_(𝑠ℎ𝑤;𝑏𝑜𝑥)+</a:t>
              </a:r>
              <a:r>
                <a:rPr lang="it-IT" sz="1100" b="0" i="0">
                  <a:solidFill>
                    <a:schemeClr val="tx1"/>
                  </a:solidFill>
                  <a:effectLst/>
                  <a:latin typeface="+mn-lt"/>
                  <a:ea typeface="+mn-ea"/>
                  <a:cs typeface="+mn-cs"/>
                </a:rPr>
                <a:t>𝑉_</a:t>
              </a:r>
              <a:r>
                <a:rPr lang="it-IT" sz="1100" b="0" i="0">
                  <a:solidFill>
                    <a:schemeClr val="tx1"/>
                  </a:solidFill>
                  <a:effectLst/>
                  <a:latin typeface="Cambria Math" panose="02040503050406030204" pitchFamily="18" charset="0"/>
                  <a:ea typeface="+mn-ea"/>
                  <a:cs typeface="+mn-cs"/>
                </a:rPr>
                <a:t>𝑝𝑟𝑒</a:t>
              </a:r>
              <a:r>
                <a:rPr lang="it-IT"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0,5</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mn-lt"/>
                  <a:ea typeface="+mn-ea"/>
                  <a:cs typeface="+mn-cs"/>
                </a:rPr>
                <a:t>𝑉_(</a:t>
              </a:r>
              <a:r>
                <a:rPr lang="it-IT" sz="1100" b="0" i="0">
                  <a:solidFill>
                    <a:schemeClr val="tx1"/>
                  </a:solidFill>
                  <a:effectLst/>
                  <a:latin typeface="Cambria Math" panose="02040503050406030204" pitchFamily="18" charset="0"/>
                  <a:ea typeface="+mn-ea"/>
                  <a:cs typeface="+mn-cs"/>
                </a:rPr>
                <a:t>𝑤𝑤ℎ𝑟;𝑤</a:t>
              </a:r>
              <a:r>
                <a:rPr lang="it-IT"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𝑉_(𝑤𝑤ℎ𝑟;</a:t>
              </a:r>
              <a:r>
                <a:rPr lang="it-IT" sz="1100" b="0" i="0">
                  <a:solidFill>
                    <a:schemeClr val="tx1"/>
                  </a:solidFill>
                  <a:effectLst/>
                  <a:latin typeface="Cambria Math" panose="02040503050406030204" pitchFamily="18" charset="0"/>
                  <a:ea typeface="+mn-ea"/>
                  <a:cs typeface="+mn-cs"/>
                </a:rPr>
                <a:t>𝑒𝑞;𝑤</a:t>
              </a:r>
              <a:r>
                <a:rPr lang="it-IT"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 )</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182217</xdr:colOff>
      <xdr:row>161</xdr:row>
      <xdr:rowOff>66261</xdr:rowOff>
    </xdr:from>
    <xdr:ext cx="1427314" cy="358431"/>
    <mc:AlternateContent xmlns:mc="http://schemas.openxmlformats.org/markup-compatibility/2006" xmlns:a14="http://schemas.microsoft.com/office/drawing/2010/main">
      <mc:Choice Requires="a14">
        <xdr:sp macro="" textlink="">
          <xdr:nvSpPr>
            <xdr:cNvPr id="97" name="CasellaDiTesto 96">
              <a:extLst>
                <a:ext uri="{FF2B5EF4-FFF2-40B4-BE49-F238E27FC236}">
                  <a16:creationId xmlns:a16="http://schemas.microsoft.com/office/drawing/2014/main" id="{5D77630F-EC9E-47D4-944F-26455670A791}"/>
                </a:ext>
              </a:extLst>
            </xdr:cNvPr>
            <xdr:cNvSpPr txBox="1"/>
          </xdr:nvSpPr>
          <xdr:spPr>
            <a:xfrm>
              <a:off x="8009282" y="39764804"/>
              <a:ext cx="1427314" cy="35843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𝑘</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𝑢𝑠𝑒</m:t>
                        </m:r>
                      </m:sub>
                    </m:sSub>
                    <m:r>
                      <a:rPr lang="en-US" sz="1100" b="0" i="1">
                        <a:solidFill>
                          <a:sysClr val="windowText" lastClr="000000"/>
                        </a:solidFill>
                        <a:effectLst/>
                        <a:latin typeface="Cambria Math" panose="02040503050406030204" pitchFamily="18" charset="0"/>
                        <a:ea typeface="+mn-ea"/>
                        <a:cs typeface="+mn-cs"/>
                      </a:rPr>
                      <m:t>=</m:t>
                    </m:r>
                    <m:r>
                      <a:rPr lang="it-IT" sz="1100" b="0" i="1">
                        <a:solidFill>
                          <a:sysClr val="windowText" lastClr="000000"/>
                        </a:solidFill>
                        <a:effectLst/>
                        <a:latin typeface="Cambria Math" panose="02040503050406030204" pitchFamily="18" charset="0"/>
                        <a:ea typeface="+mn-ea"/>
                        <a:cs typeface="+mn-cs"/>
                      </a:rPr>
                      <m:t>1−</m:t>
                    </m:r>
                    <m:f>
                      <m:fPr>
                        <m:ctrlPr>
                          <a:rPr lang="it-IT" sz="1100" b="0" i="1">
                            <a:solidFill>
                              <a:sysClr val="windowText" lastClr="000000"/>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𝑡𝑟𝑎𝑛𝑠</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97" name="CasellaDiTesto 96">
              <a:extLst>
                <a:ext uri="{FF2B5EF4-FFF2-40B4-BE49-F238E27FC236}">
                  <a16:creationId xmlns:a16="http://schemas.microsoft.com/office/drawing/2014/main" id="{5D77630F-EC9E-47D4-944F-26455670A791}"/>
                </a:ext>
              </a:extLst>
            </xdr:cNvPr>
            <xdr:cNvSpPr txBox="1"/>
          </xdr:nvSpPr>
          <xdr:spPr>
            <a:xfrm>
              <a:off x="8009282" y="39764804"/>
              <a:ext cx="1427314" cy="35843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𝑘_(𝑤𝑤ℎ𝑟;𝑢𝑠𝑒)</a:t>
              </a:r>
              <a:r>
                <a:rPr lang="en-US" sz="1100" b="0" i="0">
                  <a:solidFill>
                    <a:sysClr val="windowText" lastClr="000000"/>
                  </a:solidFill>
                  <a:effectLst/>
                  <a:latin typeface="Cambria Math" panose="02040503050406030204" pitchFamily="18" charset="0"/>
                  <a:ea typeface="+mn-ea"/>
                  <a:cs typeface="+mn-cs"/>
                </a:rPr>
                <a:t>=</a:t>
              </a:r>
              <a:r>
                <a:rPr lang="it-IT" sz="1100" b="0" i="0">
                  <a:solidFill>
                    <a:sysClr val="windowText" lastClr="000000"/>
                  </a:solidFill>
                  <a:effectLst/>
                  <a:latin typeface="Cambria Math" panose="02040503050406030204" pitchFamily="18" charset="0"/>
                  <a:ea typeface="+mn-ea"/>
                  <a:cs typeface="+mn-cs"/>
                </a:rPr>
                <a:t>1−</a:t>
              </a:r>
              <a:r>
                <a:rPr lang="it-IT" sz="1100" b="0" i="0">
                  <a:solidFill>
                    <a:schemeClr val="tx1"/>
                  </a:solidFill>
                  <a:effectLst/>
                  <a:latin typeface="+mn-lt"/>
                  <a:ea typeface="+mn-ea"/>
                  <a:cs typeface="+mn-cs"/>
                </a:rPr>
                <a:t>𝑉_</a:t>
              </a:r>
              <a:r>
                <a:rPr lang="it-IT" sz="1100" b="0" i="0">
                  <a:solidFill>
                    <a:schemeClr val="tx1"/>
                  </a:solidFill>
                  <a:effectLst/>
                  <a:latin typeface="Cambria Math" panose="02040503050406030204" pitchFamily="18" charset="0"/>
                  <a:ea typeface="+mn-ea"/>
                  <a:cs typeface="+mn-cs"/>
                </a:rPr>
                <a:t>𝑡𝑟𝑎𝑛𝑠</a:t>
              </a:r>
              <a:r>
                <a:rPr lang="it-IT" sz="1100" b="0" i="0">
                  <a:solidFill>
                    <a:sysClr val="windowText" lastClr="000000"/>
                  </a:solidFill>
                  <a:effectLst/>
                  <a:latin typeface="Cambria Math" panose="02040503050406030204" pitchFamily="18" charset="0"/>
                  <a:ea typeface="+mn-ea"/>
                  <a:cs typeface="+mn-cs"/>
                </a:rPr>
                <a:t>/</a:t>
              </a:r>
              <a:r>
                <a:rPr lang="it-IT" sz="1100" b="0" i="0">
                  <a:solidFill>
                    <a:schemeClr val="tx1"/>
                  </a:solidFill>
                  <a:effectLst/>
                  <a:latin typeface="+mn-lt"/>
                  <a:ea typeface="+mn-ea"/>
                  <a:cs typeface="+mn-cs"/>
                </a:rPr>
                <a:t>𝑉_(</a:t>
              </a:r>
              <a:r>
                <a:rPr lang="it-IT" sz="1100" b="0" i="0">
                  <a:solidFill>
                    <a:schemeClr val="tx1"/>
                  </a:solidFill>
                  <a:effectLst/>
                  <a:latin typeface="Cambria Math" panose="02040503050406030204" pitchFamily="18" charset="0"/>
                  <a:ea typeface="+mn-ea"/>
                  <a:cs typeface="+mn-cs"/>
                </a:rPr>
                <a:t>𝑠ℎ𝑤,𝑐𝑖</a:t>
              </a:r>
              <a:r>
                <a:rPr lang="it-IT" sz="1100" b="0" i="0">
                  <a:solidFill>
                    <a:schemeClr val="tx1"/>
                  </a:solidFill>
                  <a:effectLst/>
                  <a:latin typeface="+mn-lt"/>
                  <a:ea typeface="+mn-ea"/>
                  <a:cs typeface="+mn-cs"/>
                </a:rPr>
                <a:t>)</a:t>
              </a:r>
              <a:r>
                <a:rPr lang="it-IT" sz="1100" b="0" i="0">
                  <a:solidFill>
                    <a:sysClr val="windowText" lastClr="000000"/>
                  </a:solidFill>
                  <a:effectLst/>
                  <a:latin typeface="Cambria Math" panose="02040503050406030204" pitchFamily="18" charset="0"/>
                  <a:ea typeface="+mn-ea"/>
                  <a:cs typeface="+mn-cs"/>
                </a:rPr>
                <a:t> </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41413</xdr:colOff>
      <xdr:row>168</xdr:row>
      <xdr:rowOff>57978</xdr:rowOff>
    </xdr:from>
    <xdr:ext cx="3666645" cy="221984"/>
    <mc:AlternateContent xmlns:mc="http://schemas.openxmlformats.org/markup-compatibility/2006" xmlns:a14="http://schemas.microsoft.com/office/drawing/2010/main">
      <mc:Choice Requires="a14">
        <xdr:sp macro="" textlink="">
          <xdr:nvSpPr>
            <xdr:cNvPr id="98" name="CasellaDiTesto 97">
              <a:extLst>
                <a:ext uri="{FF2B5EF4-FFF2-40B4-BE49-F238E27FC236}">
                  <a16:creationId xmlns:a16="http://schemas.microsoft.com/office/drawing/2014/main" id="{302F5D0C-F190-4F6C-B79F-FA59DCE9F320}"/>
                </a:ext>
              </a:extLst>
            </xdr:cNvPr>
            <xdr:cNvSpPr txBox="1"/>
          </xdr:nvSpPr>
          <xdr:spPr>
            <a:xfrm>
              <a:off x="7868478" y="41620108"/>
              <a:ext cx="3666645"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en-GB" sz="1100" i="1">
                        <a:solidFill>
                          <a:schemeClr val="tx1"/>
                        </a:solidFill>
                        <a:effectLst/>
                        <a:latin typeface="Cambria Math" panose="02040503050406030204" pitchFamily="18" charset="0"/>
                        <a:ea typeface="+mn-ea"/>
                        <a:cs typeface="+mn-cs"/>
                      </a:rPr>
                      <m:t>𝑄</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𝑟𝑣𝑑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GB" sz="1100" i="1">
                            <a:solidFill>
                              <a:schemeClr val="tx1"/>
                            </a:solidFill>
                            <a:effectLst/>
                            <a:latin typeface="Cambria Math" panose="02040503050406030204" pitchFamily="18" charset="0"/>
                            <a:ea typeface="+mn-ea"/>
                            <a:cs typeface="+mn-cs"/>
                          </a:rPr>
                          <m:t>𝑄</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𝑛𝑑</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Cambria Math" panose="02040503050406030204" pitchFamily="18" charset="0"/>
                        <a:cs typeface="+mn-cs"/>
                      </a:rPr>
                      <m:t>∙</m:t>
                    </m:r>
                    <m:sSub>
                      <m:sSubPr>
                        <m:ctrlPr>
                          <a:rPr lang="en-US" sz="1100" i="1">
                            <a:solidFill>
                              <a:schemeClr val="tx1"/>
                            </a:solidFill>
                            <a:effectLst/>
                            <a:latin typeface="Cambria Math" panose="02040503050406030204" pitchFamily="18" charset="0"/>
                            <a:ea typeface="+mn-ea"/>
                            <a:cs typeface="+mn-cs"/>
                          </a:rPr>
                        </m:ctrlPr>
                      </m:sSubPr>
                      <m:e>
                        <m:r>
                          <a:rPr lang="en-GB" sz="1100" i="1">
                            <a:solidFill>
                              <a:schemeClr val="tx1"/>
                            </a:solidFill>
                            <a:effectLst/>
                            <a:latin typeface="Cambria Math" panose="02040503050406030204" pitchFamily="18" charset="0"/>
                            <a:ea typeface="+mn-ea"/>
                            <a:cs typeface="+mn-cs"/>
                          </a:rPr>
                          <m:t>𝑘</m:t>
                        </m:r>
                      </m:e>
                      <m:sub>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𝑟𝑏𝑙</m:t>
                        </m:r>
                      </m:sub>
                    </m:sSub>
                    <m:r>
                      <a:rPr lang="en-GB" sz="1100" i="1">
                        <a:solidFill>
                          <a:schemeClr val="tx1"/>
                        </a:solidFill>
                        <a:effectLst/>
                        <a:latin typeface="Cambria Math" panose="02040503050406030204" pitchFamily="18" charset="0"/>
                        <a:ea typeface="Cambria Math" panose="02040503050406030204" pitchFamily="18" charset="0"/>
                        <a:cs typeface="+mn-cs"/>
                      </a:rPr>
                      <m:t>∙</m:t>
                    </m:r>
                    <m:sSub>
                      <m:sSubPr>
                        <m:ctrlPr>
                          <a:rPr lang="en-US" sz="1100" i="1">
                            <a:solidFill>
                              <a:schemeClr val="tx1"/>
                            </a:solidFill>
                            <a:effectLst/>
                            <a:latin typeface="Cambria Math" panose="02040503050406030204" pitchFamily="18" charset="0"/>
                            <a:ea typeface="+mn-ea"/>
                            <a:cs typeface="+mn-cs"/>
                          </a:rPr>
                        </m:ctrlPr>
                      </m:sSubPr>
                      <m:e>
                        <m:r>
                          <a:rPr lang="en-GB" sz="1100" i="1">
                            <a:solidFill>
                              <a:schemeClr val="tx1"/>
                            </a:solidFill>
                            <a:effectLst/>
                            <a:latin typeface="Cambria Math" panose="02040503050406030204" pitchFamily="18" charset="0"/>
                            <a:ea typeface="+mn-ea"/>
                            <a:cs typeface="+mn-cs"/>
                          </a:rPr>
                          <m:t>𝜂</m:t>
                        </m:r>
                      </m:e>
                      <m:sub>
                        <m:r>
                          <a:rPr lang="en-GB" sz="110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Cambria Math" panose="02040503050406030204" pitchFamily="18" charset="0"/>
                        <a:cs typeface="+mn-cs"/>
                      </a:rPr>
                      <m:t>∙</m:t>
                    </m:r>
                    <m:sSub>
                      <m:sSubPr>
                        <m:ctrlPr>
                          <a:rPr lang="en-US" sz="1100" i="1">
                            <a:solidFill>
                              <a:schemeClr val="tx1"/>
                            </a:solidFill>
                            <a:effectLst/>
                            <a:latin typeface="Cambria Math" panose="02040503050406030204" pitchFamily="18" charset="0"/>
                            <a:ea typeface="+mn-ea"/>
                            <a:cs typeface="+mn-cs"/>
                          </a:rPr>
                        </m:ctrlPr>
                      </m:sSubPr>
                      <m:e>
                        <m:r>
                          <a:rPr lang="en-GB" sz="1100" i="1">
                            <a:solidFill>
                              <a:schemeClr val="tx1"/>
                            </a:solidFill>
                            <a:effectLst/>
                            <a:latin typeface="Cambria Math" panose="02040503050406030204" pitchFamily="18" charset="0"/>
                            <a:ea typeface="+mn-ea"/>
                            <a:cs typeface="+mn-cs"/>
                          </a:rPr>
                          <m:t>𝑘</m:t>
                        </m:r>
                      </m:e>
                      <m:sub>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𝑢𝑠𝑒</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98" name="CasellaDiTesto 97">
              <a:extLst>
                <a:ext uri="{FF2B5EF4-FFF2-40B4-BE49-F238E27FC236}">
                  <a16:creationId xmlns:a16="http://schemas.microsoft.com/office/drawing/2014/main" id="{302F5D0C-F190-4F6C-B79F-FA59DCE9F320}"/>
                </a:ext>
              </a:extLst>
            </xdr:cNvPr>
            <xdr:cNvSpPr txBox="1"/>
          </xdr:nvSpPr>
          <xdr:spPr>
            <a:xfrm>
              <a:off x="7868478" y="41620108"/>
              <a:ext cx="3666645"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𝑊;𝑤𝑤ℎ𝑟;𝑟𝑣𝑑</a:t>
              </a:r>
              <a:r>
                <a:rPr lang="it-IT" sz="1100" b="0" i="0">
                  <a:solidFill>
                    <a:schemeClr val="tx1"/>
                  </a:solidFill>
                  <a:effectLst/>
                  <a:latin typeface="Cambria Math" panose="02040503050406030204" pitchFamily="18" charset="0"/>
                  <a:ea typeface="+mn-ea"/>
                  <a:cs typeface="+mn-cs"/>
                </a:rPr>
                <a:t>,𝑐𝑖</a:t>
              </a:r>
              <a:r>
                <a:rPr lang="en-US" sz="1100" b="0" i="0">
                  <a:solidFill>
                    <a:schemeClr val="tx1"/>
                  </a:solidFill>
                  <a:effectLst/>
                  <a:latin typeface="+mn-lt"/>
                  <a:ea typeface="+mn-ea"/>
                  <a:cs typeface="+mn-cs"/>
                </a:rPr>
                <a:t>)</a:t>
              </a:r>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𝑊;𝑛𝑑;𝑠ℎ𝑤</a:t>
              </a:r>
              <a:r>
                <a:rPr lang="it-IT" sz="1100" b="0" i="0">
                  <a:solidFill>
                    <a:schemeClr val="tx1"/>
                  </a:solidFill>
                  <a:effectLst/>
                  <a:latin typeface="Cambria Math" panose="02040503050406030204" pitchFamily="18" charset="0"/>
                  <a:ea typeface="+mn-ea"/>
                  <a:cs typeface="+mn-cs"/>
                </a:rPr>
                <a:t>,𝑐𝑖</a:t>
              </a:r>
              <a:r>
                <a:rPr lang="en-US" sz="1100" b="0" i="0">
                  <a:solidFill>
                    <a:schemeClr val="tx1"/>
                  </a:solidFill>
                  <a:effectLst/>
                  <a:latin typeface="+mn-lt"/>
                  <a:ea typeface="+mn-ea"/>
                  <a:cs typeface="+mn-cs"/>
                </a:rPr>
                <a:t>)</a:t>
              </a:r>
              <a:r>
                <a:rPr lang="en-GB" sz="1100" i="0">
                  <a:solidFill>
                    <a:schemeClr val="tx1"/>
                  </a:solidFill>
                  <a:effectLst/>
                  <a:latin typeface="Cambria Math" panose="02040503050406030204" pitchFamily="18" charset="0"/>
                  <a:ea typeface="Cambria Math" panose="02040503050406030204" pitchFamily="18" charset="0"/>
                  <a:cs typeface="+mn-cs"/>
                </a:rPr>
                <a:t>∙</a:t>
              </a:r>
              <a:r>
                <a:rPr lang="en-GB" sz="1100" i="0">
                  <a:solidFill>
                    <a:schemeClr val="tx1"/>
                  </a:solidFill>
                  <a:effectLst/>
                  <a:latin typeface="+mn-lt"/>
                  <a:ea typeface="+mn-ea"/>
                  <a:cs typeface="+mn-cs"/>
                </a:rPr>
                <a:t>𝑘</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𝑤𝑤ℎ𝑟;𝑟𝑏𝑙</a:t>
              </a:r>
              <a:r>
                <a:rPr lang="en-US" sz="1100" i="0">
                  <a:solidFill>
                    <a:schemeClr val="tx1"/>
                  </a:solidFill>
                  <a:effectLst/>
                  <a:latin typeface="+mn-lt"/>
                  <a:ea typeface="+mn-ea"/>
                  <a:cs typeface="+mn-cs"/>
                </a:rPr>
                <a:t>)</a:t>
              </a:r>
              <a:r>
                <a:rPr lang="en-GB" sz="1100" i="0">
                  <a:solidFill>
                    <a:schemeClr val="tx1"/>
                  </a:solidFill>
                  <a:effectLst/>
                  <a:latin typeface="Cambria Math" panose="02040503050406030204" pitchFamily="18" charset="0"/>
                  <a:ea typeface="Cambria Math" panose="02040503050406030204" pitchFamily="18" charset="0"/>
                  <a:cs typeface="+mn-cs"/>
                </a:rPr>
                <a:t>∙</a:t>
              </a:r>
              <a:r>
                <a:rPr lang="en-GB" sz="1100" i="0">
                  <a:solidFill>
                    <a:schemeClr val="tx1"/>
                  </a:solidFill>
                  <a:effectLst/>
                  <a:latin typeface="+mn-lt"/>
                  <a:ea typeface="+mn-ea"/>
                  <a:cs typeface="+mn-cs"/>
                </a:rPr>
                <a:t>𝜂</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𝑤𝑤ℎ𝑟</a:t>
              </a:r>
              <a:r>
                <a:rPr lang="it-IT" sz="1100" b="0" i="0">
                  <a:solidFill>
                    <a:schemeClr val="tx1"/>
                  </a:solidFill>
                  <a:effectLst/>
                  <a:latin typeface="Cambria Math" panose="02040503050406030204" pitchFamily="18" charset="0"/>
                  <a:ea typeface="+mn-ea"/>
                  <a:cs typeface="+mn-cs"/>
                </a:rPr>
                <a:t>,𝑐𝑖</a:t>
              </a:r>
              <a:r>
                <a:rPr lang="en-US" sz="1100" b="0" i="0">
                  <a:solidFill>
                    <a:schemeClr val="tx1"/>
                  </a:solidFill>
                  <a:effectLst/>
                  <a:latin typeface="+mn-lt"/>
                  <a:ea typeface="+mn-ea"/>
                  <a:cs typeface="+mn-cs"/>
                </a:rPr>
                <a:t>)</a:t>
              </a:r>
              <a:r>
                <a:rPr lang="en-GB" sz="1100" i="0">
                  <a:solidFill>
                    <a:schemeClr val="tx1"/>
                  </a:solidFill>
                  <a:effectLst/>
                  <a:latin typeface="Cambria Math" panose="02040503050406030204" pitchFamily="18" charset="0"/>
                  <a:ea typeface="Cambria Math" panose="02040503050406030204" pitchFamily="18" charset="0"/>
                  <a:cs typeface="+mn-cs"/>
                </a:rPr>
                <a:t>∙</a:t>
              </a:r>
              <a:r>
                <a:rPr lang="en-GB" sz="1100" i="0">
                  <a:solidFill>
                    <a:schemeClr val="tx1"/>
                  </a:solidFill>
                  <a:effectLst/>
                  <a:latin typeface="+mn-lt"/>
                  <a:ea typeface="+mn-ea"/>
                  <a:cs typeface="+mn-cs"/>
                </a:rPr>
                <a:t>𝑘</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𝑤𝑤ℎ𝑟;𝑢𝑠𝑒</a:t>
              </a:r>
              <a:r>
                <a:rPr lang="it-IT" sz="1100" b="0" i="0">
                  <a:solidFill>
                    <a:schemeClr val="tx1"/>
                  </a:solidFill>
                  <a:effectLst/>
                  <a:latin typeface="Cambria Math" panose="02040503050406030204" pitchFamily="18" charset="0"/>
                  <a:ea typeface="+mn-ea"/>
                  <a:cs typeface="+mn-cs"/>
                </a:rPr>
                <a:t>,𝑐𝑖</a:t>
              </a:r>
              <a:r>
                <a:rPr lang="en-US" sz="1100" b="0" i="0">
                  <a:solidFill>
                    <a:schemeClr val="tx1"/>
                  </a:solidFill>
                  <a:effectLst/>
                  <a:latin typeface="+mn-lt"/>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91109</xdr:colOff>
      <xdr:row>170</xdr:row>
      <xdr:rowOff>132522</xdr:rowOff>
    </xdr:from>
    <xdr:ext cx="3333348" cy="366639"/>
    <mc:AlternateContent xmlns:mc="http://schemas.openxmlformats.org/markup-compatibility/2006" xmlns:a14="http://schemas.microsoft.com/office/drawing/2010/main">
      <mc:Choice Requires="a14">
        <xdr:sp macro="" textlink="">
          <xdr:nvSpPr>
            <xdr:cNvPr id="99" name="CasellaDiTesto 98">
              <a:extLst>
                <a:ext uri="{FF2B5EF4-FFF2-40B4-BE49-F238E27FC236}">
                  <a16:creationId xmlns:a16="http://schemas.microsoft.com/office/drawing/2014/main" id="{BB065293-3DFC-45F9-A9DD-4D279C804F66}"/>
                </a:ext>
              </a:extLst>
            </xdr:cNvPr>
            <xdr:cNvSpPr txBox="1"/>
          </xdr:nvSpPr>
          <xdr:spPr>
            <a:xfrm>
              <a:off x="8001000" y="42340696"/>
              <a:ext cx="3333348" cy="36663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en-GB" sz="1100" i="1">
                        <a:solidFill>
                          <a:schemeClr val="tx1"/>
                        </a:solidFill>
                        <a:effectLst/>
                        <a:latin typeface="Cambria Math" panose="02040503050406030204" pitchFamily="18" charset="0"/>
                        <a:ea typeface="+mn-ea"/>
                        <a:cs typeface="+mn-cs"/>
                      </a:rPr>
                      <m:t>𝑄</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𝑟𝑣𝑑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𝐴</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𝑄</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𝑟𝑣𝑑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f>
                      <m:fPr>
                        <m:ctrlPr>
                          <a:rPr lang="en-US"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𝑑𝑖𝑠</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𝑑𝑟𝑎𝑤</m:t>
                            </m:r>
                          </m:sub>
                        </m:sSub>
                      </m:num>
                      <m:den>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𝑑𝑖𝑠</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𝜃</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𝑝𝑟𝑒</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99" name="CasellaDiTesto 98">
              <a:extLst>
                <a:ext uri="{FF2B5EF4-FFF2-40B4-BE49-F238E27FC236}">
                  <a16:creationId xmlns:a16="http://schemas.microsoft.com/office/drawing/2014/main" id="{BB065293-3DFC-45F9-A9DD-4D279C804F66}"/>
                </a:ext>
              </a:extLst>
            </xdr:cNvPr>
            <xdr:cNvSpPr txBox="1"/>
          </xdr:nvSpPr>
          <xdr:spPr>
            <a:xfrm>
              <a:off x="8001000" y="42340696"/>
              <a:ext cx="3333348" cy="36663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𝑊;𝑤𝑤ℎ𝑟;𝑟𝑣𝑑</a:t>
              </a:r>
              <a:r>
                <a:rPr lang="it-IT" sz="1100" b="0" i="0">
                  <a:solidFill>
                    <a:schemeClr val="tx1"/>
                  </a:solidFill>
                  <a:effectLst/>
                  <a:latin typeface="Cambria Math" panose="02040503050406030204" pitchFamily="18" charset="0"/>
                  <a:ea typeface="+mn-ea"/>
                  <a:cs typeface="+mn-cs"/>
                </a:rPr>
                <a:t>;𝑠ℎ𝑤;𝐴,𝑐𝑖</a:t>
              </a:r>
              <a:r>
                <a:rPr lang="en-US" sz="1100" b="0" i="0">
                  <a:solidFill>
                    <a:schemeClr val="tx1"/>
                  </a:solidFill>
                  <a:effectLst/>
                  <a:latin typeface="+mn-lt"/>
                  <a:ea typeface="+mn-ea"/>
                  <a:cs typeface="+mn-cs"/>
                </a:rPr>
                <a:t>)</a:t>
              </a:r>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𝑊;𝑤𝑤ℎ𝑟;𝑟𝑣𝑑</a:t>
              </a:r>
              <a:r>
                <a:rPr lang="it-IT" sz="1100" b="0" i="0">
                  <a:solidFill>
                    <a:schemeClr val="tx1"/>
                  </a:solidFill>
                  <a:effectLst/>
                  <a:latin typeface="+mn-lt"/>
                  <a:ea typeface="+mn-ea"/>
                  <a:cs typeface="+mn-cs"/>
                </a:rPr>
                <a:t>,𝑐𝑖</a:t>
              </a:r>
              <a:r>
                <a:rPr lang="en-US"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mn-lt"/>
                  <a:ea typeface="+mn-ea"/>
                  <a:cs typeface="+mn-cs"/>
                </a:rPr>
                <a:t>(</a:t>
              </a:r>
              <a:r>
                <a:rPr lang="it-IT" sz="1100" b="0" i="0">
                  <a:solidFill>
                    <a:schemeClr val="tx1"/>
                  </a:solidFill>
                  <a:effectLst/>
                  <a:latin typeface="+mn-lt"/>
                  <a:ea typeface="+mn-ea"/>
                  <a:cs typeface="+mn-cs"/>
                </a:rPr>
                <a:t>𝜃_(𝑊;𝑑</a:t>
              </a:r>
              <a:r>
                <a:rPr lang="it-IT" sz="1100" b="0" i="0">
                  <a:solidFill>
                    <a:schemeClr val="tx1"/>
                  </a:solidFill>
                  <a:effectLst/>
                  <a:latin typeface="Cambria Math" panose="02040503050406030204" pitchFamily="18" charset="0"/>
                  <a:ea typeface="+mn-ea"/>
                  <a:cs typeface="+mn-cs"/>
                </a:rPr>
                <a:t>𝑖𝑠,𝑐𝑖</a:t>
              </a:r>
              <a:r>
                <a:rPr lang="it-IT" sz="1100" b="0" i="0">
                  <a:solidFill>
                    <a:schemeClr val="tx1"/>
                  </a:solidFill>
                  <a:effectLst/>
                  <a:latin typeface="+mn-lt"/>
                  <a:ea typeface="+mn-ea"/>
                  <a:cs typeface="+mn-cs"/>
                </a:rPr>
                <a:t>)−𝜃_(𝑊</a:t>
              </a:r>
              <a:r>
                <a:rPr lang="it-IT" sz="1100" b="0" i="0">
                  <a:solidFill>
                    <a:schemeClr val="tx1"/>
                  </a:solidFill>
                  <a:effectLst/>
                  <a:latin typeface="Cambria Math" panose="02040503050406030204" pitchFamily="18" charset="0"/>
                  <a:ea typeface="+mn-ea"/>
                  <a:cs typeface="+mn-cs"/>
                </a:rPr>
                <a:t>;𝑑𝑟𝑎𝑤</a:t>
              </a:r>
              <a:r>
                <a:rPr lang="it-IT" sz="1100" b="0" i="0">
                  <a:solidFill>
                    <a:schemeClr val="tx1"/>
                  </a:solidFill>
                  <a:effectLst/>
                  <a:latin typeface="+mn-lt"/>
                  <a:ea typeface="+mn-ea"/>
                  <a:cs typeface="+mn-cs"/>
                </a:rPr>
                <a:t>)</a:t>
              </a:r>
              <a:r>
                <a:rPr lang="en-US" sz="1100" b="0" i="0">
                  <a:solidFill>
                    <a:schemeClr val="tx1"/>
                  </a:solidFill>
                  <a:effectLst/>
                  <a:latin typeface="+mn-lt"/>
                  <a:ea typeface="+mn-ea"/>
                  <a:cs typeface="+mn-cs"/>
                </a:rPr>
                <a:t>)/(</a:t>
              </a:r>
              <a:r>
                <a:rPr lang="it-IT" sz="1100" b="0" i="0">
                  <a:solidFill>
                    <a:schemeClr val="tx1"/>
                  </a:solidFill>
                  <a:effectLst/>
                  <a:latin typeface="+mn-lt"/>
                  <a:ea typeface="+mn-ea"/>
                  <a:cs typeface="+mn-cs"/>
                </a:rPr>
                <a:t>𝜃_(𝑊;𝑑</a:t>
              </a:r>
              <a:r>
                <a:rPr lang="it-IT" sz="1100" b="0" i="0">
                  <a:solidFill>
                    <a:schemeClr val="tx1"/>
                  </a:solidFill>
                  <a:effectLst/>
                  <a:latin typeface="Cambria Math" panose="02040503050406030204" pitchFamily="18" charset="0"/>
                  <a:ea typeface="+mn-ea"/>
                  <a:cs typeface="+mn-cs"/>
                </a:rPr>
                <a:t>𝑖𝑠,𝑐𝑖</a:t>
              </a:r>
              <a:r>
                <a:rPr lang="it-IT" sz="1100" b="0" i="0">
                  <a:solidFill>
                    <a:schemeClr val="tx1"/>
                  </a:solidFill>
                  <a:effectLst/>
                  <a:latin typeface="+mn-lt"/>
                  <a:ea typeface="+mn-ea"/>
                  <a:cs typeface="+mn-cs"/>
                </a:rPr>
                <a:t>)−𝜃_(𝑊;</a:t>
              </a:r>
              <a:r>
                <a:rPr lang="it-IT" sz="1100" b="0" i="0">
                  <a:solidFill>
                    <a:schemeClr val="tx1"/>
                  </a:solidFill>
                  <a:effectLst/>
                  <a:latin typeface="Cambria Math" panose="02040503050406030204" pitchFamily="18" charset="0"/>
                  <a:ea typeface="+mn-ea"/>
                  <a:cs typeface="+mn-cs"/>
                </a:rPr>
                <a:t>𝑝𝑟𝑒</a:t>
              </a:r>
              <a:r>
                <a:rPr lang="it-IT" sz="1100" b="0" i="0">
                  <a:solidFill>
                    <a:schemeClr val="tx1"/>
                  </a:solidFill>
                  <a:effectLst/>
                  <a:latin typeface="+mn-lt"/>
                  <a:ea typeface="+mn-ea"/>
                  <a:cs typeface="+mn-cs"/>
                </a:rPr>
                <a:t>,𝑐𝑖) </a:t>
              </a:r>
              <a:r>
                <a:rPr lang="en-US" sz="1100" b="0" i="0">
                  <a:solidFill>
                    <a:schemeClr val="tx1"/>
                  </a:solidFill>
                  <a:effectLst/>
                  <a:latin typeface="+mn-lt"/>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49696</xdr:colOff>
      <xdr:row>169</xdr:row>
      <xdr:rowOff>41413</xdr:rowOff>
    </xdr:from>
    <xdr:ext cx="3315331" cy="253339"/>
    <mc:AlternateContent xmlns:mc="http://schemas.openxmlformats.org/markup-compatibility/2006" xmlns:a14="http://schemas.microsoft.com/office/drawing/2010/main">
      <mc:Choice Requires="a14">
        <xdr:sp macro="" textlink="">
          <xdr:nvSpPr>
            <xdr:cNvPr id="100" name="CasellaDiTesto 99">
              <a:extLst>
                <a:ext uri="{FF2B5EF4-FFF2-40B4-BE49-F238E27FC236}">
                  <a16:creationId xmlns:a16="http://schemas.microsoft.com/office/drawing/2014/main" id="{3D5B0AF8-5997-43B7-9060-745F366DCC05}"/>
                </a:ext>
              </a:extLst>
            </xdr:cNvPr>
            <xdr:cNvSpPr txBox="1"/>
          </xdr:nvSpPr>
          <xdr:spPr>
            <a:xfrm>
              <a:off x="7876761" y="41926565"/>
              <a:ext cx="3315331" cy="25333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en-GB" sz="1100" i="1">
                        <a:solidFill>
                          <a:schemeClr val="tx1"/>
                        </a:solidFill>
                        <a:effectLst/>
                        <a:latin typeface="Cambria Math" panose="02040503050406030204" pitchFamily="18" charset="0"/>
                        <a:ea typeface="Cambria Math" panose="02040503050406030204" pitchFamily="18" charset="0"/>
                        <a:cs typeface="+mn-cs"/>
                      </a:rPr>
                      <m:t>𝜃</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𝑝𝑟𝑒</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𝜃</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sSub>
                      <m:sSubPr>
                        <m:ctrlPr>
                          <a:rPr lang="en-US" sz="1100" i="1">
                            <a:solidFill>
                              <a:schemeClr val="tx1"/>
                            </a:solidFill>
                            <a:effectLst/>
                            <a:latin typeface="Cambria Math" panose="02040503050406030204" pitchFamily="18" charset="0"/>
                            <a:ea typeface="+mn-ea"/>
                            <a:cs typeface="+mn-cs"/>
                          </a:rPr>
                        </m:ctrlPr>
                      </m:sSubPr>
                      <m:e>
                        <m:r>
                          <a:rPr lang="en-GB" sz="1100" i="1">
                            <a:solidFill>
                              <a:schemeClr val="tx1"/>
                            </a:solidFill>
                            <a:effectLst/>
                            <a:latin typeface="Cambria Math" panose="02040503050406030204" pitchFamily="18" charset="0"/>
                            <a:ea typeface="+mn-ea"/>
                            <a:cs typeface="+mn-cs"/>
                          </a:rPr>
                          <m:t>𝜂</m:t>
                        </m:r>
                      </m:e>
                      <m:sub>
                        <m:r>
                          <a:rPr lang="en-GB" sz="110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d>
                      <m:dPr>
                        <m:ctrlPr>
                          <a:rPr lang="it-IT" sz="1100" b="0" i="1">
                            <a:solidFill>
                              <a:schemeClr val="tx1"/>
                            </a:solidFill>
                            <a:effectLst/>
                            <a:latin typeface="Cambria Math" panose="02040503050406030204" pitchFamily="18" charset="0"/>
                            <a:ea typeface="Cambria Math" panose="02040503050406030204" pitchFamily="18" charset="0"/>
                            <a:cs typeface="+mn-cs"/>
                          </a:rPr>
                        </m:ctrlPr>
                      </m:dPr>
                      <m:e>
                        <m:r>
                          <a:rPr lang="en-GB" sz="1100" i="1">
                            <a:solidFill>
                              <a:schemeClr val="tx1"/>
                            </a:solidFill>
                            <a:effectLst/>
                            <a:latin typeface="Cambria Math" panose="02040503050406030204" pitchFamily="18" charset="0"/>
                            <a:ea typeface="+mn-ea"/>
                            <a:cs typeface="+mn-cs"/>
                          </a:rPr>
                          <m:t>𝜃</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𝑑𝑟𝑎𝑖𝑛</m:t>
                            </m:r>
                          </m:sub>
                        </m:sSub>
                        <m:r>
                          <a:rPr lang="it-IT" sz="1100" b="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𝜃</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𝑐𝑜𝑙𝑑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e>
                    </m:d>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100" name="CasellaDiTesto 99">
              <a:extLst>
                <a:ext uri="{FF2B5EF4-FFF2-40B4-BE49-F238E27FC236}">
                  <a16:creationId xmlns:a16="http://schemas.microsoft.com/office/drawing/2014/main" id="{3D5B0AF8-5997-43B7-9060-745F366DCC05}"/>
                </a:ext>
              </a:extLst>
            </xdr:cNvPr>
            <xdr:cNvSpPr txBox="1"/>
          </xdr:nvSpPr>
          <xdr:spPr>
            <a:xfrm>
              <a:off x="7876761" y="41926565"/>
              <a:ext cx="3315331" cy="25333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n-GB" sz="1100" i="0">
                  <a:solidFill>
                    <a:schemeClr val="tx1"/>
                  </a:solidFill>
                  <a:effectLst/>
                  <a:latin typeface="Cambria Math" panose="02040503050406030204" pitchFamily="18" charset="0"/>
                  <a:ea typeface="Cambria Math" panose="02040503050406030204" pitchFamily="18" charset="0"/>
                  <a:cs typeface="+mn-cs"/>
                </a:rPr>
                <a:t>𝜃</a:t>
              </a:r>
              <a:r>
                <a:rPr lang="en-GB" sz="1100" i="0">
                  <a:solidFill>
                    <a:schemeClr val="tx1"/>
                  </a:solidFill>
                  <a:effectLst/>
                  <a:latin typeface="+mn-lt"/>
                  <a:ea typeface="+mn-ea"/>
                  <a:cs typeface="+mn-cs"/>
                </a:rPr>
                <a:t>­</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a:t>
              </a:r>
              <a:r>
                <a:rPr lang="it-IT" sz="1100" b="0" i="0">
                  <a:solidFill>
                    <a:schemeClr val="tx1"/>
                  </a:solidFill>
                  <a:effectLst/>
                  <a:latin typeface="Cambria Math" panose="02040503050406030204" pitchFamily="18" charset="0"/>
                  <a:ea typeface="+mn-ea"/>
                  <a:cs typeface="+mn-cs"/>
                </a:rPr>
                <a:t>𝑝𝑟𝑒,𝑐𝑖</a:t>
              </a:r>
              <a:r>
                <a:rPr lang="en-US" sz="1100" b="0" i="0">
                  <a:solidFill>
                    <a:schemeClr val="tx1"/>
                  </a:solidFill>
                  <a:effectLst/>
                  <a:latin typeface="+mn-lt"/>
                  <a:ea typeface="+mn-ea"/>
                  <a:cs typeface="+mn-cs"/>
                </a:rPr>
                <a:t>)</a:t>
              </a:r>
              <a:r>
                <a:rPr lang="en-GB" sz="1100" i="0">
                  <a:solidFill>
                    <a:schemeClr val="tx1"/>
                  </a:solidFill>
                  <a:effectLst/>
                  <a:latin typeface="+mn-lt"/>
                  <a:ea typeface="+mn-ea"/>
                  <a:cs typeface="+mn-cs"/>
                </a:rPr>
                <a:t>=𝜃­</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a:t>
              </a:r>
              <a:r>
                <a:rPr lang="it-IT" sz="1100" b="0" i="0">
                  <a:solidFill>
                    <a:schemeClr val="tx1"/>
                  </a:solidFill>
                  <a:effectLst/>
                  <a:latin typeface="Cambria Math" panose="02040503050406030204" pitchFamily="18" charset="0"/>
                  <a:ea typeface="+mn-ea"/>
                  <a:cs typeface="+mn-cs"/>
                </a:rPr>
                <a:t>𝑐𝑜𝑙𝑑</a:t>
              </a:r>
              <a:r>
                <a:rPr lang="it-IT" sz="1100" b="0" i="0">
                  <a:solidFill>
                    <a:schemeClr val="tx1"/>
                  </a:solidFill>
                  <a:effectLst/>
                  <a:latin typeface="+mn-lt"/>
                  <a:ea typeface="+mn-ea"/>
                  <a:cs typeface="+mn-cs"/>
                </a:rPr>
                <a:t>,𝑐𝑖</a:t>
              </a:r>
              <a:r>
                <a:rPr lang="en-US"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a:t>
              </a:r>
              <a:r>
                <a:rPr lang="en-GB" sz="1100" i="0">
                  <a:solidFill>
                    <a:schemeClr val="tx1"/>
                  </a:solidFill>
                  <a:effectLst/>
                  <a:latin typeface="+mn-lt"/>
                  <a:ea typeface="+mn-ea"/>
                  <a:cs typeface="+mn-cs"/>
                </a:rPr>
                <a:t>𝜂</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𝑤𝑤ℎ𝑟</a:t>
              </a:r>
              <a:r>
                <a:rPr lang="it-IT" sz="1100" b="0" i="0">
                  <a:solidFill>
                    <a:schemeClr val="tx1"/>
                  </a:solidFill>
                  <a:effectLst/>
                  <a:latin typeface="+mn-lt"/>
                  <a:ea typeface="+mn-ea"/>
                  <a:cs typeface="+mn-cs"/>
                </a:rPr>
                <a:t>,𝑐𝑖</a:t>
              </a:r>
              <a:r>
                <a:rPr lang="en-US"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en-GB" sz="1100" i="0">
                  <a:solidFill>
                    <a:schemeClr val="tx1"/>
                  </a:solidFill>
                  <a:effectLst/>
                  <a:latin typeface="+mn-lt"/>
                  <a:ea typeface="+mn-ea"/>
                  <a:cs typeface="+mn-cs"/>
                </a:rPr>
                <a:t>𝜃­</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a:t>
              </a:r>
              <a:r>
                <a:rPr lang="it-IT" sz="1100" b="0" i="0">
                  <a:solidFill>
                    <a:schemeClr val="tx1"/>
                  </a:solidFill>
                  <a:effectLst/>
                  <a:latin typeface="Cambria Math" panose="02040503050406030204" pitchFamily="18" charset="0"/>
                  <a:ea typeface="+mn-ea"/>
                  <a:cs typeface="+mn-cs"/>
                </a:rPr>
                <a:t>𝑑𝑟𝑎𝑖𝑛</a:t>
              </a:r>
              <a:r>
                <a:rPr lang="en-US"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a:t>
              </a:r>
              <a:r>
                <a:rPr lang="en-GB" sz="1100" i="0">
                  <a:solidFill>
                    <a:schemeClr val="tx1"/>
                  </a:solidFill>
                  <a:effectLst/>
                  <a:latin typeface="+mn-lt"/>
                  <a:ea typeface="+mn-ea"/>
                  <a:cs typeface="+mn-cs"/>
                </a:rPr>
                <a:t>𝜃­</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a:t>
              </a:r>
              <a:r>
                <a:rPr lang="it-IT" sz="1100" b="0" i="0">
                  <a:solidFill>
                    <a:schemeClr val="tx1"/>
                  </a:solidFill>
                  <a:effectLst/>
                  <a:latin typeface="+mn-lt"/>
                  <a:ea typeface="+mn-ea"/>
                  <a:cs typeface="+mn-cs"/>
                </a:rPr>
                <a:t>𝑐𝑜𝑙𝑑,𝑐𝑖</a:t>
              </a:r>
              <a:r>
                <a:rPr lang="en-US"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 )</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173935</xdr:colOff>
      <xdr:row>171</xdr:row>
      <xdr:rowOff>99392</xdr:rowOff>
    </xdr:from>
    <xdr:ext cx="2140008" cy="221984"/>
    <mc:AlternateContent xmlns:mc="http://schemas.openxmlformats.org/markup-compatibility/2006" xmlns:a14="http://schemas.microsoft.com/office/drawing/2010/main">
      <mc:Choice Requires="a14">
        <xdr:sp macro="" textlink="">
          <xdr:nvSpPr>
            <xdr:cNvPr id="101" name="CasellaDiTesto 100">
              <a:extLst>
                <a:ext uri="{FF2B5EF4-FFF2-40B4-BE49-F238E27FC236}">
                  <a16:creationId xmlns:a16="http://schemas.microsoft.com/office/drawing/2014/main" id="{62A9A0C6-0F2F-41CB-8682-D9251E41736E}"/>
                </a:ext>
              </a:extLst>
            </xdr:cNvPr>
            <xdr:cNvSpPr txBox="1"/>
          </xdr:nvSpPr>
          <xdr:spPr>
            <a:xfrm>
              <a:off x="8083826" y="42862501"/>
              <a:ext cx="2140008"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en-GB" sz="1100" i="1">
                        <a:solidFill>
                          <a:schemeClr val="tx1"/>
                        </a:solidFill>
                        <a:effectLst/>
                        <a:latin typeface="Cambria Math" panose="02040503050406030204" pitchFamily="18" charset="0"/>
                        <a:ea typeface="+mn-ea"/>
                        <a:cs typeface="+mn-cs"/>
                      </a:rPr>
                      <m:t>𝑄</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𝑟𝑣𝑑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𝐵</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𝑄</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𝑟𝑣𝑑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101" name="CasellaDiTesto 100">
              <a:extLst>
                <a:ext uri="{FF2B5EF4-FFF2-40B4-BE49-F238E27FC236}">
                  <a16:creationId xmlns:a16="http://schemas.microsoft.com/office/drawing/2014/main" id="{62A9A0C6-0F2F-41CB-8682-D9251E41736E}"/>
                </a:ext>
              </a:extLst>
            </xdr:cNvPr>
            <xdr:cNvSpPr txBox="1"/>
          </xdr:nvSpPr>
          <xdr:spPr>
            <a:xfrm>
              <a:off x="8083826" y="42862501"/>
              <a:ext cx="2140008"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𝑊;𝑤𝑤ℎ𝑟;𝑟𝑣𝑑</a:t>
              </a:r>
              <a:r>
                <a:rPr lang="it-IT" sz="1100" b="0" i="0">
                  <a:solidFill>
                    <a:schemeClr val="tx1"/>
                  </a:solidFill>
                  <a:effectLst/>
                  <a:latin typeface="Cambria Math" panose="02040503050406030204" pitchFamily="18" charset="0"/>
                  <a:ea typeface="+mn-ea"/>
                  <a:cs typeface="+mn-cs"/>
                </a:rPr>
                <a:t>;𝑠ℎ𝑤;𝐵,𝑐𝑖</a:t>
              </a:r>
              <a:r>
                <a:rPr lang="en-US" sz="1100" b="0" i="0">
                  <a:solidFill>
                    <a:schemeClr val="tx1"/>
                  </a:solidFill>
                  <a:effectLst/>
                  <a:latin typeface="+mn-lt"/>
                  <a:ea typeface="+mn-ea"/>
                  <a:cs typeface="+mn-cs"/>
                </a:rPr>
                <a:t>)</a:t>
              </a:r>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𝑊;𝑤𝑤ℎ𝑟;𝑟𝑣𝑑</a:t>
              </a:r>
              <a:r>
                <a:rPr lang="it-IT" sz="1100" b="0" i="0">
                  <a:solidFill>
                    <a:schemeClr val="tx1"/>
                  </a:solidFill>
                  <a:effectLst/>
                  <a:latin typeface="+mn-lt"/>
                  <a:ea typeface="+mn-ea"/>
                  <a:cs typeface="+mn-cs"/>
                </a:rPr>
                <a:t>,𝑐𝑖</a:t>
              </a:r>
              <a:r>
                <a:rPr lang="en-US" sz="1100" b="0" i="0">
                  <a:solidFill>
                    <a:schemeClr val="tx1"/>
                  </a:solidFill>
                  <a:effectLst/>
                  <a:latin typeface="+mn-lt"/>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190501</xdr:colOff>
      <xdr:row>172</xdr:row>
      <xdr:rowOff>74544</xdr:rowOff>
    </xdr:from>
    <xdr:ext cx="1418209" cy="221984"/>
    <mc:AlternateContent xmlns:mc="http://schemas.openxmlformats.org/markup-compatibility/2006" xmlns:a14="http://schemas.microsoft.com/office/drawing/2010/main">
      <mc:Choice Requires="a14">
        <xdr:sp macro="" textlink="">
          <xdr:nvSpPr>
            <xdr:cNvPr id="102" name="CasellaDiTesto 101">
              <a:extLst>
                <a:ext uri="{FF2B5EF4-FFF2-40B4-BE49-F238E27FC236}">
                  <a16:creationId xmlns:a16="http://schemas.microsoft.com/office/drawing/2014/main" id="{52FDC6B9-3037-4506-A525-A30F1E25ACC1}"/>
                </a:ext>
              </a:extLst>
            </xdr:cNvPr>
            <xdr:cNvSpPr txBox="1"/>
          </xdr:nvSpPr>
          <xdr:spPr>
            <a:xfrm>
              <a:off x="8100392" y="43260066"/>
              <a:ext cx="1418209"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en-GB" sz="1100" i="1">
                        <a:solidFill>
                          <a:schemeClr val="tx1"/>
                        </a:solidFill>
                        <a:effectLst/>
                        <a:latin typeface="Cambria Math" panose="02040503050406030204" pitchFamily="18" charset="0"/>
                        <a:ea typeface="+mn-ea"/>
                        <a:cs typeface="+mn-cs"/>
                      </a:rPr>
                      <m:t>𝑄</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𝑟𝑣𝑑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𝐶</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mn-ea"/>
                        <a:cs typeface="+mn-cs"/>
                      </a:rPr>
                      <m:t>=</m:t>
                    </m:r>
                    <m:r>
                      <a:rPr lang="it-IT" sz="1100" i="1">
                        <a:solidFill>
                          <a:schemeClr val="tx1"/>
                        </a:solidFill>
                        <a:effectLst/>
                        <a:latin typeface="Cambria Math" panose="02040503050406030204" pitchFamily="18" charset="0"/>
                        <a:ea typeface="+mn-ea"/>
                        <a:cs typeface="+mn-cs"/>
                      </a:rPr>
                      <m:t>0</m:t>
                    </m:r>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102" name="CasellaDiTesto 101">
              <a:extLst>
                <a:ext uri="{FF2B5EF4-FFF2-40B4-BE49-F238E27FC236}">
                  <a16:creationId xmlns:a16="http://schemas.microsoft.com/office/drawing/2014/main" id="{52FDC6B9-3037-4506-A525-A30F1E25ACC1}"/>
                </a:ext>
              </a:extLst>
            </xdr:cNvPr>
            <xdr:cNvSpPr txBox="1"/>
          </xdr:nvSpPr>
          <xdr:spPr>
            <a:xfrm>
              <a:off x="8100392" y="43260066"/>
              <a:ext cx="1418209"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𝑊;𝑤𝑤ℎ𝑟;𝑟𝑣𝑑</a:t>
              </a:r>
              <a:r>
                <a:rPr lang="it-IT" sz="1100" b="0" i="0">
                  <a:solidFill>
                    <a:schemeClr val="tx1"/>
                  </a:solidFill>
                  <a:effectLst/>
                  <a:latin typeface="Cambria Math" panose="02040503050406030204" pitchFamily="18" charset="0"/>
                  <a:ea typeface="+mn-ea"/>
                  <a:cs typeface="+mn-cs"/>
                </a:rPr>
                <a:t>;𝑠ℎ𝑤;𝐶,𝑐𝑖</a:t>
              </a:r>
              <a:r>
                <a:rPr lang="en-US" sz="1100" b="0" i="0">
                  <a:solidFill>
                    <a:schemeClr val="tx1"/>
                  </a:solidFill>
                  <a:effectLst/>
                  <a:latin typeface="+mn-lt"/>
                  <a:ea typeface="+mn-ea"/>
                  <a:cs typeface="+mn-cs"/>
                </a:rPr>
                <a:t>)</a:t>
              </a:r>
              <a:r>
                <a:rPr lang="en-GB" sz="1100" i="0">
                  <a:solidFill>
                    <a:schemeClr val="tx1"/>
                  </a:solidFill>
                  <a:effectLst/>
                  <a:latin typeface="+mn-lt"/>
                  <a:ea typeface="+mn-ea"/>
                  <a:cs typeface="+mn-cs"/>
                </a:rPr>
                <a:t>=</a:t>
              </a:r>
              <a:r>
                <a:rPr lang="it-IT" sz="1100" i="0">
                  <a:solidFill>
                    <a:schemeClr val="tx1"/>
                  </a:solidFill>
                  <a:effectLst/>
                  <a:latin typeface="Cambria Math" panose="02040503050406030204" pitchFamily="18" charset="0"/>
                  <a:ea typeface="+mn-ea"/>
                  <a:cs typeface="+mn-cs"/>
                </a:rPr>
                <a:t>0</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49696</xdr:colOff>
      <xdr:row>174</xdr:row>
      <xdr:rowOff>24847</xdr:rowOff>
    </xdr:from>
    <xdr:ext cx="3180679" cy="221984"/>
    <mc:AlternateContent xmlns:mc="http://schemas.openxmlformats.org/markup-compatibility/2006" xmlns:a14="http://schemas.microsoft.com/office/drawing/2010/main">
      <mc:Choice Requires="a14">
        <xdr:sp macro="" textlink="">
          <xdr:nvSpPr>
            <xdr:cNvPr id="103" name="CasellaDiTesto 102">
              <a:extLst>
                <a:ext uri="{FF2B5EF4-FFF2-40B4-BE49-F238E27FC236}">
                  <a16:creationId xmlns:a16="http://schemas.microsoft.com/office/drawing/2014/main" id="{387A1079-CB83-409A-9F71-14F656E49FA9}"/>
                </a:ext>
              </a:extLst>
            </xdr:cNvPr>
            <xdr:cNvSpPr txBox="1"/>
          </xdr:nvSpPr>
          <xdr:spPr>
            <a:xfrm>
              <a:off x="7959587" y="43856412"/>
              <a:ext cx="3180679"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en-GB" sz="1100" i="1">
                        <a:solidFill>
                          <a:schemeClr val="tx1"/>
                        </a:solidFill>
                        <a:effectLst/>
                        <a:latin typeface="Cambria Math" panose="02040503050406030204" pitchFamily="18" charset="0"/>
                        <a:ea typeface="+mn-ea"/>
                        <a:cs typeface="+mn-cs"/>
                      </a:rPr>
                      <m:t>𝑄</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𝑟𝑣𝑑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𝑤h</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𝑄</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𝑟𝑣𝑑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it-IT" sz="1100" b="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𝑄</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𝑊</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en-GB" sz="1100" i="1">
                            <a:solidFill>
                              <a:schemeClr val="tx1"/>
                            </a:solidFill>
                            <a:effectLst/>
                            <a:latin typeface="Cambria Math" panose="02040503050406030204" pitchFamily="18" charset="0"/>
                            <a:ea typeface="+mn-ea"/>
                            <a:cs typeface="+mn-cs"/>
                          </a:rPr>
                          <m:t>𝑟𝑣𝑑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103" name="CasellaDiTesto 102">
              <a:extLst>
                <a:ext uri="{FF2B5EF4-FFF2-40B4-BE49-F238E27FC236}">
                  <a16:creationId xmlns:a16="http://schemas.microsoft.com/office/drawing/2014/main" id="{387A1079-CB83-409A-9F71-14F656E49FA9}"/>
                </a:ext>
              </a:extLst>
            </xdr:cNvPr>
            <xdr:cNvSpPr txBox="1"/>
          </xdr:nvSpPr>
          <xdr:spPr>
            <a:xfrm>
              <a:off x="7959587" y="43856412"/>
              <a:ext cx="3180679"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𝑊;𝑤𝑤ℎ𝑟;𝑟𝑣𝑑</a:t>
              </a:r>
              <a:r>
                <a:rPr lang="it-IT" sz="1100" b="0" i="0">
                  <a:solidFill>
                    <a:schemeClr val="tx1"/>
                  </a:solidFill>
                  <a:effectLst/>
                  <a:latin typeface="Cambria Math" panose="02040503050406030204" pitchFamily="18" charset="0"/>
                  <a:ea typeface="+mn-ea"/>
                  <a:cs typeface="+mn-cs"/>
                </a:rPr>
                <a:t>;𝑤ℎ,𝑐𝑖</a:t>
              </a:r>
              <a:r>
                <a:rPr lang="en-US" sz="1100" b="0" i="0">
                  <a:solidFill>
                    <a:schemeClr val="tx1"/>
                  </a:solidFill>
                  <a:effectLst/>
                  <a:latin typeface="+mn-lt"/>
                  <a:ea typeface="+mn-ea"/>
                  <a:cs typeface="+mn-cs"/>
                </a:rPr>
                <a:t>)</a:t>
              </a:r>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𝑊;𝑤𝑤ℎ𝑟;𝑟𝑣𝑑</a:t>
              </a:r>
              <a:r>
                <a:rPr lang="it-IT" sz="1100" b="0" i="0">
                  <a:solidFill>
                    <a:schemeClr val="tx1"/>
                  </a:solidFill>
                  <a:effectLst/>
                  <a:latin typeface="+mn-lt"/>
                  <a:ea typeface="+mn-ea"/>
                  <a:cs typeface="+mn-cs"/>
                </a:rPr>
                <a:t>,𝑐𝑖</a:t>
              </a:r>
              <a:r>
                <a:rPr lang="en-US"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a:t>
              </a:r>
              <a:r>
                <a:rPr lang="en-GB" sz="1100" i="0">
                  <a:solidFill>
                    <a:schemeClr val="tx1"/>
                  </a:solidFill>
                  <a:effectLst/>
                  <a:latin typeface="+mn-lt"/>
                  <a:ea typeface="+mn-ea"/>
                  <a:cs typeface="+mn-cs"/>
                </a:rPr>
                <a:t>𝑄­</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𝑊;𝑤𝑤ℎ𝑟;𝑟𝑣𝑑</a:t>
              </a:r>
              <a:r>
                <a:rPr lang="it-IT"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𝑠ℎ𝑤</a:t>
              </a:r>
              <a:r>
                <a:rPr lang="it-IT" sz="1100" b="0" i="0">
                  <a:solidFill>
                    <a:schemeClr val="tx1"/>
                  </a:solidFill>
                  <a:effectLst/>
                  <a:latin typeface="+mn-lt"/>
                  <a:ea typeface="+mn-ea"/>
                  <a:cs typeface="+mn-cs"/>
                </a:rPr>
                <a:t>,𝑐𝑖</a:t>
              </a:r>
              <a:r>
                <a:rPr lang="en-US" sz="1100" b="0" i="0">
                  <a:solidFill>
                    <a:schemeClr val="tx1"/>
                  </a:solidFill>
                  <a:effectLst/>
                  <a:latin typeface="+mn-lt"/>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99391</xdr:colOff>
      <xdr:row>177</xdr:row>
      <xdr:rowOff>66261</xdr:rowOff>
    </xdr:from>
    <xdr:ext cx="1557606" cy="367473"/>
    <mc:AlternateContent xmlns:mc="http://schemas.openxmlformats.org/markup-compatibility/2006" xmlns:a14="http://schemas.microsoft.com/office/drawing/2010/main">
      <mc:Choice Requires="a14">
        <xdr:sp macro="" textlink="">
          <xdr:nvSpPr>
            <xdr:cNvPr id="104" name="CasellaDiTesto 103">
              <a:extLst>
                <a:ext uri="{FF2B5EF4-FFF2-40B4-BE49-F238E27FC236}">
                  <a16:creationId xmlns:a16="http://schemas.microsoft.com/office/drawing/2014/main" id="{B341A6AB-6185-41A4-82CC-A86B85610764}"/>
                </a:ext>
              </a:extLst>
            </xdr:cNvPr>
            <xdr:cNvSpPr txBox="1"/>
          </xdr:nvSpPr>
          <xdr:spPr>
            <a:xfrm>
              <a:off x="8009282" y="44577000"/>
              <a:ext cx="1557606" cy="36747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𝑡</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𝑎𝑢𝑥</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mn-ea"/>
                        <a:cs typeface="+mn-cs"/>
                      </a:rPr>
                      <m:t>=</m:t>
                    </m:r>
                    <m:f>
                      <m:fPr>
                        <m:ctrlPr>
                          <a:rPr lang="en-GB" sz="110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𝑛𝑑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num>
                      <m:den>
                        <m:sSubSup>
                          <m:sSubSupPr>
                            <m:ctrlPr>
                              <a:rPr lang="it-IT" sz="1100" b="0" i="1">
                                <a:solidFill>
                                  <a:schemeClr val="tx1"/>
                                </a:solidFill>
                                <a:effectLst/>
                                <a:latin typeface="Cambria Math" panose="02040503050406030204" pitchFamily="18" charset="0"/>
                                <a:ea typeface="+mn-ea"/>
                                <a:cs typeface="+mn-cs"/>
                              </a:rPr>
                            </m:ctrlPr>
                          </m:sSubSup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𝑠h𝑤</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up>
                            <m:r>
                              <a:rPr lang="it-IT" sz="1100" b="0" i="1">
                                <a:solidFill>
                                  <a:schemeClr val="tx1"/>
                                </a:solidFill>
                                <a:effectLst/>
                                <a:latin typeface="Cambria Math" panose="02040503050406030204" pitchFamily="18" charset="0"/>
                                <a:ea typeface="+mn-ea"/>
                                <a:cs typeface="+mn-cs"/>
                              </a:rPr>
                              <m:t>′</m:t>
                            </m:r>
                          </m:sup>
                        </m:sSubSup>
                      </m:den>
                    </m:f>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104" name="CasellaDiTesto 103">
              <a:extLst>
                <a:ext uri="{FF2B5EF4-FFF2-40B4-BE49-F238E27FC236}">
                  <a16:creationId xmlns:a16="http://schemas.microsoft.com/office/drawing/2014/main" id="{B341A6AB-6185-41A4-82CC-A86B85610764}"/>
                </a:ext>
              </a:extLst>
            </xdr:cNvPr>
            <xdr:cNvSpPr txBox="1"/>
          </xdr:nvSpPr>
          <xdr:spPr>
            <a:xfrm>
              <a:off x="8009282" y="44577000"/>
              <a:ext cx="1557606" cy="36747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𝑡</a:t>
              </a:r>
              <a:r>
                <a:rPr lang="en-GB" sz="1100" i="0">
                  <a:solidFill>
                    <a:schemeClr val="tx1"/>
                  </a:solidFill>
                  <a:effectLst/>
                  <a:latin typeface="+mn-lt"/>
                  <a:ea typeface="+mn-ea"/>
                  <a:cs typeface="+mn-cs"/>
                </a:rPr>
                <a:t>­</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𝑤𝑤ℎ𝑟;</a:t>
              </a:r>
              <a:r>
                <a:rPr lang="it-IT" sz="1100" b="0" i="0">
                  <a:solidFill>
                    <a:schemeClr val="tx1"/>
                  </a:solidFill>
                  <a:effectLst/>
                  <a:latin typeface="Cambria Math" panose="02040503050406030204" pitchFamily="18" charset="0"/>
                  <a:ea typeface="+mn-ea"/>
                  <a:cs typeface="+mn-cs"/>
                </a:rPr>
                <a:t>𝑎𝑢𝑥,𝑐𝑖</a:t>
              </a:r>
              <a:r>
                <a:rPr lang="en-US" sz="1100" b="0" i="0">
                  <a:solidFill>
                    <a:schemeClr val="tx1"/>
                  </a:solidFill>
                  <a:effectLst/>
                  <a:latin typeface="+mn-lt"/>
                  <a:ea typeface="+mn-ea"/>
                  <a:cs typeface="+mn-cs"/>
                </a:rPr>
                <a:t>)</a:t>
              </a:r>
              <a:r>
                <a:rPr lang="en-GB" sz="110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𝑉_(𝑊;𝑛𝑑;𝑠ℎ𝑤,𝑐𝑖)</a:t>
              </a:r>
              <a:r>
                <a:rPr lang="en-GB"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𝑉_(𝑠ℎ𝑤,𝑐𝑖)^′</a:t>
              </a:r>
              <a:r>
                <a:rPr lang="en-GB" sz="1100" b="0" i="0">
                  <a:solidFill>
                    <a:schemeClr val="tx1"/>
                  </a:solidFill>
                  <a:effectLst/>
                  <a:latin typeface="Cambria Math" panose="02040503050406030204" pitchFamily="18" charset="0"/>
                  <a:ea typeface="+mn-ea"/>
                  <a:cs typeface="+mn-cs"/>
                </a:rPr>
                <a:t> )</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82826</xdr:colOff>
      <xdr:row>179</xdr:row>
      <xdr:rowOff>49696</xdr:rowOff>
    </xdr:from>
    <xdr:ext cx="2248500" cy="221984"/>
    <mc:AlternateContent xmlns:mc="http://schemas.openxmlformats.org/markup-compatibility/2006" xmlns:a14="http://schemas.microsoft.com/office/drawing/2010/main">
      <mc:Choice Requires="a14">
        <xdr:sp macro="" textlink="">
          <xdr:nvSpPr>
            <xdr:cNvPr id="105" name="CasellaDiTesto 104">
              <a:extLst>
                <a:ext uri="{FF2B5EF4-FFF2-40B4-BE49-F238E27FC236}">
                  <a16:creationId xmlns:a16="http://schemas.microsoft.com/office/drawing/2014/main" id="{EDBADF71-0899-4598-A292-39A7D1879A89}"/>
                </a:ext>
              </a:extLst>
            </xdr:cNvPr>
            <xdr:cNvSpPr txBox="1"/>
          </xdr:nvSpPr>
          <xdr:spPr>
            <a:xfrm>
              <a:off x="7992717" y="45347283"/>
              <a:ext cx="2248500"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𝑊</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𝑎𝑢𝑥</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r>
                      <a:rPr lang="en-GB" sz="110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𝑃</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𝑎𝑢𝑥</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r>
                      <a:rPr lang="it-IT" sz="1100" b="0" i="1">
                        <a:solidFill>
                          <a:schemeClr val="tx1"/>
                        </a:solidFill>
                        <a:effectLst/>
                        <a:latin typeface="Cambria Math" panose="02040503050406030204" pitchFamily="18" charset="0"/>
                        <a:ea typeface="+mn-ea"/>
                        <a:cs typeface="+mn-cs"/>
                      </a:rPr>
                      <m:t>𝑡</m:t>
                    </m:r>
                    <m:sSub>
                      <m:sSubPr>
                        <m:ctrlPr>
                          <a:rPr lang="en-US" sz="1100" i="1">
                            <a:solidFill>
                              <a:schemeClr val="tx1"/>
                            </a:solidFill>
                            <a:effectLst/>
                            <a:latin typeface="Cambria Math" panose="02040503050406030204" pitchFamily="18" charset="0"/>
                            <a:ea typeface="+mn-ea"/>
                            <a:cs typeface="+mn-cs"/>
                          </a:rPr>
                        </m:ctrlPr>
                      </m:sSubPr>
                      <m:e>
                        <m:r>
                          <a:rPr lang="en-GB" sz="1100">
                            <a:solidFill>
                              <a:schemeClr val="tx1"/>
                            </a:solidFill>
                            <a:effectLst/>
                            <a:latin typeface="Cambria Math" panose="02040503050406030204" pitchFamily="18" charset="0"/>
                            <a:ea typeface="+mn-ea"/>
                            <a:cs typeface="+mn-cs"/>
                          </a:rPr>
                          <m:t>­</m:t>
                        </m:r>
                      </m:e>
                      <m:sub>
                        <m:r>
                          <a:rPr lang="en-GB" sz="1100" i="1">
                            <a:solidFill>
                              <a:schemeClr val="tx1"/>
                            </a:solidFill>
                            <a:effectLst/>
                            <a:latin typeface="Cambria Math" panose="02040503050406030204" pitchFamily="18" charset="0"/>
                            <a:ea typeface="+mn-ea"/>
                            <a:cs typeface="+mn-cs"/>
                          </a:rPr>
                          <m:t>𝑤𝑤h𝑟</m:t>
                        </m:r>
                        <m:r>
                          <a:rPr lang="en-GB" sz="110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𝑎𝑢𝑥</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oMath>
                </m:oMathPara>
              </a14:m>
              <a:endParaRPr lang="en-US" sz="1100" b="0" i="1">
                <a:solidFill>
                  <a:sysClr val="windowText" lastClr="000000"/>
                </a:solidFill>
                <a:effectLst/>
                <a:latin typeface="+mn-lt"/>
                <a:ea typeface="+mn-ea"/>
                <a:cs typeface="+mn-cs"/>
              </a:endParaRPr>
            </a:p>
          </xdr:txBody>
        </xdr:sp>
      </mc:Choice>
      <mc:Fallback xmlns="">
        <xdr:sp macro="" textlink="">
          <xdr:nvSpPr>
            <xdr:cNvPr id="105" name="CasellaDiTesto 104">
              <a:extLst>
                <a:ext uri="{FF2B5EF4-FFF2-40B4-BE49-F238E27FC236}">
                  <a16:creationId xmlns:a16="http://schemas.microsoft.com/office/drawing/2014/main" id="{EDBADF71-0899-4598-A292-39A7D1879A89}"/>
                </a:ext>
              </a:extLst>
            </xdr:cNvPr>
            <xdr:cNvSpPr txBox="1"/>
          </xdr:nvSpPr>
          <xdr:spPr>
            <a:xfrm>
              <a:off x="7992717" y="45347283"/>
              <a:ext cx="2248500" cy="2219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mn-ea"/>
                  <a:cs typeface="+mn-cs"/>
                </a:rPr>
                <a:t>𝑊</a:t>
              </a:r>
              <a:r>
                <a:rPr lang="en-GB" sz="1100" i="0">
                  <a:solidFill>
                    <a:schemeClr val="tx1"/>
                  </a:solidFill>
                  <a:effectLst/>
                  <a:latin typeface="+mn-lt"/>
                  <a:ea typeface="+mn-ea"/>
                  <a:cs typeface="+mn-cs"/>
                </a:rPr>
                <a:t>­</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𝑤𝑤ℎ𝑟;</a:t>
              </a:r>
              <a:r>
                <a:rPr lang="it-IT" sz="1100" b="0" i="0">
                  <a:solidFill>
                    <a:schemeClr val="tx1"/>
                  </a:solidFill>
                  <a:effectLst/>
                  <a:latin typeface="Cambria Math" panose="02040503050406030204" pitchFamily="18" charset="0"/>
                  <a:ea typeface="+mn-ea"/>
                  <a:cs typeface="+mn-cs"/>
                </a:rPr>
                <a:t>𝑎𝑢𝑥,𝑐𝑖</a:t>
              </a:r>
              <a:r>
                <a:rPr lang="en-US" sz="1100" b="0" i="0">
                  <a:solidFill>
                    <a:schemeClr val="tx1"/>
                  </a:solidFill>
                  <a:effectLst/>
                  <a:latin typeface="+mn-lt"/>
                  <a:ea typeface="+mn-ea"/>
                  <a:cs typeface="+mn-cs"/>
                </a:rPr>
                <a:t>)</a:t>
              </a:r>
              <a:r>
                <a:rPr lang="en-GB" sz="110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mn-ea"/>
                  <a:cs typeface="+mn-cs"/>
                </a:rPr>
                <a:t>𝑃</a:t>
              </a:r>
              <a:r>
                <a:rPr lang="en-GB" sz="1100" i="0">
                  <a:solidFill>
                    <a:schemeClr val="tx1"/>
                  </a:solidFill>
                  <a:effectLst/>
                  <a:latin typeface="+mn-lt"/>
                  <a:ea typeface="+mn-ea"/>
                  <a:cs typeface="+mn-cs"/>
                </a:rPr>
                <a:t>­</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𝑤𝑤ℎ𝑟;</a:t>
              </a:r>
              <a:r>
                <a:rPr lang="it-IT" sz="1100" b="0" i="0">
                  <a:solidFill>
                    <a:schemeClr val="tx1"/>
                  </a:solidFill>
                  <a:effectLst/>
                  <a:latin typeface="+mn-lt"/>
                  <a:ea typeface="+mn-ea"/>
                  <a:cs typeface="+mn-cs"/>
                </a:rPr>
                <a:t>𝑎𝑢𝑥</a:t>
              </a:r>
              <a:r>
                <a:rPr lang="en-US" sz="1100" b="0" i="0">
                  <a:solidFill>
                    <a:schemeClr val="tx1"/>
                  </a:solidFill>
                  <a:effectLst/>
                  <a:latin typeface="+mn-lt"/>
                  <a:ea typeface="+mn-ea"/>
                  <a:cs typeface="+mn-cs"/>
                </a:rPr>
                <a:t>)</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mn-lt"/>
                  <a:ea typeface="+mn-ea"/>
                  <a:cs typeface="+mn-cs"/>
                </a:rPr>
                <a:t>𝑡</a:t>
              </a:r>
              <a:r>
                <a:rPr lang="en-GB" sz="1100" i="0">
                  <a:solidFill>
                    <a:schemeClr val="tx1"/>
                  </a:solidFill>
                  <a:effectLst/>
                  <a:latin typeface="+mn-lt"/>
                  <a:ea typeface="+mn-ea"/>
                  <a:cs typeface="+mn-cs"/>
                </a:rPr>
                <a:t>­</a:t>
              </a:r>
              <a:r>
                <a:rPr lang="en-US" sz="1100" i="0">
                  <a:solidFill>
                    <a:schemeClr val="tx1"/>
                  </a:solidFill>
                  <a:effectLst/>
                  <a:latin typeface="+mn-lt"/>
                  <a:ea typeface="+mn-ea"/>
                  <a:cs typeface="+mn-cs"/>
                </a:rPr>
                <a:t>_(</a:t>
              </a:r>
              <a:r>
                <a:rPr lang="en-GB" sz="1100" i="0">
                  <a:solidFill>
                    <a:schemeClr val="tx1"/>
                  </a:solidFill>
                  <a:effectLst/>
                  <a:latin typeface="+mn-lt"/>
                  <a:ea typeface="+mn-ea"/>
                  <a:cs typeface="+mn-cs"/>
                </a:rPr>
                <a:t>𝑤𝑤ℎ𝑟;</a:t>
              </a:r>
              <a:r>
                <a:rPr lang="it-IT" sz="1100" b="0" i="0">
                  <a:solidFill>
                    <a:schemeClr val="tx1"/>
                  </a:solidFill>
                  <a:effectLst/>
                  <a:latin typeface="+mn-lt"/>
                  <a:ea typeface="+mn-ea"/>
                  <a:cs typeface="+mn-cs"/>
                </a:rPr>
                <a:t>𝑎𝑢𝑥,𝑐𝑖</a:t>
              </a:r>
              <a:r>
                <a:rPr lang="en-US" sz="1100" b="0" i="0">
                  <a:solidFill>
                    <a:schemeClr val="tx1"/>
                  </a:solidFill>
                  <a:effectLst/>
                  <a:latin typeface="+mn-lt"/>
                  <a:ea typeface="+mn-ea"/>
                  <a:cs typeface="+mn-cs"/>
                </a:rPr>
                <a:t>)</a:t>
              </a:r>
              <a:endParaRPr lang="en-US" sz="1100" b="0" i="1">
                <a:solidFill>
                  <a:sysClr val="windowText" lastClr="000000"/>
                </a:solidFill>
                <a:effectLst/>
                <a:latin typeface="+mn-lt"/>
                <a:ea typeface="+mn-ea"/>
                <a:cs typeface="+mn-cs"/>
              </a:endParaRPr>
            </a:p>
          </xdr:txBody>
        </xdr:sp>
      </mc:Fallback>
    </mc:AlternateContent>
    <xdr:clientData/>
  </xdr:oneCellAnchor>
  <xdr:oneCellAnchor>
    <xdr:from>
      <xdr:col>6</xdr:col>
      <xdr:colOff>132522</xdr:colOff>
      <xdr:row>38</xdr:row>
      <xdr:rowOff>74544</xdr:rowOff>
    </xdr:from>
    <xdr:ext cx="1277593" cy="177036"/>
    <mc:AlternateContent xmlns:mc="http://schemas.openxmlformats.org/markup-compatibility/2006" xmlns:a14="http://schemas.microsoft.com/office/drawing/2010/main">
      <mc:Choice Requires="a14">
        <xdr:sp macro="" textlink="">
          <xdr:nvSpPr>
            <xdr:cNvPr id="106" name="CasellaDiTesto 105">
              <a:extLst>
                <a:ext uri="{FF2B5EF4-FFF2-40B4-BE49-F238E27FC236}">
                  <a16:creationId xmlns:a16="http://schemas.microsoft.com/office/drawing/2014/main" id="{C3BFDA7F-0B66-44A2-A047-B4F0FFAFB34A}"/>
                </a:ext>
              </a:extLst>
            </xdr:cNvPr>
            <xdr:cNvSpPr txBox="1"/>
          </xdr:nvSpPr>
          <xdr:spPr>
            <a:xfrm>
              <a:off x="8042413" y="9119153"/>
              <a:ext cx="1277593" cy="177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14:m>
                <m:oMathPara xmlns:m="http://schemas.openxmlformats.org/officeDocument/2006/math">
                  <m:oMathParaPr>
                    <m:jc m:val="centerGroup"/>
                  </m:oMathParaPr>
                  <m:oMath xmlns:m="http://schemas.openxmlformats.org/officeDocument/2006/math">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Cambria Math" panose="02040503050406030204" pitchFamily="18" charset="0"/>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𝜂</m:t>
                        </m:r>
                      </m:e>
                      <m:sub>
                        <m:r>
                          <a:rPr lang="it-IT" sz="1100" b="0" i="1">
                            <a:solidFill>
                              <a:schemeClr val="tx1"/>
                            </a:solidFill>
                            <a:effectLst/>
                            <a:latin typeface="Cambria Math" panose="02040503050406030204" pitchFamily="18" charset="0"/>
                            <a:ea typeface="+mn-ea"/>
                            <a:cs typeface="+mn-cs"/>
                          </a:rPr>
                          <m:t>𝑤𝑤h𝑟</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𝑐𝑖</m:t>
                        </m:r>
                      </m:sub>
                    </m:sSub>
                  </m:oMath>
                </m:oMathPara>
              </a14:m>
              <a:endParaRPr lang="en-US" sz="1100" b="0" i="1">
                <a:solidFill>
                  <a:schemeClr val="tx1"/>
                </a:solidFill>
                <a:effectLst/>
                <a:latin typeface="+mn-lt"/>
                <a:ea typeface="+mn-ea"/>
                <a:cs typeface="+mn-cs"/>
              </a:endParaRPr>
            </a:p>
          </xdr:txBody>
        </xdr:sp>
      </mc:Choice>
      <mc:Fallback xmlns="">
        <xdr:sp macro="" textlink="">
          <xdr:nvSpPr>
            <xdr:cNvPr id="106" name="CasellaDiTesto 105">
              <a:extLst>
                <a:ext uri="{FF2B5EF4-FFF2-40B4-BE49-F238E27FC236}">
                  <a16:creationId xmlns:a16="http://schemas.microsoft.com/office/drawing/2014/main" id="{C3BFDA7F-0B66-44A2-A047-B4F0FFAFB34A}"/>
                </a:ext>
              </a:extLst>
            </xdr:cNvPr>
            <xdr:cNvSpPr txBox="1"/>
          </xdr:nvSpPr>
          <xdr:spPr>
            <a:xfrm>
              <a:off x="8042413" y="9119153"/>
              <a:ext cx="1277593" cy="177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100" b="0" i="0">
                  <a:solidFill>
                    <a:schemeClr val="tx1"/>
                  </a:solidFill>
                  <a:effectLst/>
                  <a:latin typeface="Cambria Math" panose="02040503050406030204" pitchFamily="18" charset="0"/>
                  <a:ea typeface="Cambria Math" panose="02040503050406030204" pitchFamily="18" charset="0"/>
                  <a:cs typeface="+mn-cs"/>
                </a:rPr>
                <a:t>𝜂</a:t>
              </a:r>
              <a:r>
                <a:rPr lang="it-IT" sz="1100" b="0" i="0">
                  <a:solidFill>
                    <a:schemeClr val="tx1"/>
                  </a:solidFill>
                  <a:effectLst/>
                  <a:latin typeface="Cambria Math" panose="02040503050406030204" pitchFamily="18" charset="0"/>
                  <a:ea typeface="+mn-ea"/>
                  <a:cs typeface="+mn-cs"/>
                </a:rPr>
                <a:t>_(𝑤𝑤ℎ𝑟,𝑐𝑖;𝐴)</a:t>
              </a:r>
              <a:r>
                <a:rPr lang="en-US" sz="1100" b="0" i="0">
                  <a:solidFill>
                    <a:schemeClr val="tx1"/>
                  </a:solidFill>
                  <a:effectLst/>
                  <a:latin typeface="Cambria Math" panose="02040503050406030204" pitchFamily="18" charset="0"/>
                  <a:ea typeface="+mn-ea"/>
                  <a:cs typeface="+mn-cs"/>
                </a:rPr>
                <a:t>=</a:t>
              </a:r>
              <a:r>
                <a:rPr lang="it-IT" sz="1100" b="0" i="0">
                  <a:solidFill>
                    <a:schemeClr val="tx1"/>
                  </a:solidFill>
                  <a:effectLst/>
                  <a:latin typeface="Cambria Math" panose="02040503050406030204" pitchFamily="18" charset="0"/>
                  <a:ea typeface="+mn-ea"/>
                  <a:cs typeface="+mn-cs"/>
                </a:rPr>
                <a:t>𝜂_(𝑤𝑤ℎ𝑟,𝑐𝑖)</a:t>
              </a:r>
              <a:endParaRPr lang="en-US" sz="1100" b="0" i="1">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23</xdr:col>
      <xdr:colOff>85724</xdr:colOff>
      <xdr:row>16</xdr:row>
      <xdr:rowOff>86488</xdr:rowOff>
    </xdr:from>
    <xdr:to>
      <xdr:col>30</xdr:col>
      <xdr:colOff>37223</xdr:colOff>
      <xdr:row>20</xdr:row>
      <xdr:rowOff>47509</xdr:rowOff>
    </xdr:to>
    <xdr:pic>
      <xdr:nvPicPr>
        <xdr:cNvPr id="2" name="Immagin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25336499" y="2867788"/>
          <a:ext cx="4618749" cy="608721"/>
        </a:xfrm>
        <a:prstGeom prst="rect">
          <a:avLst/>
        </a:prstGeom>
      </xdr:spPr>
    </xdr:pic>
    <xdr:clientData/>
  </xdr:twoCellAnchor>
  <xdr:twoCellAnchor editAs="oneCell">
    <xdr:from>
      <xdr:col>23</xdr:col>
      <xdr:colOff>57151</xdr:colOff>
      <xdr:row>8</xdr:row>
      <xdr:rowOff>1723</xdr:rowOff>
    </xdr:from>
    <xdr:to>
      <xdr:col>31</xdr:col>
      <xdr:colOff>476251</xdr:colOff>
      <xdr:row>13</xdr:row>
      <xdr:rowOff>76057</xdr:rowOff>
    </xdr:to>
    <xdr:pic>
      <xdr:nvPicPr>
        <xdr:cNvPr id="3" name="Immagin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2"/>
        <a:stretch>
          <a:fillRect/>
        </a:stretch>
      </xdr:blipFill>
      <xdr:spPr>
        <a:xfrm>
          <a:off x="25307926" y="1325698"/>
          <a:ext cx="5753100" cy="883959"/>
        </a:xfrm>
        <a:prstGeom prst="rect">
          <a:avLst/>
        </a:prstGeom>
      </xdr:spPr>
    </xdr:pic>
    <xdr:clientData/>
  </xdr:twoCellAnchor>
  <xdr:twoCellAnchor editAs="oneCell">
    <xdr:from>
      <xdr:col>23</xdr:col>
      <xdr:colOff>238125</xdr:colOff>
      <xdr:row>37</xdr:row>
      <xdr:rowOff>137738</xdr:rowOff>
    </xdr:from>
    <xdr:to>
      <xdr:col>31</xdr:col>
      <xdr:colOff>227677</xdr:colOff>
      <xdr:row>41</xdr:row>
      <xdr:rowOff>18958</xdr:rowOff>
    </xdr:to>
    <xdr:pic>
      <xdr:nvPicPr>
        <xdr:cNvPr id="4" name="Immagine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3"/>
        <a:stretch>
          <a:fillRect/>
        </a:stretch>
      </xdr:blipFill>
      <xdr:spPr>
        <a:xfrm>
          <a:off x="25488900" y="6319463"/>
          <a:ext cx="5323552" cy="528920"/>
        </a:xfrm>
        <a:prstGeom prst="rect">
          <a:avLst/>
        </a:prstGeom>
      </xdr:spPr>
    </xdr:pic>
    <xdr:clientData/>
  </xdr:twoCellAnchor>
  <xdr:twoCellAnchor editAs="oneCell">
    <xdr:from>
      <xdr:col>6</xdr:col>
      <xdr:colOff>80282</xdr:colOff>
      <xdr:row>79</xdr:row>
      <xdr:rowOff>159203</xdr:rowOff>
    </xdr:from>
    <xdr:to>
      <xdr:col>6</xdr:col>
      <xdr:colOff>5501874</xdr:colOff>
      <xdr:row>104</xdr:row>
      <xdr:rowOff>49738</xdr:rowOff>
    </xdr:to>
    <xdr:pic>
      <xdr:nvPicPr>
        <xdr:cNvPr id="5" name="Immagine 4">
          <a:extLst>
            <a:ext uri="{FF2B5EF4-FFF2-40B4-BE49-F238E27FC236}">
              <a16:creationId xmlns:a16="http://schemas.microsoft.com/office/drawing/2014/main" id="{00000000-0008-0000-0B00-000005000000}"/>
            </a:ext>
          </a:extLst>
        </xdr:cNvPr>
        <xdr:cNvPicPr>
          <a:picLocks noChangeAspect="1"/>
        </xdr:cNvPicPr>
      </xdr:nvPicPr>
      <xdr:blipFill>
        <a:blip xmlns:r="http://schemas.openxmlformats.org/officeDocument/2006/relationships" r:embed="rId4"/>
        <a:stretch>
          <a:fillRect/>
        </a:stretch>
      </xdr:blipFill>
      <xdr:spPr>
        <a:xfrm>
          <a:off x="7852682" y="13151303"/>
          <a:ext cx="5421592" cy="3938660"/>
        </a:xfrm>
        <a:prstGeom prst="rect">
          <a:avLst/>
        </a:prstGeom>
      </xdr:spPr>
    </xdr:pic>
    <xdr:clientData/>
  </xdr:twoCellAnchor>
  <xdr:twoCellAnchor editAs="oneCell">
    <xdr:from>
      <xdr:col>6</xdr:col>
      <xdr:colOff>1455965</xdr:colOff>
      <xdr:row>203</xdr:row>
      <xdr:rowOff>108857</xdr:rowOff>
    </xdr:from>
    <xdr:to>
      <xdr:col>7</xdr:col>
      <xdr:colOff>1104109</xdr:colOff>
      <xdr:row>227</xdr:row>
      <xdr:rowOff>95251</xdr:rowOff>
    </xdr:to>
    <xdr:pic>
      <xdr:nvPicPr>
        <xdr:cNvPr id="6" name="Immagine 5">
          <a:extLst>
            <a:ext uri="{FF2B5EF4-FFF2-40B4-BE49-F238E27FC236}">
              <a16:creationId xmlns:a16="http://schemas.microsoft.com/office/drawing/2014/main" id="{00000000-0008-0000-0B00-000006000000}"/>
            </a:ext>
          </a:extLst>
        </xdr:cNvPr>
        <xdr:cNvPicPr>
          <a:picLocks noChangeAspect="1"/>
        </xdr:cNvPicPr>
      </xdr:nvPicPr>
      <xdr:blipFill>
        <a:blip xmlns:r="http://schemas.openxmlformats.org/officeDocument/2006/relationships" r:embed="rId5"/>
        <a:stretch>
          <a:fillRect/>
        </a:stretch>
      </xdr:blipFill>
      <xdr:spPr>
        <a:xfrm>
          <a:off x="9228365" y="33208232"/>
          <a:ext cx="5220269" cy="3872594"/>
        </a:xfrm>
        <a:prstGeom prst="rect">
          <a:avLst/>
        </a:prstGeom>
      </xdr:spPr>
    </xdr:pic>
    <xdr:clientData/>
  </xdr:twoCellAnchor>
  <xdr:twoCellAnchor editAs="oneCell">
    <xdr:from>
      <xdr:col>6</xdr:col>
      <xdr:colOff>115661</xdr:colOff>
      <xdr:row>136</xdr:row>
      <xdr:rowOff>35378</xdr:rowOff>
    </xdr:from>
    <xdr:to>
      <xdr:col>6</xdr:col>
      <xdr:colOff>5328576</xdr:colOff>
      <xdr:row>159</xdr:row>
      <xdr:rowOff>43926</xdr:rowOff>
    </xdr:to>
    <xdr:pic>
      <xdr:nvPicPr>
        <xdr:cNvPr id="7" name="Immagine 6">
          <a:extLst>
            <a:ext uri="{FF2B5EF4-FFF2-40B4-BE49-F238E27FC236}">
              <a16:creationId xmlns:a16="http://schemas.microsoft.com/office/drawing/2014/main" id="{00000000-0008-0000-0B00-000007000000}"/>
            </a:ext>
          </a:extLst>
        </xdr:cNvPr>
        <xdr:cNvPicPr>
          <a:picLocks noChangeAspect="1"/>
        </xdr:cNvPicPr>
      </xdr:nvPicPr>
      <xdr:blipFill>
        <a:blip xmlns:r="http://schemas.openxmlformats.org/officeDocument/2006/relationships" r:embed="rId6"/>
        <a:stretch>
          <a:fillRect/>
        </a:stretch>
      </xdr:blipFill>
      <xdr:spPr>
        <a:xfrm>
          <a:off x="7888061" y="22276253"/>
          <a:ext cx="5212915" cy="3732823"/>
        </a:xfrm>
        <a:prstGeom prst="rect">
          <a:avLst/>
        </a:prstGeom>
      </xdr:spPr>
    </xdr:pic>
    <xdr:clientData/>
  </xdr:twoCellAnchor>
  <xdr:twoCellAnchor editAs="oneCell">
    <xdr:from>
      <xdr:col>6</xdr:col>
      <xdr:colOff>84364</xdr:colOff>
      <xdr:row>107</xdr:row>
      <xdr:rowOff>53057</xdr:rowOff>
    </xdr:from>
    <xdr:to>
      <xdr:col>6</xdr:col>
      <xdr:colOff>5495925</xdr:colOff>
      <xdr:row>132</xdr:row>
      <xdr:rowOff>43170</xdr:rowOff>
    </xdr:to>
    <xdr:pic>
      <xdr:nvPicPr>
        <xdr:cNvPr id="8" name="Immagine 7">
          <a:extLst>
            <a:ext uri="{FF2B5EF4-FFF2-40B4-BE49-F238E27FC236}">
              <a16:creationId xmlns:a16="http://schemas.microsoft.com/office/drawing/2014/main" id="{00000000-0008-0000-0B00-000008000000}"/>
            </a:ext>
          </a:extLst>
        </xdr:cNvPr>
        <xdr:cNvPicPr>
          <a:picLocks noChangeAspect="1"/>
        </xdr:cNvPicPr>
      </xdr:nvPicPr>
      <xdr:blipFill>
        <a:blip xmlns:r="http://schemas.openxmlformats.org/officeDocument/2006/relationships" r:embed="rId7"/>
        <a:stretch>
          <a:fillRect/>
        </a:stretch>
      </xdr:blipFill>
      <xdr:spPr>
        <a:xfrm>
          <a:off x="7856764" y="17588582"/>
          <a:ext cx="5411561" cy="4038238"/>
        </a:xfrm>
        <a:prstGeom prst="rect">
          <a:avLst/>
        </a:prstGeom>
      </xdr:spPr>
    </xdr:pic>
    <xdr:clientData/>
  </xdr:twoCellAnchor>
  <xdr:twoCellAnchor>
    <xdr:from>
      <xdr:col>6</xdr:col>
      <xdr:colOff>1449159</xdr:colOff>
      <xdr:row>38</xdr:row>
      <xdr:rowOff>54428</xdr:rowOff>
    </xdr:from>
    <xdr:to>
      <xdr:col>6</xdr:col>
      <xdr:colOff>4939392</xdr:colOff>
      <xdr:row>53</xdr:row>
      <xdr:rowOff>140153</xdr:rowOff>
    </xdr:to>
    <xdr:graphicFrame macro="">
      <xdr:nvGraphicFramePr>
        <xdr:cNvPr id="9" name="Grafico 8">
          <a:extLst>
            <a:ext uri="{FF2B5EF4-FFF2-40B4-BE49-F238E27FC236}">
              <a16:creationId xmlns:a16="http://schemas.microsoft.com/office/drawing/2014/main" id="{00000000-0008-0000-0B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95249</xdr:colOff>
      <xdr:row>57</xdr:row>
      <xdr:rowOff>54428</xdr:rowOff>
    </xdr:from>
    <xdr:to>
      <xdr:col>6</xdr:col>
      <xdr:colOff>6136821</xdr:colOff>
      <xdr:row>85</xdr:row>
      <xdr:rowOff>132098</xdr:rowOff>
    </xdr:to>
    <xdr:pic>
      <xdr:nvPicPr>
        <xdr:cNvPr id="20" name="Immagine 19">
          <a:extLst>
            <a:ext uri="{FF2B5EF4-FFF2-40B4-BE49-F238E27FC236}">
              <a16:creationId xmlns:a16="http://schemas.microsoft.com/office/drawing/2014/main" id="{00000000-0008-0000-0C00-000014000000}"/>
            </a:ext>
          </a:extLst>
        </xdr:cNvPr>
        <xdr:cNvPicPr>
          <a:picLocks noChangeAspect="1"/>
        </xdr:cNvPicPr>
      </xdr:nvPicPr>
      <xdr:blipFill>
        <a:blip xmlns:r="http://schemas.openxmlformats.org/officeDocument/2006/relationships" r:embed="rId1"/>
        <a:stretch>
          <a:fillRect/>
        </a:stretch>
      </xdr:blipFill>
      <xdr:spPr>
        <a:xfrm>
          <a:off x="7867649" y="9493703"/>
          <a:ext cx="6041572" cy="4611570"/>
        </a:xfrm>
        <a:prstGeom prst="rect">
          <a:avLst/>
        </a:prstGeom>
      </xdr:spPr>
    </xdr:pic>
    <xdr:clientData/>
  </xdr:twoCellAnchor>
  <xdr:twoCellAnchor editAs="oneCell">
    <xdr:from>
      <xdr:col>6</xdr:col>
      <xdr:colOff>54427</xdr:colOff>
      <xdr:row>86</xdr:row>
      <xdr:rowOff>42125</xdr:rowOff>
    </xdr:from>
    <xdr:to>
      <xdr:col>6</xdr:col>
      <xdr:colOff>6259284</xdr:colOff>
      <xdr:row>115</xdr:row>
      <xdr:rowOff>55705</xdr:rowOff>
    </xdr:to>
    <xdr:pic>
      <xdr:nvPicPr>
        <xdr:cNvPr id="22" name="Immagine 21">
          <a:extLst>
            <a:ext uri="{FF2B5EF4-FFF2-40B4-BE49-F238E27FC236}">
              <a16:creationId xmlns:a16="http://schemas.microsoft.com/office/drawing/2014/main" id="{00000000-0008-0000-0C00-000016000000}"/>
            </a:ext>
          </a:extLst>
        </xdr:cNvPr>
        <xdr:cNvPicPr>
          <a:picLocks noChangeAspect="1"/>
        </xdr:cNvPicPr>
      </xdr:nvPicPr>
      <xdr:blipFill>
        <a:blip xmlns:r="http://schemas.openxmlformats.org/officeDocument/2006/relationships" r:embed="rId2"/>
        <a:stretch>
          <a:fillRect/>
        </a:stretch>
      </xdr:blipFill>
      <xdr:spPr>
        <a:xfrm>
          <a:off x="7824106" y="13173018"/>
          <a:ext cx="6204857" cy="4748866"/>
        </a:xfrm>
        <a:prstGeom prst="rect">
          <a:avLst/>
        </a:prstGeom>
      </xdr:spPr>
    </xdr:pic>
    <xdr:clientData/>
  </xdr:twoCellAnchor>
  <xdr:twoCellAnchor editAs="oneCell">
    <xdr:from>
      <xdr:col>6</xdr:col>
      <xdr:colOff>96433</xdr:colOff>
      <xdr:row>28</xdr:row>
      <xdr:rowOff>69811</xdr:rowOff>
    </xdr:from>
    <xdr:to>
      <xdr:col>6</xdr:col>
      <xdr:colOff>6174543</xdr:colOff>
      <xdr:row>56</xdr:row>
      <xdr:rowOff>108857</xdr:rowOff>
    </xdr:to>
    <xdr:pic>
      <xdr:nvPicPr>
        <xdr:cNvPr id="10" name="Immagine 9">
          <a:extLst>
            <a:ext uri="{FF2B5EF4-FFF2-40B4-BE49-F238E27FC236}">
              <a16:creationId xmlns:a16="http://schemas.microsoft.com/office/drawing/2014/main" id="{00000000-0008-0000-0C00-00000A000000}"/>
            </a:ext>
          </a:extLst>
        </xdr:cNvPr>
        <xdr:cNvPicPr>
          <a:picLocks noChangeAspect="1"/>
        </xdr:cNvPicPr>
      </xdr:nvPicPr>
      <xdr:blipFill>
        <a:blip xmlns:r="http://schemas.openxmlformats.org/officeDocument/2006/relationships" r:embed="rId3"/>
        <a:stretch>
          <a:fillRect/>
        </a:stretch>
      </xdr:blipFill>
      <xdr:spPr>
        <a:xfrm>
          <a:off x="7866112" y="3702918"/>
          <a:ext cx="6078110" cy="4611046"/>
        </a:xfrm>
        <a:prstGeom prst="rect">
          <a:avLst/>
        </a:prstGeom>
      </xdr:spPr>
    </xdr:pic>
    <xdr:clientData/>
  </xdr:twoCellAnchor>
  <xdr:twoCellAnchor editAs="oneCell">
    <xdr:from>
      <xdr:col>6</xdr:col>
      <xdr:colOff>1455965</xdr:colOff>
      <xdr:row>154</xdr:row>
      <xdr:rowOff>108857</xdr:rowOff>
    </xdr:from>
    <xdr:to>
      <xdr:col>7</xdr:col>
      <xdr:colOff>382930</xdr:colOff>
      <xdr:row>178</xdr:row>
      <xdr:rowOff>95252</xdr:rowOff>
    </xdr:to>
    <xdr:pic>
      <xdr:nvPicPr>
        <xdr:cNvPr id="6" name="Immagine 5">
          <a:extLst>
            <a:ext uri="{FF2B5EF4-FFF2-40B4-BE49-F238E27FC236}">
              <a16:creationId xmlns:a16="http://schemas.microsoft.com/office/drawing/2014/main" id="{00000000-0008-0000-0C00-000006000000}"/>
            </a:ext>
          </a:extLst>
        </xdr:cNvPr>
        <xdr:cNvPicPr>
          <a:picLocks noChangeAspect="1"/>
        </xdr:cNvPicPr>
      </xdr:nvPicPr>
      <xdr:blipFill>
        <a:blip xmlns:r="http://schemas.openxmlformats.org/officeDocument/2006/relationships" r:embed="rId4"/>
        <a:stretch>
          <a:fillRect/>
        </a:stretch>
      </xdr:blipFill>
      <xdr:spPr>
        <a:xfrm>
          <a:off x="9228365" y="33208232"/>
          <a:ext cx="5220269" cy="3872594"/>
        </a:xfrm>
        <a:prstGeom prst="rect">
          <a:avLst/>
        </a:prstGeom>
      </xdr:spPr>
    </xdr:pic>
    <xdr:clientData/>
  </xdr:twoCellAnchor>
  <xdr:oneCellAnchor>
    <xdr:from>
      <xdr:col>6</xdr:col>
      <xdr:colOff>1857375</xdr:colOff>
      <xdr:row>38</xdr:row>
      <xdr:rowOff>85725</xdr:rowOff>
    </xdr:from>
    <xdr:ext cx="28534" cy="125227"/>
    <xdr:sp macro="" textlink="#REF!">
      <xdr:nvSpPr>
        <xdr:cNvPr id="11" name="CasellaDiTesto 10">
          <a:extLst>
            <a:ext uri="{FF2B5EF4-FFF2-40B4-BE49-F238E27FC236}">
              <a16:creationId xmlns:a16="http://schemas.microsoft.com/office/drawing/2014/main" id="{00000000-0008-0000-0C00-00000B000000}"/>
            </a:ext>
          </a:extLst>
        </xdr:cNvPr>
        <xdr:cNvSpPr txBox="1"/>
      </xdr:nvSpPr>
      <xdr:spPr>
        <a:xfrm>
          <a:off x="9629775" y="5305425"/>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10C9C337-F67C-4EA9-8A44-116151E61FAE}" type="TxLink">
            <a:rPr lang="en-US" sz="800" b="0" i="0" u="none" strike="noStrike">
              <a:solidFill>
                <a:srgbClr val="000000"/>
              </a:solidFill>
              <a:effectLst/>
              <a:latin typeface="Arial"/>
              <a:ea typeface="+mn-ea"/>
              <a:cs typeface="Arial"/>
            </a:rPr>
            <a:pPr algn="l"/>
            <a:t> </a:t>
          </a:fld>
          <a:endParaRPr lang="en-US" sz="800" b="0" i="1">
            <a:solidFill>
              <a:schemeClr val="tx1"/>
            </a:solidFill>
            <a:effectLst/>
            <a:latin typeface="+mn-lt"/>
            <a:ea typeface="+mn-ea"/>
            <a:cs typeface="+mn-cs"/>
          </a:endParaRPr>
        </a:p>
      </xdr:txBody>
    </xdr:sp>
    <xdr:clientData/>
  </xdr:oneCellAnchor>
  <xdr:oneCellAnchor>
    <xdr:from>
      <xdr:col>6</xdr:col>
      <xdr:colOff>1885950</xdr:colOff>
      <xdr:row>41</xdr:row>
      <xdr:rowOff>28575</xdr:rowOff>
    </xdr:from>
    <xdr:ext cx="28534" cy="125227"/>
    <xdr:sp macro="" textlink="#REF!">
      <xdr:nvSpPr>
        <xdr:cNvPr id="12" name="CasellaDiTesto 11">
          <a:extLst>
            <a:ext uri="{FF2B5EF4-FFF2-40B4-BE49-F238E27FC236}">
              <a16:creationId xmlns:a16="http://schemas.microsoft.com/office/drawing/2014/main" id="{00000000-0008-0000-0C00-00000C000000}"/>
            </a:ext>
          </a:extLst>
        </xdr:cNvPr>
        <xdr:cNvSpPr txBox="1"/>
      </xdr:nvSpPr>
      <xdr:spPr>
        <a:xfrm>
          <a:off x="9658350" y="5734050"/>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6350B21A-6E35-49F5-B465-27B5F3899EC0}" type="TxLink">
            <a:rPr lang="en-US" sz="800" b="0" i="0" u="none" strike="noStrike">
              <a:solidFill>
                <a:srgbClr val="000000"/>
              </a:solidFill>
              <a:effectLst/>
              <a:latin typeface="Arial"/>
              <a:ea typeface="+mn-ea"/>
              <a:cs typeface="Arial"/>
            </a:rPr>
            <a:pPr algn="l"/>
            <a:t> </a:t>
          </a:fld>
          <a:endParaRPr lang="en-US" sz="600" b="0" i="1">
            <a:solidFill>
              <a:schemeClr val="tx1"/>
            </a:solidFill>
            <a:effectLst/>
            <a:latin typeface="+mn-lt"/>
            <a:ea typeface="+mn-ea"/>
            <a:cs typeface="+mn-cs"/>
          </a:endParaRPr>
        </a:p>
      </xdr:txBody>
    </xdr:sp>
    <xdr:clientData/>
  </xdr:oneCellAnchor>
  <xdr:oneCellAnchor>
    <xdr:from>
      <xdr:col>6</xdr:col>
      <xdr:colOff>581025</xdr:colOff>
      <xdr:row>36</xdr:row>
      <xdr:rowOff>9525</xdr:rowOff>
    </xdr:from>
    <xdr:ext cx="28534" cy="125227"/>
    <xdr:sp macro="" textlink="#REF!">
      <xdr:nvSpPr>
        <xdr:cNvPr id="13" name="CasellaDiTesto 12">
          <a:extLst>
            <a:ext uri="{FF2B5EF4-FFF2-40B4-BE49-F238E27FC236}">
              <a16:creationId xmlns:a16="http://schemas.microsoft.com/office/drawing/2014/main" id="{00000000-0008-0000-0C00-00000D000000}"/>
            </a:ext>
          </a:extLst>
        </xdr:cNvPr>
        <xdr:cNvSpPr txBox="1"/>
      </xdr:nvSpPr>
      <xdr:spPr>
        <a:xfrm>
          <a:off x="8353425" y="4905375"/>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B73BD8FD-5E46-4B6B-A035-C56AE1559241}" type="TxLink">
            <a:rPr lang="en-US" sz="800" b="0" i="0" u="none" strike="noStrike">
              <a:solidFill>
                <a:srgbClr val="000000"/>
              </a:solidFill>
              <a:effectLst/>
              <a:latin typeface="Arial"/>
              <a:ea typeface="+mn-ea"/>
              <a:cs typeface="Arial"/>
            </a:rPr>
            <a:pPr algn="l"/>
            <a:t> </a:t>
          </a:fld>
          <a:endParaRPr lang="en-US" sz="400" b="0" i="1">
            <a:solidFill>
              <a:schemeClr val="tx1"/>
            </a:solidFill>
            <a:effectLst/>
            <a:latin typeface="+mn-lt"/>
            <a:ea typeface="+mn-ea"/>
            <a:cs typeface="+mn-cs"/>
          </a:endParaRPr>
        </a:p>
      </xdr:txBody>
    </xdr:sp>
    <xdr:clientData/>
  </xdr:oneCellAnchor>
  <xdr:oneCellAnchor>
    <xdr:from>
      <xdr:col>6</xdr:col>
      <xdr:colOff>1698381</xdr:colOff>
      <xdr:row>45</xdr:row>
      <xdr:rowOff>71803</xdr:rowOff>
    </xdr:from>
    <xdr:ext cx="343364" cy="125227"/>
    <xdr:sp macro="" textlink="$F$41">
      <xdr:nvSpPr>
        <xdr:cNvPr id="14" name="CasellaDiTesto 13">
          <a:extLst>
            <a:ext uri="{FF2B5EF4-FFF2-40B4-BE49-F238E27FC236}">
              <a16:creationId xmlns:a16="http://schemas.microsoft.com/office/drawing/2014/main" id="{00000000-0008-0000-0C00-00000E000000}"/>
            </a:ext>
          </a:extLst>
        </xdr:cNvPr>
        <xdr:cNvSpPr txBox="1"/>
      </xdr:nvSpPr>
      <xdr:spPr>
        <a:xfrm>
          <a:off x="9472246" y="6394938"/>
          <a:ext cx="34336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76B8F600-7D08-4065-AF5F-1626BB0CA1D4}" type="TxLink">
            <a:rPr lang="en-US" sz="800" b="0" i="0" u="none" strike="noStrike">
              <a:solidFill>
                <a:srgbClr val="000000"/>
              </a:solidFill>
              <a:effectLst/>
              <a:latin typeface="Arial"/>
              <a:ea typeface="+mn-ea"/>
              <a:cs typeface="Arial"/>
            </a:rPr>
            <a:pPr algn="l"/>
            <a:t>28,1 °C</a:t>
          </a:fld>
          <a:endParaRPr lang="en-US" sz="600" b="0" i="1">
            <a:solidFill>
              <a:schemeClr val="tx1"/>
            </a:solidFill>
            <a:effectLst/>
            <a:latin typeface="+mn-lt"/>
            <a:ea typeface="+mn-ea"/>
            <a:cs typeface="+mn-cs"/>
          </a:endParaRPr>
        </a:p>
      </xdr:txBody>
    </xdr:sp>
    <xdr:clientData/>
  </xdr:oneCellAnchor>
  <xdr:oneCellAnchor>
    <xdr:from>
      <xdr:col>6</xdr:col>
      <xdr:colOff>2457449</xdr:colOff>
      <xdr:row>37</xdr:row>
      <xdr:rowOff>40298</xdr:rowOff>
    </xdr:from>
    <xdr:ext cx="467757" cy="117917"/>
    <xdr:sp macro="" textlink="$F$9">
      <xdr:nvSpPr>
        <xdr:cNvPr id="15" name="CasellaDiTesto 14">
          <a:extLst>
            <a:ext uri="{FF2B5EF4-FFF2-40B4-BE49-F238E27FC236}">
              <a16:creationId xmlns:a16="http://schemas.microsoft.com/office/drawing/2014/main" id="{00000000-0008-0000-0C00-00000F000000}"/>
            </a:ext>
          </a:extLst>
        </xdr:cNvPr>
        <xdr:cNvSpPr txBox="1"/>
      </xdr:nvSpPr>
      <xdr:spPr>
        <a:xfrm>
          <a:off x="10231314" y="6202240"/>
          <a:ext cx="467757"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1001EA65-C9FB-4F7A-9800-B0F6C69FB25B}" type="TxLink">
            <a:rPr lang="en-US" sz="800" b="1" i="0" u="none" strike="noStrike">
              <a:solidFill>
                <a:srgbClr val="000000"/>
              </a:solidFill>
              <a:effectLst/>
              <a:latin typeface="Arial"/>
              <a:ea typeface="+mn-ea"/>
              <a:cs typeface="Arial"/>
            </a:rPr>
            <a:pPr marL="0" indent="0" algn="l"/>
            <a:t>12,0 l/min</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163390</xdr:colOff>
      <xdr:row>53</xdr:row>
      <xdr:rowOff>46159</xdr:rowOff>
    </xdr:from>
    <xdr:ext cx="444865" cy="117917"/>
    <xdr:sp macro="" textlink="$F$9">
      <xdr:nvSpPr>
        <xdr:cNvPr id="16" name="CasellaDiTesto 15">
          <a:extLst>
            <a:ext uri="{FF2B5EF4-FFF2-40B4-BE49-F238E27FC236}">
              <a16:creationId xmlns:a16="http://schemas.microsoft.com/office/drawing/2014/main" id="{00000000-0008-0000-0C00-000010000000}"/>
            </a:ext>
          </a:extLst>
        </xdr:cNvPr>
        <xdr:cNvSpPr txBox="1"/>
      </xdr:nvSpPr>
      <xdr:spPr>
        <a:xfrm>
          <a:off x="7937255" y="7658832"/>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C744807-3552-4EB2-9F1A-3A8BAFA40E75}"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631582</xdr:colOff>
      <xdr:row>32</xdr:row>
      <xdr:rowOff>20515</xdr:rowOff>
    </xdr:from>
    <xdr:ext cx="387798" cy="125227"/>
    <xdr:sp macro="" textlink="$F$43">
      <xdr:nvSpPr>
        <xdr:cNvPr id="17" name="CasellaDiTesto 16">
          <a:extLst>
            <a:ext uri="{FF2B5EF4-FFF2-40B4-BE49-F238E27FC236}">
              <a16:creationId xmlns:a16="http://schemas.microsoft.com/office/drawing/2014/main" id="{00000000-0008-0000-0C00-000011000000}"/>
            </a:ext>
          </a:extLst>
        </xdr:cNvPr>
        <xdr:cNvSpPr txBox="1"/>
      </xdr:nvSpPr>
      <xdr:spPr>
        <a:xfrm>
          <a:off x="8400669" y="5511885"/>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08E96958-972D-4CDA-8B5C-E2019690F25C}" type="TxLink">
            <a:rPr lang="en-US" sz="800" b="0" i="0" u="none" strike="noStrike">
              <a:solidFill>
                <a:srgbClr val="000000"/>
              </a:solidFill>
              <a:effectLst/>
              <a:latin typeface="Arial"/>
              <a:ea typeface="+mn-ea"/>
              <a:cs typeface="Arial"/>
            </a:rPr>
            <a:pPr algn="l"/>
            <a:t>4,5 l/min</a:t>
          </a:fld>
          <a:endParaRPr lang="en-US" sz="400" b="0" i="1">
            <a:solidFill>
              <a:schemeClr val="tx1"/>
            </a:solidFill>
            <a:effectLst/>
            <a:latin typeface="+mn-lt"/>
            <a:ea typeface="+mn-ea"/>
            <a:cs typeface="+mn-cs"/>
          </a:endParaRPr>
        </a:p>
      </xdr:txBody>
    </xdr:sp>
    <xdr:clientData/>
  </xdr:oneCellAnchor>
  <xdr:oneCellAnchor>
    <xdr:from>
      <xdr:col>6</xdr:col>
      <xdr:colOff>1504951</xdr:colOff>
      <xdr:row>32</xdr:row>
      <xdr:rowOff>30773</xdr:rowOff>
    </xdr:from>
    <xdr:ext cx="387798" cy="125227"/>
    <xdr:sp macro="" textlink="$F$44">
      <xdr:nvSpPr>
        <xdr:cNvPr id="18" name="CasellaDiTesto 17">
          <a:extLst>
            <a:ext uri="{FF2B5EF4-FFF2-40B4-BE49-F238E27FC236}">
              <a16:creationId xmlns:a16="http://schemas.microsoft.com/office/drawing/2014/main" id="{00000000-0008-0000-0C00-000012000000}"/>
            </a:ext>
          </a:extLst>
        </xdr:cNvPr>
        <xdr:cNvSpPr txBox="1"/>
      </xdr:nvSpPr>
      <xdr:spPr>
        <a:xfrm>
          <a:off x="9278816" y="4258408"/>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E727480B-55E5-4CF2-B0A0-AC7F9347D639}" type="TxLink">
            <a:rPr lang="en-US" sz="800" b="0" i="0" u="none" strike="noStrike">
              <a:solidFill>
                <a:srgbClr val="000000"/>
              </a:solidFill>
              <a:effectLst/>
              <a:latin typeface="Arial"/>
              <a:ea typeface="+mn-ea"/>
              <a:cs typeface="Arial"/>
            </a:rPr>
            <a:pPr algn="l"/>
            <a:t>7,5 l/min</a:t>
          </a:fld>
          <a:endParaRPr lang="en-US" sz="200" b="0" i="1">
            <a:solidFill>
              <a:schemeClr val="tx1"/>
            </a:solidFill>
            <a:effectLst/>
            <a:latin typeface="+mn-lt"/>
            <a:ea typeface="+mn-ea"/>
            <a:cs typeface="+mn-cs"/>
          </a:endParaRPr>
        </a:p>
      </xdr:txBody>
    </xdr:sp>
    <xdr:clientData/>
  </xdr:oneCellAnchor>
  <xdr:oneCellAnchor>
    <xdr:from>
      <xdr:col>6</xdr:col>
      <xdr:colOff>219075</xdr:colOff>
      <xdr:row>77</xdr:row>
      <xdr:rowOff>123825</xdr:rowOff>
    </xdr:from>
    <xdr:ext cx="28534" cy="125227"/>
    <xdr:sp macro="" textlink="#REF!">
      <xdr:nvSpPr>
        <xdr:cNvPr id="19" name="CasellaDiTesto 18">
          <a:extLst>
            <a:ext uri="{FF2B5EF4-FFF2-40B4-BE49-F238E27FC236}">
              <a16:creationId xmlns:a16="http://schemas.microsoft.com/office/drawing/2014/main" id="{00000000-0008-0000-0C00-000013000000}"/>
            </a:ext>
          </a:extLst>
        </xdr:cNvPr>
        <xdr:cNvSpPr txBox="1"/>
      </xdr:nvSpPr>
      <xdr:spPr>
        <a:xfrm>
          <a:off x="7991475" y="11668125"/>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BAB27D39-0ED6-4D7C-BEC9-19F7E97D56F2}" type="TxLink">
            <a:rPr lang="en-US" sz="800" b="0" i="0" u="none" strike="noStrike">
              <a:solidFill>
                <a:srgbClr val="000000"/>
              </a:solidFill>
              <a:effectLst/>
              <a:latin typeface="Arial"/>
              <a:ea typeface="+mn-ea"/>
              <a:cs typeface="Arial"/>
            </a:rPr>
            <a:pPr algn="l"/>
            <a:t> </a:t>
          </a:fld>
          <a:endParaRPr lang="en-US" sz="1000" b="0" i="1">
            <a:solidFill>
              <a:schemeClr val="tx1"/>
            </a:solidFill>
            <a:effectLst/>
            <a:latin typeface="+mn-lt"/>
            <a:ea typeface="+mn-ea"/>
            <a:cs typeface="+mn-cs"/>
          </a:endParaRPr>
        </a:p>
      </xdr:txBody>
    </xdr:sp>
    <xdr:clientData/>
  </xdr:oneCellAnchor>
  <xdr:oneCellAnchor>
    <xdr:from>
      <xdr:col>6</xdr:col>
      <xdr:colOff>1981200</xdr:colOff>
      <xdr:row>68</xdr:row>
      <xdr:rowOff>123825</xdr:rowOff>
    </xdr:from>
    <xdr:ext cx="28534" cy="125227"/>
    <xdr:sp macro="" textlink="#REF!">
      <xdr:nvSpPr>
        <xdr:cNvPr id="21" name="CasellaDiTesto 20">
          <a:extLst>
            <a:ext uri="{FF2B5EF4-FFF2-40B4-BE49-F238E27FC236}">
              <a16:creationId xmlns:a16="http://schemas.microsoft.com/office/drawing/2014/main" id="{00000000-0008-0000-0C00-000015000000}"/>
            </a:ext>
          </a:extLst>
        </xdr:cNvPr>
        <xdr:cNvSpPr txBox="1"/>
      </xdr:nvSpPr>
      <xdr:spPr>
        <a:xfrm>
          <a:off x="9753600" y="10210800"/>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6350B21A-6E35-49F5-B465-27B5F3899EC0}" type="TxLink">
            <a:rPr lang="en-US" sz="800" b="0" i="0" u="none" strike="noStrike">
              <a:solidFill>
                <a:srgbClr val="000000"/>
              </a:solidFill>
              <a:effectLst/>
              <a:latin typeface="Arial"/>
              <a:ea typeface="+mn-ea"/>
              <a:cs typeface="Arial"/>
            </a:rPr>
            <a:pPr algn="l"/>
            <a:t> </a:t>
          </a:fld>
          <a:endParaRPr lang="en-US" sz="600" b="0" i="1">
            <a:solidFill>
              <a:schemeClr val="tx1"/>
            </a:solidFill>
            <a:effectLst/>
            <a:latin typeface="+mn-lt"/>
            <a:ea typeface="+mn-ea"/>
            <a:cs typeface="+mn-cs"/>
          </a:endParaRPr>
        </a:p>
      </xdr:txBody>
    </xdr:sp>
    <xdr:clientData/>
  </xdr:oneCellAnchor>
  <xdr:oneCellAnchor>
    <xdr:from>
      <xdr:col>6</xdr:col>
      <xdr:colOff>1715232</xdr:colOff>
      <xdr:row>74</xdr:row>
      <xdr:rowOff>97449</xdr:rowOff>
    </xdr:from>
    <xdr:ext cx="343364" cy="125227"/>
    <xdr:sp macro="" textlink="$F$70">
      <xdr:nvSpPr>
        <xdr:cNvPr id="24" name="CasellaDiTesto 23">
          <a:extLst>
            <a:ext uri="{FF2B5EF4-FFF2-40B4-BE49-F238E27FC236}">
              <a16:creationId xmlns:a16="http://schemas.microsoft.com/office/drawing/2014/main" id="{00000000-0008-0000-0C00-000018000000}"/>
            </a:ext>
          </a:extLst>
        </xdr:cNvPr>
        <xdr:cNvSpPr txBox="1"/>
      </xdr:nvSpPr>
      <xdr:spPr>
        <a:xfrm>
          <a:off x="9492114" y="11930861"/>
          <a:ext cx="34336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8D938A9E-E316-41EA-8D45-636FF9ECD125}" type="TxLink">
            <a:rPr lang="en-US" sz="800" b="0" i="0" u="none" strike="noStrike">
              <a:solidFill>
                <a:srgbClr val="000000"/>
              </a:solidFill>
              <a:effectLst/>
              <a:latin typeface="Arial"/>
              <a:ea typeface="+mn-ea"/>
              <a:cs typeface="Arial"/>
            </a:rPr>
            <a:pPr algn="l"/>
            <a:t>29,3 °C</a:t>
          </a:fld>
          <a:endParaRPr lang="en-US" sz="400" b="0" i="1">
            <a:solidFill>
              <a:schemeClr val="tx1"/>
            </a:solidFill>
            <a:effectLst/>
            <a:latin typeface="+mn-lt"/>
            <a:ea typeface="+mn-ea"/>
            <a:cs typeface="+mn-cs"/>
          </a:endParaRPr>
        </a:p>
      </xdr:txBody>
    </xdr:sp>
    <xdr:clientData/>
  </xdr:oneCellAnchor>
  <xdr:oneCellAnchor>
    <xdr:from>
      <xdr:col>6</xdr:col>
      <xdr:colOff>663203</xdr:colOff>
      <xdr:row>64</xdr:row>
      <xdr:rowOff>61238</xdr:rowOff>
    </xdr:from>
    <xdr:ext cx="343364" cy="117917"/>
    <xdr:sp macro="" textlink="$F$7">
      <xdr:nvSpPr>
        <xdr:cNvPr id="25" name="CasellaDiTesto 24">
          <a:extLst>
            <a:ext uri="{FF2B5EF4-FFF2-40B4-BE49-F238E27FC236}">
              <a16:creationId xmlns:a16="http://schemas.microsoft.com/office/drawing/2014/main" id="{00000000-0008-0000-0C00-000019000000}"/>
            </a:ext>
          </a:extLst>
        </xdr:cNvPr>
        <xdr:cNvSpPr txBox="1"/>
      </xdr:nvSpPr>
      <xdr:spPr>
        <a:xfrm>
          <a:off x="8438611" y="10543751"/>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016B1DB1-77AB-4092-9D77-E6B46ABD048A}" type="TxLink">
            <a:rPr lang="en-US" sz="800" b="1" i="0" u="none" strike="noStrike">
              <a:solidFill>
                <a:srgbClr val="000000"/>
              </a:solidFill>
              <a:effectLst/>
              <a:latin typeface="Arial"/>
              <a:ea typeface="+mn-ea"/>
              <a:cs typeface="Arial"/>
            </a:rPr>
            <a:pPr marL="0" indent="0" algn="l"/>
            <a:t>60,0 °C</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370396</xdr:colOff>
      <xdr:row>61</xdr:row>
      <xdr:rowOff>107706</xdr:rowOff>
    </xdr:from>
    <xdr:ext cx="387798" cy="125227"/>
    <xdr:sp macro="" textlink="$F$72">
      <xdr:nvSpPr>
        <xdr:cNvPr id="26" name="CasellaDiTesto 25">
          <a:extLst>
            <a:ext uri="{FF2B5EF4-FFF2-40B4-BE49-F238E27FC236}">
              <a16:creationId xmlns:a16="http://schemas.microsoft.com/office/drawing/2014/main" id="{00000000-0008-0000-0C00-00001A000000}"/>
            </a:ext>
          </a:extLst>
        </xdr:cNvPr>
        <xdr:cNvSpPr txBox="1"/>
      </xdr:nvSpPr>
      <xdr:spPr>
        <a:xfrm>
          <a:off x="8139483" y="10411271"/>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A5FD96D8-0679-49E4-9E9D-C54DE3FEED39}" type="TxLink">
            <a:rPr lang="en-US" sz="800" b="0" i="0" u="none" strike="noStrike">
              <a:solidFill>
                <a:srgbClr val="000000"/>
              </a:solidFill>
              <a:effectLst/>
              <a:latin typeface="Arial"/>
              <a:ea typeface="+mn-ea"/>
              <a:cs typeface="Arial"/>
            </a:rPr>
            <a:pPr algn="l"/>
            <a:t>4,2 l/min</a:t>
          </a:fld>
          <a:endParaRPr lang="en-US" sz="200" b="0" i="1">
            <a:solidFill>
              <a:schemeClr val="tx1"/>
            </a:solidFill>
            <a:effectLst/>
            <a:latin typeface="+mn-lt"/>
            <a:ea typeface="+mn-ea"/>
            <a:cs typeface="+mn-cs"/>
          </a:endParaRPr>
        </a:p>
      </xdr:txBody>
    </xdr:sp>
    <xdr:clientData/>
  </xdr:oneCellAnchor>
  <xdr:oneCellAnchor>
    <xdr:from>
      <xdr:col>6</xdr:col>
      <xdr:colOff>1551110</xdr:colOff>
      <xdr:row>61</xdr:row>
      <xdr:rowOff>16853</xdr:rowOff>
    </xdr:from>
    <xdr:ext cx="387798" cy="125227"/>
    <xdr:sp macro="" textlink="$F$73">
      <xdr:nvSpPr>
        <xdr:cNvPr id="27" name="CasellaDiTesto 26">
          <a:extLst>
            <a:ext uri="{FF2B5EF4-FFF2-40B4-BE49-F238E27FC236}">
              <a16:creationId xmlns:a16="http://schemas.microsoft.com/office/drawing/2014/main" id="{00000000-0008-0000-0C00-00001B000000}"/>
            </a:ext>
          </a:extLst>
        </xdr:cNvPr>
        <xdr:cNvSpPr txBox="1"/>
      </xdr:nvSpPr>
      <xdr:spPr>
        <a:xfrm>
          <a:off x="9320197" y="10320418"/>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9DD8EDBC-4678-424D-859D-390C13C78A00}" type="TxLink">
            <a:rPr lang="en-US" sz="800" b="0" i="0" u="none" strike="noStrike">
              <a:solidFill>
                <a:srgbClr val="000000"/>
              </a:solidFill>
              <a:effectLst/>
              <a:latin typeface="Arial"/>
              <a:ea typeface="+mn-ea"/>
              <a:cs typeface="Arial"/>
            </a:rPr>
            <a:pPr algn="l"/>
            <a:t>7,8 l/min</a:t>
          </a:fld>
          <a:endParaRPr lang="en-US" sz="100" b="0" i="1">
            <a:solidFill>
              <a:schemeClr val="tx1"/>
            </a:solidFill>
            <a:effectLst/>
            <a:latin typeface="+mn-lt"/>
            <a:ea typeface="+mn-ea"/>
            <a:cs typeface="+mn-cs"/>
          </a:endParaRPr>
        </a:p>
      </xdr:txBody>
    </xdr:sp>
    <xdr:clientData/>
  </xdr:oneCellAnchor>
  <xdr:oneCellAnchor>
    <xdr:from>
      <xdr:col>6</xdr:col>
      <xdr:colOff>1611191</xdr:colOff>
      <xdr:row>82</xdr:row>
      <xdr:rowOff>98180</xdr:rowOff>
    </xdr:from>
    <xdr:ext cx="387798" cy="117917"/>
    <xdr:sp macro="" textlink="$F$60">
      <xdr:nvSpPr>
        <xdr:cNvPr id="28" name="CasellaDiTesto 27">
          <a:extLst>
            <a:ext uri="{FF2B5EF4-FFF2-40B4-BE49-F238E27FC236}">
              <a16:creationId xmlns:a16="http://schemas.microsoft.com/office/drawing/2014/main" id="{00000000-0008-0000-0C00-00001C000000}"/>
            </a:ext>
          </a:extLst>
        </xdr:cNvPr>
        <xdr:cNvSpPr txBox="1"/>
      </xdr:nvSpPr>
      <xdr:spPr>
        <a:xfrm>
          <a:off x="9383591" y="13585580"/>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FBEA92E9-D944-4AB2-A7EF-3F121D35B327}" type="TxLink">
            <a:rPr lang="en-US" sz="800" b="0" i="0" u="none" strike="noStrike">
              <a:solidFill>
                <a:srgbClr val="000000"/>
              </a:solidFill>
              <a:effectLst/>
              <a:latin typeface="Arial"/>
              <a:ea typeface="+mn-ea"/>
              <a:cs typeface="Arial"/>
            </a:rPr>
            <a:pPr marL="0" indent="0" algn="l"/>
            <a:t>7,8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1539387</xdr:colOff>
      <xdr:row>46</xdr:row>
      <xdr:rowOff>147271</xdr:rowOff>
    </xdr:from>
    <xdr:ext cx="444865" cy="125227"/>
    <xdr:sp macro="" textlink="$F$31">
      <xdr:nvSpPr>
        <xdr:cNvPr id="29" name="CasellaDiTesto 28">
          <a:extLst>
            <a:ext uri="{FF2B5EF4-FFF2-40B4-BE49-F238E27FC236}">
              <a16:creationId xmlns:a16="http://schemas.microsoft.com/office/drawing/2014/main" id="{00000000-0008-0000-0C00-00001D000000}"/>
            </a:ext>
          </a:extLst>
        </xdr:cNvPr>
        <xdr:cNvSpPr txBox="1"/>
      </xdr:nvSpPr>
      <xdr:spPr>
        <a:xfrm>
          <a:off x="9313252" y="6631598"/>
          <a:ext cx="444865"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990C3A87-0F4B-4A75-90FE-5D59E394DB28}" type="TxLink">
            <a:rPr lang="en-US" sz="800" b="0" i="0" u="none" strike="noStrike">
              <a:solidFill>
                <a:srgbClr val="000000"/>
              </a:solidFill>
              <a:effectLst/>
              <a:latin typeface="Arial"/>
              <a:ea typeface="+mn-ea"/>
              <a:cs typeface="Arial"/>
            </a:rPr>
            <a:pPr algn="l"/>
            <a:t>12,0 l/min</a:t>
          </a:fld>
          <a:endParaRPr lang="en-US" sz="600" b="0" i="1">
            <a:solidFill>
              <a:schemeClr val="tx1"/>
            </a:solidFill>
            <a:effectLst/>
            <a:latin typeface="+mn-lt"/>
            <a:ea typeface="+mn-ea"/>
            <a:cs typeface="+mn-cs"/>
          </a:endParaRPr>
        </a:p>
      </xdr:txBody>
    </xdr:sp>
    <xdr:clientData/>
  </xdr:oneCellAnchor>
  <xdr:oneCellAnchor>
    <xdr:from>
      <xdr:col>6</xdr:col>
      <xdr:colOff>649770</xdr:colOff>
      <xdr:row>35</xdr:row>
      <xdr:rowOff>83654</xdr:rowOff>
    </xdr:from>
    <xdr:ext cx="343364" cy="117917"/>
    <xdr:sp macro="" textlink="$F$7">
      <xdr:nvSpPr>
        <xdr:cNvPr id="2" name="CasellaDiTesto 1">
          <a:extLst>
            <a:ext uri="{FF2B5EF4-FFF2-40B4-BE49-F238E27FC236}">
              <a16:creationId xmlns:a16="http://schemas.microsoft.com/office/drawing/2014/main" id="{00000000-0008-0000-0C00-000002000000}"/>
            </a:ext>
          </a:extLst>
        </xdr:cNvPr>
        <xdr:cNvSpPr txBox="1"/>
      </xdr:nvSpPr>
      <xdr:spPr>
        <a:xfrm>
          <a:off x="8418857" y="6071980"/>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16B1DB1-77AB-4092-9D77-E6B46ABD048A}" type="TxLink">
            <a:rPr lang="en-US" sz="800" b="0" i="0" u="none" strike="noStrike">
              <a:solidFill>
                <a:srgbClr val="000000"/>
              </a:solidFill>
              <a:effectLst/>
              <a:latin typeface="Arial"/>
              <a:ea typeface="+mn-ea"/>
              <a:cs typeface="Arial"/>
            </a:rPr>
            <a:pPr marL="0" indent="0" algn="l"/>
            <a:t>60,0 °C</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1591407</xdr:colOff>
      <xdr:row>53</xdr:row>
      <xdr:rowOff>58615</xdr:rowOff>
    </xdr:from>
    <xdr:ext cx="444865" cy="117917"/>
    <xdr:sp macro="" textlink="$F$31">
      <xdr:nvSpPr>
        <xdr:cNvPr id="3" name="CasellaDiTesto 2">
          <a:extLst>
            <a:ext uri="{FF2B5EF4-FFF2-40B4-BE49-F238E27FC236}">
              <a16:creationId xmlns:a16="http://schemas.microsoft.com/office/drawing/2014/main" id="{00000000-0008-0000-0C00-000003000000}"/>
            </a:ext>
          </a:extLst>
        </xdr:cNvPr>
        <xdr:cNvSpPr txBox="1"/>
      </xdr:nvSpPr>
      <xdr:spPr>
        <a:xfrm>
          <a:off x="9365272" y="8799634"/>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4D8E7D4-29E5-4059-8A3E-F00E6533788D}"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2191418</xdr:colOff>
      <xdr:row>43</xdr:row>
      <xdr:rowOff>82189</xdr:rowOff>
    </xdr:from>
    <xdr:ext cx="444865" cy="117917"/>
    <xdr:sp macro="" textlink="$F$32">
      <xdr:nvSpPr>
        <xdr:cNvPr id="4" name="CasellaDiTesto 3">
          <a:extLst>
            <a:ext uri="{FF2B5EF4-FFF2-40B4-BE49-F238E27FC236}">
              <a16:creationId xmlns:a16="http://schemas.microsoft.com/office/drawing/2014/main" id="{00000000-0008-0000-0C00-000004000000}"/>
            </a:ext>
          </a:extLst>
        </xdr:cNvPr>
        <xdr:cNvSpPr txBox="1"/>
      </xdr:nvSpPr>
      <xdr:spPr>
        <a:xfrm>
          <a:off x="9960505" y="7395732"/>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68C0E22A-E78A-4DAD-85B0-6A5CF949F0DA}"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2511670</xdr:colOff>
      <xdr:row>38</xdr:row>
      <xdr:rowOff>11722</xdr:rowOff>
    </xdr:from>
    <xdr:ext cx="343364" cy="117917"/>
    <xdr:sp macro="" textlink="$F$6">
      <xdr:nvSpPr>
        <xdr:cNvPr id="9" name="CasellaDiTesto 8">
          <a:extLst>
            <a:ext uri="{FF2B5EF4-FFF2-40B4-BE49-F238E27FC236}">
              <a16:creationId xmlns:a16="http://schemas.microsoft.com/office/drawing/2014/main" id="{00000000-0008-0000-0C00-000009000000}"/>
            </a:ext>
          </a:extLst>
        </xdr:cNvPr>
        <xdr:cNvSpPr txBox="1"/>
      </xdr:nvSpPr>
      <xdr:spPr>
        <a:xfrm>
          <a:off x="10285535" y="6334857"/>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8E60663-BC41-4FFF-AEEE-F63E6F1B49BD}" type="TxLink">
            <a:rPr lang="en-US" sz="800" b="1" i="0" u="none" strike="noStrike">
              <a:solidFill>
                <a:srgbClr val="FF0000"/>
              </a:solidFill>
              <a:effectLst/>
              <a:latin typeface="Arial"/>
              <a:ea typeface="+mn-ea"/>
              <a:cs typeface="Arial"/>
            </a:rPr>
            <a:pPr marL="0" indent="0" algn="l"/>
            <a:t>40,0 °C</a:t>
          </a:fld>
          <a:endParaRPr lang="en-US" sz="800" b="1" i="0" u="none" strike="noStrike">
            <a:solidFill>
              <a:srgbClr val="FF0000"/>
            </a:solidFill>
            <a:effectLst/>
            <a:latin typeface="Arial"/>
            <a:ea typeface="+mn-ea"/>
            <a:cs typeface="Arial"/>
          </a:endParaRPr>
        </a:p>
      </xdr:txBody>
    </xdr:sp>
    <xdr:clientData/>
  </xdr:oneCellAnchor>
  <xdr:oneCellAnchor>
    <xdr:from>
      <xdr:col>6</xdr:col>
      <xdr:colOff>2098431</xdr:colOff>
      <xdr:row>41</xdr:row>
      <xdr:rowOff>116498</xdr:rowOff>
    </xdr:from>
    <xdr:ext cx="343364" cy="117917"/>
    <xdr:sp macro="" textlink="$F$11">
      <xdr:nvSpPr>
        <xdr:cNvPr id="30" name="CasellaDiTesto 29">
          <a:extLst>
            <a:ext uri="{FF2B5EF4-FFF2-40B4-BE49-F238E27FC236}">
              <a16:creationId xmlns:a16="http://schemas.microsoft.com/office/drawing/2014/main" id="{00000000-0008-0000-0C00-00001E000000}"/>
            </a:ext>
          </a:extLst>
        </xdr:cNvPr>
        <xdr:cNvSpPr txBox="1"/>
      </xdr:nvSpPr>
      <xdr:spPr>
        <a:xfrm>
          <a:off x="9872296" y="5794863"/>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DD4896C-2F49-4DD1-A745-F8E8FCBB40CC}" type="TxLink">
            <a:rPr lang="en-US" sz="800" b="1" i="0" u="none" strike="noStrike">
              <a:solidFill>
                <a:srgbClr val="000000"/>
              </a:solidFill>
              <a:effectLst/>
              <a:latin typeface="Arial"/>
              <a:ea typeface="+mn-ea"/>
              <a:cs typeface="Arial"/>
            </a:rPr>
            <a:pPr marL="0" indent="0" algn="l"/>
            <a:t>35,0 °C</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191965</xdr:colOff>
      <xdr:row>52</xdr:row>
      <xdr:rowOff>36634</xdr:rowOff>
    </xdr:from>
    <xdr:ext cx="343364" cy="117917"/>
    <xdr:sp macro="" textlink="$F$8">
      <xdr:nvSpPr>
        <xdr:cNvPr id="31" name="CasellaDiTesto 30">
          <a:extLst>
            <a:ext uri="{FF2B5EF4-FFF2-40B4-BE49-F238E27FC236}">
              <a16:creationId xmlns:a16="http://schemas.microsoft.com/office/drawing/2014/main" id="{00000000-0008-0000-0C00-00001F000000}"/>
            </a:ext>
          </a:extLst>
        </xdr:cNvPr>
        <xdr:cNvSpPr txBox="1"/>
      </xdr:nvSpPr>
      <xdr:spPr>
        <a:xfrm>
          <a:off x="7965830" y="7488115"/>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56225A4-6D7A-4E3A-B8A2-DDCB491A1D05}" type="TxLink">
            <a:rPr lang="en-US" sz="800" b="1" i="0" u="none" strike="noStrike">
              <a:solidFill>
                <a:srgbClr val="0000FF"/>
              </a:solidFill>
              <a:effectLst/>
              <a:latin typeface="Arial"/>
              <a:ea typeface="+mn-ea"/>
              <a:cs typeface="Arial"/>
            </a:rPr>
            <a:pPr marL="0" indent="0" algn="l"/>
            <a:t>12,0 °C</a:t>
          </a:fld>
          <a:endParaRPr lang="en-US" sz="800" b="1" i="0" u="none" strike="noStrike">
            <a:solidFill>
              <a:srgbClr val="0000FF"/>
            </a:solidFill>
            <a:effectLst/>
            <a:latin typeface="Arial"/>
            <a:ea typeface="+mn-ea"/>
            <a:cs typeface="Arial"/>
          </a:endParaRPr>
        </a:p>
      </xdr:txBody>
    </xdr:sp>
    <xdr:clientData/>
  </xdr:oneCellAnchor>
  <xdr:oneCellAnchor>
    <xdr:from>
      <xdr:col>6</xdr:col>
      <xdr:colOff>178777</xdr:colOff>
      <xdr:row>82</xdr:row>
      <xdr:rowOff>76933</xdr:rowOff>
    </xdr:from>
    <xdr:ext cx="444865" cy="117917"/>
    <xdr:sp macro="" textlink="$F$9">
      <xdr:nvSpPr>
        <xdr:cNvPr id="32" name="CasellaDiTesto 31">
          <a:extLst>
            <a:ext uri="{FF2B5EF4-FFF2-40B4-BE49-F238E27FC236}">
              <a16:creationId xmlns:a16="http://schemas.microsoft.com/office/drawing/2014/main" id="{00000000-0008-0000-0C00-000020000000}"/>
            </a:ext>
          </a:extLst>
        </xdr:cNvPr>
        <xdr:cNvSpPr txBox="1"/>
      </xdr:nvSpPr>
      <xdr:spPr>
        <a:xfrm>
          <a:off x="7952642" y="12371510"/>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C744807-3552-4EB2-9F1A-3A8BAFA40E75}"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207352</xdr:colOff>
      <xdr:row>81</xdr:row>
      <xdr:rowOff>67407</xdr:rowOff>
    </xdr:from>
    <xdr:ext cx="343364" cy="117917"/>
    <xdr:sp macro="" textlink="$F$8">
      <xdr:nvSpPr>
        <xdr:cNvPr id="33" name="CasellaDiTesto 32">
          <a:extLst>
            <a:ext uri="{FF2B5EF4-FFF2-40B4-BE49-F238E27FC236}">
              <a16:creationId xmlns:a16="http://schemas.microsoft.com/office/drawing/2014/main" id="{00000000-0008-0000-0C00-000021000000}"/>
            </a:ext>
          </a:extLst>
        </xdr:cNvPr>
        <xdr:cNvSpPr txBox="1"/>
      </xdr:nvSpPr>
      <xdr:spPr>
        <a:xfrm>
          <a:off x="7981217" y="12200792"/>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56225A4-6D7A-4E3A-B8A2-DDCB491A1D05}" type="TxLink">
            <a:rPr lang="en-US" sz="800" b="1" i="0" u="none" strike="noStrike">
              <a:solidFill>
                <a:srgbClr val="0000FF"/>
              </a:solidFill>
              <a:effectLst/>
              <a:latin typeface="Arial"/>
              <a:ea typeface="+mn-ea"/>
              <a:cs typeface="Arial"/>
            </a:rPr>
            <a:pPr marL="0" indent="0" algn="l"/>
            <a:t>12,0 °C</a:t>
          </a:fld>
          <a:endParaRPr lang="en-US" sz="800" b="1" i="0" u="none" strike="noStrike">
            <a:solidFill>
              <a:srgbClr val="0000FF"/>
            </a:solidFill>
            <a:effectLst/>
            <a:latin typeface="Arial"/>
            <a:ea typeface="+mn-ea"/>
            <a:cs typeface="Arial"/>
          </a:endParaRPr>
        </a:p>
      </xdr:txBody>
    </xdr:sp>
    <xdr:clientData/>
  </xdr:oneCellAnchor>
  <xdr:oneCellAnchor>
    <xdr:from>
      <xdr:col>6</xdr:col>
      <xdr:colOff>2449390</xdr:colOff>
      <xdr:row>66</xdr:row>
      <xdr:rowOff>30040</xdr:rowOff>
    </xdr:from>
    <xdr:ext cx="467757" cy="117917"/>
    <xdr:sp macro="" textlink="$F$9">
      <xdr:nvSpPr>
        <xdr:cNvPr id="34" name="CasellaDiTesto 33">
          <a:extLst>
            <a:ext uri="{FF2B5EF4-FFF2-40B4-BE49-F238E27FC236}">
              <a16:creationId xmlns:a16="http://schemas.microsoft.com/office/drawing/2014/main" id="{00000000-0008-0000-0C00-000022000000}"/>
            </a:ext>
          </a:extLst>
        </xdr:cNvPr>
        <xdr:cNvSpPr txBox="1"/>
      </xdr:nvSpPr>
      <xdr:spPr>
        <a:xfrm>
          <a:off x="10221790" y="10926640"/>
          <a:ext cx="467757"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1001EA65-C9FB-4F7A-9800-B0F6C69FB25B}" type="TxLink">
            <a:rPr lang="en-US" sz="800" b="1" i="0" u="none" strike="noStrike">
              <a:solidFill>
                <a:srgbClr val="000000"/>
              </a:solidFill>
              <a:effectLst/>
              <a:latin typeface="Arial"/>
              <a:ea typeface="+mn-ea"/>
              <a:cs typeface="Arial"/>
            </a:rPr>
            <a:pPr marL="0" indent="0" algn="l"/>
            <a:t>12,0 l/min</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2529712</xdr:colOff>
      <xdr:row>67</xdr:row>
      <xdr:rowOff>25828</xdr:rowOff>
    </xdr:from>
    <xdr:ext cx="343364" cy="117917"/>
    <xdr:sp macro="" textlink="$F$6">
      <xdr:nvSpPr>
        <xdr:cNvPr id="35" name="CasellaDiTesto 34">
          <a:extLst>
            <a:ext uri="{FF2B5EF4-FFF2-40B4-BE49-F238E27FC236}">
              <a16:creationId xmlns:a16="http://schemas.microsoft.com/office/drawing/2014/main" id="{00000000-0008-0000-0C00-000023000000}"/>
            </a:ext>
          </a:extLst>
        </xdr:cNvPr>
        <xdr:cNvSpPr txBox="1"/>
      </xdr:nvSpPr>
      <xdr:spPr>
        <a:xfrm>
          <a:off x="10302112" y="11084353"/>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8E60663-BC41-4FFF-AEEE-F63E6F1B49BD}" type="TxLink">
            <a:rPr lang="en-US" sz="800" b="1" i="0" u="none" strike="noStrike">
              <a:solidFill>
                <a:srgbClr val="FF0000"/>
              </a:solidFill>
              <a:effectLst/>
              <a:latin typeface="Arial"/>
              <a:ea typeface="+mn-ea"/>
              <a:cs typeface="Arial"/>
            </a:rPr>
            <a:pPr marL="0" indent="0" algn="l"/>
            <a:t>40,0 °C</a:t>
          </a:fld>
          <a:endParaRPr lang="en-US" sz="800" b="1" i="0" u="none" strike="noStrike">
            <a:solidFill>
              <a:srgbClr val="FF0000"/>
            </a:solidFill>
            <a:effectLst/>
            <a:latin typeface="Arial"/>
            <a:ea typeface="+mn-ea"/>
            <a:cs typeface="Arial"/>
          </a:endParaRPr>
        </a:p>
      </xdr:txBody>
    </xdr:sp>
    <xdr:clientData/>
  </xdr:oneCellAnchor>
  <xdr:oneCellAnchor>
    <xdr:from>
      <xdr:col>6</xdr:col>
      <xdr:colOff>1992923</xdr:colOff>
      <xdr:row>73</xdr:row>
      <xdr:rowOff>13921</xdr:rowOff>
    </xdr:from>
    <xdr:ext cx="444865" cy="117917"/>
    <xdr:sp macro="" textlink="$F$32">
      <xdr:nvSpPr>
        <xdr:cNvPr id="36" name="CasellaDiTesto 35">
          <a:extLst>
            <a:ext uri="{FF2B5EF4-FFF2-40B4-BE49-F238E27FC236}">
              <a16:creationId xmlns:a16="http://schemas.microsoft.com/office/drawing/2014/main" id="{00000000-0008-0000-0C00-000024000000}"/>
            </a:ext>
          </a:extLst>
        </xdr:cNvPr>
        <xdr:cNvSpPr txBox="1"/>
      </xdr:nvSpPr>
      <xdr:spPr>
        <a:xfrm>
          <a:off x="9766788" y="10857767"/>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68C0E22A-E78A-4DAD-85B0-6A5CF949F0DA}"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2137263</xdr:colOff>
      <xdr:row>70</xdr:row>
      <xdr:rowOff>145807</xdr:rowOff>
    </xdr:from>
    <xdr:ext cx="343364" cy="117917"/>
    <xdr:sp macro="" textlink="$F$11">
      <xdr:nvSpPr>
        <xdr:cNvPr id="37" name="CasellaDiTesto 36">
          <a:extLst>
            <a:ext uri="{FF2B5EF4-FFF2-40B4-BE49-F238E27FC236}">
              <a16:creationId xmlns:a16="http://schemas.microsoft.com/office/drawing/2014/main" id="{00000000-0008-0000-0C00-000025000000}"/>
            </a:ext>
          </a:extLst>
        </xdr:cNvPr>
        <xdr:cNvSpPr txBox="1"/>
      </xdr:nvSpPr>
      <xdr:spPr>
        <a:xfrm>
          <a:off x="9911128" y="10506076"/>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DD4896C-2F49-4DD1-A745-F8E8FCBB40CC}" type="TxLink">
            <a:rPr lang="en-US" sz="800" b="1" i="0" u="none" strike="noStrike">
              <a:solidFill>
                <a:srgbClr val="000000"/>
              </a:solidFill>
              <a:effectLst/>
              <a:latin typeface="Arial"/>
              <a:ea typeface="+mn-ea"/>
              <a:cs typeface="Arial"/>
            </a:rPr>
            <a:pPr marL="0" indent="0" algn="l"/>
            <a:t>35,0 °C</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1607816</xdr:colOff>
      <xdr:row>103</xdr:row>
      <xdr:rowOff>146176</xdr:rowOff>
    </xdr:from>
    <xdr:ext cx="343364" cy="117917"/>
    <xdr:sp macro="" textlink="$F$99">
      <xdr:nvSpPr>
        <xdr:cNvPr id="38" name="CasellaDiTesto 37">
          <a:extLst>
            <a:ext uri="{FF2B5EF4-FFF2-40B4-BE49-F238E27FC236}">
              <a16:creationId xmlns:a16="http://schemas.microsoft.com/office/drawing/2014/main" id="{00000000-0008-0000-0C00-000026000000}"/>
            </a:ext>
          </a:extLst>
        </xdr:cNvPr>
        <xdr:cNvSpPr txBox="1"/>
      </xdr:nvSpPr>
      <xdr:spPr>
        <a:xfrm>
          <a:off x="9381681" y="15833118"/>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66A012A4-8112-4AAB-8197-457634DE78B2}" type="TxLink">
            <a:rPr lang="en-US" sz="800" b="0" i="0" u="none" strike="noStrike">
              <a:solidFill>
                <a:srgbClr val="000000"/>
              </a:solidFill>
              <a:effectLst/>
              <a:latin typeface="Arial"/>
              <a:ea typeface="+mn-ea"/>
              <a:cs typeface="Arial"/>
            </a:rPr>
            <a:pPr marL="0" indent="0" algn="l"/>
            <a:t>29,3 °C</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614957</xdr:colOff>
      <xdr:row>93</xdr:row>
      <xdr:rowOff>135253</xdr:rowOff>
    </xdr:from>
    <xdr:ext cx="343364" cy="117917"/>
    <xdr:sp macro="" textlink="$F$7">
      <xdr:nvSpPr>
        <xdr:cNvPr id="39" name="CasellaDiTesto 38">
          <a:extLst>
            <a:ext uri="{FF2B5EF4-FFF2-40B4-BE49-F238E27FC236}">
              <a16:creationId xmlns:a16="http://schemas.microsoft.com/office/drawing/2014/main" id="{00000000-0008-0000-0C00-000027000000}"/>
            </a:ext>
          </a:extLst>
        </xdr:cNvPr>
        <xdr:cNvSpPr txBox="1"/>
      </xdr:nvSpPr>
      <xdr:spPr>
        <a:xfrm>
          <a:off x="8388822" y="14210272"/>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016B1DB1-77AB-4092-9D77-E6B46ABD048A}" type="TxLink">
            <a:rPr lang="en-US" sz="800" b="0" i="0" u="none" strike="noStrike">
              <a:solidFill>
                <a:srgbClr val="000000"/>
              </a:solidFill>
              <a:effectLst/>
              <a:latin typeface="Arial"/>
              <a:ea typeface="+mn-ea"/>
              <a:cs typeface="Arial"/>
            </a:rPr>
            <a:pPr marL="0" indent="0" algn="l"/>
            <a:t>60,0 °C</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616198</xdr:colOff>
      <xdr:row>90</xdr:row>
      <xdr:rowOff>15920</xdr:rowOff>
    </xdr:from>
    <xdr:ext cx="387798" cy="117917"/>
    <xdr:sp macro="" textlink="$F$101">
      <xdr:nvSpPr>
        <xdr:cNvPr id="40" name="CasellaDiTesto 39">
          <a:extLst>
            <a:ext uri="{FF2B5EF4-FFF2-40B4-BE49-F238E27FC236}">
              <a16:creationId xmlns:a16="http://schemas.microsoft.com/office/drawing/2014/main" id="{00000000-0008-0000-0C00-000028000000}"/>
            </a:ext>
          </a:extLst>
        </xdr:cNvPr>
        <xdr:cNvSpPr txBox="1"/>
      </xdr:nvSpPr>
      <xdr:spPr>
        <a:xfrm>
          <a:off x="8385285" y="15131681"/>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B52C42EC-E35F-4A7D-8094-CE13BB1C0DF7}" type="TxLink">
            <a:rPr lang="en-US" sz="800" b="0" i="0" u="none" strike="noStrike">
              <a:solidFill>
                <a:srgbClr val="000000"/>
              </a:solidFill>
              <a:effectLst/>
              <a:latin typeface="Arial"/>
              <a:ea typeface="+mn-ea"/>
              <a:cs typeface="Arial"/>
            </a:rPr>
            <a:pPr marL="0" indent="0" algn="l"/>
            <a:t>7,0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2402564</xdr:colOff>
      <xdr:row>89</xdr:row>
      <xdr:rowOff>53479</xdr:rowOff>
    </xdr:from>
    <xdr:ext cx="387798" cy="117917"/>
    <xdr:sp macro="" textlink="$F$102">
      <xdr:nvSpPr>
        <xdr:cNvPr id="41" name="CasellaDiTesto 40">
          <a:extLst>
            <a:ext uri="{FF2B5EF4-FFF2-40B4-BE49-F238E27FC236}">
              <a16:creationId xmlns:a16="http://schemas.microsoft.com/office/drawing/2014/main" id="{00000000-0008-0000-0C00-000029000000}"/>
            </a:ext>
          </a:extLst>
        </xdr:cNvPr>
        <xdr:cNvSpPr txBox="1"/>
      </xdr:nvSpPr>
      <xdr:spPr>
        <a:xfrm>
          <a:off x="10176429" y="13483729"/>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764C2DE5-149E-44AD-AB7A-D08A07C1E33A}" type="TxLink">
            <a:rPr lang="en-US" sz="800" b="0" i="0" u="none" strike="noStrike">
              <a:solidFill>
                <a:srgbClr val="000000"/>
              </a:solidFill>
              <a:effectLst/>
              <a:latin typeface="Arial"/>
              <a:ea typeface="+mn-ea"/>
              <a:cs typeface="Arial"/>
            </a:rPr>
            <a:pPr marL="0" indent="0" algn="l"/>
            <a:t>5,0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1584370</xdr:colOff>
      <xdr:row>111</xdr:row>
      <xdr:rowOff>154967</xdr:rowOff>
    </xdr:from>
    <xdr:ext cx="387798" cy="117917"/>
    <xdr:sp macro="" textlink="$F$101">
      <xdr:nvSpPr>
        <xdr:cNvPr id="42" name="CasellaDiTesto 41">
          <a:extLst>
            <a:ext uri="{FF2B5EF4-FFF2-40B4-BE49-F238E27FC236}">
              <a16:creationId xmlns:a16="http://schemas.microsoft.com/office/drawing/2014/main" id="{00000000-0008-0000-0C00-00002A000000}"/>
            </a:ext>
          </a:extLst>
        </xdr:cNvPr>
        <xdr:cNvSpPr txBox="1"/>
      </xdr:nvSpPr>
      <xdr:spPr>
        <a:xfrm>
          <a:off x="9353457" y="18749424"/>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904A5D2-FADB-44FF-8797-C7331F6D2C78}" type="TxLink">
            <a:rPr lang="en-US" sz="800" b="0" i="0" u="none" strike="noStrike">
              <a:solidFill>
                <a:srgbClr val="000000"/>
              </a:solidFill>
              <a:effectLst/>
              <a:latin typeface="Arial"/>
              <a:ea typeface="+mn-ea"/>
              <a:cs typeface="Arial"/>
            </a:rPr>
            <a:pPr marL="0" indent="0" algn="l"/>
            <a:t>7,0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121374</xdr:colOff>
      <xdr:row>111</xdr:row>
      <xdr:rowOff>142870</xdr:rowOff>
    </xdr:from>
    <xdr:ext cx="444865" cy="117917"/>
    <xdr:sp macro="" textlink="$F$9">
      <xdr:nvSpPr>
        <xdr:cNvPr id="43" name="CasellaDiTesto 42">
          <a:extLst>
            <a:ext uri="{FF2B5EF4-FFF2-40B4-BE49-F238E27FC236}">
              <a16:creationId xmlns:a16="http://schemas.microsoft.com/office/drawing/2014/main" id="{00000000-0008-0000-0C00-00002B000000}"/>
            </a:ext>
          </a:extLst>
        </xdr:cNvPr>
        <xdr:cNvSpPr txBox="1"/>
      </xdr:nvSpPr>
      <xdr:spPr>
        <a:xfrm>
          <a:off x="7895239" y="17119351"/>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C744807-3552-4EB2-9F1A-3A8BAFA40E75}"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149949</xdr:colOff>
      <xdr:row>110</xdr:row>
      <xdr:rowOff>133345</xdr:rowOff>
    </xdr:from>
    <xdr:ext cx="343364" cy="117917"/>
    <xdr:sp macro="" textlink="$F$8">
      <xdr:nvSpPr>
        <xdr:cNvPr id="44" name="CasellaDiTesto 43">
          <a:extLst>
            <a:ext uri="{FF2B5EF4-FFF2-40B4-BE49-F238E27FC236}">
              <a16:creationId xmlns:a16="http://schemas.microsoft.com/office/drawing/2014/main" id="{00000000-0008-0000-0C00-00002C000000}"/>
            </a:ext>
          </a:extLst>
        </xdr:cNvPr>
        <xdr:cNvSpPr txBox="1"/>
      </xdr:nvSpPr>
      <xdr:spPr>
        <a:xfrm>
          <a:off x="7923814" y="16948633"/>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56225A4-6D7A-4E3A-B8A2-DDCB491A1D05}" type="TxLink">
            <a:rPr lang="en-US" sz="800" b="1" i="0" u="none" strike="noStrike">
              <a:solidFill>
                <a:srgbClr val="0000FF"/>
              </a:solidFill>
              <a:effectLst/>
              <a:latin typeface="Arial"/>
              <a:ea typeface="+mn-ea"/>
              <a:cs typeface="Arial"/>
            </a:rPr>
            <a:pPr marL="0" indent="0" algn="l"/>
            <a:t>12,0 °C</a:t>
          </a:fld>
          <a:endParaRPr lang="en-US" sz="800" b="1" i="0" u="none" strike="noStrike">
            <a:solidFill>
              <a:srgbClr val="0000FF"/>
            </a:solidFill>
            <a:effectLst/>
            <a:latin typeface="Arial"/>
            <a:ea typeface="+mn-ea"/>
            <a:cs typeface="Arial"/>
          </a:endParaRPr>
        </a:p>
      </xdr:txBody>
    </xdr:sp>
    <xdr:clientData/>
  </xdr:oneCellAnchor>
  <xdr:oneCellAnchor>
    <xdr:from>
      <xdr:col>6</xdr:col>
      <xdr:colOff>2479559</xdr:colOff>
      <xdr:row>95</xdr:row>
      <xdr:rowOff>44361</xdr:rowOff>
    </xdr:from>
    <xdr:ext cx="467757" cy="117917"/>
    <xdr:sp macro="" textlink="$F$9">
      <xdr:nvSpPr>
        <xdr:cNvPr id="45" name="CasellaDiTesto 44">
          <a:extLst>
            <a:ext uri="{FF2B5EF4-FFF2-40B4-BE49-F238E27FC236}">
              <a16:creationId xmlns:a16="http://schemas.microsoft.com/office/drawing/2014/main" id="{00000000-0008-0000-0C00-00002D000000}"/>
            </a:ext>
          </a:extLst>
        </xdr:cNvPr>
        <xdr:cNvSpPr txBox="1"/>
      </xdr:nvSpPr>
      <xdr:spPr>
        <a:xfrm>
          <a:off x="10251959" y="15646311"/>
          <a:ext cx="467757"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1001EA65-C9FB-4F7A-9800-B0F6C69FB25B}" type="TxLink">
            <a:rPr lang="en-US" sz="800" b="1" i="0" u="none" strike="noStrike">
              <a:solidFill>
                <a:srgbClr val="000000"/>
              </a:solidFill>
              <a:effectLst/>
              <a:latin typeface="Arial"/>
              <a:ea typeface="+mn-ea"/>
              <a:cs typeface="Arial"/>
            </a:rPr>
            <a:pPr marL="0" indent="0" algn="l"/>
            <a:t>12,0 l/min</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2535702</xdr:colOff>
      <xdr:row>96</xdr:row>
      <xdr:rowOff>31294</xdr:rowOff>
    </xdr:from>
    <xdr:ext cx="343364" cy="117917"/>
    <xdr:sp macro="" textlink="$F$6">
      <xdr:nvSpPr>
        <xdr:cNvPr id="46" name="CasellaDiTesto 45">
          <a:extLst>
            <a:ext uri="{FF2B5EF4-FFF2-40B4-BE49-F238E27FC236}">
              <a16:creationId xmlns:a16="http://schemas.microsoft.com/office/drawing/2014/main" id="{00000000-0008-0000-0C00-00002E000000}"/>
            </a:ext>
          </a:extLst>
        </xdr:cNvPr>
        <xdr:cNvSpPr txBox="1"/>
      </xdr:nvSpPr>
      <xdr:spPr>
        <a:xfrm>
          <a:off x="10308102" y="15795169"/>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8E60663-BC41-4FFF-AEEE-F63E6F1B49BD}" type="TxLink">
            <a:rPr lang="en-US" sz="800" b="1" i="0" u="none" strike="noStrike">
              <a:solidFill>
                <a:srgbClr val="FF0000"/>
              </a:solidFill>
              <a:effectLst/>
              <a:latin typeface="Arial"/>
              <a:ea typeface="+mn-ea"/>
              <a:cs typeface="Arial"/>
            </a:rPr>
            <a:pPr marL="0" indent="0" algn="l"/>
            <a:t>40,0 °C</a:t>
          </a:fld>
          <a:endParaRPr lang="en-US" sz="800" b="1" i="0" u="none" strike="noStrike">
            <a:solidFill>
              <a:srgbClr val="FF0000"/>
            </a:solidFill>
            <a:effectLst/>
            <a:latin typeface="Arial"/>
            <a:ea typeface="+mn-ea"/>
            <a:cs typeface="Arial"/>
          </a:endParaRPr>
        </a:p>
      </xdr:txBody>
    </xdr:sp>
    <xdr:clientData/>
  </xdr:oneCellAnchor>
  <xdr:oneCellAnchor>
    <xdr:from>
      <xdr:col>6</xdr:col>
      <xdr:colOff>1970883</xdr:colOff>
      <xdr:row>102</xdr:row>
      <xdr:rowOff>113298</xdr:rowOff>
    </xdr:from>
    <xdr:ext cx="444865" cy="117917"/>
    <xdr:sp macro="" textlink="$F$32">
      <xdr:nvSpPr>
        <xdr:cNvPr id="47" name="CasellaDiTesto 46">
          <a:extLst>
            <a:ext uri="{FF2B5EF4-FFF2-40B4-BE49-F238E27FC236}">
              <a16:creationId xmlns:a16="http://schemas.microsoft.com/office/drawing/2014/main" id="{00000000-0008-0000-0C00-00002F000000}"/>
            </a:ext>
          </a:extLst>
        </xdr:cNvPr>
        <xdr:cNvSpPr txBox="1"/>
      </xdr:nvSpPr>
      <xdr:spPr>
        <a:xfrm>
          <a:off x="9744748" y="15639048"/>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68C0E22A-E78A-4DAD-85B0-6A5CF949F0DA}"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2135926</xdr:colOff>
      <xdr:row>100</xdr:row>
      <xdr:rowOff>12634</xdr:rowOff>
    </xdr:from>
    <xdr:ext cx="343364" cy="117917"/>
    <xdr:sp macro="" textlink="$F$11">
      <xdr:nvSpPr>
        <xdr:cNvPr id="48" name="CasellaDiTesto 47">
          <a:extLst>
            <a:ext uri="{FF2B5EF4-FFF2-40B4-BE49-F238E27FC236}">
              <a16:creationId xmlns:a16="http://schemas.microsoft.com/office/drawing/2014/main" id="{00000000-0008-0000-0C00-000030000000}"/>
            </a:ext>
          </a:extLst>
        </xdr:cNvPr>
        <xdr:cNvSpPr txBox="1"/>
      </xdr:nvSpPr>
      <xdr:spPr>
        <a:xfrm>
          <a:off x="9909791" y="15215999"/>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DD4896C-2F49-4DD1-A745-F8E8FCBB40CC}" type="TxLink">
            <a:rPr lang="en-US" sz="800" b="1" i="0" u="none" strike="noStrike">
              <a:solidFill>
                <a:srgbClr val="000000"/>
              </a:solidFill>
              <a:effectLst/>
              <a:latin typeface="Arial"/>
              <a:ea typeface="+mn-ea"/>
              <a:cs typeface="Arial"/>
            </a:rPr>
            <a:pPr marL="0" indent="0" algn="l"/>
            <a:t>35,0 °C</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2520462</xdr:colOff>
      <xdr:row>38</xdr:row>
      <xdr:rowOff>139211</xdr:rowOff>
    </xdr:from>
    <xdr:ext cx="388326" cy="125227"/>
    <xdr:sp macro="" textlink="">
      <xdr:nvSpPr>
        <xdr:cNvPr id="5" name="CasellaDiTesto 4">
          <a:extLst>
            <a:ext uri="{FF2B5EF4-FFF2-40B4-BE49-F238E27FC236}">
              <a16:creationId xmlns:a16="http://schemas.microsoft.com/office/drawing/2014/main" id="{00000000-0008-0000-0C00-000005000000}"/>
            </a:ext>
          </a:extLst>
        </xdr:cNvPr>
        <xdr:cNvSpPr txBox="1"/>
      </xdr:nvSpPr>
      <xdr:spPr>
        <a:xfrm>
          <a:off x="10294327" y="6462346"/>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800" b="1" i="1">
              <a:solidFill>
                <a:srgbClr val="FF0000"/>
              </a:solidFill>
              <a:effectLst/>
              <a:latin typeface="Arial" panose="020B0604020202020204" pitchFamily="34" charset="0"/>
              <a:ea typeface="+mn-ea"/>
              <a:cs typeface="Arial" panose="020B0604020202020204" pitchFamily="34" charset="0"/>
            </a:rPr>
            <a:t>θ</a:t>
          </a:r>
          <a:r>
            <a:rPr lang="it-IT" sz="800" b="1" i="1" baseline="-25000">
              <a:solidFill>
                <a:srgbClr val="FF0000"/>
              </a:solidFill>
              <a:effectLst/>
              <a:latin typeface="Calibri" panose="020F0502020204030204" pitchFamily="34" charset="0"/>
              <a:ea typeface="+mn-ea"/>
              <a:cs typeface="Calibri" panose="020F0502020204030204" pitchFamily="34" charset="0"/>
            </a:rPr>
            <a:t>W;draw</a:t>
          </a:r>
          <a:endParaRPr lang="en-US" sz="800" b="1" i="1" baseline="-25000">
            <a:solidFill>
              <a:srgbClr val="FF0000"/>
            </a:solidFill>
            <a:effectLst/>
            <a:latin typeface="+mn-lt"/>
            <a:ea typeface="+mn-ea"/>
            <a:cs typeface="+mn-cs"/>
          </a:endParaRPr>
        </a:p>
      </xdr:txBody>
    </xdr:sp>
    <xdr:clientData/>
  </xdr:oneCellAnchor>
  <xdr:oneCellAnchor>
    <xdr:from>
      <xdr:col>6</xdr:col>
      <xdr:colOff>2094035</xdr:colOff>
      <xdr:row>40</xdr:row>
      <xdr:rowOff>123093</xdr:rowOff>
    </xdr:from>
    <xdr:ext cx="388326" cy="140872"/>
    <xdr:sp macro="" textlink="">
      <xdr:nvSpPr>
        <xdr:cNvPr id="7" name="CasellaDiTesto 6">
          <a:extLst>
            <a:ext uri="{FF2B5EF4-FFF2-40B4-BE49-F238E27FC236}">
              <a16:creationId xmlns:a16="http://schemas.microsoft.com/office/drawing/2014/main" id="{00000000-0008-0000-0C00-000007000000}"/>
            </a:ext>
          </a:extLst>
        </xdr:cNvPr>
        <xdr:cNvSpPr txBox="1"/>
      </xdr:nvSpPr>
      <xdr:spPr>
        <a:xfrm>
          <a:off x="9867900" y="6768612"/>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W;drain</a:t>
          </a:r>
          <a:endParaRPr lang="en-US" sz="900" b="1" i="1" baseline="-25000">
            <a:solidFill>
              <a:schemeClr val="tx1"/>
            </a:solidFill>
            <a:effectLst/>
            <a:latin typeface="+mn-lt"/>
            <a:ea typeface="+mn-ea"/>
            <a:cs typeface="+mn-cs"/>
          </a:endParaRPr>
        </a:p>
      </xdr:txBody>
    </xdr:sp>
    <xdr:clientData/>
  </xdr:oneCellAnchor>
  <xdr:oneCellAnchor>
    <xdr:from>
      <xdr:col>6</xdr:col>
      <xdr:colOff>202223</xdr:colOff>
      <xdr:row>51</xdr:row>
      <xdr:rowOff>48358</xdr:rowOff>
    </xdr:from>
    <xdr:ext cx="388326" cy="140872"/>
    <xdr:sp macro="" textlink="">
      <xdr:nvSpPr>
        <xdr:cNvPr id="8" name="CasellaDiTesto 7">
          <a:extLst>
            <a:ext uri="{FF2B5EF4-FFF2-40B4-BE49-F238E27FC236}">
              <a16:creationId xmlns:a16="http://schemas.microsoft.com/office/drawing/2014/main" id="{00000000-0008-0000-0C00-000008000000}"/>
            </a:ext>
          </a:extLst>
        </xdr:cNvPr>
        <xdr:cNvSpPr txBox="1"/>
      </xdr:nvSpPr>
      <xdr:spPr>
        <a:xfrm>
          <a:off x="7976088" y="8466993"/>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rgbClr val="0000FF"/>
              </a:solidFill>
              <a:effectLst/>
              <a:latin typeface="Arial" panose="020B0604020202020204" pitchFamily="34" charset="0"/>
              <a:ea typeface="+mn-ea"/>
              <a:cs typeface="Arial" panose="020B0604020202020204" pitchFamily="34" charset="0"/>
            </a:rPr>
            <a:t>θ</a:t>
          </a:r>
          <a:r>
            <a:rPr lang="it-IT" sz="900" b="1" i="1" baseline="-25000">
              <a:solidFill>
                <a:srgbClr val="0000FF"/>
              </a:solidFill>
              <a:effectLst/>
              <a:latin typeface="Calibri" panose="020F0502020204030204" pitchFamily="34" charset="0"/>
              <a:ea typeface="+mn-ea"/>
              <a:cs typeface="Calibri" panose="020F0502020204030204" pitchFamily="34" charset="0"/>
            </a:rPr>
            <a:t>W;cold</a:t>
          </a:r>
          <a:endParaRPr lang="en-US" sz="900" b="1" i="1" baseline="-25000">
            <a:solidFill>
              <a:srgbClr val="0000FF"/>
            </a:solidFill>
            <a:effectLst/>
            <a:latin typeface="+mn-lt"/>
            <a:ea typeface="+mn-ea"/>
            <a:cs typeface="+mn-cs"/>
          </a:endParaRPr>
        </a:p>
      </xdr:txBody>
    </xdr:sp>
    <xdr:clientData/>
  </xdr:oneCellAnchor>
  <xdr:oneCellAnchor>
    <xdr:from>
      <xdr:col>6</xdr:col>
      <xdr:colOff>2511670</xdr:colOff>
      <xdr:row>36</xdr:row>
      <xdr:rowOff>57151</xdr:rowOff>
    </xdr:from>
    <xdr:ext cx="388326" cy="125227"/>
    <xdr:sp macro="" textlink="">
      <xdr:nvSpPr>
        <xdr:cNvPr id="23" name="CasellaDiTesto 22">
          <a:extLst>
            <a:ext uri="{FF2B5EF4-FFF2-40B4-BE49-F238E27FC236}">
              <a16:creationId xmlns:a16="http://schemas.microsoft.com/office/drawing/2014/main" id="{00000000-0008-0000-0C00-000017000000}"/>
            </a:ext>
          </a:extLst>
        </xdr:cNvPr>
        <xdr:cNvSpPr txBox="1"/>
      </xdr:nvSpPr>
      <xdr:spPr>
        <a:xfrm>
          <a:off x="10285535" y="6057901"/>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W;draw</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1638301</xdr:colOff>
      <xdr:row>54</xdr:row>
      <xdr:rowOff>11723</xdr:rowOff>
    </xdr:from>
    <xdr:ext cx="388326" cy="125227"/>
    <xdr:sp macro="" textlink="">
      <xdr:nvSpPr>
        <xdr:cNvPr id="49" name="CasellaDiTesto 48">
          <a:extLst>
            <a:ext uri="{FF2B5EF4-FFF2-40B4-BE49-F238E27FC236}">
              <a16:creationId xmlns:a16="http://schemas.microsoft.com/office/drawing/2014/main" id="{00000000-0008-0000-0C00-000031000000}"/>
            </a:ext>
          </a:extLst>
        </xdr:cNvPr>
        <xdr:cNvSpPr txBox="1"/>
      </xdr:nvSpPr>
      <xdr:spPr>
        <a:xfrm>
          <a:off x="9412166" y="8913935"/>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W;wwhr</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2531452</xdr:colOff>
      <xdr:row>67</xdr:row>
      <xdr:rowOff>148736</xdr:rowOff>
    </xdr:from>
    <xdr:ext cx="388326" cy="125227"/>
    <xdr:sp macro="" textlink="">
      <xdr:nvSpPr>
        <xdr:cNvPr id="50" name="CasellaDiTesto 49">
          <a:extLst>
            <a:ext uri="{FF2B5EF4-FFF2-40B4-BE49-F238E27FC236}">
              <a16:creationId xmlns:a16="http://schemas.microsoft.com/office/drawing/2014/main" id="{00000000-0008-0000-0C00-000032000000}"/>
            </a:ext>
          </a:extLst>
        </xdr:cNvPr>
        <xdr:cNvSpPr txBox="1"/>
      </xdr:nvSpPr>
      <xdr:spPr>
        <a:xfrm>
          <a:off x="10303852" y="11207261"/>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800" b="1" i="1">
              <a:solidFill>
                <a:srgbClr val="FF0000"/>
              </a:solidFill>
              <a:effectLst/>
              <a:latin typeface="Arial" panose="020B0604020202020204" pitchFamily="34" charset="0"/>
              <a:ea typeface="+mn-ea"/>
              <a:cs typeface="Arial" panose="020B0604020202020204" pitchFamily="34" charset="0"/>
            </a:rPr>
            <a:t>θ</a:t>
          </a:r>
          <a:r>
            <a:rPr lang="it-IT" sz="800" b="1" i="1" baseline="-25000">
              <a:solidFill>
                <a:srgbClr val="FF0000"/>
              </a:solidFill>
              <a:effectLst/>
              <a:latin typeface="Calibri" panose="020F0502020204030204" pitchFamily="34" charset="0"/>
              <a:ea typeface="+mn-ea"/>
              <a:cs typeface="Calibri" panose="020F0502020204030204" pitchFamily="34" charset="0"/>
            </a:rPr>
            <a:t>W;draw</a:t>
          </a:r>
          <a:endParaRPr lang="en-US" sz="800" b="1" i="1" baseline="-25000">
            <a:solidFill>
              <a:srgbClr val="FF0000"/>
            </a:solidFill>
            <a:effectLst/>
            <a:latin typeface="+mn-lt"/>
            <a:ea typeface="+mn-ea"/>
            <a:cs typeface="+mn-cs"/>
          </a:endParaRPr>
        </a:p>
      </xdr:txBody>
    </xdr:sp>
    <xdr:clientData/>
  </xdr:oneCellAnchor>
  <xdr:oneCellAnchor>
    <xdr:from>
      <xdr:col>6</xdr:col>
      <xdr:colOff>203688</xdr:colOff>
      <xdr:row>80</xdr:row>
      <xdr:rowOff>67408</xdr:rowOff>
    </xdr:from>
    <xdr:ext cx="388326" cy="140872"/>
    <xdr:sp macro="" textlink="">
      <xdr:nvSpPr>
        <xdr:cNvPr id="51" name="CasellaDiTesto 50">
          <a:extLst>
            <a:ext uri="{FF2B5EF4-FFF2-40B4-BE49-F238E27FC236}">
              <a16:creationId xmlns:a16="http://schemas.microsoft.com/office/drawing/2014/main" id="{00000000-0008-0000-0C00-000033000000}"/>
            </a:ext>
          </a:extLst>
        </xdr:cNvPr>
        <xdr:cNvSpPr txBox="1"/>
      </xdr:nvSpPr>
      <xdr:spPr>
        <a:xfrm>
          <a:off x="7976088" y="13230958"/>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rgbClr val="0000FF"/>
              </a:solidFill>
              <a:effectLst/>
              <a:latin typeface="Arial" panose="020B0604020202020204" pitchFamily="34" charset="0"/>
              <a:ea typeface="+mn-ea"/>
              <a:cs typeface="Arial" panose="020B0604020202020204" pitchFamily="34" charset="0"/>
            </a:rPr>
            <a:t>θ</a:t>
          </a:r>
          <a:r>
            <a:rPr lang="it-IT" sz="900" b="1" i="1" baseline="-25000">
              <a:solidFill>
                <a:srgbClr val="0000FF"/>
              </a:solidFill>
              <a:effectLst/>
              <a:latin typeface="Calibri" panose="020F0502020204030204" pitchFamily="34" charset="0"/>
              <a:ea typeface="+mn-ea"/>
              <a:cs typeface="Calibri" panose="020F0502020204030204" pitchFamily="34" charset="0"/>
            </a:rPr>
            <a:t>W;cold</a:t>
          </a:r>
          <a:endParaRPr lang="en-US" sz="900" b="1" i="1" baseline="-25000">
            <a:solidFill>
              <a:srgbClr val="0000FF"/>
            </a:solidFill>
            <a:effectLst/>
            <a:latin typeface="+mn-lt"/>
            <a:ea typeface="+mn-ea"/>
            <a:cs typeface="+mn-cs"/>
          </a:endParaRPr>
        </a:p>
      </xdr:txBody>
    </xdr:sp>
    <xdr:clientData/>
  </xdr:oneCellAnchor>
  <xdr:oneCellAnchor>
    <xdr:from>
      <xdr:col>6</xdr:col>
      <xdr:colOff>2503610</xdr:colOff>
      <xdr:row>65</xdr:row>
      <xdr:rowOff>66676</xdr:rowOff>
    </xdr:from>
    <xdr:ext cx="388326" cy="125227"/>
    <xdr:sp macro="" textlink="">
      <xdr:nvSpPr>
        <xdr:cNvPr id="52" name="CasellaDiTesto 51">
          <a:extLst>
            <a:ext uri="{FF2B5EF4-FFF2-40B4-BE49-F238E27FC236}">
              <a16:creationId xmlns:a16="http://schemas.microsoft.com/office/drawing/2014/main" id="{00000000-0008-0000-0C00-000034000000}"/>
            </a:ext>
          </a:extLst>
        </xdr:cNvPr>
        <xdr:cNvSpPr txBox="1"/>
      </xdr:nvSpPr>
      <xdr:spPr>
        <a:xfrm>
          <a:off x="10276010" y="10801351"/>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W;draw</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1639766</xdr:colOff>
      <xdr:row>83</xdr:row>
      <xdr:rowOff>49823</xdr:rowOff>
    </xdr:from>
    <xdr:ext cx="388326" cy="125227"/>
    <xdr:sp macro="" textlink="">
      <xdr:nvSpPr>
        <xdr:cNvPr id="53" name="CasellaDiTesto 52">
          <a:extLst>
            <a:ext uri="{FF2B5EF4-FFF2-40B4-BE49-F238E27FC236}">
              <a16:creationId xmlns:a16="http://schemas.microsoft.com/office/drawing/2014/main" id="{00000000-0008-0000-0C00-000035000000}"/>
            </a:ext>
          </a:extLst>
        </xdr:cNvPr>
        <xdr:cNvSpPr txBox="1"/>
      </xdr:nvSpPr>
      <xdr:spPr>
        <a:xfrm>
          <a:off x="9412166" y="13699148"/>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W;wwhr</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2124075</xdr:colOff>
      <xdr:row>69</xdr:row>
      <xdr:rowOff>148737</xdr:rowOff>
    </xdr:from>
    <xdr:ext cx="388326" cy="140872"/>
    <xdr:sp macro="" textlink="">
      <xdr:nvSpPr>
        <xdr:cNvPr id="54" name="CasellaDiTesto 53">
          <a:extLst>
            <a:ext uri="{FF2B5EF4-FFF2-40B4-BE49-F238E27FC236}">
              <a16:creationId xmlns:a16="http://schemas.microsoft.com/office/drawing/2014/main" id="{00000000-0008-0000-0C00-000036000000}"/>
            </a:ext>
          </a:extLst>
        </xdr:cNvPr>
        <xdr:cNvSpPr txBox="1"/>
      </xdr:nvSpPr>
      <xdr:spPr>
        <a:xfrm>
          <a:off x="9896475" y="11531112"/>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W;drain</a:t>
          </a:r>
          <a:endParaRPr lang="en-US" sz="900" b="1" i="1" baseline="-25000">
            <a:solidFill>
              <a:schemeClr val="tx1"/>
            </a:solidFill>
            <a:effectLst/>
            <a:latin typeface="+mn-lt"/>
            <a:ea typeface="+mn-ea"/>
            <a:cs typeface="+mn-cs"/>
          </a:endParaRPr>
        </a:p>
      </xdr:txBody>
    </xdr:sp>
    <xdr:clientData/>
  </xdr:oneCellAnchor>
  <xdr:oneCellAnchor>
    <xdr:from>
      <xdr:col>6</xdr:col>
      <xdr:colOff>2540977</xdr:colOff>
      <xdr:row>96</xdr:row>
      <xdr:rowOff>148736</xdr:rowOff>
    </xdr:from>
    <xdr:ext cx="388326" cy="125227"/>
    <xdr:sp macro="" textlink="">
      <xdr:nvSpPr>
        <xdr:cNvPr id="55" name="CasellaDiTesto 54">
          <a:extLst>
            <a:ext uri="{FF2B5EF4-FFF2-40B4-BE49-F238E27FC236}">
              <a16:creationId xmlns:a16="http://schemas.microsoft.com/office/drawing/2014/main" id="{00000000-0008-0000-0C00-000037000000}"/>
            </a:ext>
          </a:extLst>
        </xdr:cNvPr>
        <xdr:cNvSpPr txBox="1"/>
      </xdr:nvSpPr>
      <xdr:spPr>
        <a:xfrm>
          <a:off x="10313377" y="15912611"/>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800" b="1" i="1">
              <a:solidFill>
                <a:srgbClr val="FF0000"/>
              </a:solidFill>
              <a:effectLst/>
              <a:latin typeface="Arial" panose="020B0604020202020204" pitchFamily="34" charset="0"/>
              <a:ea typeface="+mn-ea"/>
              <a:cs typeface="Arial" panose="020B0604020202020204" pitchFamily="34" charset="0"/>
            </a:rPr>
            <a:t>θ</a:t>
          </a:r>
          <a:r>
            <a:rPr lang="it-IT" sz="800" b="1" i="1" baseline="-25000">
              <a:solidFill>
                <a:srgbClr val="FF0000"/>
              </a:solidFill>
              <a:effectLst/>
              <a:latin typeface="Calibri" panose="020F0502020204030204" pitchFamily="34" charset="0"/>
              <a:ea typeface="+mn-ea"/>
              <a:cs typeface="Calibri" panose="020F0502020204030204" pitchFamily="34" charset="0"/>
            </a:rPr>
            <a:t>W;draw</a:t>
          </a:r>
          <a:endParaRPr lang="en-US" sz="800" b="1" i="1" baseline="-25000">
            <a:solidFill>
              <a:srgbClr val="FF0000"/>
            </a:solidFill>
            <a:effectLst/>
            <a:latin typeface="+mn-lt"/>
            <a:ea typeface="+mn-ea"/>
            <a:cs typeface="+mn-cs"/>
          </a:endParaRPr>
        </a:p>
      </xdr:txBody>
    </xdr:sp>
    <xdr:clientData/>
  </xdr:oneCellAnchor>
  <xdr:oneCellAnchor>
    <xdr:from>
      <xdr:col>6</xdr:col>
      <xdr:colOff>175113</xdr:colOff>
      <xdr:row>109</xdr:row>
      <xdr:rowOff>134083</xdr:rowOff>
    </xdr:from>
    <xdr:ext cx="388326" cy="140872"/>
    <xdr:sp macro="" textlink="">
      <xdr:nvSpPr>
        <xdr:cNvPr id="56" name="CasellaDiTesto 55">
          <a:extLst>
            <a:ext uri="{FF2B5EF4-FFF2-40B4-BE49-F238E27FC236}">
              <a16:creationId xmlns:a16="http://schemas.microsoft.com/office/drawing/2014/main" id="{00000000-0008-0000-0C00-000038000000}"/>
            </a:ext>
          </a:extLst>
        </xdr:cNvPr>
        <xdr:cNvSpPr txBox="1"/>
      </xdr:nvSpPr>
      <xdr:spPr>
        <a:xfrm>
          <a:off x="7947513" y="18002983"/>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rgbClr val="0000FF"/>
              </a:solidFill>
              <a:effectLst/>
              <a:latin typeface="Arial" panose="020B0604020202020204" pitchFamily="34" charset="0"/>
              <a:ea typeface="+mn-ea"/>
              <a:cs typeface="Arial" panose="020B0604020202020204" pitchFamily="34" charset="0"/>
            </a:rPr>
            <a:t>θ</a:t>
          </a:r>
          <a:r>
            <a:rPr lang="it-IT" sz="900" b="1" i="1" baseline="-25000">
              <a:solidFill>
                <a:srgbClr val="0000FF"/>
              </a:solidFill>
              <a:effectLst/>
              <a:latin typeface="Calibri" panose="020F0502020204030204" pitchFamily="34" charset="0"/>
              <a:ea typeface="+mn-ea"/>
              <a:cs typeface="Calibri" panose="020F0502020204030204" pitchFamily="34" charset="0"/>
            </a:rPr>
            <a:t>W;cold</a:t>
          </a:r>
          <a:endParaRPr lang="en-US" sz="900" b="1" i="1" baseline="-25000">
            <a:solidFill>
              <a:srgbClr val="0000FF"/>
            </a:solidFill>
            <a:effectLst/>
            <a:latin typeface="+mn-lt"/>
            <a:ea typeface="+mn-ea"/>
            <a:cs typeface="+mn-cs"/>
          </a:endParaRPr>
        </a:p>
      </xdr:txBody>
    </xdr:sp>
    <xdr:clientData/>
  </xdr:oneCellAnchor>
  <xdr:oneCellAnchor>
    <xdr:from>
      <xdr:col>6</xdr:col>
      <xdr:colOff>2541710</xdr:colOff>
      <xdr:row>94</xdr:row>
      <xdr:rowOff>66676</xdr:rowOff>
    </xdr:from>
    <xdr:ext cx="388326" cy="125227"/>
    <xdr:sp macro="" textlink="">
      <xdr:nvSpPr>
        <xdr:cNvPr id="57" name="CasellaDiTesto 56">
          <a:extLst>
            <a:ext uri="{FF2B5EF4-FFF2-40B4-BE49-F238E27FC236}">
              <a16:creationId xmlns:a16="http://schemas.microsoft.com/office/drawing/2014/main" id="{00000000-0008-0000-0C00-000039000000}"/>
            </a:ext>
          </a:extLst>
        </xdr:cNvPr>
        <xdr:cNvSpPr txBox="1"/>
      </xdr:nvSpPr>
      <xdr:spPr>
        <a:xfrm>
          <a:off x="10314110" y="15506701"/>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W;draw</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1611191</xdr:colOff>
      <xdr:row>112</xdr:row>
      <xdr:rowOff>116498</xdr:rowOff>
    </xdr:from>
    <xdr:ext cx="388326" cy="125227"/>
    <xdr:sp macro="" textlink="">
      <xdr:nvSpPr>
        <xdr:cNvPr id="58" name="CasellaDiTesto 57">
          <a:extLst>
            <a:ext uri="{FF2B5EF4-FFF2-40B4-BE49-F238E27FC236}">
              <a16:creationId xmlns:a16="http://schemas.microsoft.com/office/drawing/2014/main" id="{00000000-0008-0000-0C00-00003A000000}"/>
            </a:ext>
          </a:extLst>
        </xdr:cNvPr>
        <xdr:cNvSpPr txBox="1"/>
      </xdr:nvSpPr>
      <xdr:spPr>
        <a:xfrm>
          <a:off x="9383591" y="18471173"/>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W;wwhr</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2114550</xdr:colOff>
      <xdr:row>99</xdr:row>
      <xdr:rowOff>15387</xdr:rowOff>
    </xdr:from>
    <xdr:ext cx="388326" cy="140872"/>
    <xdr:sp macro="" textlink="">
      <xdr:nvSpPr>
        <xdr:cNvPr id="59" name="CasellaDiTesto 58">
          <a:extLst>
            <a:ext uri="{FF2B5EF4-FFF2-40B4-BE49-F238E27FC236}">
              <a16:creationId xmlns:a16="http://schemas.microsoft.com/office/drawing/2014/main" id="{00000000-0008-0000-0C00-00003B000000}"/>
            </a:ext>
          </a:extLst>
        </xdr:cNvPr>
        <xdr:cNvSpPr txBox="1"/>
      </xdr:nvSpPr>
      <xdr:spPr>
        <a:xfrm>
          <a:off x="9886950" y="16265037"/>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W;drain</a:t>
          </a:r>
          <a:endParaRPr lang="en-US" sz="900" b="1" i="1" baseline="-25000">
            <a:solidFill>
              <a:schemeClr val="tx1"/>
            </a:solidFill>
            <a:effectLst/>
            <a:latin typeface="+mn-lt"/>
            <a:ea typeface="+mn-ea"/>
            <a:cs typeface="+mn-cs"/>
          </a:endParaRPr>
        </a:p>
      </xdr:txBody>
    </xdr:sp>
    <xdr:clientData/>
  </xdr:oneCellAnchor>
  <xdr:oneCellAnchor>
    <xdr:from>
      <xdr:col>6</xdr:col>
      <xdr:colOff>675273</xdr:colOff>
      <xdr:row>65</xdr:row>
      <xdr:rowOff>3857</xdr:rowOff>
    </xdr:from>
    <xdr:ext cx="388326" cy="140872"/>
    <xdr:sp macro="" textlink="">
      <xdr:nvSpPr>
        <xdr:cNvPr id="60" name="CasellaDiTesto 59">
          <a:extLst>
            <a:ext uri="{FF2B5EF4-FFF2-40B4-BE49-F238E27FC236}">
              <a16:creationId xmlns:a16="http://schemas.microsoft.com/office/drawing/2014/main" id="{00000000-0008-0000-0C00-00003C000000}"/>
            </a:ext>
          </a:extLst>
        </xdr:cNvPr>
        <xdr:cNvSpPr txBox="1"/>
      </xdr:nvSpPr>
      <xdr:spPr>
        <a:xfrm>
          <a:off x="8450681" y="10646791"/>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W;dis</a:t>
          </a:r>
          <a:endParaRPr lang="en-US" sz="900" b="1" i="1" baseline="-25000">
            <a:solidFill>
              <a:schemeClr val="tx1"/>
            </a:solidFill>
            <a:effectLst/>
            <a:latin typeface="+mn-lt"/>
            <a:ea typeface="+mn-ea"/>
            <a:cs typeface="+mn-cs"/>
          </a:endParaRPr>
        </a:p>
      </xdr:txBody>
    </xdr:sp>
    <xdr:clientData/>
  </xdr:oneCellAnchor>
  <xdr:oneCellAnchor>
    <xdr:from>
      <xdr:col>6</xdr:col>
      <xdr:colOff>2209991</xdr:colOff>
      <xdr:row>44</xdr:row>
      <xdr:rowOff>36444</xdr:rowOff>
    </xdr:from>
    <xdr:ext cx="388326" cy="125227"/>
    <xdr:sp macro="" textlink="">
      <xdr:nvSpPr>
        <xdr:cNvPr id="61" name="CasellaDiTesto 60">
          <a:extLst>
            <a:ext uri="{FF2B5EF4-FFF2-40B4-BE49-F238E27FC236}">
              <a16:creationId xmlns:a16="http://schemas.microsoft.com/office/drawing/2014/main" id="{00000000-0008-0000-0C00-00003D000000}"/>
            </a:ext>
          </a:extLst>
        </xdr:cNvPr>
        <xdr:cNvSpPr txBox="1"/>
      </xdr:nvSpPr>
      <xdr:spPr>
        <a:xfrm>
          <a:off x="9979078" y="7515640"/>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W;drain</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670891</xdr:colOff>
      <xdr:row>36</xdr:row>
      <xdr:rowOff>41413</xdr:rowOff>
    </xdr:from>
    <xdr:ext cx="388326" cy="140872"/>
    <xdr:sp macro="" textlink="">
      <xdr:nvSpPr>
        <xdr:cNvPr id="62" name="CasellaDiTesto 61">
          <a:extLst>
            <a:ext uri="{FF2B5EF4-FFF2-40B4-BE49-F238E27FC236}">
              <a16:creationId xmlns:a16="http://schemas.microsoft.com/office/drawing/2014/main" id="{00000000-0008-0000-0C00-00003E000000}"/>
            </a:ext>
          </a:extLst>
        </xdr:cNvPr>
        <xdr:cNvSpPr txBox="1"/>
      </xdr:nvSpPr>
      <xdr:spPr>
        <a:xfrm>
          <a:off x="8439978" y="6195391"/>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W;dis</a:t>
          </a:r>
          <a:endParaRPr lang="en-US" sz="900" b="1" i="1" baseline="-25000">
            <a:solidFill>
              <a:schemeClr val="tx1"/>
            </a:solidFill>
            <a:effectLst/>
            <a:latin typeface="+mn-lt"/>
            <a:ea typeface="+mn-ea"/>
            <a:cs typeface="+mn-cs"/>
          </a:endParaRPr>
        </a:p>
      </xdr:txBody>
    </xdr:sp>
    <xdr:clientData/>
  </xdr:oneCellAnchor>
  <xdr:twoCellAnchor>
    <xdr:from>
      <xdr:col>9</xdr:col>
      <xdr:colOff>127553</xdr:colOff>
      <xdr:row>89</xdr:row>
      <xdr:rowOff>95250</xdr:rowOff>
    </xdr:from>
    <xdr:to>
      <xdr:col>14</xdr:col>
      <xdr:colOff>279952</xdr:colOff>
      <xdr:row>105</xdr:row>
      <xdr:rowOff>80962</xdr:rowOff>
    </xdr:to>
    <xdr:graphicFrame macro="">
      <xdr:nvGraphicFramePr>
        <xdr:cNvPr id="64" name="Grafico 63">
          <a:extLst>
            <a:ext uri="{FF2B5EF4-FFF2-40B4-BE49-F238E27FC236}">
              <a16:creationId xmlns:a16="http://schemas.microsoft.com/office/drawing/2014/main" id="{00000000-0008-0000-0C00-00004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6</xdr:col>
      <xdr:colOff>2232641</xdr:colOff>
      <xdr:row>112</xdr:row>
      <xdr:rowOff>52199</xdr:rowOff>
    </xdr:from>
    <xdr:ext cx="343364" cy="117917"/>
    <xdr:sp macro="" textlink="$F$111">
      <xdr:nvSpPr>
        <xdr:cNvPr id="65" name="CasellaDiTesto 64">
          <a:extLst>
            <a:ext uri="{FF2B5EF4-FFF2-40B4-BE49-F238E27FC236}">
              <a16:creationId xmlns:a16="http://schemas.microsoft.com/office/drawing/2014/main" id="{00000000-0008-0000-0C00-000041000000}"/>
            </a:ext>
          </a:extLst>
        </xdr:cNvPr>
        <xdr:cNvSpPr txBox="1"/>
      </xdr:nvSpPr>
      <xdr:spPr>
        <a:xfrm>
          <a:off x="10005041" y="18406874"/>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8B91D72-920C-4A35-811C-FC298646F0DB}" type="TxLink">
            <a:rPr lang="en-US" sz="800" b="1" i="0" u="none" strike="noStrike">
              <a:solidFill>
                <a:srgbClr val="000000"/>
              </a:solidFill>
              <a:effectLst/>
              <a:latin typeface="Arial"/>
              <a:ea typeface="+mn-ea"/>
              <a:cs typeface="Arial"/>
            </a:rPr>
            <a:pPr marL="0" indent="0" algn="l"/>
            <a:t>24,9 °C</a:t>
          </a:fld>
          <a:endParaRPr lang="en-US" sz="800" b="1" i="0" u="none" strike="noStrike">
            <a:solidFill>
              <a:srgbClr val="000000"/>
            </a:solidFill>
            <a:effectLst/>
            <a:latin typeface="Arial"/>
            <a:ea typeface="+mn-ea"/>
            <a:cs typeface="Arial"/>
          </a:endParaRPr>
        </a:p>
      </xdr:txBody>
    </xdr:sp>
    <xdr:clientData/>
  </xdr:oneCellAnchor>
  <xdr:twoCellAnchor>
    <xdr:from>
      <xdr:col>9</xdr:col>
      <xdr:colOff>175593</xdr:colOff>
      <xdr:row>60</xdr:row>
      <xdr:rowOff>111401</xdr:rowOff>
    </xdr:from>
    <xdr:to>
      <xdr:col>14</xdr:col>
      <xdr:colOff>327992</xdr:colOff>
      <xdr:row>76</xdr:row>
      <xdr:rowOff>111400</xdr:rowOff>
    </xdr:to>
    <xdr:graphicFrame macro="">
      <xdr:nvGraphicFramePr>
        <xdr:cNvPr id="66" name="Grafico 65">
          <a:extLst>
            <a:ext uri="{FF2B5EF4-FFF2-40B4-BE49-F238E27FC236}">
              <a16:creationId xmlns:a16="http://schemas.microsoft.com/office/drawing/2014/main" id="{00000000-0008-0000-0C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6</xdr:col>
      <xdr:colOff>2314575</xdr:colOff>
      <xdr:row>82</xdr:row>
      <xdr:rowOff>85725</xdr:rowOff>
    </xdr:from>
    <xdr:ext cx="343364" cy="117917"/>
    <xdr:sp macro="" textlink="$F$83">
      <xdr:nvSpPr>
        <xdr:cNvPr id="67" name="CasellaDiTesto 66">
          <a:extLst>
            <a:ext uri="{FF2B5EF4-FFF2-40B4-BE49-F238E27FC236}">
              <a16:creationId xmlns:a16="http://schemas.microsoft.com/office/drawing/2014/main" id="{00000000-0008-0000-0C00-000043000000}"/>
            </a:ext>
          </a:extLst>
        </xdr:cNvPr>
        <xdr:cNvSpPr txBox="1"/>
      </xdr:nvSpPr>
      <xdr:spPr>
        <a:xfrm>
          <a:off x="10086975" y="13573125"/>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1A6A23B-D84F-4F41-B3BF-B7448BF58C24}" type="TxLink">
            <a:rPr lang="en-US" sz="800" b="1" i="0" u="none" strike="noStrike">
              <a:solidFill>
                <a:srgbClr val="000000"/>
              </a:solidFill>
              <a:effectLst/>
              <a:latin typeface="Arial"/>
              <a:ea typeface="+mn-ea"/>
              <a:cs typeface="Arial"/>
            </a:rPr>
            <a:pPr marL="0" indent="0" algn="l"/>
            <a:t>23,8 °C</a:t>
          </a:fld>
          <a:endParaRPr lang="en-US" sz="800" b="1" i="0" u="none" strike="noStrike">
            <a:solidFill>
              <a:srgbClr val="000000"/>
            </a:solidFill>
            <a:effectLst/>
            <a:latin typeface="Arial"/>
            <a:ea typeface="+mn-ea"/>
            <a:cs typeface="Arial"/>
          </a:endParaRPr>
        </a:p>
      </xdr:txBody>
    </xdr:sp>
    <xdr:clientData/>
  </xdr:oneCellAnchor>
  <xdr:twoCellAnchor>
    <xdr:from>
      <xdr:col>9</xdr:col>
      <xdr:colOff>259246</xdr:colOff>
      <xdr:row>35</xdr:row>
      <xdr:rowOff>90695</xdr:rowOff>
    </xdr:from>
    <xdr:to>
      <xdr:col>14</xdr:col>
      <xdr:colOff>411645</xdr:colOff>
      <xdr:row>51</xdr:row>
      <xdr:rowOff>90695</xdr:rowOff>
    </xdr:to>
    <xdr:graphicFrame macro="">
      <xdr:nvGraphicFramePr>
        <xdr:cNvPr id="68" name="Grafico 67">
          <a:extLst>
            <a:ext uri="{FF2B5EF4-FFF2-40B4-BE49-F238E27FC236}">
              <a16:creationId xmlns:a16="http://schemas.microsoft.com/office/drawing/2014/main" id="{00000000-0008-0000-0C00-00004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6</xdr:col>
      <xdr:colOff>2305050</xdr:colOff>
      <xdr:row>53</xdr:row>
      <xdr:rowOff>95250</xdr:rowOff>
    </xdr:from>
    <xdr:ext cx="343364" cy="117917"/>
    <xdr:sp macro="" textlink="$F$54">
      <xdr:nvSpPr>
        <xdr:cNvPr id="70" name="CasellaDiTesto 69">
          <a:extLst>
            <a:ext uri="{FF2B5EF4-FFF2-40B4-BE49-F238E27FC236}">
              <a16:creationId xmlns:a16="http://schemas.microsoft.com/office/drawing/2014/main" id="{00000000-0008-0000-0C00-000046000000}"/>
            </a:ext>
          </a:extLst>
        </xdr:cNvPr>
        <xdr:cNvSpPr txBox="1"/>
      </xdr:nvSpPr>
      <xdr:spPr>
        <a:xfrm>
          <a:off x="10077450" y="8877300"/>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57B3CDE8-1CAB-48F7-8A63-5C8E02C01B9F}" type="TxLink">
            <a:rPr lang="en-US" sz="800" b="1" i="0" u="none" strike="noStrike">
              <a:solidFill>
                <a:srgbClr val="000000"/>
              </a:solidFill>
              <a:effectLst/>
              <a:latin typeface="Arial"/>
              <a:ea typeface="+mn-ea"/>
              <a:cs typeface="Arial"/>
            </a:rPr>
            <a:pPr marL="0" indent="0" algn="l"/>
            <a:t>18,9 °C</a:t>
          </a:fld>
          <a:endParaRPr lang="en-US" sz="800" b="1" i="0" u="none" strike="noStrike">
            <a:solidFill>
              <a:srgbClr val="000000"/>
            </a:solidFill>
            <a:effectLst/>
            <a:latin typeface="Arial"/>
            <a:ea typeface="+mn-ea"/>
            <a:cs typeface="Aria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15</xdr:col>
      <xdr:colOff>1258661</xdr:colOff>
      <xdr:row>2</xdr:row>
      <xdr:rowOff>111577</xdr:rowOff>
    </xdr:from>
    <xdr:to>
      <xdr:col>24</xdr:col>
      <xdr:colOff>295275</xdr:colOff>
      <xdr:row>26</xdr:row>
      <xdr:rowOff>85725</xdr:rowOff>
    </xdr:to>
    <xdr:graphicFrame macro="">
      <xdr:nvGraphicFramePr>
        <xdr:cNvPr id="2" name="Grafico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1123951</xdr:colOff>
      <xdr:row>46</xdr:row>
      <xdr:rowOff>76200</xdr:rowOff>
    </xdr:from>
    <xdr:to>
      <xdr:col>24</xdr:col>
      <xdr:colOff>542926</xdr:colOff>
      <xdr:row>68</xdr:row>
      <xdr:rowOff>137433</xdr:rowOff>
    </xdr:to>
    <xdr:graphicFrame macro="">
      <xdr:nvGraphicFramePr>
        <xdr:cNvPr id="3" name="Grafico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71</xdr:row>
      <xdr:rowOff>0</xdr:rowOff>
    </xdr:from>
    <xdr:to>
      <xdr:col>25</xdr:col>
      <xdr:colOff>76200</xdr:colOff>
      <xdr:row>96</xdr:row>
      <xdr:rowOff>23133</xdr:rowOff>
    </xdr:to>
    <xdr:graphicFrame macro="">
      <xdr:nvGraphicFramePr>
        <xdr:cNvPr id="5" name="Grafico 4">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142875</xdr:colOff>
      <xdr:row>2</xdr:row>
      <xdr:rowOff>95250</xdr:rowOff>
    </xdr:from>
    <xdr:to>
      <xdr:col>33</xdr:col>
      <xdr:colOff>446314</xdr:colOff>
      <xdr:row>27</xdr:row>
      <xdr:rowOff>12248</xdr:rowOff>
    </xdr:to>
    <xdr:graphicFrame macro="">
      <xdr:nvGraphicFramePr>
        <xdr:cNvPr id="7" name="Grafico 6">
          <a:extLst>
            <a:ext uri="{FF2B5EF4-FFF2-40B4-BE49-F238E27FC236}">
              <a16:creationId xmlns:a16="http://schemas.microsoft.com/office/drawing/2014/main" id="{00000000-0008-0000-0D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0</xdr:colOff>
      <xdr:row>28</xdr:row>
      <xdr:rowOff>0</xdr:rowOff>
    </xdr:from>
    <xdr:to>
      <xdr:col>34</xdr:col>
      <xdr:colOff>303439</xdr:colOff>
      <xdr:row>52</xdr:row>
      <xdr:rowOff>78923</xdr:rowOff>
    </xdr:to>
    <xdr:graphicFrame macro="">
      <xdr:nvGraphicFramePr>
        <xdr:cNvPr id="4" name="Grafico 3">
          <a:extLst>
            <a:ext uri="{FF2B5EF4-FFF2-40B4-BE49-F238E27FC236}">
              <a16:creationId xmlns:a16="http://schemas.microsoft.com/office/drawing/2014/main" id="{8B45ABEC-C061-4805-9429-F9491E4EC1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190501</xdr:colOff>
      <xdr:row>28</xdr:row>
      <xdr:rowOff>103450</xdr:rowOff>
    </xdr:from>
    <xdr:to>
      <xdr:col>6</xdr:col>
      <xdr:colOff>3485031</xdr:colOff>
      <xdr:row>55</xdr:row>
      <xdr:rowOff>85728</xdr:rowOff>
    </xdr:to>
    <xdr:pic>
      <xdr:nvPicPr>
        <xdr:cNvPr id="47" name="Immagine 46">
          <a:extLst>
            <a:ext uri="{FF2B5EF4-FFF2-40B4-BE49-F238E27FC236}">
              <a16:creationId xmlns:a16="http://schemas.microsoft.com/office/drawing/2014/main" id="{00000000-0008-0000-0E00-00002F000000}"/>
            </a:ext>
          </a:extLst>
        </xdr:cNvPr>
        <xdr:cNvPicPr>
          <a:picLocks noChangeAspect="1"/>
        </xdr:cNvPicPr>
      </xdr:nvPicPr>
      <xdr:blipFill>
        <a:blip xmlns:r="http://schemas.openxmlformats.org/officeDocument/2006/relationships" r:embed="rId1"/>
        <a:stretch>
          <a:fillRect/>
        </a:stretch>
      </xdr:blipFill>
      <xdr:spPr>
        <a:xfrm>
          <a:off x="7967383" y="4709068"/>
          <a:ext cx="3294530" cy="4218101"/>
        </a:xfrm>
        <a:prstGeom prst="rect">
          <a:avLst/>
        </a:prstGeom>
      </xdr:spPr>
    </xdr:pic>
    <xdr:clientData/>
  </xdr:twoCellAnchor>
  <xdr:twoCellAnchor editAs="oneCell">
    <xdr:from>
      <xdr:col>6</xdr:col>
      <xdr:colOff>145676</xdr:colOff>
      <xdr:row>57</xdr:row>
      <xdr:rowOff>67237</xdr:rowOff>
    </xdr:from>
    <xdr:to>
      <xdr:col>6</xdr:col>
      <xdr:colOff>3602935</xdr:colOff>
      <xdr:row>85</xdr:row>
      <xdr:rowOff>33209</xdr:rowOff>
    </xdr:to>
    <xdr:pic>
      <xdr:nvPicPr>
        <xdr:cNvPr id="46" name="Immagine 45">
          <a:extLst>
            <a:ext uri="{FF2B5EF4-FFF2-40B4-BE49-F238E27FC236}">
              <a16:creationId xmlns:a16="http://schemas.microsoft.com/office/drawing/2014/main" id="{00000000-0008-0000-0E00-00002E000000}"/>
            </a:ext>
          </a:extLst>
        </xdr:cNvPr>
        <xdr:cNvPicPr>
          <a:picLocks noChangeAspect="1"/>
        </xdr:cNvPicPr>
      </xdr:nvPicPr>
      <xdr:blipFill>
        <a:blip xmlns:r="http://schemas.openxmlformats.org/officeDocument/2006/relationships" r:embed="rId2"/>
        <a:stretch>
          <a:fillRect/>
        </a:stretch>
      </xdr:blipFill>
      <xdr:spPr>
        <a:xfrm>
          <a:off x="7922558" y="9233649"/>
          <a:ext cx="3451413" cy="4358678"/>
        </a:xfrm>
        <a:prstGeom prst="rect">
          <a:avLst/>
        </a:prstGeom>
      </xdr:spPr>
    </xdr:pic>
    <xdr:clientData/>
  </xdr:twoCellAnchor>
  <xdr:twoCellAnchor editAs="oneCell">
    <xdr:from>
      <xdr:col>6</xdr:col>
      <xdr:colOff>19973</xdr:colOff>
      <xdr:row>86</xdr:row>
      <xdr:rowOff>67236</xdr:rowOff>
    </xdr:from>
    <xdr:to>
      <xdr:col>6</xdr:col>
      <xdr:colOff>3600497</xdr:colOff>
      <xdr:row>115</xdr:row>
      <xdr:rowOff>67238</xdr:rowOff>
    </xdr:to>
    <xdr:pic>
      <xdr:nvPicPr>
        <xdr:cNvPr id="45" name="Immagine 44">
          <a:extLst>
            <a:ext uri="{FF2B5EF4-FFF2-40B4-BE49-F238E27FC236}">
              <a16:creationId xmlns:a16="http://schemas.microsoft.com/office/drawing/2014/main" id="{00000000-0008-0000-0E00-00002D000000}"/>
            </a:ext>
          </a:extLst>
        </xdr:cNvPr>
        <xdr:cNvPicPr>
          <a:picLocks noChangeAspect="1"/>
        </xdr:cNvPicPr>
      </xdr:nvPicPr>
      <xdr:blipFill>
        <a:blip xmlns:r="http://schemas.openxmlformats.org/officeDocument/2006/relationships" r:embed="rId3"/>
        <a:stretch>
          <a:fillRect/>
        </a:stretch>
      </xdr:blipFill>
      <xdr:spPr>
        <a:xfrm>
          <a:off x="7792373" y="14211861"/>
          <a:ext cx="3580524" cy="4695827"/>
        </a:xfrm>
        <a:prstGeom prst="rect">
          <a:avLst/>
        </a:prstGeom>
      </xdr:spPr>
    </xdr:pic>
    <xdr:clientData/>
  </xdr:twoCellAnchor>
  <xdr:twoCellAnchor editAs="oneCell">
    <xdr:from>
      <xdr:col>6</xdr:col>
      <xdr:colOff>1455965</xdr:colOff>
      <xdr:row>171</xdr:row>
      <xdr:rowOff>108857</xdr:rowOff>
    </xdr:from>
    <xdr:to>
      <xdr:col>9</xdr:col>
      <xdr:colOff>445366</xdr:colOff>
      <xdr:row>195</xdr:row>
      <xdr:rowOff>95252</xdr:rowOff>
    </xdr:to>
    <xdr:pic>
      <xdr:nvPicPr>
        <xdr:cNvPr id="5" name="Immagine 4">
          <a:extLst>
            <a:ext uri="{FF2B5EF4-FFF2-40B4-BE49-F238E27FC236}">
              <a16:creationId xmlns:a16="http://schemas.microsoft.com/office/drawing/2014/main" id="{00000000-0008-0000-0E00-000005000000}"/>
            </a:ext>
          </a:extLst>
        </xdr:cNvPr>
        <xdr:cNvPicPr>
          <a:picLocks noChangeAspect="1"/>
        </xdr:cNvPicPr>
      </xdr:nvPicPr>
      <xdr:blipFill>
        <a:blip xmlns:r="http://schemas.openxmlformats.org/officeDocument/2006/relationships" r:embed="rId4"/>
        <a:stretch>
          <a:fillRect/>
        </a:stretch>
      </xdr:blipFill>
      <xdr:spPr>
        <a:xfrm>
          <a:off x="9228365" y="25273907"/>
          <a:ext cx="5232515" cy="3872595"/>
        </a:xfrm>
        <a:prstGeom prst="rect">
          <a:avLst/>
        </a:prstGeom>
      </xdr:spPr>
    </xdr:pic>
    <xdr:clientData/>
  </xdr:twoCellAnchor>
  <xdr:oneCellAnchor>
    <xdr:from>
      <xdr:col>6</xdr:col>
      <xdr:colOff>1857375</xdr:colOff>
      <xdr:row>38</xdr:row>
      <xdr:rowOff>85725</xdr:rowOff>
    </xdr:from>
    <xdr:ext cx="28534" cy="125227"/>
    <xdr:sp macro="" textlink="#REF!">
      <xdr:nvSpPr>
        <xdr:cNvPr id="6" name="CasellaDiTesto 5">
          <a:extLst>
            <a:ext uri="{FF2B5EF4-FFF2-40B4-BE49-F238E27FC236}">
              <a16:creationId xmlns:a16="http://schemas.microsoft.com/office/drawing/2014/main" id="{00000000-0008-0000-0E00-000006000000}"/>
            </a:ext>
          </a:extLst>
        </xdr:cNvPr>
        <xdr:cNvSpPr txBox="1"/>
      </xdr:nvSpPr>
      <xdr:spPr>
        <a:xfrm>
          <a:off x="9629775" y="6438900"/>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10C9C337-F67C-4EA9-8A44-116151E61FAE}" type="TxLink">
            <a:rPr lang="en-US" sz="800" b="0" i="0" u="none" strike="noStrike">
              <a:solidFill>
                <a:srgbClr val="000000"/>
              </a:solidFill>
              <a:effectLst/>
              <a:latin typeface="Arial"/>
              <a:ea typeface="+mn-ea"/>
              <a:cs typeface="Arial"/>
            </a:rPr>
            <a:pPr algn="l"/>
            <a:t> </a:t>
          </a:fld>
          <a:endParaRPr lang="en-US" sz="800" b="0" i="1">
            <a:solidFill>
              <a:schemeClr val="tx1"/>
            </a:solidFill>
            <a:effectLst/>
            <a:latin typeface="+mn-lt"/>
            <a:ea typeface="+mn-ea"/>
            <a:cs typeface="+mn-cs"/>
          </a:endParaRPr>
        </a:p>
      </xdr:txBody>
    </xdr:sp>
    <xdr:clientData/>
  </xdr:oneCellAnchor>
  <xdr:oneCellAnchor>
    <xdr:from>
      <xdr:col>6</xdr:col>
      <xdr:colOff>1885950</xdr:colOff>
      <xdr:row>41</xdr:row>
      <xdr:rowOff>28575</xdr:rowOff>
    </xdr:from>
    <xdr:ext cx="28534" cy="125227"/>
    <xdr:sp macro="" textlink="#REF!">
      <xdr:nvSpPr>
        <xdr:cNvPr id="7" name="CasellaDiTesto 6">
          <a:extLst>
            <a:ext uri="{FF2B5EF4-FFF2-40B4-BE49-F238E27FC236}">
              <a16:creationId xmlns:a16="http://schemas.microsoft.com/office/drawing/2014/main" id="{00000000-0008-0000-0E00-000007000000}"/>
            </a:ext>
          </a:extLst>
        </xdr:cNvPr>
        <xdr:cNvSpPr txBox="1"/>
      </xdr:nvSpPr>
      <xdr:spPr>
        <a:xfrm>
          <a:off x="9658350" y="6867525"/>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6350B21A-6E35-49F5-B465-27B5F3899EC0}" type="TxLink">
            <a:rPr lang="en-US" sz="800" b="0" i="0" u="none" strike="noStrike">
              <a:solidFill>
                <a:srgbClr val="000000"/>
              </a:solidFill>
              <a:effectLst/>
              <a:latin typeface="Arial"/>
              <a:ea typeface="+mn-ea"/>
              <a:cs typeface="Arial"/>
            </a:rPr>
            <a:pPr algn="l"/>
            <a:t> </a:t>
          </a:fld>
          <a:endParaRPr lang="en-US" sz="600" b="0" i="1">
            <a:solidFill>
              <a:schemeClr val="tx1"/>
            </a:solidFill>
            <a:effectLst/>
            <a:latin typeface="+mn-lt"/>
            <a:ea typeface="+mn-ea"/>
            <a:cs typeface="+mn-cs"/>
          </a:endParaRPr>
        </a:p>
      </xdr:txBody>
    </xdr:sp>
    <xdr:clientData/>
  </xdr:oneCellAnchor>
  <xdr:oneCellAnchor>
    <xdr:from>
      <xdr:col>6</xdr:col>
      <xdr:colOff>581025</xdr:colOff>
      <xdr:row>36</xdr:row>
      <xdr:rowOff>9525</xdr:rowOff>
    </xdr:from>
    <xdr:ext cx="28534" cy="125227"/>
    <xdr:sp macro="" textlink="#REF!">
      <xdr:nvSpPr>
        <xdr:cNvPr id="8" name="CasellaDiTesto 7">
          <a:extLst>
            <a:ext uri="{FF2B5EF4-FFF2-40B4-BE49-F238E27FC236}">
              <a16:creationId xmlns:a16="http://schemas.microsoft.com/office/drawing/2014/main" id="{00000000-0008-0000-0E00-000008000000}"/>
            </a:ext>
          </a:extLst>
        </xdr:cNvPr>
        <xdr:cNvSpPr txBox="1"/>
      </xdr:nvSpPr>
      <xdr:spPr>
        <a:xfrm>
          <a:off x="8353425" y="6038850"/>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B73BD8FD-5E46-4B6B-A035-C56AE1559241}" type="TxLink">
            <a:rPr lang="en-US" sz="800" b="0" i="0" u="none" strike="noStrike">
              <a:solidFill>
                <a:srgbClr val="000000"/>
              </a:solidFill>
              <a:effectLst/>
              <a:latin typeface="Arial"/>
              <a:ea typeface="+mn-ea"/>
              <a:cs typeface="Arial"/>
            </a:rPr>
            <a:pPr algn="l"/>
            <a:t> </a:t>
          </a:fld>
          <a:endParaRPr lang="en-US" sz="400" b="0" i="1">
            <a:solidFill>
              <a:schemeClr val="tx1"/>
            </a:solidFill>
            <a:effectLst/>
            <a:latin typeface="+mn-lt"/>
            <a:ea typeface="+mn-ea"/>
            <a:cs typeface="+mn-cs"/>
          </a:endParaRPr>
        </a:p>
      </xdr:txBody>
    </xdr:sp>
    <xdr:clientData/>
  </xdr:oneCellAnchor>
  <xdr:oneCellAnchor>
    <xdr:from>
      <xdr:col>6</xdr:col>
      <xdr:colOff>1754411</xdr:colOff>
      <xdr:row>45</xdr:row>
      <xdr:rowOff>71803</xdr:rowOff>
    </xdr:from>
    <xdr:ext cx="343364" cy="125227"/>
    <xdr:sp macro="" textlink="$F$41">
      <xdr:nvSpPr>
        <xdr:cNvPr id="9" name="CasellaDiTesto 8">
          <a:extLst>
            <a:ext uri="{FF2B5EF4-FFF2-40B4-BE49-F238E27FC236}">
              <a16:creationId xmlns:a16="http://schemas.microsoft.com/office/drawing/2014/main" id="{00000000-0008-0000-0E00-000009000000}"/>
            </a:ext>
          </a:extLst>
        </xdr:cNvPr>
        <xdr:cNvSpPr txBox="1"/>
      </xdr:nvSpPr>
      <xdr:spPr>
        <a:xfrm>
          <a:off x="9531293" y="7344421"/>
          <a:ext cx="34336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76B8F600-7D08-4065-AF5F-1626BB0CA1D4}" type="TxLink">
            <a:rPr lang="en-US" sz="800" b="0" i="0" u="none" strike="noStrike">
              <a:solidFill>
                <a:srgbClr val="000000"/>
              </a:solidFill>
              <a:effectLst/>
              <a:latin typeface="Arial"/>
              <a:ea typeface="+mn-ea"/>
              <a:cs typeface="Arial"/>
            </a:rPr>
            <a:pPr algn="l"/>
            <a:t>28,1 °C</a:t>
          </a:fld>
          <a:endParaRPr lang="en-US" sz="600" b="0" i="1">
            <a:solidFill>
              <a:schemeClr val="tx1"/>
            </a:solidFill>
            <a:effectLst/>
            <a:latin typeface="+mn-lt"/>
            <a:ea typeface="+mn-ea"/>
            <a:cs typeface="+mn-cs"/>
          </a:endParaRPr>
        </a:p>
      </xdr:txBody>
    </xdr:sp>
    <xdr:clientData/>
  </xdr:oneCellAnchor>
  <xdr:oneCellAnchor>
    <xdr:from>
      <xdr:col>6</xdr:col>
      <xdr:colOff>2450123</xdr:colOff>
      <xdr:row>36</xdr:row>
      <xdr:rowOff>106240</xdr:rowOff>
    </xdr:from>
    <xdr:ext cx="467757" cy="117917"/>
    <xdr:sp macro="" textlink="$F$9">
      <xdr:nvSpPr>
        <xdr:cNvPr id="10" name="CasellaDiTesto 9">
          <a:extLst>
            <a:ext uri="{FF2B5EF4-FFF2-40B4-BE49-F238E27FC236}">
              <a16:creationId xmlns:a16="http://schemas.microsoft.com/office/drawing/2014/main" id="{00000000-0008-0000-0E00-00000A000000}"/>
            </a:ext>
          </a:extLst>
        </xdr:cNvPr>
        <xdr:cNvSpPr txBox="1"/>
      </xdr:nvSpPr>
      <xdr:spPr>
        <a:xfrm>
          <a:off x="10222523" y="6135565"/>
          <a:ext cx="467757"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1001EA65-C9FB-4F7A-9800-B0F6C69FB25B}" type="TxLink">
            <a:rPr lang="en-US" sz="800" b="1" i="0" u="none" strike="noStrike">
              <a:solidFill>
                <a:srgbClr val="000000"/>
              </a:solidFill>
              <a:effectLst/>
              <a:latin typeface="Arial"/>
              <a:ea typeface="+mn-ea"/>
              <a:cs typeface="Arial"/>
            </a:rPr>
            <a:pPr marL="0" indent="0" algn="l"/>
            <a:t>12,0 l/min</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208214</xdr:colOff>
      <xdr:row>53</xdr:row>
      <xdr:rowOff>46159</xdr:rowOff>
    </xdr:from>
    <xdr:ext cx="444865" cy="117917"/>
    <xdr:sp macro="" textlink="$F$9">
      <xdr:nvSpPr>
        <xdr:cNvPr id="11" name="CasellaDiTesto 10">
          <a:extLst>
            <a:ext uri="{FF2B5EF4-FFF2-40B4-BE49-F238E27FC236}">
              <a16:creationId xmlns:a16="http://schemas.microsoft.com/office/drawing/2014/main" id="{00000000-0008-0000-0E00-00000B000000}"/>
            </a:ext>
          </a:extLst>
        </xdr:cNvPr>
        <xdr:cNvSpPr txBox="1"/>
      </xdr:nvSpPr>
      <xdr:spPr>
        <a:xfrm>
          <a:off x="7985096" y="8573835"/>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C744807-3552-4EB2-9F1A-3A8BAFA40E75}"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698818</xdr:colOff>
      <xdr:row>32</xdr:row>
      <xdr:rowOff>20515</xdr:rowOff>
    </xdr:from>
    <xdr:ext cx="387798" cy="125227"/>
    <xdr:sp macro="" textlink="$F$43">
      <xdr:nvSpPr>
        <xdr:cNvPr id="12" name="CasellaDiTesto 11">
          <a:extLst>
            <a:ext uri="{FF2B5EF4-FFF2-40B4-BE49-F238E27FC236}">
              <a16:creationId xmlns:a16="http://schemas.microsoft.com/office/drawing/2014/main" id="{00000000-0008-0000-0E00-00000C000000}"/>
            </a:ext>
          </a:extLst>
        </xdr:cNvPr>
        <xdr:cNvSpPr txBox="1"/>
      </xdr:nvSpPr>
      <xdr:spPr>
        <a:xfrm>
          <a:off x="8475700" y="5253662"/>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08E96958-972D-4CDA-8B5C-E2019690F25C}" type="TxLink">
            <a:rPr lang="en-US" sz="800" b="0" i="0" u="none" strike="noStrike">
              <a:solidFill>
                <a:srgbClr val="000000"/>
              </a:solidFill>
              <a:effectLst/>
              <a:latin typeface="Arial"/>
              <a:ea typeface="+mn-ea"/>
              <a:cs typeface="Arial"/>
            </a:rPr>
            <a:pPr algn="l"/>
            <a:t>4,5 l/min</a:t>
          </a:fld>
          <a:endParaRPr lang="en-US" sz="400" b="0" i="1">
            <a:solidFill>
              <a:schemeClr val="tx1"/>
            </a:solidFill>
            <a:effectLst/>
            <a:latin typeface="+mn-lt"/>
            <a:ea typeface="+mn-ea"/>
            <a:cs typeface="+mn-cs"/>
          </a:endParaRPr>
        </a:p>
      </xdr:txBody>
    </xdr:sp>
    <xdr:clientData/>
  </xdr:oneCellAnchor>
  <xdr:oneCellAnchor>
    <xdr:from>
      <xdr:col>6</xdr:col>
      <xdr:colOff>1583393</xdr:colOff>
      <xdr:row>32</xdr:row>
      <xdr:rowOff>30773</xdr:rowOff>
    </xdr:from>
    <xdr:ext cx="387798" cy="125227"/>
    <xdr:sp macro="" textlink="$F$44">
      <xdr:nvSpPr>
        <xdr:cNvPr id="13" name="CasellaDiTesto 12">
          <a:extLst>
            <a:ext uri="{FF2B5EF4-FFF2-40B4-BE49-F238E27FC236}">
              <a16:creationId xmlns:a16="http://schemas.microsoft.com/office/drawing/2014/main" id="{00000000-0008-0000-0E00-00000D000000}"/>
            </a:ext>
          </a:extLst>
        </xdr:cNvPr>
        <xdr:cNvSpPr txBox="1"/>
      </xdr:nvSpPr>
      <xdr:spPr>
        <a:xfrm>
          <a:off x="9360275" y="5263920"/>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E727480B-55E5-4CF2-B0A0-AC7F9347D639}" type="TxLink">
            <a:rPr lang="en-US" sz="800" b="0" i="0" u="none" strike="noStrike">
              <a:solidFill>
                <a:srgbClr val="000000"/>
              </a:solidFill>
              <a:effectLst/>
              <a:latin typeface="Arial"/>
              <a:ea typeface="+mn-ea"/>
              <a:cs typeface="Arial"/>
            </a:rPr>
            <a:pPr algn="l"/>
            <a:t>7,5 l/min</a:t>
          </a:fld>
          <a:endParaRPr lang="en-US" sz="200" b="0" i="1">
            <a:solidFill>
              <a:schemeClr val="tx1"/>
            </a:solidFill>
            <a:effectLst/>
            <a:latin typeface="+mn-lt"/>
            <a:ea typeface="+mn-ea"/>
            <a:cs typeface="+mn-cs"/>
          </a:endParaRPr>
        </a:p>
      </xdr:txBody>
    </xdr:sp>
    <xdr:clientData/>
  </xdr:oneCellAnchor>
  <xdr:oneCellAnchor>
    <xdr:from>
      <xdr:col>6</xdr:col>
      <xdr:colOff>219075</xdr:colOff>
      <xdr:row>77</xdr:row>
      <xdr:rowOff>123825</xdr:rowOff>
    </xdr:from>
    <xdr:ext cx="28534" cy="125227"/>
    <xdr:sp macro="" textlink="#REF!">
      <xdr:nvSpPr>
        <xdr:cNvPr id="14" name="CasellaDiTesto 13">
          <a:extLst>
            <a:ext uri="{FF2B5EF4-FFF2-40B4-BE49-F238E27FC236}">
              <a16:creationId xmlns:a16="http://schemas.microsoft.com/office/drawing/2014/main" id="{00000000-0008-0000-0E00-00000E000000}"/>
            </a:ext>
          </a:extLst>
        </xdr:cNvPr>
        <xdr:cNvSpPr txBox="1"/>
      </xdr:nvSpPr>
      <xdr:spPr>
        <a:xfrm>
          <a:off x="7991475" y="12801600"/>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BAB27D39-0ED6-4D7C-BEC9-19F7E97D56F2}" type="TxLink">
            <a:rPr lang="en-US" sz="800" b="0" i="0" u="none" strike="noStrike">
              <a:solidFill>
                <a:srgbClr val="000000"/>
              </a:solidFill>
              <a:effectLst/>
              <a:latin typeface="Arial"/>
              <a:ea typeface="+mn-ea"/>
              <a:cs typeface="Arial"/>
            </a:rPr>
            <a:pPr algn="l"/>
            <a:t> </a:t>
          </a:fld>
          <a:endParaRPr lang="en-US" sz="1000" b="0" i="1">
            <a:solidFill>
              <a:schemeClr val="tx1"/>
            </a:solidFill>
            <a:effectLst/>
            <a:latin typeface="+mn-lt"/>
            <a:ea typeface="+mn-ea"/>
            <a:cs typeface="+mn-cs"/>
          </a:endParaRPr>
        </a:p>
      </xdr:txBody>
    </xdr:sp>
    <xdr:clientData/>
  </xdr:oneCellAnchor>
  <xdr:oneCellAnchor>
    <xdr:from>
      <xdr:col>6</xdr:col>
      <xdr:colOff>1981200</xdr:colOff>
      <xdr:row>68</xdr:row>
      <xdr:rowOff>123825</xdr:rowOff>
    </xdr:from>
    <xdr:ext cx="28534" cy="125227"/>
    <xdr:sp macro="" textlink="#REF!">
      <xdr:nvSpPr>
        <xdr:cNvPr id="15" name="CasellaDiTesto 14">
          <a:extLst>
            <a:ext uri="{FF2B5EF4-FFF2-40B4-BE49-F238E27FC236}">
              <a16:creationId xmlns:a16="http://schemas.microsoft.com/office/drawing/2014/main" id="{00000000-0008-0000-0E00-00000F000000}"/>
            </a:ext>
          </a:extLst>
        </xdr:cNvPr>
        <xdr:cNvSpPr txBox="1"/>
      </xdr:nvSpPr>
      <xdr:spPr>
        <a:xfrm>
          <a:off x="9753600" y="11344275"/>
          <a:ext cx="28534"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6350B21A-6E35-49F5-B465-27B5F3899EC0}" type="TxLink">
            <a:rPr lang="en-US" sz="800" b="0" i="0" u="none" strike="noStrike">
              <a:solidFill>
                <a:srgbClr val="000000"/>
              </a:solidFill>
              <a:effectLst/>
              <a:latin typeface="Arial"/>
              <a:ea typeface="+mn-ea"/>
              <a:cs typeface="Arial"/>
            </a:rPr>
            <a:pPr algn="l"/>
            <a:t> </a:t>
          </a:fld>
          <a:endParaRPr lang="en-US" sz="600" b="0" i="1">
            <a:solidFill>
              <a:schemeClr val="tx1"/>
            </a:solidFill>
            <a:effectLst/>
            <a:latin typeface="+mn-lt"/>
            <a:ea typeface="+mn-ea"/>
            <a:cs typeface="+mn-cs"/>
          </a:endParaRPr>
        </a:p>
      </xdr:txBody>
    </xdr:sp>
    <xdr:clientData/>
  </xdr:oneCellAnchor>
  <xdr:oneCellAnchor>
    <xdr:from>
      <xdr:col>6</xdr:col>
      <xdr:colOff>1771262</xdr:colOff>
      <xdr:row>74</xdr:row>
      <xdr:rowOff>108655</xdr:rowOff>
    </xdr:from>
    <xdr:ext cx="342210" cy="125227"/>
    <xdr:sp macro="" textlink="$F$70">
      <xdr:nvSpPr>
        <xdr:cNvPr id="16" name="CasellaDiTesto 15">
          <a:extLst>
            <a:ext uri="{FF2B5EF4-FFF2-40B4-BE49-F238E27FC236}">
              <a16:creationId xmlns:a16="http://schemas.microsoft.com/office/drawing/2014/main" id="{00000000-0008-0000-0E00-000010000000}"/>
            </a:ext>
          </a:extLst>
        </xdr:cNvPr>
        <xdr:cNvSpPr txBox="1"/>
      </xdr:nvSpPr>
      <xdr:spPr>
        <a:xfrm>
          <a:off x="9548144" y="11942067"/>
          <a:ext cx="342210"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8D938A9E-E316-41EA-8D45-636FF9ECD125}" type="TxLink">
            <a:rPr lang="en-US" sz="800" b="0" i="0" u="none" strike="noStrike">
              <a:solidFill>
                <a:srgbClr val="000000"/>
              </a:solidFill>
              <a:effectLst/>
              <a:latin typeface="Arial"/>
              <a:ea typeface="+mn-ea"/>
              <a:cs typeface="Arial"/>
            </a:rPr>
            <a:pPr algn="l"/>
            <a:t>29,3 °C</a:t>
          </a:fld>
          <a:endParaRPr lang="en-US" sz="400" b="0" i="1">
            <a:solidFill>
              <a:schemeClr val="tx1"/>
            </a:solidFill>
            <a:effectLst/>
            <a:latin typeface="+mn-lt"/>
            <a:ea typeface="+mn-ea"/>
            <a:cs typeface="+mn-cs"/>
          </a:endParaRPr>
        </a:p>
      </xdr:txBody>
    </xdr:sp>
    <xdr:clientData/>
  </xdr:oneCellAnchor>
  <xdr:oneCellAnchor>
    <xdr:from>
      <xdr:col>6</xdr:col>
      <xdr:colOff>668216</xdr:colOff>
      <xdr:row>64</xdr:row>
      <xdr:rowOff>111369</xdr:rowOff>
    </xdr:from>
    <xdr:ext cx="343364" cy="117917"/>
    <xdr:sp macro="" textlink="$F$7">
      <xdr:nvSpPr>
        <xdr:cNvPr id="17" name="CasellaDiTesto 16">
          <a:extLst>
            <a:ext uri="{FF2B5EF4-FFF2-40B4-BE49-F238E27FC236}">
              <a16:creationId xmlns:a16="http://schemas.microsoft.com/office/drawing/2014/main" id="{00000000-0008-0000-0E00-000011000000}"/>
            </a:ext>
          </a:extLst>
        </xdr:cNvPr>
        <xdr:cNvSpPr txBox="1"/>
      </xdr:nvSpPr>
      <xdr:spPr>
        <a:xfrm>
          <a:off x="8440616" y="10684119"/>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016B1DB1-77AB-4092-9D77-E6B46ABD048A}" type="TxLink">
            <a:rPr lang="en-US" sz="800" b="0" i="0" u="none" strike="noStrike">
              <a:solidFill>
                <a:srgbClr val="000000"/>
              </a:solidFill>
              <a:effectLst/>
              <a:latin typeface="Arial"/>
              <a:ea typeface="+mn-ea"/>
              <a:cs typeface="Arial"/>
            </a:rPr>
            <a:pPr marL="0" indent="0" algn="l"/>
            <a:t>60,0 °C</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697136</xdr:colOff>
      <xdr:row>61</xdr:row>
      <xdr:rowOff>55599</xdr:rowOff>
    </xdr:from>
    <xdr:ext cx="387798" cy="125227"/>
    <xdr:sp macro="" textlink="$F$72">
      <xdr:nvSpPr>
        <xdr:cNvPr id="18" name="CasellaDiTesto 17">
          <a:extLst>
            <a:ext uri="{FF2B5EF4-FFF2-40B4-BE49-F238E27FC236}">
              <a16:creationId xmlns:a16="http://schemas.microsoft.com/office/drawing/2014/main" id="{00000000-0008-0000-0E00-000012000000}"/>
            </a:ext>
          </a:extLst>
        </xdr:cNvPr>
        <xdr:cNvSpPr txBox="1"/>
      </xdr:nvSpPr>
      <xdr:spPr>
        <a:xfrm>
          <a:off x="8474018" y="9849540"/>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fld id="{A5FD96D8-0679-49E4-9E9D-C54DE3FEED39}" type="TxLink">
            <a:rPr lang="en-US" sz="800" b="0" i="0" u="none" strike="noStrike">
              <a:solidFill>
                <a:srgbClr val="000000"/>
              </a:solidFill>
              <a:effectLst/>
              <a:latin typeface="Arial"/>
              <a:ea typeface="+mn-ea"/>
              <a:cs typeface="Arial"/>
            </a:rPr>
            <a:pPr algn="l"/>
            <a:t>4,2 l/min</a:t>
          </a:fld>
          <a:endParaRPr lang="en-US" sz="200" b="0" i="1">
            <a:solidFill>
              <a:schemeClr val="tx1"/>
            </a:solidFill>
            <a:effectLst/>
            <a:latin typeface="+mn-lt"/>
            <a:ea typeface="+mn-ea"/>
            <a:cs typeface="+mn-cs"/>
          </a:endParaRPr>
        </a:p>
      </xdr:txBody>
    </xdr:sp>
    <xdr:clientData/>
  </xdr:oneCellAnchor>
  <xdr:oneCellAnchor>
    <xdr:from>
      <xdr:col>6</xdr:col>
      <xdr:colOff>1551110</xdr:colOff>
      <xdr:row>61</xdr:row>
      <xdr:rowOff>16853</xdr:rowOff>
    </xdr:from>
    <xdr:ext cx="387798" cy="125227"/>
    <xdr:sp macro="" textlink="$F$73">
      <xdr:nvSpPr>
        <xdr:cNvPr id="19" name="CasellaDiTesto 18">
          <a:extLst>
            <a:ext uri="{FF2B5EF4-FFF2-40B4-BE49-F238E27FC236}">
              <a16:creationId xmlns:a16="http://schemas.microsoft.com/office/drawing/2014/main" id="{00000000-0008-0000-0E00-000013000000}"/>
            </a:ext>
          </a:extLst>
        </xdr:cNvPr>
        <xdr:cNvSpPr txBox="1"/>
      </xdr:nvSpPr>
      <xdr:spPr>
        <a:xfrm>
          <a:off x="9323510" y="10103828"/>
          <a:ext cx="387798"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9DD8EDBC-4678-424D-859D-390C13C78A00}" type="TxLink">
            <a:rPr lang="en-US" sz="800" b="0" i="0" u="none" strike="noStrike">
              <a:solidFill>
                <a:srgbClr val="000000"/>
              </a:solidFill>
              <a:effectLst/>
              <a:latin typeface="Arial"/>
              <a:ea typeface="+mn-ea"/>
              <a:cs typeface="Arial"/>
            </a:rPr>
            <a:pPr algn="l"/>
            <a:t>7,8 l/min</a:t>
          </a:fld>
          <a:endParaRPr lang="en-US" sz="100" b="0" i="1">
            <a:solidFill>
              <a:schemeClr val="tx1"/>
            </a:solidFill>
            <a:effectLst/>
            <a:latin typeface="+mn-lt"/>
            <a:ea typeface="+mn-ea"/>
            <a:cs typeface="+mn-cs"/>
          </a:endParaRPr>
        </a:p>
      </xdr:txBody>
    </xdr:sp>
    <xdr:clientData/>
  </xdr:oneCellAnchor>
  <xdr:oneCellAnchor>
    <xdr:from>
      <xdr:col>6</xdr:col>
      <xdr:colOff>1612872</xdr:colOff>
      <xdr:row>76</xdr:row>
      <xdr:rowOff>1810</xdr:rowOff>
    </xdr:from>
    <xdr:ext cx="387798" cy="117917"/>
    <xdr:sp macro="" textlink="$F$60">
      <xdr:nvSpPr>
        <xdr:cNvPr id="20" name="CasellaDiTesto 19">
          <a:extLst>
            <a:ext uri="{FF2B5EF4-FFF2-40B4-BE49-F238E27FC236}">
              <a16:creationId xmlns:a16="http://schemas.microsoft.com/office/drawing/2014/main" id="{00000000-0008-0000-0E00-000014000000}"/>
            </a:ext>
          </a:extLst>
        </xdr:cNvPr>
        <xdr:cNvSpPr txBox="1"/>
      </xdr:nvSpPr>
      <xdr:spPr>
        <a:xfrm>
          <a:off x="9389754" y="12148986"/>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FBEA92E9-D944-4AB2-A7EF-3F121D35B327}" type="TxLink">
            <a:rPr lang="en-US" sz="800" b="0" i="0" u="none" strike="noStrike">
              <a:solidFill>
                <a:srgbClr val="000000"/>
              </a:solidFill>
              <a:effectLst/>
              <a:latin typeface="Arial"/>
              <a:ea typeface="+mn-ea"/>
              <a:cs typeface="Arial"/>
            </a:rPr>
            <a:pPr marL="0" indent="0" algn="l"/>
            <a:t>7,8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1539387</xdr:colOff>
      <xdr:row>46</xdr:row>
      <xdr:rowOff>147271</xdr:rowOff>
    </xdr:from>
    <xdr:ext cx="444865" cy="125227"/>
    <xdr:sp macro="" textlink="$F$31">
      <xdr:nvSpPr>
        <xdr:cNvPr id="21" name="CasellaDiTesto 20">
          <a:extLst>
            <a:ext uri="{FF2B5EF4-FFF2-40B4-BE49-F238E27FC236}">
              <a16:creationId xmlns:a16="http://schemas.microsoft.com/office/drawing/2014/main" id="{00000000-0008-0000-0E00-000015000000}"/>
            </a:ext>
          </a:extLst>
        </xdr:cNvPr>
        <xdr:cNvSpPr txBox="1"/>
      </xdr:nvSpPr>
      <xdr:spPr>
        <a:xfrm>
          <a:off x="9311787" y="7795846"/>
          <a:ext cx="444865" cy="12522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fld id="{990C3A87-0F4B-4A75-90FE-5D59E394DB28}" type="TxLink">
            <a:rPr lang="en-US" sz="800" b="0" i="0" u="none" strike="noStrike">
              <a:solidFill>
                <a:srgbClr val="000000"/>
              </a:solidFill>
              <a:effectLst/>
              <a:latin typeface="Arial"/>
              <a:ea typeface="+mn-ea"/>
              <a:cs typeface="Arial"/>
            </a:rPr>
            <a:pPr algn="l"/>
            <a:t>12,0 l/min</a:t>
          </a:fld>
          <a:endParaRPr lang="en-US" sz="600" b="0" i="1">
            <a:solidFill>
              <a:schemeClr val="tx1"/>
            </a:solidFill>
            <a:effectLst/>
            <a:latin typeface="+mn-lt"/>
            <a:ea typeface="+mn-ea"/>
            <a:cs typeface="+mn-cs"/>
          </a:endParaRPr>
        </a:p>
      </xdr:txBody>
    </xdr:sp>
    <xdr:clientData/>
  </xdr:oneCellAnchor>
  <xdr:oneCellAnchor>
    <xdr:from>
      <xdr:col>6</xdr:col>
      <xdr:colOff>600075</xdr:colOff>
      <xdr:row>35</xdr:row>
      <xdr:rowOff>133350</xdr:rowOff>
    </xdr:from>
    <xdr:ext cx="343364" cy="117917"/>
    <xdr:sp macro="" textlink="$F$7">
      <xdr:nvSpPr>
        <xdr:cNvPr id="22" name="CasellaDiTesto 21">
          <a:extLst>
            <a:ext uri="{FF2B5EF4-FFF2-40B4-BE49-F238E27FC236}">
              <a16:creationId xmlns:a16="http://schemas.microsoft.com/office/drawing/2014/main" id="{00000000-0008-0000-0E00-000016000000}"/>
            </a:ext>
          </a:extLst>
        </xdr:cNvPr>
        <xdr:cNvSpPr txBox="1"/>
      </xdr:nvSpPr>
      <xdr:spPr>
        <a:xfrm>
          <a:off x="8372475" y="6000750"/>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16B1DB1-77AB-4092-9D77-E6B46ABD048A}" type="TxLink">
            <a:rPr lang="en-US" sz="800" b="0" i="0" u="none" strike="noStrike">
              <a:solidFill>
                <a:srgbClr val="000000"/>
              </a:solidFill>
              <a:effectLst/>
              <a:latin typeface="Arial"/>
              <a:ea typeface="+mn-ea"/>
              <a:cs typeface="Arial"/>
            </a:rPr>
            <a:pPr marL="0" indent="0" algn="l"/>
            <a:t>60,0 °C</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1547446</xdr:colOff>
      <xdr:row>53</xdr:row>
      <xdr:rowOff>58615</xdr:rowOff>
    </xdr:from>
    <xdr:ext cx="444865" cy="117917"/>
    <xdr:sp macro="" textlink="$F$31">
      <xdr:nvSpPr>
        <xdr:cNvPr id="23" name="CasellaDiTesto 22">
          <a:extLst>
            <a:ext uri="{FF2B5EF4-FFF2-40B4-BE49-F238E27FC236}">
              <a16:creationId xmlns:a16="http://schemas.microsoft.com/office/drawing/2014/main" id="{00000000-0008-0000-0E00-000017000000}"/>
            </a:ext>
          </a:extLst>
        </xdr:cNvPr>
        <xdr:cNvSpPr txBox="1"/>
      </xdr:nvSpPr>
      <xdr:spPr>
        <a:xfrm>
          <a:off x="9319846" y="8840665"/>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4D8E7D4-29E5-4059-8A3E-F00E6533788D}"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1976071</xdr:colOff>
      <xdr:row>43</xdr:row>
      <xdr:rowOff>131885</xdr:rowOff>
    </xdr:from>
    <xdr:ext cx="444865" cy="117917"/>
    <xdr:sp macro="" textlink="$F$32">
      <xdr:nvSpPr>
        <xdr:cNvPr id="24" name="CasellaDiTesto 23">
          <a:extLst>
            <a:ext uri="{FF2B5EF4-FFF2-40B4-BE49-F238E27FC236}">
              <a16:creationId xmlns:a16="http://schemas.microsoft.com/office/drawing/2014/main" id="{00000000-0008-0000-0E00-000018000000}"/>
            </a:ext>
          </a:extLst>
        </xdr:cNvPr>
        <xdr:cNvSpPr txBox="1"/>
      </xdr:nvSpPr>
      <xdr:spPr>
        <a:xfrm>
          <a:off x="9748471" y="7294685"/>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68C0E22A-E78A-4DAD-85B0-6A5CF949F0DA}"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2511670</xdr:colOff>
      <xdr:row>37</xdr:row>
      <xdr:rowOff>92319</xdr:rowOff>
    </xdr:from>
    <xdr:ext cx="343364" cy="117917"/>
    <xdr:sp macro="" textlink="$F$6">
      <xdr:nvSpPr>
        <xdr:cNvPr id="25" name="CasellaDiTesto 24">
          <a:extLst>
            <a:ext uri="{FF2B5EF4-FFF2-40B4-BE49-F238E27FC236}">
              <a16:creationId xmlns:a16="http://schemas.microsoft.com/office/drawing/2014/main" id="{00000000-0008-0000-0E00-000019000000}"/>
            </a:ext>
          </a:extLst>
        </xdr:cNvPr>
        <xdr:cNvSpPr txBox="1"/>
      </xdr:nvSpPr>
      <xdr:spPr>
        <a:xfrm>
          <a:off x="10284070" y="6283569"/>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8E60663-BC41-4FFF-AEEE-F63E6F1B49BD}" type="TxLink">
            <a:rPr lang="en-US" sz="800" b="1" i="0" u="none" strike="noStrike">
              <a:solidFill>
                <a:srgbClr val="FF0000"/>
              </a:solidFill>
              <a:effectLst/>
              <a:latin typeface="Arial"/>
              <a:ea typeface="+mn-ea"/>
              <a:cs typeface="Arial"/>
            </a:rPr>
            <a:pPr marL="0" indent="0" algn="l"/>
            <a:t>40,0 °C</a:t>
          </a:fld>
          <a:endParaRPr lang="en-US" sz="800" b="1" i="0" u="none" strike="noStrike">
            <a:solidFill>
              <a:srgbClr val="FF0000"/>
            </a:solidFill>
            <a:effectLst/>
            <a:latin typeface="Arial"/>
            <a:ea typeface="+mn-ea"/>
            <a:cs typeface="Arial"/>
          </a:endParaRPr>
        </a:p>
      </xdr:txBody>
    </xdr:sp>
    <xdr:clientData/>
  </xdr:oneCellAnchor>
  <xdr:oneCellAnchor>
    <xdr:from>
      <xdr:col>6</xdr:col>
      <xdr:colOff>2098431</xdr:colOff>
      <xdr:row>41</xdr:row>
      <xdr:rowOff>116498</xdr:rowOff>
    </xdr:from>
    <xdr:ext cx="343364" cy="117917"/>
    <xdr:sp macro="" textlink="$F$11">
      <xdr:nvSpPr>
        <xdr:cNvPr id="26" name="CasellaDiTesto 25">
          <a:extLst>
            <a:ext uri="{FF2B5EF4-FFF2-40B4-BE49-F238E27FC236}">
              <a16:creationId xmlns:a16="http://schemas.microsoft.com/office/drawing/2014/main" id="{00000000-0008-0000-0E00-00001A000000}"/>
            </a:ext>
          </a:extLst>
        </xdr:cNvPr>
        <xdr:cNvSpPr txBox="1"/>
      </xdr:nvSpPr>
      <xdr:spPr>
        <a:xfrm>
          <a:off x="9870831" y="6955448"/>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DD4896C-2F49-4DD1-A745-F8E8FCBB40CC}" type="TxLink">
            <a:rPr lang="en-US" sz="800" b="1" i="0" u="none" strike="noStrike">
              <a:solidFill>
                <a:srgbClr val="000000"/>
              </a:solidFill>
              <a:effectLst/>
              <a:latin typeface="Arial"/>
              <a:ea typeface="+mn-ea"/>
              <a:cs typeface="Arial"/>
            </a:rPr>
            <a:pPr marL="0" indent="0" algn="l"/>
            <a:t>35,0 °C</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214377</xdr:colOff>
      <xdr:row>52</xdr:row>
      <xdr:rowOff>36634</xdr:rowOff>
    </xdr:from>
    <xdr:ext cx="343364" cy="117917"/>
    <xdr:sp macro="" textlink="$F$8">
      <xdr:nvSpPr>
        <xdr:cNvPr id="27" name="CasellaDiTesto 26">
          <a:extLst>
            <a:ext uri="{FF2B5EF4-FFF2-40B4-BE49-F238E27FC236}">
              <a16:creationId xmlns:a16="http://schemas.microsoft.com/office/drawing/2014/main" id="{00000000-0008-0000-0E00-00001B000000}"/>
            </a:ext>
          </a:extLst>
        </xdr:cNvPr>
        <xdr:cNvSpPr txBox="1"/>
      </xdr:nvSpPr>
      <xdr:spPr>
        <a:xfrm>
          <a:off x="7991259" y="8407428"/>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56225A4-6D7A-4E3A-B8A2-DDCB491A1D05}" type="TxLink">
            <a:rPr lang="en-US" sz="800" b="1" i="0" u="none" strike="noStrike">
              <a:solidFill>
                <a:srgbClr val="0000FF"/>
              </a:solidFill>
              <a:effectLst/>
              <a:latin typeface="Arial"/>
              <a:ea typeface="+mn-ea"/>
              <a:cs typeface="Arial"/>
            </a:rPr>
            <a:pPr marL="0" indent="0" algn="l"/>
            <a:t>12,0 °C</a:t>
          </a:fld>
          <a:endParaRPr lang="en-US" sz="800" b="1" i="0" u="none" strike="noStrike">
            <a:solidFill>
              <a:srgbClr val="0000FF"/>
            </a:solidFill>
            <a:effectLst/>
            <a:latin typeface="Arial"/>
            <a:ea typeface="+mn-ea"/>
            <a:cs typeface="Arial"/>
          </a:endParaRPr>
        </a:p>
      </xdr:txBody>
    </xdr:sp>
    <xdr:clientData/>
  </xdr:oneCellAnchor>
  <xdr:oneCellAnchor>
    <xdr:from>
      <xdr:col>6</xdr:col>
      <xdr:colOff>178777</xdr:colOff>
      <xdr:row>82</xdr:row>
      <xdr:rowOff>144169</xdr:rowOff>
    </xdr:from>
    <xdr:ext cx="444865" cy="117917"/>
    <xdr:sp macro="" textlink="$F$9">
      <xdr:nvSpPr>
        <xdr:cNvPr id="28" name="CasellaDiTesto 27">
          <a:extLst>
            <a:ext uri="{FF2B5EF4-FFF2-40B4-BE49-F238E27FC236}">
              <a16:creationId xmlns:a16="http://schemas.microsoft.com/office/drawing/2014/main" id="{00000000-0008-0000-0E00-00001C000000}"/>
            </a:ext>
          </a:extLst>
        </xdr:cNvPr>
        <xdr:cNvSpPr txBox="1"/>
      </xdr:nvSpPr>
      <xdr:spPr>
        <a:xfrm>
          <a:off x="7955659" y="13232640"/>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C744807-3552-4EB2-9F1A-3A8BAFA40E75}"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207352</xdr:colOff>
      <xdr:row>81</xdr:row>
      <xdr:rowOff>89819</xdr:rowOff>
    </xdr:from>
    <xdr:ext cx="343364" cy="117917"/>
    <xdr:sp macro="" textlink="$F$8">
      <xdr:nvSpPr>
        <xdr:cNvPr id="29" name="CasellaDiTesto 28">
          <a:extLst>
            <a:ext uri="{FF2B5EF4-FFF2-40B4-BE49-F238E27FC236}">
              <a16:creationId xmlns:a16="http://schemas.microsoft.com/office/drawing/2014/main" id="{00000000-0008-0000-0E00-00001D000000}"/>
            </a:ext>
          </a:extLst>
        </xdr:cNvPr>
        <xdr:cNvSpPr txBox="1"/>
      </xdr:nvSpPr>
      <xdr:spPr>
        <a:xfrm>
          <a:off x="7984234" y="13021407"/>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56225A4-6D7A-4E3A-B8A2-DDCB491A1D05}" type="TxLink">
            <a:rPr lang="en-US" sz="800" b="1" i="0" u="none" strike="noStrike">
              <a:solidFill>
                <a:srgbClr val="0000FF"/>
              </a:solidFill>
              <a:effectLst/>
              <a:latin typeface="Arial"/>
              <a:ea typeface="+mn-ea"/>
              <a:cs typeface="Arial"/>
            </a:rPr>
            <a:pPr marL="0" indent="0" algn="l"/>
            <a:t>12,0 °C</a:t>
          </a:fld>
          <a:endParaRPr lang="en-US" sz="800" b="1" i="0" u="none" strike="noStrike">
            <a:solidFill>
              <a:srgbClr val="0000FF"/>
            </a:solidFill>
            <a:effectLst/>
            <a:latin typeface="Arial"/>
            <a:ea typeface="+mn-ea"/>
            <a:cs typeface="Arial"/>
          </a:endParaRPr>
        </a:p>
      </xdr:txBody>
    </xdr:sp>
    <xdr:clientData/>
  </xdr:oneCellAnchor>
  <xdr:oneCellAnchor>
    <xdr:from>
      <xdr:col>6</xdr:col>
      <xdr:colOff>2505420</xdr:colOff>
      <xdr:row>65</xdr:row>
      <xdr:rowOff>87190</xdr:rowOff>
    </xdr:from>
    <xdr:ext cx="467757" cy="117917"/>
    <xdr:sp macro="" textlink="$F$9">
      <xdr:nvSpPr>
        <xdr:cNvPr id="30" name="CasellaDiTesto 29">
          <a:extLst>
            <a:ext uri="{FF2B5EF4-FFF2-40B4-BE49-F238E27FC236}">
              <a16:creationId xmlns:a16="http://schemas.microsoft.com/office/drawing/2014/main" id="{00000000-0008-0000-0E00-00001E000000}"/>
            </a:ext>
          </a:extLst>
        </xdr:cNvPr>
        <xdr:cNvSpPr txBox="1"/>
      </xdr:nvSpPr>
      <xdr:spPr>
        <a:xfrm>
          <a:off x="10282302" y="10508661"/>
          <a:ext cx="467757"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1001EA65-C9FB-4F7A-9800-B0F6C69FB25B}" type="TxLink">
            <a:rPr lang="en-US" sz="800" b="1" i="0" u="none" strike="noStrike">
              <a:solidFill>
                <a:srgbClr val="000000"/>
              </a:solidFill>
              <a:effectLst/>
              <a:latin typeface="Arial"/>
              <a:ea typeface="+mn-ea"/>
              <a:cs typeface="Arial"/>
            </a:rPr>
            <a:pPr marL="0" indent="0" algn="l"/>
            <a:t>12,0 l/min</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2574536</xdr:colOff>
      <xdr:row>66</xdr:row>
      <xdr:rowOff>67290</xdr:rowOff>
    </xdr:from>
    <xdr:ext cx="343364" cy="117917"/>
    <xdr:sp macro="" textlink="$F$6">
      <xdr:nvSpPr>
        <xdr:cNvPr id="31" name="CasellaDiTesto 30">
          <a:extLst>
            <a:ext uri="{FF2B5EF4-FFF2-40B4-BE49-F238E27FC236}">
              <a16:creationId xmlns:a16="http://schemas.microsoft.com/office/drawing/2014/main" id="{00000000-0008-0000-0E00-00001F000000}"/>
            </a:ext>
          </a:extLst>
        </xdr:cNvPr>
        <xdr:cNvSpPr txBox="1"/>
      </xdr:nvSpPr>
      <xdr:spPr>
        <a:xfrm>
          <a:off x="10351418" y="10645643"/>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8E60663-BC41-4FFF-AEEE-F63E6F1B49BD}" type="TxLink">
            <a:rPr lang="en-US" sz="800" b="1" i="0" u="none" strike="noStrike">
              <a:solidFill>
                <a:srgbClr val="FF0000"/>
              </a:solidFill>
              <a:effectLst/>
              <a:latin typeface="Arial"/>
              <a:ea typeface="+mn-ea"/>
              <a:cs typeface="Arial"/>
            </a:rPr>
            <a:pPr marL="0" indent="0" algn="l"/>
            <a:t>40,0 °C</a:t>
          </a:fld>
          <a:endParaRPr lang="en-US" sz="800" b="1" i="0" u="none" strike="noStrike">
            <a:solidFill>
              <a:srgbClr val="FF0000"/>
            </a:solidFill>
            <a:effectLst/>
            <a:latin typeface="Arial"/>
            <a:ea typeface="+mn-ea"/>
            <a:cs typeface="Arial"/>
          </a:endParaRPr>
        </a:p>
      </xdr:txBody>
    </xdr:sp>
    <xdr:clientData/>
  </xdr:oneCellAnchor>
  <xdr:oneCellAnchor>
    <xdr:from>
      <xdr:col>6</xdr:col>
      <xdr:colOff>1992923</xdr:colOff>
      <xdr:row>73</xdr:row>
      <xdr:rowOff>13921</xdr:rowOff>
    </xdr:from>
    <xdr:ext cx="444865" cy="117917"/>
    <xdr:sp macro="" textlink="$F$32">
      <xdr:nvSpPr>
        <xdr:cNvPr id="32" name="CasellaDiTesto 31">
          <a:extLst>
            <a:ext uri="{FF2B5EF4-FFF2-40B4-BE49-F238E27FC236}">
              <a16:creationId xmlns:a16="http://schemas.microsoft.com/office/drawing/2014/main" id="{00000000-0008-0000-0E00-000020000000}"/>
            </a:ext>
          </a:extLst>
        </xdr:cNvPr>
        <xdr:cNvSpPr txBox="1"/>
      </xdr:nvSpPr>
      <xdr:spPr>
        <a:xfrm>
          <a:off x="9765323" y="12043996"/>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68C0E22A-E78A-4DAD-85B0-6A5CF949F0DA}"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2137263</xdr:colOff>
      <xdr:row>70</xdr:row>
      <xdr:rowOff>145807</xdr:rowOff>
    </xdr:from>
    <xdr:ext cx="343364" cy="117917"/>
    <xdr:sp macro="" textlink="$F$11">
      <xdr:nvSpPr>
        <xdr:cNvPr id="33" name="CasellaDiTesto 32">
          <a:extLst>
            <a:ext uri="{FF2B5EF4-FFF2-40B4-BE49-F238E27FC236}">
              <a16:creationId xmlns:a16="http://schemas.microsoft.com/office/drawing/2014/main" id="{00000000-0008-0000-0E00-000021000000}"/>
            </a:ext>
          </a:extLst>
        </xdr:cNvPr>
        <xdr:cNvSpPr txBox="1"/>
      </xdr:nvSpPr>
      <xdr:spPr>
        <a:xfrm>
          <a:off x="9909663" y="11690107"/>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DD4896C-2F49-4DD1-A745-F8E8FCBB40CC}" type="TxLink">
            <a:rPr lang="en-US" sz="800" b="1" i="0" u="none" strike="noStrike">
              <a:solidFill>
                <a:srgbClr val="000000"/>
              </a:solidFill>
              <a:effectLst/>
              <a:latin typeface="Arial"/>
              <a:ea typeface="+mn-ea"/>
              <a:cs typeface="Arial"/>
            </a:rPr>
            <a:pPr marL="0" indent="0" algn="l"/>
            <a:t>35,0 °C</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1607816</xdr:colOff>
      <xdr:row>104</xdr:row>
      <xdr:rowOff>78942</xdr:rowOff>
    </xdr:from>
    <xdr:ext cx="343364" cy="117917"/>
    <xdr:sp macro="" textlink="$F$99">
      <xdr:nvSpPr>
        <xdr:cNvPr id="34" name="CasellaDiTesto 33">
          <a:extLst>
            <a:ext uri="{FF2B5EF4-FFF2-40B4-BE49-F238E27FC236}">
              <a16:creationId xmlns:a16="http://schemas.microsoft.com/office/drawing/2014/main" id="{00000000-0008-0000-0E00-000022000000}"/>
            </a:ext>
          </a:extLst>
        </xdr:cNvPr>
        <xdr:cNvSpPr txBox="1"/>
      </xdr:nvSpPr>
      <xdr:spPr>
        <a:xfrm>
          <a:off x="9384698" y="16630030"/>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66A012A4-8112-4AAB-8197-457634DE78B2}" type="TxLink">
            <a:rPr lang="en-US" sz="800" b="0" i="0" u="none" strike="noStrike">
              <a:solidFill>
                <a:srgbClr val="000000"/>
              </a:solidFill>
              <a:effectLst/>
              <a:latin typeface="Arial"/>
              <a:ea typeface="+mn-ea"/>
              <a:cs typeface="Arial"/>
            </a:rPr>
            <a:pPr marL="0" indent="0" algn="l"/>
            <a:t>30,4 °C</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614957</xdr:colOff>
      <xdr:row>93</xdr:row>
      <xdr:rowOff>135253</xdr:rowOff>
    </xdr:from>
    <xdr:ext cx="343364" cy="117917"/>
    <xdr:sp macro="" textlink="$F$7">
      <xdr:nvSpPr>
        <xdr:cNvPr id="35" name="CasellaDiTesto 34">
          <a:extLst>
            <a:ext uri="{FF2B5EF4-FFF2-40B4-BE49-F238E27FC236}">
              <a16:creationId xmlns:a16="http://schemas.microsoft.com/office/drawing/2014/main" id="{00000000-0008-0000-0E00-000023000000}"/>
            </a:ext>
          </a:extLst>
        </xdr:cNvPr>
        <xdr:cNvSpPr txBox="1"/>
      </xdr:nvSpPr>
      <xdr:spPr>
        <a:xfrm>
          <a:off x="8387357" y="15413353"/>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016B1DB1-77AB-4092-9D77-E6B46ABD048A}" type="TxLink">
            <a:rPr lang="en-US" sz="800" b="0" i="0" u="none" strike="noStrike">
              <a:solidFill>
                <a:srgbClr val="000000"/>
              </a:solidFill>
              <a:effectLst/>
              <a:latin typeface="Arial"/>
              <a:ea typeface="+mn-ea"/>
              <a:cs typeface="Arial"/>
            </a:rPr>
            <a:pPr marL="0" indent="0" algn="l"/>
            <a:t>60,0 °C</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616198</xdr:colOff>
      <xdr:row>90</xdr:row>
      <xdr:rowOff>60744</xdr:rowOff>
    </xdr:from>
    <xdr:ext cx="387798" cy="117917"/>
    <xdr:sp macro="" textlink="$F$101">
      <xdr:nvSpPr>
        <xdr:cNvPr id="36" name="CasellaDiTesto 35">
          <a:extLst>
            <a:ext uri="{FF2B5EF4-FFF2-40B4-BE49-F238E27FC236}">
              <a16:creationId xmlns:a16="http://schemas.microsoft.com/office/drawing/2014/main" id="{00000000-0008-0000-0E00-000024000000}"/>
            </a:ext>
          </a:extLst>
        </xdr:cNvPr>
        <xdr:cNvSpPr txBox="1"/>
      </xdr:nvSpPr>
      <xdr:spPr>
        <a:xfrm>
          <a:off x="8393080" y="14415479"/>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B52C42EC-E35F-4A7D-8094-CE13BB1C0DF7}" type="TxLink">
            <a:rPr lang="en-US" sz="800" b="0" i="0" u="none" strike="noStrike">
              <a:solidFill>
                <a:srgbClr val="000000"/>
              </a:solidFill>
              <a:effectLst/>
              <a:latin typeface="Arial"/>
              <a:ea typeface="+mn-ea"/>
              <a:cs typeface="Arial"/>
            </a:rPr>
            <a:pPr marL="0" indent="0" algn="l"/>
            <a:t>7,0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2402564</xdr:colOff>
      <xdr:row>89</xdr:row>
      <xdr:rowOff>53479</xdr:rowOff>
    </xdr:from>
    <xdr:ext cx="387798" cy="117917"/>
    <xdr:sp macro="" textlink="$F$102">
      <xdr:nvSpPr>
        <xdr:cNvPr id="37" name="CasellaDiTesto 36">
          <a:extLst>
            <a:ext uri="{FF2B5EF4-FFF2-40B4-BE49-F238E27FC236}">
              <a16:creationId xmlns:a16="http://schemas.microsoft.com/office/drawing/2014/main" id="{00000000-0008-0000-0E00-000025000000}"/>
            </a:ext>
          </a:extLst>
        </xdr:cNvPr>
        <xdr:cNvSpPr txBox="1"/>
      </xdr:nvSpPr>
      <xdr:spPr>
        <a:xfrm>
          <a:off x="10174964" y="14683879"/>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764C2DE5-149E-44AD-AB7A-D08A07C1E33A}" type="TxLink">
            <a:rPr lang="en-US" sz="800" b="0" i="0" u="none" strike="noStrike">
              <a:solidFill>
                <a:srgbClr val="000000"/>
              </a:solidFill>
              <a:effectLst/>
              <a:latin typeface="Arial"/>
              <a:ea typeface="+mn-ea"/>
              <a:cs typeface="Arial"/>
            </a:rPr>
            <a:pPr marL="0" indent="0" algn="l"/>
            <a:t>5,0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1574845</xdr:colOff>
      <xdr:row>105</xdr:row>
      <xdr:rowOff>154408</xdr:rowOff>
    </xdr:from>
    <xdr:ext cx="387798" cy="117917"/>
    <xdr:sp macro="" textlink="$F$101">
      <xdr:nvSpPr>
        <xdr:cNvPr id="38" name="CasellaDiTesto 37">
          <a:extLst>
            <a:ext uri="{FF2B5EF4-FFF2-40B4-BE49-F238E27FC236}">
              <a16:creationId xmlns:a16="http://schemas.microsoft.com/office/drawing/2014/main" id="{00000000-0008-0000-0E00-000026000000}"/>
            </a:ext>
          </a:extLst>
        </xdr:cNvPr>
        <xdr:cNvSpPr txBox="1"/>
      </xdr:nvSpPr>
      <xdr:spPr>
        <a:xfrm>
          <a:off x="9351727" y="16862379"/>
          <a:ext cx="387798"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904A5D2-FADB-44FF-8797-C7331F6D2C78}" type="TxLink">
            <a:rPr lang="en-US" sz="800" b="0" i="0" u="none" strike="noStrike">
              <a:solidFill>
                <a:srgbClr val="000000"/>
              </a:solidFill>
              <a:effectLst/>
              <a:latin typeface="Arial"/>
              <a:ea typeface="+mn-ea"/>
              <a:cs typeface="Arial"/>
            </a:rPr>
            <a:pPr marL="0" indent="0" algn="l"/>
            <a:t>7,0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121374</xdr:colOff>
      <xdr:row>113</xdr:row>
      <xdr:rowOff>30814</xdr:rowOff>
    </xdr:from>
    <xdr:ext cx="444865" cy="117917"/>
    <xdr:sp macro="" textlink="$F$9">
      <xdr:nvSpPr>
        <xdr:cNvPr id="39" name="CasellaDiTesto 38">
          <a:extLst>
            <a:ext uri="{FF2B5EF4-FFF2-40B4-BE49-F238E27FC236}">
              <a16:creationId xmlns:a16="http://schemas.microsoft.com/office/drawing/2014/main" id="{00000000-0008-0000-0E00-000027000000}"/>
            </a:ext>
          </a:extLst>
        </xdr:cNvPr>
        <xdr:cNvSpPr txBox="1"/>
      </xdr:nvSpPr>
      <xdr:spPr>
        <a:xfrm>
          <a:off x="7898256" y="17993843"/>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0C744807-3552-4EB2-9F1A-3A8BAFA40E75}"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149949</xdr:colOff>
      <xdr:row>111</xdr:row>
      <xdr:rowOff>144552</xdr:rowOff>
    </xdr:from>
    <xdr:ext cx="343364" cy="117917"/>
    <xdr:sp macro="" textlink="$F$8">
      <xdr:nvSpPr>
        <xdr:cNvPr id="40" name="CasellaDiTesto 39">
          <a:extLst>
            <a:ext uri="{FF2B5EF4-FFF2-40B4-BE49-F238E27FC236}">
              <a16:creationId xmlns:a16="http://schemas.microsoft.com/office/drawing/2014/main" id="{00000000-0008-0000-0E00-000028000000}"/>
            </a:ext>
          </a:extLst>
        </xdr:cNvPr>
        <xdr:cNvSpPr txBox="1"/>
      </xdr:nvSpPr>
      <xdr:spPr>
        <a:xfrm>
          <a:off x="7926831" y="17793817"/>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E56225A4-6D7A-4E3A-B8A2-DDCB491A1D05}" type="TxLink">
            <a:rPr lang="en-US" sz="800" b="1" i="0" u="none" strike="noStrike">
              <a:solidFill>
                <a:srgbClr val="0000FF"/>
              </a:solidFill>
              <a:effectLst/>
              <a:latin typeface="Arial"/>
              <a:ea typeface="+mn-ea"/>
              <a:cs typeface="Arial"/>
            </a:rPr>
            <a:pPr marL="0" indent="0" algn="l"/>
            <a:t>12,0 °C</a:t>
          </a:fld>
          <a:endParaRPr lang="en-US" sz="800" b="1" i="0" u="none" strike="noStrike">
            <a:solidFill>
              <a:srgbClr val="0000FF"/>
            </a:solidFill>
            <a:effectLst/>
            <a:latin typeface="Arial"/>
            <a:ea typeface="+mn-ea"/>
            <a:cs typeface="Arial"/>
          </a:endParaRPr>
        </a:p>
      </xdr:txBody>
    </xdr:sp>
    <xdr:clientData/>
  </xdr:oneCellAnchor>
  <xdr:oneCellAnchor>
    <xdr:from>
      <xdr:col>6</xdr:col>
      <xdr:colOff>2503652</xdr:colOff>
      <xdr:row>94</xdr:row>
      <xdr:rowOff>101510</xdr:rowOff>
    </xdr:from>
    <xdr:ext cx="467757" cy="117917"/>
    <xdr:sp macro="" textlink="$F$9">
      <xdr:nvSpPr>
        <xdr:cNvPr id="41" name="CasellaDiTesto 40">
          <a:extLst>
            <a:ext uri="{FF2B5EF4-FFF2-40B4-BE49-F238E27FC236}">
              <a16:creationId xmlns:a16="http://schemas.microsoft.com/office/drawing/2014/main" id="{00000000-0008-0000-0E00-000029000000}"/>
            </a:ext>
          </a:extLst>
        </xdr:cNvPr>
        <xdr:cNvSpPr txBox="1"/>
      </xdr:nvSpPr>
      <xdr:spPr>
        <a:xfrm>
          <a:off x="10280534" y="15083775"/>
          <a:ext cx="467757"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1001EA65-C9FB-4F7A-9800-B0F6C69FB25B}" type="TxLink">
            <a:rPr lang="en-US" sz="800" b="1" i="0" u="none" strike="noStrike">
              <a:solidFill>
                <a:srgbClr val="000000"/>
              </a:solidFill>
              <a:effectLst/>
              <a:latin typeface="Arial"/>
              <a:ea typeface="+mn-ea"/>
              <a:cs typeface="Arial"/>
            </a:rPr>
            <a:pPr marL="0" indent="0" algn="l"/>
            <a:t>12,0 l/min</a:t>
          </a:fld>
          <a:endParaRPr lang="en-US" sz="800" b="1" i="0" u="none" strike="noStrike">
            <a:solidFill>
              <a:srgbClr val="000000"/>
            </a:solidFill>
            <a:effectLst/>
            <a:latin typeface="Arial"/>
            <a:ea typeface="+mn-ea"/>
            <a:cs typeface="Arial"/>
          </a:endParaRPr>
        </a:p>
      </xdr:txBody>
    </xdr:sp>
    <xdr:clientData/>
  </xdr:oneCellAnchor>
  <xdr:oneCellAnchor>
    <xdr:from>
      <xdr:col>6</xdr:col>
      <xdr:colOff>2569320</xdr:colOff>
      <xdr:row>95</xdr:row>
      <xdr:rowOff>103012</xdr:rowOff>
    </xdr:from>
    <xdr:ext cx="343364" cy="117917"/>
    <xdr:sp macro="" textlink="$F$6">
      <xdr:nvSpPr>
        <xdr:cNvPr id="42" name="CasellaDiTesto 41">
          <a:extLst>
            <a:ext uri="{FF2B5EF4-FFF2-40B4-BE49-F238E27FC236}">
              <a16:creationId xmlns:a16="http://schemas.microsoft.com/office/drawing/2014/main" id="{00000000-0008-0000-0E00-00002A000000}"/>
            </a:ext>
          </a:extLst>
        </xdr:cNvPr>
        <xdr:cNvSpPr txBox="1"/>
      </xdr:nvSpPr>
      <xdr:spPr>
        <a:xfrm>
          <a:off x="10346202" y="15242159"/>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8E60663-BC41-4FFF-AEEE-F63E6F1B49BD}" type="TxLink">
            <a:rPr lang="en-US" sz="800" b="1" i="0" u="none" strike="noStrike">
              <a:solidFill>
                <a:srgbClr val="FF0000"/>
              </a:solidFill>
              <a:effectLst/>
              <a:latin typeface="Arial"/>
              <a:ea typeface="+mn-ea"/>
              <a:cs typeface="Arial"/>
            </a:rPr>
            <a:pPr marL="0" indent="0" algn="l"/>
            <a:t>40,0 °C</a:t>
          </a:fld>
          <a:endParaRPr lang="en-US" sz="800" b="1" i="0" u="none" strike="noStrike">
            <a:solidFill>
              <a:srgbClr val="FF0000"/>
            </a:solidFill>
            <a:effectLst/>
            <a:latin typeface="Arial"/>
            <a:ea typeface="+mn-ea"/>
            <a:cs typeface="Arial"/>
          </a:endParaRPr>
        </a:p>
      </xdr:txBody>
    </xdr:sp>
    <xdr:clientData/>
  </xdr:oneCellAnchor>
  <xdr:oneCellAnchor>
    <xdr:from>
      <xdr:col>6</xdr:col>
      <xdr:colOff>1970883</xdr:colOff>
      <xdr:row>102</xdr:row>
      <xdr:rowOff>113298</xdr:rowOff>
    </xdr:from>
    <xdr:ext cx="444865" cy="117917"/>
    <xdr:sp macro="" textlink="$F$32">
      <xdr:nvSpPr>
        <xdr:cNvPr id="43" name="CasellaDiTesto 42">
          <a:extLst>
            <a:ext uri="{FF2B5EF4-FFF2-40B4-BE49-F238E27FC236}">
              <a16:creationId xmlns:a16="http://schemas.microsoft.com/office/drawing/2014/main" id="{00000000-0008-0000-0E00-00002B000000}"/>
            </a:ext>
          </a:extLst>
        </xdr:cNvPr>
        <xdr:cNvSpPr txBox="1"/>
      </xdr:nvSpPr>
      <xdr:spPr>
        <a:xfrm>
          <a:off x="9743283" y="16848723"/>
          <a:ext cx="444865"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indent="0" algn="l"/>
          <a:fld id="{68C0E22A-E78A-4DAD-85B0-6A5CF949F0DA}" type="TxLink">
            <a:rPr lang="en-US" sz="800" b="0" i="0" u="none" strike="noStrike">
              <a:solidFill>
                <a:srgbClr val="000000"/>
              </a:solidFill>
              <a:effectLst/>
              <a:latin typeface="Arial"/>
              <a:ea typeface="+mn-ea"/>
              <a:cs typeface="Arial"/>
            </a:rPr>
            <a:pPr marL="0" indent="0" algn="l"/>
            <a:t>12,0 l/min</a:t>
          </a:fld>
          <a:endParaRPr lang="en-US" sz="800" b="0" i="0" u="none" strike="noStrike">
            <a:solidFill>
              <a:srgbClr val="000000"/>
            </a:solidFill>
            <a:effectLst/>
            <a:latin typeface="Arial"/>
            <a:ea typeface="+mn-ea"/>
            <a:cs typeface="Arial"/>
          </a:endParaRPr>
        </a:p>
      </xdr:txBody>
    </xdr:sp>
    <xdr:clientData/>
  </xdr:oneCellAnchor>
  <xdr:oneCellAnchor>
    <xdr:from>
      <xdr:col>6</xdr:col>
      <xdr:colOff>2147132</xdr:colOff>
      <xdr:row>100</xdr:row>
      <xdr:rowOff>91076</xdr:rowOff>
    </xdr:from>
    <xdr:ext cx="343364" cy="117917"/>
    <xdr:sp macro="" textlink="$F$11">
      <xdr:nvSpPr>
        <xdr:cNvPr id="44" name="CasellaDiTesto 43">
          <a:extLst>
            <a:ext uri="{FF2B5EF4-FFF2-40B4-BE49-F238E27FC236}">
              <a16:creationId xmlns:a16="http://schemas.microsoft.com/office/drawing/2014/main" id="{00000000-0008-0000-0E00-00002C000000}"/>
            </a:ext>
          </a:extLst>
        </xdr:cNvPr>
        <xdr:cNvSpPr txBox="1"/>
      </xdr:nvSpPr>
      <xdr:spPr>
        <a:xfrm>
          <a:off x="9924014" y="16014635"/>
          <a:ext cx="343364" cy="11791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marL="0" indent="0" algn="l"/>
          <a:fld id="{ADD4896C-2F49-4DD1-A745-F8E8FCBB40CC}" type="TxLink">
            <a:rPr lang="en-US" sz="800" b="1" i="0" u="none" strike="noStrike">
              <a:solidFill>
                <a:srgbClr val="000000"/>
              </a:solidFill>
              <a:effectLst/>
              <a:latin typeface="Arial"/>
              <a:ea typeface="+mn-ea"/>
              <a:cs typeface="Arial"/>
            </a:rPr>
            <a:pPr marL="0" indent="0" algn="l"/>
            <a:t>35,0 °C</a:t>
          </a:fld>
          <a:endParaRPr lang="en-US" sz="800" b="1" i="0" u="none" strike="noStrike">
            <a:solidFill>
              <a:srgbClr val="000000"/>
            </a:solidFill>
            <a:effectLst/>
            <a:latin typeface="Arial"/>
            <a:ea typeface="+mn-ea"/>
            <a:cs typeface="Arial"/>
          </a:endParaRPr>
        </a:p>
      </xdr:txBody>
    </xdr:sp>
    <xdr:clientData/>
  </xdr:oneCellAnchor>
  <xdr:twoCellAnchor editAs="oneCell">
    <xdr:from>
      <xdr:col>6</xdr:col>
      <xdr:colOff>82827</xdr:colOff>
      <xdr:row>116</xdr:row>
      <xdr:rowOff>115956</xdr:rowOff>
    </xdr:from>
    <xdr:to>
      <xdr:col>6</xdr:col>
      <xdr:colOff>3377357</xdr:colOff>
      <xdr:row>143</xdr:row>
      <xdr:rowOff>98234</xdr:rowOff>
    </xdr:to>
    <xdr:pic>
      <xdr:nvPicPr>
        <xdr:cNvPr id="2" name="Immagin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7851914" y="19546956"/>
          <a:ext cx="3294530" cy="4454887"/>
        </a:xfrm>
        <a:prstGeom prst="rect">
          <a:avLst/>
        </a:prstGeom>
      </xdr:spPr>
    </xdr:pic>
    <xdr:clientData/>
  </xdr:twoCellAnchor>
  <xdr:oneCellAnchor>
    <xdr:from>
      <xdr:col>6</xdr:col>
      <xdr:colOff>2442480</xdr:colOff>
      <xdr:row>125</xdr:row>
      <xdr:rowOff>64676</xdr:rowOff>
    </xdr:from>
    <xdr:ext cx="285335" cy="125227"/>
    <xdr:sp macro="" textlink="">
      <xdr:nvSpPr>
        <xdr:cNvPr id="3" name="CasellaDiTesto 2">
          <a:extLst>
            <a:ext uri="{FF2B5EF4-FFF2-40B4-BE49-F238E27FC236}">
              <a16:creationId xmlns:a16="http://schemas.microsoft.com/office/drawing/2014/main" id="{00000000-0008-0000-0E00-000003000000}"/>
            </a:ext>
          </a:extLst>
        </xdr:cNvPr>
        <xdr:cNvSpPr txBox="1"/>
      </xdr:nvSpPr>
      <xdr:spPr>
        <a:xfrm>
          <a:off x="10211567" y="20986546"/>
          <a:ext cx="285335"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l-GR" sz="800" b="1" i="1">
              <a:solidFill>
                <a:srgbClr val="FF0000"/>
              </a:solidFill>
              <a:effectLst/>
              <a:latin typeface="Arial" panose="020B0604020202020204" pitchFamily="34" charset="0"/>
              <a:ea typeface="+mn-ea"/>
              <a:cs typeface="Arial" panose="020B0604020202020204" pitchFamily="34" charset="0"/>
            </a:rPr>
            <a:t>θ</a:t>
          </a:r>
          <a:r>
            <a:rPr lang="it-IT" sz="800" b="1" i="1" baseline="-25000">
              <a:solidFill>
                <a:srgbClr val="FF0000"/>
              </a:solidFill>
              <a:effectLst/>
              <a:latin typeface="Calibri" panose="020F0502020204030204" pitchFamily="34" charset="0"/>
              <a:ea typeface="+mn-ea"/>
              <a:cs typeface="Calibri" panose="020F0502020204030204" pitchFamily="34" charset="0"/>
            </a:rPr>
            <a:t>W;draw</a:t>
          </a:r>
          <a:endParaRPr lang="en-US" sz="800" b="1" i="1" baseline="-25000">
            <a:solidFill>
              <a:srgbClr val="FF0000"/>
            </a:solidFill>
            <a:effectLst/>
            <a:latin typeface="+mn-lt"/>
            <a:ea typeface="+mn-ea"/>
            <a:cs typeface="+mn-cs"/>
          </a:endParaRPr>
        </a:p>
      </xdr:txBody>
    </xdr:sp>
    <xdr:clientData/>
  </xdr:oneCellAnchor>
  <xdr:oneCellAnchor>
    <xdr:from>
      <xdr:col>6</xdr:col>
      <xdr:colOff>2065750</xdr:colOff>
      <xdr:row>129</xdr:row>
      <xdr:rowOff>106537</xdr:rowOff>
    </xdr:from>
    <xdr:ext cx="323102" cy="140872"/>
    <xdr:sp macro="" textlink="">
      <xdr:nvSpPr>
        <xdr:cNvPr id="4" name="CasellaDiTesto 3">
          <a:extLst>
            <a:ext uri="{FF2B5EF4-FFF2-40B4-BE49-F238E27FC236}">
              <a16:creationId xmlns:a16="http://schemas.microsoft.com/office/drawing/2014/main" id="{00000000-0008-0000-0E00-000004000000}"/>
            </a:ext>
          </a:extLst>
        </xdr:cNvPr>
        <xdr:cNvSpPr txBox="1"/>
      </xdr:nvSpPr>
      <xdr:spPr>
        <a:xfrm>
          <a:off x="9834837" y="21691015"/>
          <a:ext cx="323102"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W;drain</a:t>
          </a:r>
          <a:endParaRPr lang="en-US" sz="900" b="1" i="1" baseline="-25000">
            <a:solidFill>
              <a:schemeClr val="tx1"/>
            </a:solidFill>
            <a:effectLst/>
            <a:latin typeface="+mn-lt"/>
            <a:ea typeface="+mn-ea"/>
            <a:cs typeface="+mn-cs"/>
          </a:endParaRPr>
        </a:p>
      </xdr:txBody>
    </xdr:sp>
    <xdr:clientData/>
  </xdr:oneCellAnchor>
  <xdr:oneCellAnchor>
    <xdr:from>
      <xdr:col>6</xdr:col>
      <xdr:colOff>165654</xdr:colOff>
      <xdr:row>140</xdr:row>
      <xdr:rowOff>15236</xdr:rowOff>
    </xdr:from>
    <xdr:ext cx="388326" cy="140872"/>
    <xdr:sp macro="" textlink="">
      <xdr:nvSpPr>
        <xdr:cNvPr id="48" name="CasellaDiTesto 47">
          <a:extLst>
            <a:ext uri="{FF2B5EF4-FFF2-40B4-BE49-F238E27FC236}">
              <a16:creationId xmlns:a16="http://schemas.microsoft.com/office/drawing/2014/main" id="{00000000-0008-0000-0E00-000030000000}"/>
            </a:ext>
          </a:extLst>
        </xdr:cNvPr>
        <xdr:cNvSpPr txBox="1"/>
      </xdr:nvSpPr>
      <xdr:spPr>
        <a:xfrm>
          <a:off x="7934741" y="23421888"/>
          <a:ext cx="388326" cy="1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900" b="1" i="1">
              <a:solidFill>
                <a:srgbClr val="0000FF"/>
              </a:solidFill>
              <a:effectLst/>
              <a:latin typeface="Arial" panose="020B0604020202020204" pitchFamily="34" charset="0"/>
              <a:ea typeface="+mn-ea"/>
              <a:cs typeface="Arial" panose="020B0604020202020204" pitchFamily="34" charset="0"/>
            </a:rPr>
            <a:t>θ</a:t>
          </a:r>
          <a:r>
            <a:rPr lang="it-IT" sz="900" b="1" i="1" baseline="-25000">
              <a:solidFill>
                <a:srgbClr val="0000FF"/>
              </a:solidFill>
              <a:effectLst/>
              <a:latin typeface="Calibri" panose="020F0502020204030204" pitchFamily="34" charset="0"/>
              <a:ea typeface="+mn-ea"/>
              <a:cs typeface="Calibri" panose="020F0502020204030204" pitchFamily="34" charset="0"/>
            </a:rPr>
            <a:t>W;cold</a:t>
          </a:r>
          <a:endParaRPr lang="en-US" sz="900" b="1" i="1" baseline="-25000">
            <a:solidFill>
              <a:srgbClr val="0000FF"/>
            </a:solidFill>
            <a:effectLst/>
            <a:latin typeface="+mn-lt"/>
            <a:ea typeface="+mn-ea"/>
            <a:cs typeface="+mn-cs"/>
          </a:endParaRPr>
        </a:p>
      </xdr:txBody>
    </xdr:sp>
    <xdr:clientData/>
  </xdr:oneCellAnchor>
  <xdr:oneCellAnchor>
    <xdr:from>
      <xdr:col>6</xdr:col>
      <xdr:colOff>2425405</xdr:colOff>
      <xdr:row>124</xdr:row>
      <xdr:rowOff>57160</xdr:rowOff>
    </xdr:from>
    <xdr:ext cx="320922" cy="125227"/>
    <xdr:sp macro="" textlink="">
      <xdr:nvSpPr>
        <xdr:cNvPr id="49" name="CasellaDiTesto 48">
          <a:extLst>
            <a:ext uri="{FF2B5EF4-FFF2-40B4-BE49-F238E27FC236}">
              <a16:creationId xmlns:a16="http://schemas.microsoft.com/office/drawing/2014/main" id="{00000000-0008-0000-0E00-000031000000}"/>
            </a:ext>
          </a:extLst>
        </xdr:cNvPr>
        <xdr:cNvSpPr txBox="1"/>
      </xdr:nvSpPr>
      <xdr:spPr>
        <a:xfrm>
          <a:off x="10194492" y="20813377"/>
          <a:ext cx="320922"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W;draw</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1543754</xdr:colOff>
      <xdr:row>140</xdr:row>
      <xdr:rowOff>3449</xdr:rowOff>
    </xdr:from>
    <xdr:ext cx="388326" cy="125227"/>
    <xdr:sp macro="" textlink="">
      <xdr:nvSpPr>
        <xdr:cNvPr id="50" name="CasellaDiTesto 49">
          <a:extLst>
            <a:ext uri="{FF2B5EF4-FFF2-40B4-BE49-F238E27FC236}">
              <a16:creationId xmlns:a16="http://schemas.microsoft.com/office/drawing/2014/main" id="{00000000-0008-0000-0E00-000032000000}"/>
            </a:ext>
          </a:extLst>
        </xdr:cNvPr>
        <xdr:cNvSpPr txBox="1"/>
      </xdr:nvSpPr>
      <xdr:spPr>
        <a:xfrm>
          <a:off x="9312841" y="23410101"/>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W;wwhr</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2165140</xdr:colOff>
      <xdr:row>131</xdr:row>
      <xdr:rowOff>61301</xdr:rowOff>
    </xdr:from>
    <xdr:ext cx="388326" cy="125227"/>
    <xdr:sp macro="" textlink="">
      <xdr:nvSpPr>
        <xdr:cNvPr id="51" name="CasellaDiTesto 50">
          <a:extLst>
            <a:ext uri="{FF2B5EF4-FFF2-40B4-BE49-F238E27FC236}">
              <a16:creationId xmlns:a16="http://schemas.microsoft.com/office/drawing/2014/main" id="{00000000-0008-0000-0E00-000033000000}"/>
            </a:ext>
          </a:extLst>
        </xdr:cNvPr>
        <xdr:cNvSpPr txBox="1"/>
      </xdr:nvSpPr>
      <xdr:spPr>
        <a:xfrm>
          <a:off x="9934227" y="21977084"/>
          <a:ext cx="38832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W;drain</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659169</xdr:colOff>
      <xdr:row>120</xdr:row>
      <xdr:rowOff>33138</xdr:rowOff>
    </xdr:from>
    <xdr:ext cx="245195" cy="140872"/>
    <xdr:sp macro="" textlink="">
      <xdr:nvSpPr>
        <xdr:cNvPr id="52" name="CasellaDiTesto 51">
          <a:extLst>
            <a:ext uri="{FF2B5EF4-FFF2-40B4-BE49-F238E27FC236}">
              <a16:creationId xmlns:a16="http://schemas.microsoft.com/office/drawing/2014/main" id="{00000000-0008-0000-0E00-000034000000}"/>
            </a:ext>
          </a:extLst>
        </xdr:cNvPr>
        <xdr:cNvSpPr txBox="1"/>
      </xdr:nvSpPr>
      <xdr:spPr>
        <a:xfrm>
          <a:off x="8428256" y="20126747"/>
          <a:ext cx="245195" cy="140872"/>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lgn="l"/>
          <a:r>
            <a:rPr lang="el-GR" sz="900" b="1" i="1">
              <a:solidFill>
                <a:schemeClr val="tx1"/>
              </a:solidFill>
              <a:effectLst/>
              <a:latin typeface="Arial" panose="020B0604020202020204" pitchFamily="34" charset="0"/>
              <a:ea typeface="+mn-ea"/>
              <a:cs typeface="Arial" panose="020B0604020202020204" pitchFamily="34" charset="0"/>
            </a:rPr>
            <a:t>θ</a:t>
          </a:r>
          <a:r>
            <a:rPr lang="it-IT" sz="900" b="1" i="1" baseline="-25000">
              <a:solidFill>
                <a:schemeClr val="tx1"/>
              </a:solidFill>
              <a:effectLst/>
              <a:latin typeface="Calibri" panose="020F0502020204030204" pitchFamily="34" charset="0"/>
              <a:ea typeface="+mn-ea"/>
              <a:cs typeface="Calibri" panose="020F0502020204030204" pitchFamily="34" charset="0"/>
            </a:rPr>
            <a:t>W;dis</a:t>
          </a:r>
          <a:endParaRPr lang="en-US" sz="900" b="1" i="1" baseline="-25000">
            <a:solidFill>
              <a:schemeClr val="tx1"/>
            </a:solidFill>
            <a:effectLst/>
            <a:latin typeface="+mn-lt"/>
            <a:ea typeface="+mn-ea"/>
            <a:cs typeface="+mn-cs"/>
          </a:endParaRPr>
        </a:p>
      </xdr:txBody>
    </xdr:sp>
    <xdr:clientData/>
  </xdr:oneCellAnchor>
  <xdr:oneCellAnchor>
    <xdr:from>
      <xdr:col>6</xdr:col>
      <xdr:colOff>627888</xdr:colOff>
      <xdr:row>121</xdr:row>
      <xdr:rowOff>64614</xdr:rowOff>
    </xdr:from>
    <xdr:ext cx="253467" cy="125227"/>
    <xdr:sp macro="" textlink="">
      <xdr:nvSpPr>
        <xdr:cNvPr id="53" name="CasellaDiTesto 52">
          <a:extLst>
            <a:ext uri="{FF2B5EF4-FFF2-40B4-BE49-F238E27FC236}">
              <a16:creationId xmlns:a16="http://schemas.microsoft.com/office/drawing/2014/main" id="{00000000-0008-0000-0E00-000035000000}"/>
            </a:ext>
          </a:extLst>
        </xdr:cNvPr>
        <xdr:cNvSpPr txBox="1"/>
      </xdr:nvSpPr>
      <xdr:spPr>
        <a:xfrm>
          <a:off x="8402669" y="19751598"/>
          <a:ext cx="253467" cy="125227"/>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rPr>
            <a:t>V'</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W;dis</a:t>
          </a:r>
          <a:endParaRPr lang="en-US" sz="800" b="1" i="1" baseline="-25000">
            <a:solidFill>
              <a:sysClr val="windowText" lastClr="000000"/>
            </a:solidFill>
            <a:effectLst/>
            <a:latin typeface="+mn-lt"/>
            <a:ea typeface="+mn-ea"/>
            <a:cs typeface="+mn-cs"/>
          </a:endParaRPr>
        </a:p>
      </xdr:txBody>
    </xdr:sp>
    <xdr:clientData/>
  </xdr:oneCellAnchor>
  <xdr:oneCellAnchor>
    <xdr:from>
      <xdr:col>6</xdr:col>
      <xdr:colOff>2260649</xdr:colOff>
      <xdr:row>135</xdr:row>
      <xdr:rowOff>152928</xdr:rowOff>
    </xdr:from>
    <xdr:ext cx="224100" cy="130741"/>
    <xdr:sp macro="" textlink="">
      <xdr:nvSpPr>
        <xdr:cNvPr id="54" name="CasellaDiTesto 53">
          <a:extLst>
            <a:ext uri="{FF2B5EF4-FFF2-40B4-BE49-F238E27FC236}">
              <a16:creationId xmlns:a16="http://schemas.microsoft.com/office/drawing/2014/main" id="{00000000-0008-0000-0E00-000036000000}"/>
            </a:ext>
          </a:extLst>
        </xdr:cNvPr>
        <xdr:cNvSpPr txBox="1"/>
      </xdr:nvSpPr>
      <xdr:spPr>
        <a:xfrm>
          <a:off x="10035430" y="22090194"/>
          <a:ext cx="224100" cy="130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800" b="1" i="1">
              <a:solidFill>
                <a:sysClr val="windowText" lastClr="000000"/>
              </a:solidFill>
              <a:effectLst/>
              <a:latin typeface="Arial" panose="020B0604020202020204" pitchFamily="34" charset="0"/>
              <a:ea typeface="+mn-ea"/>
              <a:cs typeface="Arial" panose="020B0604020202020204" pitchFamily="34" charset="0"/>
              <a:sym typeface="Symbol" panose="05050102010706020507" pitchFamily="18" charset="2"/>
            </a:rPr>
            <a:t></a:t>
          </a:r>
          <a:r>
            <a:rPr lang="it-IT" sz="800" b="1" i="1" baseline="-25000">
              <a:solidFill>
                <a:sysClr val="windowText" lastClr="000000"/>
              </a:solidFill>
              <a:effectLst/>
              <a:latin typeface="Calibri" panose="020F0502020204030204" pitchFamily="34" charset="0"/>
              <a:ea typeface="+mn-ea"/>
              <a:cs typeface="Calibri" panose="020F0502020204030204" pitchFamily="34" charset="0"/>
            </a:rPr>
            <a:t>wwhr</a:t>
          </a:r>
          <a:endParaRPr lang="en-US" sz="800" b="1" i="1" baseline="-25000">
            <a:solidFill>
              <a:sysClr val="windowText" lastClr="000000"/>
            </a:solidFill>
            <a:effectLst/>
            <a:latin typeface="+mn-lt"/>
            <a:ea typeface="+mn-ea"/>
            <a:cs typeface="+mn-cs"/>
          </a:endParaRPr>
        </a:p>
      </xdr:txBody>
    </xdr:sp>
    <xdr:clientData/>
  </xdr:oneCellAnchor>
  <xdr:twoCellAnchor>
    <xdr:from>
      <xdr:col>6</xdr:col>
      <xdr:colOff>2565797</xdr:colOff>
      <xdr:row>135</xdr:row>
      <xdr:rowOff>23812</xdr:rowOff>
    </xdr:from>
    <xdr:to>
      <xdr:col>6</xdr:col>
      <xdr:colOff>3321844</xdr:colOff>
      <xdr:row>140</xdr:row>
      <xdr:rowOff>59531</xdr:rowOff>
    </xdr:to>
    <xdr:sp macro="" textlink="">
      <xdr:nvSpPr>
        <xdr:cNvPr id="55" name="Scorrimento verticale 54">
          <a:extLst>
            <a:ext uri="{FF2B5EF4-FFF2-40B4-BE49-F238E27FC236}">
              <a16:creationId xmlns:a16="http://schemas.microsoft.com/office/drawing/2014/main" id="{00000000-0008-0000-0E00-000037000000}"/>
            </a:ext>
          </a:extLst>
        </xdr:cNvPr>
        <xdr:cNvSpPr/>
      </xdr:nvSpPr>
      <xdr:spPr>
        <a:xfrm>
          <a:off x="10340578" y="21961078"/>
          <a:ext cx="756047" cy="839391"/>
        </a:xfrm>
        <a:prstGeom prst="verticalScroll">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700">
              <a:solidFill>
                <a:schemeClr val="tx1"/>
              </a:solidFill>
              <a:sym typeface="Symbol" panose="05050102010706020507" pitchFamily="18" charset="2"/>
            </a:rPr>
            <a:t>Test data</a:t>
          </a:r>
        </a:p>
        <a:p>
          <a:pPr algn="l"/>
          <a:r>
            <a:rPr lang="en-US" sz="700">
              <a:solidFill>
                <a:schemeClr val="tx1"/>
              </a:solidFill>
              <a:sym typeface="Symbol" panose="05050102010706020507" pitchFamily="18" charset="2"/>
            </a:rPr>
            <a:t></a:t>
          </a:r>
          <a:r>
            <a:rPr lang="en-US" sz="700" baseline="-25000">
              <a:solidFill>
                <a:schemeClr val="tx1"/>
              </a:solidFill>
              <a:sym typeface="Symbol" panose="05050102010706020507" pitchFamily="18" charset="2"/>
            </a:rPr>
            <a:t>wwhr;12;12</a:t>
          </a:r>
          <a:endParaRPr lang="en-US" sz="700" baseline="0">
            <a:solidFill>
              <a:schemeClr val="tx1"/>
            </a:solidFill>
            <a:sym typeface="Symbol" panose="05050102010706020507" pitchFamily="18" charset="2"/>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700">
              <a:solidFill>
                <a:schemeClr val="tx1"/>
              </a:solidFill>
              <a:effectLst/>
              <a:latin typeface="+mn-lt"/>
              <a:ea typeface="+mn-ea"/>
              <a:cs typeface="+mn-cs"/>
              <a:sym typeface="Symbol" panose="05050102010706020507" pitchFamily="18" charset="2"/>
            </a:rPr>
            <a:t></a:t>
          </a:r>
          <a:r>
            <a:rPr lang="en-US" sz="700" baseline="-25000">
              <a:solidFill>
                <a:schemeClr val="tx1"/>
              </a:solidFill>
              <a:effectLst/>
              <a:latin typeface="+mn-lt"/>
              <a:ea typeface="+mn-ea"/>
              <a:cs typeface="+mn-cs"/>
            </a:rPr>
            <a:t>wwhr;06;06</a:t>
          </a:r>
          <a:endParaRPr lang="en-US" sz="700">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700">
              <a:solidFill>
                <a:schemeClr val="tx1"/>
              </a:solidFill>
              <a:effectLst/>
              <a:latin typeface="+mn-lt"/>
              <a:ea typeface="+mn-ea"/>
              <a:cs typeface="+mn-cs"/>
              <a:sym typeface="Symbol" panose="05050102010706020507" pitchFamily="18" charset="2"/>
            </a:rPr>
            <a:t></a:t>
          </a:r>
          <a:r>
            <a:rPr lang="en-US" sz="700" baseline="-25000">
              <a:solidFill>
                <a:schemeClr val="tx1"/>
              </a:solidFill>
              <a:effectLst/>
              <a:latin typeface="+mn-lt"/>
              <a:ea typeface="+mn-ea"/>
              <a:cs typeface="+mn-cs"/>
            </a:rPr>
            <a:t>wwhr;12;06</a:t>
          </a:r>
          <a:endParaRPr lang="en-US" sz="700"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700" baseline="0">
              <a:solidFill>
                <a:schemeClr val="tx1"/>
              </a:solidFill>
              <a:effectLst/>
              <a:latin typeface="+mn-lt"/>
              <a:ea typeface="+mn-ea"/>
              <a:cs typeface="+mn-cs"/>
            </a:rPr>
            <a:t>...</a:t>
          </a:r>
          <a:endParaRPr lang="en-US" sz="700" baseline="0">
            <a:solidFill>
              <a:schemeClr val="tx1"/>
            </a:solidFill>
            <a:effectLst/>
          </a:endParaRPr>
        </a:p>
        <a:p>
          <a:pPr algn="l"/>
          <a:endParaRPr lang="en-US" sz="700" baseline="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123826</xdr:colOff>
      <xdr:row>2</xdr:row>
      <xdr:rowOff>74875</xdr:rowOff>
    </xdr:from>
    <xdr:to>
      <xdr:col>3</xdr:col>
      <xdr:colOff>4171950</xdr:colOff>
      <xdr:row>30</xdr:row>
      <xdr:rowOff>91124</xdr:rowOff>
    </xdr:to>
    <xdr:pic>
      <xdr:nvPicPr>
        <xdr:cNvPr id="2" name="Immagine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1952626" y="466761"/>
          <a:ext cx="4048124" cy="5350249"/>
        </a:xfrm>
        <a:prstGeom prst="rect">
          <a:avLst/>
        </a:prstGeom>
        <a:ln>
          <a:noFill/>
        </a:ln>
      </xdr:spPr>
    </xdr:pic>
    <xdr:clientData/>
  </xdr:twoCellAnchor>
  <xdr:oneCellAnchor>
    <xdr:from>
      <xdr:col>3</xdr:col>
      <xdr:colOff>3062785</xdr:colOff>
      <xdr:row>11</xdr:row>
      <xdr:rowOff>55456</xdr:rowOff>
    </xdr:from>
    <xdr:ext cx="388326" cy="156518"/>
    <xdr:sp macro="" textlink="">
      <xdr:nvSpPr>
        <xdr:cNvPr id="18" name="CasellaDiTesto 17">
          <a:extLst>
            <a:ext uri="{FF2B5EF4-FFF2-40B4-BE49-F238E27FC236}">
              <a16:creationId xmlns:a16="http://schemas.microsoft.com/office/drawing/2014/main" id="{00000000-0008-0000-1000-000012000000}"/>
            </a:ext>
          </a:extLst>
        </xdr:cNvPr>
        <xdr:cNvSpPr txBox="1"/>
      </xdr:nvSpPr>
      <xdr:spPr>
        <a:xfrm>
          <a:off x="4895526" y="2157525"/>
          <a:ext cx="388326"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1000" b="1" i="1">
              <a:solidFill>
                <a:srgbClr val="FF3399"/>
              </a:solidFill>
              <a:effectLst/>
              <a:latin typeface="Arial" panose="020B0604020202020204" pitchFamily="34" charset="0"/>
              <a:ea typeface="+mn-ea"/>
              <a:cs typeface="Arial" panose="020B0604020202020204" pitchFamily="34" charset="0"/>
            </a:rPr>
            <a:t>θ</a:t>
          </a:r>
          <a:r>
            <a:rPr lang="it-IT" sz="1000" b="1" i="1" baseline="-25000">
              <a:solidFill>
                <a:srgbClr val="FF3399"/>
              </a:solidFill>
              <a:effectLst/>
              <a:latin typeface="Calibri" panose="020F0502020204030204" pitchFamily="34" charset="0"/>
              <a:ea typeface="+mn-ea"/>
              <a:cs typeface="Calibri" panose="020F0502020204030204" pitchFamily="34" charset="0"/>
            </a:rPr>
            <a:t>W;draw</a:t>
          </a:r>
          <a:endParaRPr lang="en-US" sz="1000" b="1" i="1" baseline="-25000">
            <a:solidFill>
              <a:srgbClr val="FF3399"/>
            </a:solidFill>
            <a:effectLst/>
            <a:latin typeface="+mn-lt"/>
            <a:ea typeface="+mn-ea"/>
            <a:cs typeface="+mn-cs"/>
          </a:endParaRPr>
        </a:p>
      </xdr:txBody>
    </xdr:sp>
    <xdr:clientData/>
  </xdr:oneCellAnchor>
  <xdr:oneCellAnchor>
    <xdr:from>
      <xdr:col>3</xdr:col>
      <xdr:colOff>1168244</xdr:colOff>
      <xdr:row>26</xdr:row>
      <xdr:rowOff>171290</xdr:rowOff>
    </xdr:from>
    <xdr:ext cx="388326" cy="164404"/>
    <xdr:sp macro="" textlink="">
      <xdr:nvSpPr>
        <xdr:cNvPr id="19" name="CasellaDiTesto 18">
          <a:extLst>
            <a:ext uri="{FF2B5EF4-FFF2-40B4-BE49-F238E27FC236}">
              <a16:creationId xmlns:a16="http://schemas.microsoft.com/office/drawing/2014/main" id="{00000000-0008-0000-1000-000013000000}"/>
            </a:ext>
          </a:extLst>
        </xdr:cNvPr>
        <xdr:cNvSpPr txBox="1"/>
      </xdr:nvSpPr>
      <xdr:spPr>
        <a:xfrm>
          <a:off x="3000985" y="5130859"/>
          <a:ext cx="388326" cy="164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1050" b="1" i="1">
              <a:solidFill>
                <a:srgbClr val="0000FF"/>
              </a:solidFill>
              <a:effectLst/>
              <a:latin typeface="Arial" panose="020B0604020202020204" pitchFamily="34" charset="0"/>
              <a:ea typeface="+mn-ea"/>
              <a:cs typeface="Arial" panose="020B0604020202020204" pitchFamily="34" charset="0"/>
            </a:rPr>
            <a:t>θ</a:t>
          </a:r>
          <a:r>
            <a:rPr lang="it-IT" sz="1050" b="1" i="1" baseline="-25000">
              <a:solidFill>
                <a:srgbClr val="0000FF"/>
              </a:solidFill>
              <a:effectLst/>
              <a:latin typeface="Calibri" panose="020F0502020204030204" pitchFamily="34" charset="0"/>
              <a:ea typeface="+mn-ea"/>
              <a:cs typeface="Calibri" panose="020F0502020204030204" pitchFamily="34" charset="0"/>
            </a:rPr>
            <a:t>W;cold</a:t>
          </a:r>
          <a:endParaRPr lang="en-US" sz="1050" b="1" i="1" baseline="-25000">
            <a:solidFill>
              <a:srgbClr val="0000FF"/>
            </a:solidFill>
            <a:effectLst/>
            <a:latin typeface="+mn-lt"/>
            <a:ea typeface="+mn-ea"/>
            <a:cs typeface="+mn-cs"/>
          </a:endParaRPr>
        </a:p>
      </xdr:txBody>
    </xdr:sp>
    <xdr:clientData/>
  </xdr:oneCellAnchor>
  <xdr:oneCellAnchor>
    <xdr:from>
      <xdr:col>3</xdr:col>
      <xdr:colOff>3023821</xdr:colOff>
      <xdr:row>10</xdr:row>
      <xdr:rowOff>59871</xdr:rowOff>
    </xdr:from>
    <xdr:ext cx="451161" cy="156518"/>
    <xdr:sp macro="" textlink="">
      <xdr:nvSpPr>
        <xdr:cNvPr id="20" name="CasellaDiTesto 19">
          <a:extLst>
            <a:ext uri="{FF2B5EF4-FFF2-40B4-BE49-F238E27FC236}">
              <a16:creationId xmlns:a16="http://schemas.microsoft.com/office/drawing/2014/main" id="{00000000-0008-0000-1000-000014000000}"/>
            </a:ext>
          </a:extLst>
        </xdr:cNvPr>
        <xdr:cNvSpPr txBox="1"/>
      </xdr:nvSpPr>
      <xdr:spPr>
        <a:xfrm>
          <a:off x="4856562" y="1971440"/>
          <a:ext cx="451161"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1000" b="1" i="1">
              <a:solidFill>
                <a:srgbClr val="FF3399"/>
              </a:solidFill>
              <a:effectLst/>
              <a:latin typeface="Arial" panose="020B0604020202020204" pitchFamily="34" charset="0"/>
              <a:ea typeface="+mn-ea"/>
              <a:cs typeface="Arial" panose="020B0604020202020204" pitchFamily="34" charset="0"/>
            </a:rPr>
            <a:t>V'</a:t>
          </a:r>
          <a:r>
            <a:rPr lang="it-IT" sz="1000" b="1" i="1" baseline="-25000">
              <a:solidFill>
                <a:srgbClr val="FF3399"/>
              </a:solidFill>
              <a:effectLst/>
              <a:latin typeface="Calibri" panose="020F0502020204030204" pitchFamily="34" charset="0"/>
              <a:ea typeface="+mn-ea"/>
              <a:cs typeface="Calibri" panose="020F0502020204030204" pitchFamily="34" charset="0"/>
            </a:rPr>
            <a:t>W;draw</a:t>
          </a:r>
          <a:endParaRPr lang="en-US" sz="1000" b="1" i="1" baseline="-25000">
            <a:solidFill>
              <a:srgbClr val="FF3399"/>
            </a:solidFill>
            <a:effectLst/>
            <a:latin typeface="+mn-lt"/>
            <a:ea typeface="+mn-ea"/>
            <a:cs typeface="+mn-cs"/>
          </a:endParaRPr>
        </a:p>
      </xdr:txBody>
    </xdr:sp>
    <xdr:clientData/>
  </xdr:oneCellAnchor>
  <xdr:oneCellAnchor>
    <xdr:from>
      <xdr:col>3</xdr:col>
      <xdr:colOff>1929172</xdr:colOff>
      <xdr:row>26</xdr:row>
      <xdr:rowOff>158491</xdr:rowOff>
    </xdr:from>
    <xdr:ext cx="448794" cy="156518"/>
    <xdr:sp macro="" textlink="">
      <xdr:nvSpPr>
        <xdr:cNvPr id="21" name="CasellaDiTesto 20">
          <a:extLst>
            <a:ext uri="{FF2B5EF4-FFF2-40B4-BE49-F238E27FC236}">
              <a16:creationId xmlns:a16="http://schemas.microsoft.com/office/drawing/2014/main" id="{00000000-0008-0000-1000-000015000000}"/>
            </a:ext>
          </a:extLst>
        </xdr:cNvPr>
        <xdr:cNvSpPr txBox="1"/>
      </xdr:nvSpPr>
      <xdr:spPr>
        <a:xfrm>
          <a:off x="3761913" y="5118060"/>
          <a:ext cx="448794"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1000" b="1" i="1">
              <a:solidFill>
                <a:sysClr val="windowText" lastClr="000000"/>
              </a:solidFill>
              <a:effectLst/>
              <a:latin typeface="Arial" panose="020B0604020202020204" pitchFamily="34" charset="0"/>
              <a:ea typeface="+mn-ea"/>
              <a:cs typeface="Arial" panose="020B0604020202020204" pitchFamily="34" charset="0"/>
            </a:rPr>
            <a:t>V'</a:t>
          </a:r>
          <a:r>
            <a:rPr lang="it-IT" sz="1000" b="1" i="1" baseline="-25000">
              <a:solidFill>
                <a:sysClr val="windowText" lastClr="000000"/>
              </a:solidFill>
              <a:effectLst/>
              <a:latin typeface="Calibri" panose="020F0502020204030204" pitchFamily="34" charset="0"/>
              <a:ea typeface="+mn-ea"/>
              <a:cs typeface="Calibri" panose="020F0502020204030204" pitchFamily="34" charset="0"/>
            </a:rPr>
            <a:t>W;wwhr</a:t>
          </a:r>
          <a:endParaRPr lang="en-US" sz="1000" b="1" i="1" baseline="-25000">
            <a:solidFill>
              <a:sysClr val="windowText" lastClr="000000"/>
            </a:solidFill>
            <a:effectLst/>
            <a:latin typeface="+mn-lt"/>
            <a:ea typeface="+mn-ea"/>
            <a:cs typeface="+mn-cs"/>
          </a:endParaRPr>
        </a:p>
      </xdr:txBody>
    </xdr:sp>
    <xdr:clientData/>
  </xdr:oneCellAnchor>
  <xdr:oneCellAnchor>
    <xdr:from>
      <xdr:col>3</xdr:col>
      <xdr:colOff>1058950</xdr:colOff>
      <xdr:row>5</xdr:row>
      <xdr:rowOff>25855</xdr:rowOff>
    </xdr:from>
    <xdr:ext cx="316946" cy="156518"/>
    <xdr:sp macro="" textlink="">
      <xdr:nvSpPr>
        <xdr:cNvPr id="22" name="CasellaDiTesto 21">
          <a:extLst>
            <a:ext uri="{FF2B5EF4-FFF2-40B4-BE49-F238E27FC236}">
              <a16:creationId xmlns:a16="http://schemas.microsoft.com/office/drawing/2014/main" id="{00000000-0008-0000-1000-000016000000}"/>
            </a:ext>
          </a:extLst>
        </xdr:cNvPr>
        <xdr:cNvSpPr txBox="1"/>
      </xdr:nvSpPr>
      <xdr:spPr>
        <a:xfrm>
          <a:off x="2891691" y="984924"/>
          <a:ext cx="316946"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000" b="1" i="1">
              <a:solidFill>
                <a:srgbClr val="FF0000"/>
              </a:solidFill>
              <a:effectLst/>
              <a:latin typeface="Arial" panose="020B0604020202020204" pitchFamily="34" charset="0"/>
              <a:ea typeface="+mn-ea"/>
              <a:cs typeface="Arial" panose="020B0604020202020204" pitchFamily="34" charset="0"/>
            </a:rPr>
            <a:t>V'</a:t>
          </a:r>
          <a:r>
            <a:rPr lang="it-IT" sz="1000" b="1" i="1" baseline="-25000">
              <a:solidFill>
                <a:srgbClr val="FF0000"/>
              </a:solidFill>
              <a:effectLst/>
              <a:latin typeface="Calibri" panose="020F0502020204030204" pitchFamily="34" charset="0"/>
              <a:ea typeface="+mn-ea"/>
              <a:cs typeface="Calibri" panose="020F0502020204030204" pitchFamily="34" charset="0"/>
            </a:rPr>
            <a:t>W;dis</a:t>
          </a:r>
          <a:endParaRPr lang="en-US" sz="1000" b="1" i="1" baseline="-25000">
            <a:solidFill>
              <a:srgbClr val="FF0000"/>
            </a:solidFill>
            <a:effectLst/>
            <a:latin typeface="+mn-lt"/>
            <a:ea typeface="+mn-ea"/>
            <a:cs typeface="+mn-cs"/>
          </a:endParaRPr>
        </a:p>
      </xdr:txBody>
    </xdr:sp>
    <xdr:clientData/>
  </xdr:oneCellAnchor>
  <xdr:oneCellAnchor>
    <xdr:from>
      <xdr:col>3</xdr:col>
      <xdr:colOff>1071825</xdr:colOff>
      <xdr:row>5</xdr:row>
      <xdr:rowOff>174589</xdr:rowOff>
    </xdr:from>
    <xdr:ext cx="272382" cy="156518"/>
    <xdr:sp macro="" textlink="">
      <xdr:nvSpPr>
        <xdr:cNvPr id="23" name="CasellaDiTesto 22">
          <a:extLst>
            <a:ext uri="{FF2B5EF4-FFF2-40B4-BE49-F238E27FC236}">
              <a16:creationId xmlns:a16="http://schemas.microsoft.com/office/drawing/2014/main" id="{00000000-0008-0000-1000-000017000000}"/>
            </a:ext>
          </a:extLst>
        </xdr:cNvPr>
        <xdr:cNvSpPr txBox="1"/>
      </xdr:nvSpPr>
      <xdr:spPr>
        <a:xfrm>
          <a:off x="2904566" y="1133658"/>
          <a:ext cx="272382"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el-GR" sz="1000" b="1" i="1">
              <a:solidFill>
                <a:srgbClr val="FF0000"/>
              </a:solidFill>
              <a:effectLst/>
              <a:latin typeface="Arial" panose="020B0604020202020204" pitchFamily="34" charset="0"/>
              <a:ea typeface="+mn-ea"/>
              <a:cs typeface="Arial" panose="020B0604020202020204" pitchFamily="34" charset="0"/>
            </a:rPr>
            <a:t>θ</a:t>
          </a:r>
          <a:r>
            <a:rPr lang="it-IT" sz="1000" b="1" i="1" baseline="-25000">
              <a:solidFill>
                <a:srgbClr val="FF0000"/>
              </a:solidFill>
              <a:effectLst/>
              <a:latin typeface="Calibri" panose="020F0502020204030204" pitchFamily="34" charset="0"/>
              <a:ea typeface="+mn-ea"/>
              <a:cs typeface="Calibri" panose="020F0502020204030204" pitchFamily="34" charset="0"/>
            </a:rPr>
            <a:t>W;dis</a:t>
          </a:r>
          <a:endParaRPr lang="en-US" sz="1000" b="1" i="1" baseline="-25000">
            <a:solidFill>
              <a:srgbClr val="FF0000"/>
            </a:solidFill>
            <a:effectLst/>
            <a:latin typeface="+mn-lt"/>
            <a:ea typeface="+mn-ea"/>
            <a:cs typeface="+mn-cs"/>
          </a:endParaRPr>
        </a:p>
      </xdr:txBody>
    </xdr:sp>
    <xdr:clientData/>
  </xdr:oneCellAnchor>
  <xdr:oneCellAnchor>
    <xdr:from>
      <xdr:col>3</xdr:col>
      <xdr:colOff>463427</xdr:colOff>
      <xdr:row>26</xdr:row>
      <xdr:rowOff>146537</xdr:rowOff>
    </xdr:from>
    <xdr:ext cx="363561" cy="156518"/>
    <xdr:sp macro="" textlink="">
      <xdr:nvSpPr>
        <xdr:cNvPr id="24" name="CasellaDiTesto 23">
          <a:extLst>
            <a:ext uri="{FF2B5EF4-FFF2-40B4-BE49-F238E27FC236}">
              <a16:creationId xmlns:a16="http://schemas.microsoft.com/office/drawing/2014/main" id="{00000000-0008-0000-1000-000018000000}"/>
            </a:ext>
          </a:extLst>
        </xdr:cNvPr>
        <xdr:cNvSpPr txBox="1"/>
      </xdr:nvSpPr>
      <xdr:spPr>
        <a:xfrm>
          <a:off x="2296168" y="5106106"/>
          <a:ext cx="363561"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000" b="1" i="1">
              <a:solidFill>
                <a:srgbClr val="0000FF"/>
              </a:solidFill>
              <a:effectLst/>
              <a:latin typeface="Arial" panose="020B0604020202020204" pitchFamily="34" charset="0"/>
              <a:ea typeface="+mn-ea"/>
              <a:cs typeface="Arial" panose="020B0604020202020204" pitchFamily="34" charset="0"/>
            </a:rPr>
            <a:t>V'</a:t>
          </a:r>
          <a:r>
            <a:rPr lang="it-IT" sz="1000" b="1" i="1" baseline="-25000">
              <a:solidFill>
                <a:srgbClr val="0000FF"/>
              </a:solidFill>
              <a:effectLst/>
              <a:latin typeface="Calibri" panose="020F0502020204030204" pitchFamily="34" charset="0"/>
              <a:ea typeface="+mn-ea"/>
              <a:cs typeface="Calibri" panose="020F0502020204030204" pitchFamily="34" charset="0"/>
            </a:rPr>
            <a:t>W;cold</a:t>
          </a:r>
          <a:endParaRPr lang="en-US" sz="1000" b="1" i="1" baseline="-25000">
            <a:solidFill>
              <a:srgbClr val="0000FF"/>
            </a:solidFill>
            <a:effectLst/>
            <a:latin typeface="+mn-lt"/>
            <a:ea typeface="+mn-ea"/>
            <a:cs typeface="+mn-cs"/>
          </a:endParaRPr>
        </a:p>
      </xdr:txBody>
    </xdr:sp>
    <xdr:clientData/>
  </xdr:oneCellAnchor>
  <xdr:oneCellAnchor>
    <xdr:from>
      <xdr:col>3</xdr:col>
      <xdr:colOff>2628483</xdr:colOff>
      <xdr:row>17</xdr:row>
      <xdr:rowOff>181392</xdr:rowOff>
    </xdr:from>
    <xdr:ext cx="388326" cy="156518"/>
    <xdr:sp macro="" textlink="">
      <xdr:nvSpPr>
        <xdr:cNvPr id="25" name="CasellaDiTesto 24">
          <a:extLst>
            <a:ext uri="{FF2B5EF4-FFF2-40B4-BE49-F238E27FC236}">
              <a16:creationId xmlns:a16="http://schemas.microsoft.com/office/drawing/2014/main" id="{00000000-0008-0000-1000-000019000000}"/>
            </a:ext>
          </a:extLst>
        </xdr:cNvPr>
        <xdr:cNvSpPr txBox="1"/>
      </xdr:nvSpPr>
      <xdr:spPr>
        <a:xfrm>
          <a:off x="4461224" y="3426461"/>
          <a:ext cx="388326"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1000" b="1" i="1">
              <a:solidFill>
                <a:srgbClr val="FF3399"/>
              </a:solidFill>
              <a:effectLst/>
              <a:latin typeface="Arial" panose="020B0604020202020204" pitchFamily="34" charset="0"/>
              <a:ea typeface="+mn-ea"/>
              <a:cs typeface="Arial" panose="020B0604020202020204" pitchFamily="34" charset="0"/>
            </a:rPr>
            <a:t>θ</a:t>
          </a:r>
          <a:r>
            <a:rPr lang="it-IT" sz="1000" b="1" i="1" baseline="-25000">
              <a:solidFill>
                <a:srgbClr val="FF3399"/>
              </a:solidFill>
              <a:effectLst/>
              <a:latin typeface="Calibri" panose="020F0502020204030204" pitchFamily="34" charset="0"/>
              <a:ea typeface="+mn-ea"/>
              <a:cs typeface="Calibri" panose="020F0502020204030204" pitchFamily="34" charset="0"/>
            </a:rPr>
            <a:t>W;drain</a:t>
          </a:r>
          <a:endParaRPr lang="en-US" sz="1000" b="1" i="1" baseline="-25000">
            <a:solidFill>
              <a:srgbClr val="FF3399"/>
            </a:solidFill>
            <a:effectLst/>
            <a:latin typeface="+mn-lt"/>
            <a:ea typeface="+mn-ea"/>
            <a:cs typeface="+mn-cs"/>
          </a:endParaRPr>
        </a:p>
      </xdr:txBody>
    </xdr:sp>
    <xdr:clientData/>
  </xdr:oneCellAnchor>
  <xdr:oneCellAnchor>
    <xdr:from>
      <xdr:col>3</xdr:col>
      <xdr:colOff>2631937</xdr:colOff>
      <xdr:row>19</xdr:row>
      <xdr:rowOff>29655</xdr:rowOff>
    </xdr:from>
    <xdr:ext cx="462046" cy="156518"/>
    <xdr:sp macro="" textlink="">
      <xdr:nvSpPr>
        <xdr:cNvPr id="26" name="CasellaDiTesto 25">
          <a:extLst>
            <a:ext uri="{FF2B5EF4-FFF2-40B4-BE49-F238E27FC236}">
              <a16:creationId xmlns:a16="http://schemas.microsoft.com/office/drawing/2014/main" id="{00000000-0008-0000-1000-00001A000000}"/>
            </a:ext>
          </a:extLst>
        </xdr:cNvPr>
        <xdr:cNvSpPr txBox="1"/>
      </xdr:nvSpPr>
      <xdr:spPr>
        <a:xfrm>
          <a:off x="4464678" y="3655724"/>
          <a:ext cx="462046"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it-IT" sz="1000" b="1" i="1">
              <a:solidFill>
                <a:srgbClr val="FF3399"/>
              </a:solidFill>
              <a:effectLst/>
              <a:latin typeface="Arial" panose="020B0604020202020204" pitchFamily="34" charset="0"/>
              <a:ea typeface="+mn-ea"/>
              <a:cs typeface="Arial" panose="020B0604020202020204" pitchFamily="34" charset="0"/>
            </a:rPr>
            <a:t>V'</a:t>
          </a:r>
          <a:r>
            <a:rPr lang="it-IT" sz="1000" b="1" i="1" baseline="-25000">
              <a:solidFill>
                <a:srgbClr val="FF3399"/>
              </a:solidFill>
              <a:effectLst/>
              <a:latin typeface="Calibri" panose="020F0502020204030204" pitchFamily="34" charset="0"/>
              <a:ea typeface="+mn-ea"/>
              <a:cs typeface="Calibri" panose="020F0502020204030204" pitchFamily="34" charset="0"/>
            </a:rPr>
            <a:t>W;drain</a:t>
          </a:r>
          <a:endParaRPr lang="en-US" sz="1000" b="1" i="1" baseline="-25000">
            <a:solidFill>
              <a:srgbClr val="FF3399"/>
            </a:solidFill>
            <a:effectLst/>
            <a:latin typeface="+mn-lt"/>
            <a:ea typeface="+mn-ea"/>
            <a:cs typeface="+mn-cs"/>
          </a:endParaRPr>
        </a:p>
      </xdr:txBody>
    </xdr:sp>
    <xdr:clientData/>
  </xdr:oneCellAnchor>
  <xdr:oneCellAnchor>
    <xdr:from>
      <xdr:col>3</xdr:col>
      <xdr:colOff>2081945</xdr:colOff>
      <xdr:row>19</xdr:row>
      <xdr:rowOff>161684</xdr:rowOff>
    </xdr:from>
    <xdr:ext cx="388326" cy="156518"/>
    <xdr:sp macro="" textlink="">
      <xdr:nvSpPr>
        <xdr:cNvPr id="27" name="CasellaDiTesto 26">
          <a:extLst>
            <a:ext uri="{FF2B5EF4-FFF2-40B4-BE49-F238E27FC236}">
              <a16:creationId xmlns:a16="http://schemas.microsoft.com/office/drawing/2014/main" id="{00000000-0008-0000-1000-00001B000000}"/>
            </a:ext>
          </a:extLst>
        </xdr:cNvPr>
        <xdr:cNvSpPr txBox="1"/>
      </xdr:nvSpPr>
      <xdr:spPr>
        <a:xfrm>
          <a:off x="3914686" y="3787753"/>
          <a:ext cx="388326"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el-GR" sz="1000" b="1" i="1">
              <a:solidFill>
                <a:srgbClr val="FF3399"/>
              </a:solidFill>
              <a:effectLst/>
              <a:latin typeface="Arial" panose="020B0604020202020204" pitchFamily="34" charset="0"/>
              <a:ea typeface="+mn-ea"/>
              <a:cs typeface="Arial" panose="020B0604020202020204" pitchFamily="34" charset="0"/>
            </a:rPr>
            <a:t>θ</a:t>
          </a:r>
          <a:r>
            <a:rPr lang="it-IT" sz="1000" b="1" i="1" baseline="-25000">
              <a:solidFill>
                <a:srgbClr val="FF3399"/>
              </a:solidFill>
              <a:effectLst/>
              <a:latin typeface="Calibri" panose="020F0502020204030204" pitchFamily="34" charset="0"/>
              <a:ea typeface="+mn-ea"/>
              <a:cs typeface="Calibri" panose="020F0502020204030204" pitchFamily="34" charset="0"/>
            </a:rPr>
            <a:t>W;pre</a:t>
          </a:r>
          <a:endParaRPr lang="en-US" sz="1000" b="1" i="1" baseline="-25000">
            <a:solidFill>
              <a:srgbClr val="FF3399"/>
            </a:solidFill>
            <a:effectLst/>
            <a:latin typeface="+mn-lt"/>
            <a:ea typeface="+mn-ea"/>
            <a:cs typeface="+mn-cs"/>
          </a:endParaRPr>
        </a:p>
      </xdr:txBody>
    </xdr:sp>
    <xdr:clientData/>
  </xdr:oneCellAnchor>
  <xdr:oneCellAnchor>
    <xdr:from>
      <xdr:col>3</xdr:col>
      <xdr:colOff>2044860</xdr:colOff>
      <xdr:row>21</xdr:row>
      <xdr:rowOff>82957</xdr:rowOff>
    </xdr:from>
    <xdr:ext cx="334387" cy="156518"/>
    <xdr:sp macro="" textlink="">
      <xdr:nvSpPr>
        <xdr:cNvPr id="28" name="CasellaDiTesto 27">
          <a:extLst>
            <a:ext uri="{FF2B5EF4-FFF2-40B4-BE49-F238E27FC236}">
              <a16:creationId xmlns:a16="http://schemas.microsoft.com/office/drawing/2014/main" id="{00000000-0008-0000-1000-00001C000000}"/>
            </a:ext>
          </a:extLst>
        </xdr:cNvPr>
        <xdr:cNvSpPr txBox="1"/>
      </xdr:nvSpPr>
      <xdr:spPr>
        <a:xfrm>
          <a:off x="3877601" y="4090026"/>
          <a:ext cx="334387"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000" b="1" i="1">
              <a:solidFill>
                <a:srgbClr val="FF3399"/>
              </a:solidFill>
              <a:effectLst/>
              <a:latin typeface="Arial" panose="020B0604020202020204" pitchFamily="34" charset="0"/>
              <a:ea typeface="+mn-ea"/>
              <a:cs typeface="Arial" panose="020B0604020202020204" pitchFamily="34" charset="0"/>
            </a:rPr>
            <a:t>V'</a:t>
          </a:r>
          <a:r>
            <a:rPr lang="it-IT" sz="1000" b="1" i="1" baseline="-25000">
              <a:solidFill>
                <a:srgbClr val="FF3399"/>
              </a:solidFill>
              <a:effectLst/>
              <a:latin typeface="Calibri" panose="020F0502020204030204" pitchFamily="34" charset="0"/>
              <a:ea typeface="+mn-ea"/>
              <a:cs typeface="Calibri" panose="020F0502020204030204" pitchFamily="34" charset="0"/>
            </a:rPr>
            <a:t>W;pre</a:t>
          </a:r>
          <a:endParaRPr lang="en-US" sz="1000" b="1" i="1" baseline="-25000">
            <a:solidFill>
              <a:srgbClr val="FF3399"/>
            </a:solidFill>
            <a:effectLst/>
            <a:latin typeface="+mn-lt"/>
            <a:ea typeface="+mn-ea"/>
            <a:cs typeface="+mn-cs"/>
          </a:endParaRPr>
        </a:p>
      </xdr:txBody>
    </xdr:sp>
    <xdr:clientData/>
  </xdr:oneCellAnchor>
  <xdr:twoCellAnchor>
    <xdr:from>
      <xdr:col>3</xdr:col>
      <xdr:colOff>773009</xdr:colOff>
      <xdr:row>17</xdr:row>
      <xdr:rowOff>110099</xdr:rowOff>
    </xdr:from>
    <xdr:to>
      <xdr:col>3</xdr:col>
      <xdr:colOff>898236</xdr:colOff>
      <xdr:row>20</xdr:row>
      <xdr:rowOff>78555</xdr:rowOff>
    </xdr:to>
    <xdr:sp macro="" textlink="">
      <xdr:nvSpPr>
        <xdr:cNvPr id="30" name="CasellaDiTesto 29">
          <a:extLst>
            <a:ext uri="{FF2B5EF4-FFF2-40B4-BE49-F238E27FC236}">
              <a16:creationId xmlns:a16="http://schemas.microsoft.com/office/drawing/2014/main" id="{00000000-0008-0000-1000-00001E000000}"/>
            </a:ext>
          </a:extLst>
        </xdr:cNvPr>
        <xdr:cNvSpPr txBox="1"/>
      </xdr:nvSpPr>
      <xdr:spPr>
        <a:xfrm rot="16200000">
          <a:off x="2394445" y="3566849"/>
          <a:ext cx="53995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it-IT" sz="800" b="1" i="1">
              <a:solidFill>
                <a:srgbClr val="FF3399"/>
              </a:solidFill>
              <a:effectLst/>
              <a:latin typeface="Arial" panose="020B0604020202020204" pitchFamily="34" charset="0"/>
              <a:ea typeface="+mn-ea"/>
              <a:cs typeface="Arial" panose="020B0604020202020204" pitchFamily="34" charset="0"/>
            </a:rPr>
            <a:t>Q</a:t>
          </a:r>
          <a:r>
            <a:rPr lang="it-IT" sz="800" b="1" i="1" baseline="-25000">
              <a:solidFill>
                <a:srgbClr val="FF3399"/>
              </a:solidFill>
              <a:effectLst/>
              <a:latin typeface="Calibri" panose="020F0502020204030204" pitchFamily="34" charset="0"/>
              <a:ea typeface="+mn-ea"/>
              <a:cs typeface="Calibri" panose="020F0502020204030204" pitchFamily="34" charset="0"/>
            </a:rPr>
            <a:t>W;wwhr;rvd;wh</a:t>
          </a:r>
          <a:endParaRPr lang="en-US" sz="800" b="1" i="1" baseline="-25000">
            <a:solidFill>
              <a:srgbClr val="FF3399"/>
            </a:solidFill>
            <a:effectLst/>
            <a:latin typeface="+mn-lt"/>
            <a:ea typeface="+mn-ea"/>
            <a:cs typeface="+mn-cs"/>
          </a:endParaRPr>
        </a:p>
      </xdr:txBody>
    </xdr:sp>
    <xdr:clientData/>
  </xdr:twoCellAnchor>
  <xdr:twoCellAnchor>
    <xdr:from>
      <xdr:col>3</xdr:col>
      <xdr:colOff>1766526</xdr:colOff>
      <xdr:row>15</xdr:row>
      <xdr:rowOff>151063</xdr:rowOff>
    </xdr:from>
    <xdr:to>
      <xdr:col>3</xdr:col>
      <xdr:colOff>1891753</xdr:colOff>
      <xdr:row>18</xdr:row>
      <xdr:rowOff>146449</xdr:rowOff>
    </xdr:to>
    <xdr:sp macro="" textlink="">
      <xdr:nvSpPr>
        <xdr:cNvPr id="34" name="CasellaDiTesto 33">
          <a:extLst>
            <a:ext uri="{FF2B5EF4-FFF2-40B4-BE49-F238E27FC236}">
              <a16:creationId xmlns:a16="http://schemas.microsoft.com/office/drawing/2014/main" id="{00000000-0008-0000-1000-000022000000}"/>
            </a:ext>
          </a:extLst>
        </xdr:cNvPr>
        <xdr:cNvSpPr txBox="1"/>
      </xdr:nvSpPr>
      <xdr:spPr>
        <a:xfrm rot="16200000">
          <a:off x="3374497" y="3240278"/>
          <a:ext cx="566886" cy="125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it-IT" sz="800" b="1" i="1">
              <a:solidFill>
                <a:srgbClr val="FF3399"/>
              </a:solidFill>
              <a:effectLst/>
              <a:latin typeface="Arial" panose="020B0604020202020204" pitchFamily="34" charset="0"/>
              <a:ea typeface="+mn-ea"/>
              <a:cs typeface="Arial" panose="020B0604020202020204" pitchFamily="34" charset="0"/>
            </a:rPr>
            <a:t>Q</a:t>
          </a:r>
          <a:r>
            <a:rPr lang="it-IT" sz="800" b="1" i="1" baseline="-25000">
              <a:solidFill>
                <a:srgbClr val="FF3399"/>
              </a:solidFill>
              <a:effectLst/>
              <a:latin typeface="Calibri" panose="020F0502020204030204" pitchFamily="34" charset="0"/>
              <a:ea typeface="+mn-ea"/>
              <a:cs typeface="Calibri" panose="020F0502020204030204" pitchFamily="34" charset="0"/>
            </a:rPr>
            <a:t>W;wwhr;rvd;shw</a:t>
          </a:r>
          <a:endParaRPr lang="en-US" sz="800" b="1" i="1" baseline="-25000">
            <a:solidFill>
              <a:srgbClr val="FF3399"/>
            </a:solidFill>
            <a:effectLst/>
            <a:latin typeface="+mn-lt"/>
            <a:ea typeface="+mn-ea"/>
            <a:cs typeface="+mn-cs"/>
          </a:endParaRPr>
        </a:p>
      </xdr:txBody>
    </xdr:sp>
    <xdr:clientData/>
  </xdr:twoCellAnchor>
  <xdr:twoCellAnchor>
    <xdr:from>
      <xdr:col>3</xdr:col>
      <xdr:colOff>930728</xdr:colOff>
      <xdr:row>16</xdr:row>
      <xdr:rowOff>179615</xdr:rowOff>
    </xdr:from>
    <xdr:to>
      <xdr:col>3</xdr:col>
      <xdr:colOff>930728</xdr:colOff>
      <xdr:row>20</xdr:row>
      <xdr:rowOff>114301</xdr:rowOff>
    </xdr:to>
    <xdr:cxnSp macro="">
      <xdr:nvCxnSpPr>
        <xdr:cNvPr id="36" name="Connettore 2 35">
          <a:extLst>
            <a:ext uri="{FF2B5EF4-FFF2-40B4-BE49-F238E27FC236}">
              <a16:creationId xmlns:a16="http://schemas.microsoft.com/office/drawing/2014/main" id="{00000000-0008-0000-1000-000024000000}"/>
            </a:ext>
          </a:extLst>
        </xdr:cNvPr>
        <xdr:cNvCxnSpPr/>
      </xdr:nvCxnSpPr>
      <xdr:spPr>
        <a:xfrm flipV="1">
          <a:off x="2759528" y="3238501"/>
          <a:ext cx="0" cy="696686"/>
        </a:xfrm>
        <a:prstGeom prst="straightConnector1">
          <a:avLst/>
        </a:prstGeom>
        <a:ln w="15875">
          <a:solidFill>
            <a:srgbClr val="FF3399"/>
          </a:solidFill>
          <a:tailEnd type="arrow"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1910442</xdr:colOff>
      <xdr:row>15</xdr:row>
      <xdr:rowOff>43544</xdr:rowOff>
    </xdr:from>
    <xdr:to>
      <xdr:col>3</xdr:col>
      <xdr:colOff>1910442</xdr:colOff>
      <xdr:row>18</xdr:row>
      <xdr:rowOff>168730</xdr:rowOff>
    </xdr:to>
    <xdr:cxnSp macro="">
      <xdr:nvCxnSpPr>
        <xdr:cNvPr id="37" name="Connettore 2 36">
          <a:extLst>
            <a:ext uri="{FF2B5EF4-FFF2-40B4-BE49-F238E27FC236}">
              <a16:creationId xmlns:a16="http://schemas.microsoft.com/office/drawing/2014/main" id="{00000000-0008-0000-1000-000025000000}"/>
            </a:ext>
          </a:extLst>
        </xdr:cNvPr>
        <xdr:cNvCxnSpPr/>
      </xdr:nvCxnSpPr>
      <xdr:spPr>
        <a:xfrm flipV="1">
          <a:off x="3739242" y="2911930"/>
          <a:ext cx="0" cy="696686"/>
        </a:xfrm>
        <a:prstGeom prst="straightConnector1">
          <a:avLst/>
        </a:prstGeom>
        <a:ln w="15875">
          <a:solidFill>
            <a:srgbClr val="FF3399"/>
          </a:solidFill>
          <a:tailEnd type="arrow" w="sm" len="sm"/>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2753669</xdr:colOff>
      <xdr:row>22</xdr:row>
      <xdr:rowOff>77977</xdr:rowOff>
    </xdr:from>
    <xdr:ext cx="279885" cy="163378"/>
    <xdr:sp macro="" textlink="">
      <xdr:nvSpPr>
        <xdr:cNvPr id="38" name="CasellaDiTesto 37">
          <a:extLst>
            <a:ext uri="{FF2B5EF4-FFF2-40B4-BE49-F238E27FC236}">
              <a16:creationId xmlns:a16="http://schemas.microsoft.com/office/drawing/2014/main" id="{00000000-0008-0000-1000-000026000000}"/>
            </a:ext>
          </a:extLst>
        </xdr:cNvPr>
        <xdr:cNvSpPr txBox="1"/>
      </xdr:nvSpPr>
      <xdr:spPr>
        <a:xfrm>
          <a:off x="4586410" y="4275546"/>
          <a:ext cx="279885" cy="163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lgn="l"/>
          <a:r>
            <a:rPr lang="it-IT" sz="1000" b="1" i="1">
              <a:solidFill>
                <a:sysClr val="windowText" lastClr="000000"/>
              </a:solidFill>
              <a:effectLst/>
              <a:latin typeface="Arial" panose="020B0604020202020204" pitchFamily="34" charset="0"/>
              <a:ea typeface="+mn-ea"/>
              <a:cs typeface="Arial" panose="020B0604020202020204" pitchFamily="34" charset="0"/>
              <a:sym typeface="Symbol" panose="05050102010706020507" pitchFamily="18" charset="2"/>
            </a:rPr>
            <a:t></a:t>
          </a:r>
          <a:r>
            <a:rPr lang="it-IT" sz="1000" b="1" i="1" baseline="-25000">
              <a:solidFill>
                <a:sysClr val="windowText" lastClr="000000"/>
              </a:solidFill>
              <a:effectLst/>
              <a:latin typeface="Calibri" panose="020F0502020204030204" pitchFamily="34" charset="0"/>
              <a:ea typeface="+mn-ea"/>
              <a:cs typeface="Calibri" panose="020F0502020204030204" pitchFamily="34" charset="0"/>
            </a:rPr>
            <a:t>wwhr</a:t>
          </a:r>
          <a:endParaRPr lang="en-US" sz="1000" b="1" i="1" baseline="-25000">
            <a:solidFill>
              <a:sysClr val="windowText" lastClr="000000"/>
            </a:solidFill>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23</xdr:col>
      <xdr:colOff>85724</xdr:colOff>
      <xdr:row>16</xdr:row>
      <xdr:rowOff>86488</xdr:rowOff>
    </xdr:from>
    <xdr:to>
      <xdr:col>30</xdr:col>
      <xdr:colOff>37223</xdr:colOff>
      <xdr:row>20</xdr:row>
      <xdr:rowOff>47509</xdr:rowOff>
    </xdr:to>
    <xdr:pic>
      <xdr:nvPicPr>
        <xdr:cNvPr id="37" name="Immagine 36">
          <a:extLst>
            <a:ext uri="{FF2B5EF4-FFF2-40B4-BE49-F238E27FC236}">
              <a16:creationId xmlns:a16="http://schemas.microsoft.com/office/drawing/2014/main" id="{00000000-0008-0000-0900-000025000000}"/>
            </a:ext>
          </a:extLst>
        </xdr:cNvPr>
        <xdr:cNvPicPr>
          <a:picLocks noChangeAspect="1"/>
        </xdr:cNvPicPr>
      </xdr:nvPicPr>
      <xdr:blipFill>
        <a:blip xmlns:r="http://schemas.openxmlformats.org/officeDocument/2006/relationships" r:embed="rId1"/>
        <a:stretch>
          <a:fillRect/>
        </a:stretch>
      </xdr:blipFill>
      <xdr:spPr>
        <a:xfrm>
          <a:off x="25336499" y="2867788"/>
          <a:ext cx="4618749" cy="608721"/>
        </a:xfrm>
        <a:prstGeom prst="rect">
          <a:avLst/>
        </a:prstGeom>
      </xdr:spPr>
    </xdr:pic>
    <xdr:clientData/>
  </xdr:twoCellAnchor>
  <xdr:twoCellAnchor editAs="oneCell">
    <xdr:from>
      <xdr:col>23</xdr:col>
      <xdr:colOff>57151</xdr:colOff>
      <xdr:row>8</xdr:row>
      <xdr:rowOff>1723</xdr:rowOff>
    </xdr:from>
    <xdr:to>
      <xdr:col>31</xdr:col>
      <xdr:colOff>476251</xdr:colOff>
      <xdr:row>13</xdr:row>
      <xdr:rowOff>76057</xdr:rowOff>
    </xdr:to>
    <xdr:pic>
      <xdr:nvPicPr>
        <xdr:cNvPr id="2" name="Immagin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2"/>
        <a:stretch>
          <a:fillRect/>
        </a:stretch>
      </xdr:blipFill>
      <xdr:spPr>
        <a:xfrm>
          <a:off x="25307926" y="1325698"/>
          <a:ext cx="5753100" cy="883959"/>
        </a:xfrm>
        <a:prstGeom prst="rect">
          <a:avLst/>
        </a:prstGeom>
      </xdr:spPr>
    </xdr:pic>
    <xdr:clientData/>
  </xdr:twoCellAnchor>
  <xdr:twoCellAnchor editAs="oneCell">
    <xdr:from>
      <xdr:col>23</xdr:col>
      <xdr:colOff>238125</xdr:colOff>
      <xdr:row>37</xdr:row>
      <xdr:rowOff>137738</xdr:rowOff>
    </xdr:from>
    <xdr:to>
      <xdr:col>31</xdr:col>
      <xdr:colOff>227677</xdr:colOff>
      <xdr:row>41</xdr:row>
      <xdr:rowOff>18958</xdr:rowOff>
    </xdr:to>
    <xdr:pic>
      <xdr:nvPicPr>
        <xdr:cNvPr id="38" name="Immagine 37">
          <a:extLst>
            <a:ext uri="{FF2B5EF4-FFF2-40B4-BE49-F238E27FC236}">
              <a16:creationId xmlns:a16="http://schemas.microsoft.com/office/drawing/2014/main" id="{00000000-0008-0000-0900-000026000000}"/>
            </a:ext>
          </a:extLst>
        </xdr:cNvPr>
        <xdr:cNvPicPr>
          <a:picLocks noChangeAspect="1"/>
        </xdr:cNvPicPr>
      </xdr:nvPicPr>
      <xdr:blipFill>
        <a:blip xmlns:r="http://schemas.openxmlformats.org/officeDocument/2006/relationships" r:embed="rId3"/>
        <a:stretch>
          <a:fillRect/>
        </a:stretch>
      </xdr:blipFill>
      <xdr:spPr>
        <a:xfrm>
          <a:off x="25488900" y="6319463"/>
          <a:ext cx="5323552" cy="528920"/>
        </a:xfrm>
        <a:prstGeom prst="rect">
          <a:avLst/>
        </a:prstGeom>
      </xdr:spPr>
    </xdr:pic>
    <xdr:clientData/>
  </xdr:twoCellAnchor>
  <xdr:twoCellAnchor editAs="oneCell">
    <xdr:from>
      <xdr:col>6</xdr:col>
      <xdr:colOff>80282</xdr:colOff>
      <xdr:row>79</xdr:row>
      <xdr:rowOff>159203</xdr:rowOff>
    </xdr:from>
    <xdr:to>
      <xdr:col>6</xdr:col>
      <xdr:colOff>5501874</xdr:colOff>
      <xdr:row>104</xdr:row>
      <xdr:rowOff>49738</xdr:rowOff>
    </xdr:to>
    <xdr:pic>
      <xdr:nvPicPr>
        <xdr:cNvPr id="41" name="Immagine 40">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4"/>
        <a:stretch>
          <a:fillRect/>
        </a:stretch>
      </xdr:blipFill>
      <xdr:spPr>
        <a:xfrm>
          <a:off x="7852682" y="13151303"/>
          <a:ext cx="5421592" cy="3938660"/>
        </a:xfrm>
        <a:prstGeom prst="rect">
          <a:avLst/>
        </a:prstGeom>
      </xdr:spPr>
    </xdr:pic>
    <xdr:clientData/>
  </xdr:twoCellAnchor>
  <xdr:twoCellAnchor editAs="oneCell">
    <xdr:from>
      <xdr:col>6</xdr:col>
      <xdr:colOff>1455965</xdr:colOff>
      <xdr:row>203</xdr:row>
      <xdr:rowOff>108857</xdr:rowOff>
    </xdr:from>
    <xdr:to>
      <xdr:col>7</xdr:col>
      <xdr:colOff>1104109</xdr:colOff>
      <xdr:row>227</xdr:row>
      <xdr:rowOff>95251</xdr:rowOff>
    </xdr:to>
    <xdr:pic>
      <xdr:nvPicPr>
        <xdr:cNvPr id="3" name="Immagin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5"/>
        <a:stretch>
          <a:fillRect/>
        </a:stretch>
      </xdr:blipFill>
      <xdr:spPr>
        <a:xfrm>
          <a:off x="9228365" y="33208232"/>
          <a:ext cx="5220269" cy="3872594"/>
        </a:xfrm>
        <a:prstGeom prst="rect">
          <a:avLst/>
        </a:prstGeom>
      </xdr:spPr>
    </xdr:pic>
    <xdr:clientData/>
  </xdr:twoCellAnchor>
  <xdr:twoCellAnchor editAs="oneCell">
    <xdr:from>
      <xdr:col>6</xdr:col>
      <xdr:colOff>115661</xdr:colOff>
      <xdr:row>136</xdr:row>
      <xdr:rowOff>35378</xdr:rowOff>
    </xdr:from>
    <xdr:to>
      <xdr:col>6</xdr:col>
      <xdr:colOff>5328576</xdr:colOff>
      <xdr:row>159</xdr:row>
      <xdr:rowOff>43926</xdr:rowOff>
    </xdr:to>
    <xdr:pic>
      <xdr:nvPicPr>
        <xdr:cNvPr id="4" name="Immagin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6"/>
        <a:stretch>
          <a:fillRect/>
        </a:stretch>
      </xdr:blipFill>
      <xdr:spPr>
        <a:xfrm>
          <a:off x="7888061" y="22276253"/>
          <a:ext cx="5212915" cy="3732823"/>
        </a:xfrm>
        <a:prstGeom prst="rect">
          <a:avLst/>
        </a:prstGeom>
      </xdr:spPr>
    </xdr:pic>
    <xdr:clientData/>
  </xdr:twoCellAnchor>
  <xdr:twoCellAnchor editAs="oneCell">
    <xdr:from>
      <xdr:col>6</xdr:col>
      <xdr:colOff>84364</xdr:colOff>
      <xdr:row>107</xdr:row>
      <xdr:rowOff>53057</xdr:rowOff>
    </xdr:from>
    <xdr:to>
      <xdr:col>6</xdr:col>
      <xdr:colOff>5495925</xdr:colOff>
      <xdr:row>132</xdr:row>
      <xdr:rowOff>43170</xdr:rowOff>
    </xdr:to>
    <xdr:pic>
      <xdr:nvPicPr>
        <xdr:cNvPr id="5" name="Immagine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7"/>
        <a:stretch>
          <a:fillRect/>
        </a:stretch>
      </xdr:blipFill>
      <xdr:spPr>
        <a:xfrm>
          <a:off x="7856764" y="17588582"/>
          <a:ext cx="5411561" cy="4038238"/>
        </a:xfrm>
        <a:prstGeom prst="rect">
          <a:avLst/>
        </a:prstGeom>
      </xdr:spPr>
    </xdr:pic>
    <xdr:clientData/>
  </xdr:twoCellAnchor>
  <xdr:twoCellAnchor>
    <xdr:from>
      <xdr:col>6</xdr:col>
      <xdr:colOff>1449159</xdr:colOff>
      <xdr:row>38</xdr:row>
      <xdr:rowOff>54428</xdr:rowOff>
    </xdr:from>
    <xdr:to>
      <xdr:col>6</xdr:col>
      <xdr:colOff>4939392</xdr:colOff>
      <xdr:row>53</xdr:row>
      <xdr:rowOff>140153</xdr:rowOff>
    </xdr:to>
    <xdr:graphicFrame macro="">
      <xdr:nvGraphicFramePr>
        <xdr:cNvPr id="6" name="Grafico 5">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17</xdr:col>
      <xdr:colOff>314325</xdr:colOff>
      <xdr:row>9</xdr:row>
      <xdr:rowOff>100012</xdr:rowOff>
    </xdr:from>
    <xdr:to>
      <xdr:col>26</xdr:col>
      <xdr:colOff>9525</xdr:colOff>
      <xdr:row>23</xdr:row>
      <xdr:rowOff>176212</xdr:rowOff>
    </xdr:to>
    <xdr:graphicFrame macro="">
      <xdr:nvGraphicFramePr>
        <xdr:cNvPr id="4" name="Grafico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357187</xdr:colOff>
      <xdr:row>32</xdr:row>
      <xdr:rowOff>104774</xdr:rowOff>
    </xdr:from>
    <xdr:to>
      <xdr:col>14</xdr:col>
      <xdr:colOff>209550</xdr:colOff>
      <xdr:row>46</xdr:row>
      <xdr:rowOff>19049</xdr:rowOff>
    </xdr:to>
    <xdr:graphicFrame macro="">
      <xdr:nvGraphicFramePr>
        <xdr:cNvPr id="2" name="Grafico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10</xdr:col>
      <xdr:colOff>533400</xdr:colOff>
      <xdr:row>12</xdr:row>
      <xdr:rowOff>180975</xdr:rowOff>
    </xdr:from>
    <xdr:to>
      <xdr:col>18</xdr:col>
      <xdr:colOff>228600</xdr:colOff>
      <xdr:row>27</xdr:row>
      <xdr:rowOff>66675</xdr:rowOff>
    </xdr:to>
    <xdr:graphicFrame macro="">
      <xdr:nvGraphicFramePr>
        <xdr:cNvPr id="3" name="Grafico 2">
          <a:extLst>
            <a:ext uri="{FF2B5EF4-FFF2-40B4-BE49-F238E27FC236}">
              <a16:creationId xmlns:a16="http://schemas.microsoft.com/office/drawing/2014/main" id="{65F228FC-63ED-DFAA-1A03-0D1BB1F42E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1343025</xdr:colOff>
      <xdr:row>20</xdr:row>
      <xdr:rowOff>166687</xdr:rowOff>
    </xdr:from>
    <xdr:to>
      <xdr:col>8</xdr:col>
      <xdr:colOff>238125</xdr:colOff>
      <xdr:row>35</xdr:row>
      <xdr:rowOff>52387</xdr:rowOff>
    </xdr:to>
    <xdr:graphicFrame macro="">
      <xdr:nvGraphicFramePr>
        <xdr:cNvPr id="3" name="Grafico 2">
          <a:extLst>
            <a:ext uri="{FF2B5EF4-FFF2-40B4-BE49-F238E27FC236}">
              <a16:creationId xmlns:a16="http://schemas.microsoft.com/office/drawing/2014/main" i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609599</xdr:colOff>
      <xdr:row>1</xdr:row>
      <xdr:rowOff>190499</xdr:rowOff>
    </xdr:from>
    <xdr:to>
      <xdr:col>10</xdr:col>
      <xdr:colOff>561975</xdr:colOff>
      <xdr:row>18</xdr:row>
      <xdr:rowOff>180974</xdr:rowOff>
    </xdr:to>
    <xdr:sp macro="" textlink="">
      <xdr:nvSpPr>
        <xdr:cNvPr id="63489" name="Text Box 1">
          <a:extLst>
            <a:ext uri="{FF2B5EF4-FFF2-40B4-BE49-F238E27FC236}">
              <a16:creationId xmlns:a16="http://schemas.microsoft.com/office/drawing/2014/main" id="{00000000-0008-0000-1300-000001F80000}"/>
            </a:ext>
          </a:extLst>
        </xdr:cNvPr>
        <xdr:cNvSpPr txBox="1">
          <a:spLocks noChangeArrowheads="1"/>
        </xdr:cNvSpPr>
      </xdr:nvSpPr>
      <xdr:spPr bwMode="auto">
        <a:xfrm>
          <a:off x="3800474" y="380999"/>
          <a:ext cx="3609976" cy="3228975"/>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cs typeface="Calibri"/>
            </a:rPr>
            <a:t>(mass loss rate)/(unit area) = (vapor pressure - ambient partial pressure)*sqrt( (molecular weight)/(2*pi*R*T) )</a:t>
          </a:r>
        </a:p>
        <a:p>
          <a:pPr algn="l" rtl="0">
            <a:defRPr sz="1000"/>
          </a:pPr>
          <a:endParaRPr lang="en-US" sz="1100" b="0" i="0" u="none" strike="noStrike" baseline="0">
            <a:solidFill>
              <a:srgbClr val="000000"/>
            </a:solidFill>
            <a:latin typeface="Calibri"/>
            <a:cs typeface="Calibri"/>
          </a:endParaRPr>
        </a:p>
        <a:p>
          <a:pPr algn="l" rtl="0">
            <a:defRPr sz="1000"/>
          </a:pPr>
          <a:r>
            <a:rPr lang="en-US" sz="1100" b="0" i="0" u="none" strike="noStrike" baseline="0">
              <a:solidFill>
                <a:srgbClr val="000000"/>
              </a:solidFill>
              <a:latin typeface="Calibri"/>
              <a:cs typeface="Calibri"/>
            </a:rPr>
            <a:t>(from Zemansky and Dittman, Heat and Thermodynamics, McGraw Hill, copyright dates from 1937 to 1981 in my copy).</a:t>
          </a:r>
        </a:p>
        <a:p>
          <a:pPr algn="l" rtl="0">
            <a:defRPr sz="1000"/>
          </a:pPr>
          <a:endParaRPr lang="en-US" sz="1100" b="0" i="0" u="none" strike="noStrike" baseline="0">
            <a:solidFill>
              <a:srgbClr val="000000"/>
            </a:solidFill>
            <a:latin typeface="Calibri"/>
            <a:cs typeface="Calibri"/>
          </a:endParaRPr>
        </a:p>
        <a:p>
          <a:pPr algn="l" rtl="0">
            <a:defRPr sz="1000"/>
          </a:pPr>
          <a:r>
            <a:rPr lang="en-US" sz="1100" b="0" i="0" u="none" strike="noStrike" baseline="0">
              <a:solidFill>
                <a:srgbClr val="000000"/>
              </a:solidFill>
              <a:latin typeface="Calibri"/>
              <a:cs typeface="Calibri"/>
            </a:rPr>
            <a:t>The ambient partial pressure of water is the 0.8 PSI you gave me, and the vapor pressure is the 0.96 PSI (we’re going to have to convert this to different units to make it work out). T is the temperature in degrees Kelvin -- 310 degrees above absolute zero. R is the gas constant which is 8.314 Joules/(mol degree K). Naturally the units of measurement in formulas like these are a disaster. I would suggest using standard Metric (SI) units for everything. Multiply the pressures in PSI by 6895 to get pressurs in Pascals (Newtons/sq. M), and the molecular weight should be in kg/mol (to cancel out the moles in the gas constant R). For water this is 0.018 kg/mole.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22412</xdr:colOff>
      <xdr:row>64</xdr:row>
      <xdr:rowOff>33617</xdr:rowOff>
    </xdr:from>
    <xdr:to>
      <xdr:col>15</xdr:col>
      <xdr:colOff>672353</xdr:colOff>
      <xdr:row>64</xdr:row>
      <xdr:rowOff>683558</xdr:rowOff>
    </xdr:to>
    <xdr:sp macro="" textlink="">
      <xdr:nvSpPr>
        <xdr:cNvPr id="2" name="Rettangolo 1">
          <a:extLst>
            <a:ext uri="{FF2B5EF4-FFF2-40B4-BE49-F238E27FC236}">
              <a16:creationId xmlns:a16="http://schemas.microsoft.com/office/drawing/2014/main" id="{00000000-0008-0000-1500-000002000000}"/>
            </a:ext>
          </a:extLst>
        </xdr:cNvPr>
        <xdr:cNvSpPr/>
      </xdr:nvSpPr>
      <xdr:spPr>
        <a:xfrm>
          <a:off x="8404412" y="12561793"/>
          <a:ext cx="3429000" cy="64994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t-IT" sz="1100">
              <a:solidFill>
                <a:sysClr val="windowText" lastClr="000000"/>
              </a:solidFill>
            </a:rPr>
            <a:t>Table B.2 — Hourly values of the relative hot-water demand based on volume for different building categories</a:t>
          </a:r>
        </a:p>
      </xdr:txBody>
    </xdr:sp>
    <xdr:clientData/>
  </xdr:twoCellAnchor>
  <xdr:twoCellAnchor>
    <xdr:from>
      <xdr:col>10</xdr:col>
      <xdr:colOff>7922</xdr:colOff>
      <xdr:row>231</xdr:row>
      <xdr:rowOff>179294</xdr:rowOff>
    </xdr:from>
    <xdr:to>
      <xdr:col>16</xdr:col>
      <xdr:colOff>573433</xdr:colOff>
      <xdr:row>248</xdr:row>
      <xdr:rowOff>134472</xdr:rowOff>
    </xdr:to>
    <xdr:graphicFrame macro="">
      <xdr:nvGraphicFramePr>
        <xdr:cNvPr id="8" name="Grafico 7">
          <a:extLst>
            <a:ext uri="{FF2B5EF4-FFF2-40B4-BE49-F238E27FC236}">
              <a16:creationId xmlns:a16="http://schemas.microsoft.com/office/drawing/2014/main" id="{00000000-0008-0000-1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605117</xdr:colOff>
      <xdr:row>258</xdr:row>
      <xdr:rowOff>44823</xdr:rowOff>
    </xdr:from>
    <xdr:to>
      <xdr:col>16</xdr:col>
      <xdr:colOff>484633</xdr:colOff>
      <xdr:row>273</xdr:row>
      <xdr:rowOff>164291</xdr:rowOff>
    </xdr:to>
    <xdr:graphicFrame macro="">
      <xdr:nvGraphicFramePr>
        <xdr:cNvPr id="9" name="Grafico 8">
          <a:extLst>
            <a:ext uri="{FF2B5EF4-FFF2-40B4-BE49-F238E27FC236}">
              <a16:creationId xmlns:a16="http://schemas.microsoft.com/office/drawing/2014/main" id="{00000000-0008-0000-1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2</xdr:col>
      <xdr:colOff>44824</xdr:colOff>
      <xdr:row>236</xdr:row>
      <xdr:rowOff>44825</xdr:rowOff>
    </xdr:from>
    <xdr:ext cx="4376839" cy="550664"/>
    <mc:AlternateContent xmlns:mc="http://schemas.openxmlformats.org/markup-compatibility/2006" xmlns:a14="http://schemas.microsoft.com/office/drawing/2010/main">
      <mc:Choice Requires="a14">
        <xdr:sp macro="" textlink="">
          <xdr:nvSpPr>
            <xdr:cNvPr id="10" name="CasellaDiTesto 9">
              <a:extLst>
                <a:ext uri="{FF2B5EF4-FFF2-40B4-BE49-F238E27FC236}">
                  <a16:creationId xmlns:a16="http://schemas.microsoft.com/office/drawing/2014/main" id="{00000000-0008-0000-1500-00000A000000}"/>
                </a:ext>
              </a:extLst>
            </xdr:cNvPr>
            <xdr:cNvSpPr txBox="1"/>
          </xdr:nvSpPr>
          <xdr:spPr>
            <a:xfrm>
              <a:off x="1848971" y="57362913"/>
              <a:ext cx="4376839" cy="550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14:m>
                <m:oMathPara xmlns:m="http://schemas.openxmlformats.org/officeDocument/2006/math">
                  <m:oMathParaPr>
                    <m:jc m:val="left"/>
                  </m:oMathParaPr>
                  <m:oMath xmlns:m="http://schemas.openxmlformats.org/officeDocument/2006/math">
                    <m:sSub>
                      <m:sSubPr>
                        <m:ctrlPr>
                          <a:rPr lang="it-IT" sz="1100" i="1">
                            <a:latin typeface="Cambria Math" panose="02040503050406030204" pitchFamily="18" charset="0"/>
                          </a:rPr>
                        </m:ctrlPr>
                      </m:sSubPr>
                      <m:e>
                        <m:r>
                          <a:rPr lang="it-IT" sz="1100" b="0" i="1">
                            <a:latin typeface="Cambria Math" panose="02040503050406030204" pitchFamily="18" charset="0"/>
                          </a:rPr>
                          <m:t>𝑛</m:t>
                        </m:r>
                      </m:e>
                      <m:sub>
                        <m:r>
                          <a:rPr lang="it-IT" sz="1100" b="0" i="1">
                            <a:latin typeface="Cambria Math" panose="02040503050406030204" pitchFamily="18" charset="0"/>
                          </a:rPr>
                          <m:t>𝑝</m:t>
                        </m:r>
                        <m:r>
                          <a:rPr lang="it-IT" sz="1100" b="0" i="1">
                            <a:latin typeface="Cambria Math" panose="02040503050406030204" pitchFamily="18" charset="0"/>
                          </a:rPr>
                          <m:t>;</m:t>
                        </m:r>
                        <m:r>
                          <a:rPr lang="it-IT" sz="1100" b="0" i="1">
                            <a:latin typeface="Cambria Math" panose="02040503050406030204" pitchFamily="18" charset="0"/>
                          </a:rPr>
                          <m:t>𝑒𝑞</m:t>
                        </m:r>
                        <m:r>
                          <a:rPr lang="it-IT" sz="1100" b="0" i="1">
                            <a:latin typeface="Cambria Math" panose="02040503050406030204" pitchFamily="18" charset="0"/>
                          </a:rPr>
                          <m:t>;</m:t>
                        </m:r>
                        <m:r>
                          <a:rPr lang="it-IT" sz="1100" b="0" i="1">
                            <a:latin typeface="Cambria Math" panose="02040503050406030204" pitchFamily="18" charset="0"/>
                          </a:rPr>
                          <m:t>𝑚𝑎𝑥</m:t>
                        </m:r>
                        <m:r>
                          <a:rPr lang="it-IT" sz="1100" b="0" i="1">
                            <a:latin typeface="Cambria Math" panose="02040503050406030204" pitchFamily="18" charset="0"/>
                          </a:rPr>
                          <m:t>;</m:t>
                        </m:r>
                        <m:r>
                          <a:rPr lang="it-IT" sz="1100" b="0" i="1">
                            <a:latin typeface="Cambria Math" panose="02040503050406030204" pitchFamily="18" charset="0"/>
                          </a:rPr>
                          <m:t>𝑠𝑓h</m:t>
                        </m:r>
                      </m:sub>
                    </m:sSub>
                    <m:r>
                      <a:rPr lang="it-IT" sz="1100" i="1">
                        <a:latin typeface="Cambria Math" panose="02040503050406030204" pitchFamily="18" charset="0"/>
                      </a:rPr>
                      <m:t>=</m:t>
                    </m:r>
                    <m:m>
                      <m:mPr>
                        <m:mcs>
                          <m:mc>
                            <m:mcPr>
                              <m:count m:val="1"/>
                              <m:mcJc m:val="center"/>
                            </m:mcPr>
                          </m:mc>
                        </m:mcs>
                        <m:ctrlPr>
                          <a:rPr lang="it-IT" sz="1100" i="1">
                            <a:latin typeface="Cambria Math" panose="02040503050406030204" pitchFamily="18" charset="0"/>
                          </a:rPr>
                        </m:ctrlPr>
                      </m:mPr>
                      <m:mr>
                        <m:e>
                          <m:r>
                            <m:rPr>
                              <m:brk m:alnAt="7"/>
                            </m:rPr>
                            <a:rPr lang="it-IT" sz="1100" b="0" i="1">
                              <a:latin typeface="Cambria Math" panose="02040503050406030204" pitchFamily="18" charset="0"/>
                            </a:rPr>
                            <m:t>1</m:t>
                          </m:r>
                          <m:r>
                            <a:rPr lang="it-IT" sz="1100" b="0" i="1">
                              <a:latin typeface="Cambria Math" panose="02040503050406030204" pitchFamily="18" charset="0"/>
                            </a:rPr>
                            <m:t>    </m:t>
                          </m:r>
                          <m:r>
                            <a:rPr lang="it-IT" sz="1100" b="0" i="1">
                              <a:latin typeface="Cambria Math" panose="02040503050406030204" pitchFamily="18" charset="0"/>
                            </a:rPr>
                            <m:t>𝑖𝑓</m:t>
                          </m:r>
                          <m:r>
                            <a:rPr lang="it-IT" sz="1100" b="0" i="1">
                              <a:latin typeface="Cambria Math" panose="02040503050406030204" pitchFamily="18" charset="0"/>
                            </a:rPr>
                            <m:t> </m:t>
                          </m:r>
                          <m:sSub>
                            <m:sSubPr>
                              <m:ctrlPr>
                                <a:rPr lang="it-IT" sz="1100" b="0" i="1">
                                  <a:latin typeface="Cambria Math" panose="02040503050406030204" pitchFamily="18" charset="0"/>
                                </a:rPr>
                              </m:ctrlPr>
                            </m:sSubPr>
                            <m:e>
                              <m:r>
                                <a:rPr lang="it-IT" sz="1100" b="0" i="1">
                                  <a:latin typeface="Cambria Math" panose="02040503050406030204" pitchFamily="18" charset="0"/>
                                </a:rPr>
                                <m:t>  </m:t>
                              </m:r>
                              <m:r>
                                <a:rPr lang="it-IT" sz="1100" b="0" i="1">
                                  <a:latin typeface="Cambria Math" panose="02040503050406030204" pitchFamily="18" charset="0"/>
                                </a:rPr>
                                <m:t>𝐴</m:t>
                              </m:r>
                            </m:e>
                            <m:sub>
                              <m:r>
                                <a:rPr lang="it-IT" sz="1100" b="0" i="1">
                                  <a:latin typeface="Cambria Math" panose="02040503050406030204" pitchFamily="18" charset="0"/>
                                </a:rPr>
                                <m:t>h</m:t>
                              </m:r>
                            </m:sub>
                          </m:sSub>
                          <m:r>
                            <m:rPr>
                              <m:brk m:alnAt="7"/>
                            </m:rPr>
                            <a:rPr lang="it-IT" sz="1100" b="0" i="1">
                              <a:latin typeface="Cambria Math" panose="02040503050406030204" pitchFamily="18" charset="0"/>
                              <a:ea typeface="Cambria Math" panose="02040503050406030204" pitchFamily="18" charset="0"/>
                            </a:rPr>
                            <m:t>&lt;</m:t>
                          </m:r>
                          <m:r>
                            <a:rPr lang="it-IT" sz="1100" b="0" i="1">
                              <a:latin typeface="Cambria Math" panose="02040503050406030204" pitchFamily="18" charset="0"/>
                              <a:ea typeface="Cambria Math" panose="02040503050406030204" pitchFamily="18" charset="0"/>
                            </a:rPr>
                            <m:t>30 </m:t>
                          </m:r>
                          <m:r>
                            <a:rPr lang="it-IT" sz="1100" b="0" i="1">
                              <a:latin typeface="Cambria Math" panose="02040503050406030204" pitchFamily="18" charset="0"/>
                              <a:ea typeface="Cambria Math" panose="02040503050406030204" pitchFamily="18" charset="0"/>
                            </a:rPr>
                            <m:t>𝑚</m:t>
                          </m:r>
                          <m:r>
                            <a:rPr lang="it-IT" sz="1100" b="0" i="1">
                              <a:latin typeface="Cambria Math" panose="02040503050406030204" pitchFamily="18" charset="0"/>
                              <a:ea typeface="Cambria Math" panose="02040503050406030204" pitchFamily="18" charset="0"/>
                            </a:rPr>
                            <m:t>²</m:t>
                          </m:r>
                        </m:e>
                      </m:mr>
                      <m:mr>
                        <m:e>
                          <m:d>
                            <m:dPr>
                              <m:begChr m:val="["/>
                              <m:endChr m:val="]"/>
                              <m:ctrlPr>
                                <a:rPr lang="it-IT" sz="1100" i="1">
                                  <a:latin typeface="Cambria Math" panose="02040503050406030204" pitchFamily="18" charset="0"/>
                                </a:rPr>
                              </m:ctrlPr>
                            </m:dPr>
                            <m:e>
                              <m:r>
                                <a:rPr lang="it-IT" sz="1100" b="0" i="1">
                                  <a:latin typeface="Cambria Math" panose="02040503050406030204" pitchFamily="18" charset="0"/>
                                </a:rPr>
                                <m:t>1.75−0,01875</m:t>
                              </m:r>
                              <m:r>
                                <a:rPr lang="it-IT" sz="1100" b="0" i="1">
                                  <a:latin typeface="Cambria Math" panose="02040503050406030204" pitchFamily="18" charset="0"/>
                                  <a:ea typeface="Cambria Math" panose="02040503050406030204" pitchFamily="18" charset="0"/>
                                </a:rPr>
                                <m:t>×</m:t>
                              </m:r>
                              <m:d>
                                <m:dPr>
                                  <m:ctrlPr>
                                    <a:rPr lang="it-IT" sz="1100" b="0" i="1">
                                      <a:latin typeface="Cambria Math" panose="02040503050406030204" pitchFamily="18" charset="0"/>
                                      <a:ea typeface="Cambria Math" panose="02040503050406030204" pitchFamily="18" charset="0"/>
                                    </a:rPr>
                                  </m:ctrlPr>
                                </m:dPr>
                                <m:e>
                                  <m:r>
                                    <a:rPr lang="it-IT" sz="1100" b="0" i="1">
                                      <a:latin typeface="Cambria Math" panose="02040503050406030204" pitchFamily="18" charset="0"/>
                                      <a:ea typeface="Cambria Math" panose="02040503050406030204" pitchFamily="18" charset="0"/>
                                    </a:rPr>
                                    <m:t>70−</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𝐴</m:t>
                                      </m:r>
                                    </m:e>
                                    <m:sub>
                                      <m:r>
                                        <a:rPr lang="it-IT" sz="1100" b="0" i="1">
                                          <a:solidFill>
                                            <a:schemeClr val="tx1"/>
                                          </a:solidFill>
                                          <a:effectLst/>
                                          <a:latin typeface="Cambria Math" panose="02040503050406030204" pitchFamily="18" charset="0"/>
                                          <a:ea typeface="+mn-ea"/>
                                          <a:cs typeface="+mn-cs"/>
                                        </a:rPr>
                                        <m:t>h</m:t>
                                      </m:r>
                                    </m:sub>
                                  </m:sSub>
                                </m:e>
                              </m:d>
                              <m:r>
                                <a:rPr lang="it-IT" sz="1100" b="0" i="1">
                                  <a:latin typeface="Cambria Math" panose="02040503050406030204" pitchFamily="18" charset="0"/>
                                  <a:ea typeface="Cambria Math" panose="02040503050406030204" pitchFamily="18" charset="0"/>
                                </a:rPr>
                                <m:t> </m:t>
                              </m:r>
                            </m:e>
                          </m:d>
                          <m:r>
                            <a:rPr lang="it-IT" sz="1100" b="0" i="1">
                              <a:latin typeface="Cambria Math" panose="02040503050406030204" pitchFamily="18" charset="0"/>
                            </a:rPr>
                            <m:t>  </m:t>
                          </m:r>
                          <m:r>
                            <m:rPr>
                              <m:brk m:alnAt="7"/>
                            </m:rP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𝑓</m:t>
                          </m:r>
                          <m:r>
                            <a:rPr lang="it-IT" sz="1100" b="0" i="1">
                              <a:solidFill>
                                <a:schemeClr val="tx1"/>
                              </a:solidFill>
                              <a:effectLst/>
                              <a:latin typeface="Cambria Math" panose="02040503050406030204" pitchFamily="18" charset="0"/>
                              <a:ea typeface="+mn-ea"/>
                              <a:cs typeface="+mn-cs"/>
                            </a:rPr>
                            <m:t>  30 </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𝑚</m:t>
                              </m:r>
                            </m:e>
                            <m:sup>
                              <m:r>
                                <a:rPr lang="it-IT" sz="1100" b="0" i="1">
                                  <a:solidFill>
                                    <a:schemeClr val="tx1"/>
                                  </a:solidFill>
                                  <a:effectLst/>
                                  <a:latin typeface="Cambria Math" panose="02040503050406030204" pitchFamily="18" charset="0"/>
                                  <a:ea typeface="+mn-ea"/>
                                  <a:cs typeface="+mn-cs"/>
                                </a:rPr>
                                <m:t>2</m:t>
                              </m:r>
                            </m:sup>
                          </m:sSup>
                          <m:r>
                            <a:rPr lang="it-IT" sz="1100" b="0" i="1">
                              <a:solidFill>
                                <a:schemeClr val="tx1"/>
                              </a:solidFill>
                              <a:effectLst/>
                              <a:latin typeface="Cambria Math" panose="02040503050406030204" pitchFamily="18" charset="0"/>
                              <a:ea typeface="+mn-ea"/>
                              <a:cs typeface="+mn-cs"/>
                            </a:rPr>
                            <m:t> </m:t>
                          </m:r>
                          <m:r>
                            <a:rPr lang="it-IT" sz="1100" b="0" i="1">
                              <a:solidFill>
                                <a:schemeClr val="tx1"/>
                              </a:solidFill>
                              <a:effectLst/>
                              <a:latin typeface="Cambria Math" panose="02040503050406030204" pitchFamily="18" charset="0"/>
                              <a:ea typeface="Cambria Math" panose="02040503050406030204" pitchFamily="18" charset="0"/>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𝐴</m:t>
                              </m:r>
                            </m:e>
                            <m:sub>
                              <m:r>
                                <a:rPr lang="it-IT" sz="1100" b="0" i="1">
                                  <a:solidFill>
                                    <a:schemeClr val="tx1"/>
                                  </a:solidFill>
                                  <a:effectLst/>
                                  <a:latin typeface="Cambria Math" panose="02040503050406030204" pitchFamily="18" charset="0"/>
                                  <a:ea typeface="+mn-ea"/>
                                  <a:cs typeface="+mn-cs"/>
                                </a:rPr>
                                <m:t>h</m:t>
                              </m:r>
                            </m:sub>
                          </m:sSub>
                          <m:r>
                            <m:rPr>
                              <m:brk m:alnAt="7"/>
                            </m:rPr>
                            <a:rPr lang="it-IT" sz="1100" b="0" i="1">
                              <a:solidFill>
                                <a:schemeClr val="tx1"/>
                              </a:solidFill>
                              <a:effectLst/>
                              <a:latin typeface="Cambria Math" panose="02040503050406030204" pitchFamily="18" charset="0"/>
                              <a:ea typeface="+mn-ea"/>
                              <a:cs typeface="+mn-cs"/>
                            </a:rPr>
                            <m:t>&lt;</m:t>
                          </m:r>
                          <m:r>
                            <a:rPr lang="it-IT" sz="1100" b="0" i="1">
                              <a:solidFill>
                                <a:schemeClr val="tx1"/>
                              </a:solidFill>
                              <a:effectLst/>
                              <a:latin typeface="Cambria Math" panose="02040503050406030204" pitchFamily="18" charset="0"/>
                              <a:ea typeface="+mn-ea"/>
                              <a:cs typeface="+mn-cs"/>
                            </a:rPr>
                            <m:t>70 </m:t>
                          </m:r>
                          <m:r>
                            <a:rPr lang="it-IT" sz="1100" b="0" i="1">
                              <a:solidFill>
                                <a:schemeClr val="tx1"/>
                              </a:solidFill>
                              <a:effectLst/>
                              <a:latin typeface="Cambria Math" panose="02040503050406030204" pitchFamily="18" charset="0"/>
                              <a:ea typeface="+mn-ea"/>
                              <a:cs typeface="+mn-cs"/>
                            </a:rPr>
                            <m:t>𝑚</m:t>
                          </m:r>
                          <m:r>
                            <a:rPr lang="it-IT" sz="1100" b="0" i="1">
                              <a:solidFill>
                                <a:schemeClr val="tx1"/>
                              </a:solidFill>
                              <a:effectLst/>
                              <a:latin typeface="Cambria Math" panose="02040503050406030204" pitchFamily="18" charset="0"/>
                              <a:ea typeface="+mn-ea"/>
                              <a:cs typeface="+mn-cs"/>
                            </a:rPr>
                            <m:t>²</m:t>
                          </m:r>
                        </m:e>
                      </m:mr>
                      <m:mr>
                        <m:e>
                          <m:r>
                            <a:rPr lang="it-IT" sz="1100" b="0" i="1">
                              <a:latin typeface="Cambria Math" panose="02040503050406030204" pitchFamily="18" charset="0"/>
                            </a:rPr>
                            <m:t>0,025</m:t>
                          </m:r>
                          <m:r>
                            <a:rPr lang="it-IT" sz="1100" b="0" i="1">
                              <a:latin typeface="Cambria Math" panose="02040503050406030204" pitchFamily="18" charset="0"/>
                              <a:ea typeface="Cambria Math" panose="02040503050406030204" pitchFamily="18" charset="0"/>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𝐴</m:t>
                              </m:r>
                            </m:e>
                            <m:sub>
                              <m:r>
                                <a:rPr lang="it-IT" sz="1100" b="0" i="1">
                                  <a:solidFill>
                                    <a:schemeClr val="tx1"/>
                                  </a:solidFill>
                                  <a:effectLst/>
                                  <a:latin typeface="Cambria Math" panose="02040503050406030204" pitchFamily="18" charset="0"/>
                                  <a:ea typeface="+mn-ea"/>
                                  <a:cs typeface="+mn-cs"/>
                                </a:rPr>
                                <m:t>h</m:t>
                              </m:r>
                            </m:sub>
                          </m:sSub>
                          <m:r>
                            <a:rPr lang="it-IT" sz="1100" b="0" i="1">
                              <a:solidFill>
                                <a:schemeClr val="tx1"/>
                              </a:solidFill>
                              <a:effectLst/>
                              <a:latin typeface="Cambria Math" panose="02040503050406030204" pitchFamily="18" charset="0"/>
                              <a:ea typeface="+mn-ea"/>
                              <a:cs typeface="+mn-cs"/>
                            </a:rPr>
                            <m:t>    </m:t>
                          </m:r>
                          <m:r>
                            <a:rPr lang="it-IT" sz="1100" b="0" i="1">
                              <a:solidFill>
                                <a:schemeClr val="tx1"/>
                              </a:solidFill>
                              <a:effectLst/>
                              <a:latin typeface="Cambria Math" panose="02040503050406030204" pitchFamily="18" charset="0"/>
                              <a:ea typeface="+mn-ea"/>
                              <a:cs typeface="+mn-cs"/>
                            </a:rPr>
                            <m:t>𝑖𝑓</m:t>
                          </m:r>
                          <m:r>
                            <a:rPr lang="it-IT" sz="1100" b="0" i="1">
                              <a:solidFill>
                                <a:schemeClr val="tx1"/>
                              </a:solidFill>
                              <a:effectLst/>
                              <a:latin typeface="Cambria Math" panose="02040503050406030204" pitchFamily="18" charset="0"/>
                              <a:ea typeface="+mn-ea"/>
                              <a:cs typeface="+mn-cs"/>
                            </a:rPr>
                            <m:t> </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   </m:t>
                              </m:r>
                              <m:r>
                                <a:rPr lang="it-IT" sz="1100" b="0" i="1">
                                  <a:solidFill>
                                    <a:schemeClr val="tx1"/>
                                  </a:solidFill>
                                  <a:effectLst/>
                                  <a:latin typeface="Cambria Math" panose="02040503050406030204" pitchFamily="18" charset="0"/>
                                  <a:ea typeface="+mn-ea"/>
                                  <a:cs typeface="+mn-cs"/>
                                </a:rPr>
                                <m:t>𝐴</m:t>
                              </m:r>
                            </m:e>
                            <m:sub>
                              <m:r>
                                <a:rPr lang="it-IT" sz="1100" b="0" i="1">
                                  <a:solidFill>
                                    <a:schemeClr val="tx1"/>
                                  </a:solidFill>
                                  <a:effectLst/>
                                  <a:latin typeface="Cambria Math" panose="02040503050406030204" pitchFamily="18" charset="0"/>
                                  <a:ea typeface="+mn-ea"/>
                                  <a:cs typeface="+mn-cs"/>
                                </a:rPr>
                                <m:t>h</m:t>
                              </m:r>
                            </m:sub>
                          </m:sSub>
                          <m:r>
                            <a:rPr lang="it-IT" sz="1100" b="0" i="1">
                              <a:solidFill>
                                <a:schemeClr val="tx1"/>
                              </a:solidFill>
                              <a:effectLst/>
                              <a:latin typeface="Cambria Math" panose="02040503050406030204" pitchFamily="18" charset="0"/>
                              <a:ea typeface="+mn-ea"/>
                              <a:cs typeface="+mn-cs"/>
                            </a:rPr>
                            <m:t> </m:t>
                          </m:r>
                          <m:r>
                            <a:rPr lang="it-IT" sz="1100" b="0" i="1">
                              <a:solidFill>
                                <a:schemeClr val="tx1"/>
                              </a:solidFill>
                              <a:effectLst/>
                              <a:latin typeface="Cambria Math" panose="02040503050406030204" pitchFamily="18" charset="0"/>
                              <a:ea typeface="Cambria Math" panose="02040503050406030204" pitchFamily="18" charset="0"/>
                              <a:cs typeface="+mn-cs"/>
                            </a:rPr>
                            <m:t>≥</m:t>
                          </m:r>
                          <m:r>
                            <m:rPr>
                              <m:brk m:alnAt="7"/>
                            </m:rPr>
                            <a:rPr lang="it-IT" sz="1100" b="0" i="1">
                              <a:solidFill>
                                <a:schemeClr val="tx1"/>
                              </a:solidFill>
                              <a:effectLst/>
                              <a:latin typeface="Cambria Math" panose="02040503050406030204" pitchFamily="18" charset="0"/>
                              <a:ea typeface="+mn-ea"/>
                              <a:cs typeface="+mn-cs"/>
                            </a:rPr>
                            <m:t>7</m:t>
                          </m:r>
                          <m:r>
                            <a:rPr lang="it-IT" sz="1100" b="0" i="1">
                              <a:solidFill>
                                <a:schemeClr val="tx1"/>
                              </a:solidFill>
                              <a:effectLst/>
                              <a:latin typeface="Cambria Math" panose="02040503050406030204" pitchFamily="18" charset="0"/>
                              <a:ea typeface="+mn-ea"/>
                              <a:cs typeface="+mn-cs"/>
                            </a:rPr>
                            <m:t>0 </m:t>
                          </m:r>
                          <m:r>
                            <a:rPr lang="it-IT" sz="1100" b="0" i="1">
                              <a:solidFill>
                                <a:schemeClr val="tx1"/>
                              </a:solidFill>
                              <a:effectLst/>
                              <a:latin typeface="Cambria Math" panose="02040503050406030204" pitchFamily="18" charset="0"/>
                              <a:ea typeface="+mn-ea"/>
                              <a:cs typeface="+mn-cs"/>
                            </a:rPr>
                            <m:t>𝑚</m:t>
                          </m:r>
                          <m:r>
                            <a:rPr lang="it-IT" sz="1100" b="0" i="1">
                              <a:solidFill>
                                <a:schemeClr val="tx1"/>
                              </a:solidFill>
                              <a:effectLst/>
                              <a:latin typeface="Cambria Math" panose="02040503050406030204" pitchFamily="18" charset="0"/>
                              <a:ea typeface="+mn-ea"/>
                              <a:cs typeface="+mn-cs"/>
                            </a:rPr>
                            <m:t>²</m:t>
                          </m:r>
                        </m:e>
                      </m:mr>
                    </m:m>
                    <m:r>
                      <a:rPr lang="it-IT" sz="1100" b="0" i="1">
                        <a:latin typeface="Cambria Math" panose="02040503050406030204" pitchFamily="18" charset="0"/>
                      </a:rPr>
                      <m:t> </m:t>
                    </m:r>
                  </m:oMath>
                </m:oMathPara>
              </a14:m>
              <a:endParaRPr lang="it-IT" sz="1100"/>
            </a:p>
          </xdr:txBody>
        </xdr:sp>
      </mc:Choice>
      <mc:Fallback xmlns="">
        <xdr:sp macro="" textlink="">
          <xdr:nvSpPr>
            <xdr:cNvPr id="10" name="CasellaDiTesto 9">
              <a:extLst>
                <a:ext uri="{FF2B5EF4-FFF2-40B4-BE49-F238E27FC236}">
                  <a16:creationId xmlns:a16="http://schemas.microsoft.com/office/drawing/2014/main" id="{A1F03408-838A-4F55-8871-1AC92BA26030}"/>
                </a:ext>
              </a:extLst>
            </xdr:cNvPr>
            <xdr:cNvSpPr txBox="1"/>
          </xdr:nvSpPr>
          <xdr:spPr>
            <a:xfrm>
              <a:off x="1848971" y="57362913"/>
              <a:ext cx="4376839" cy="550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r>
                <a:rPr lang="it-IT" sz="1100" b="0" i="0">
                  <a:latin typeface="Cambria Math" panose="02040503050406030204" pitchFamily="18" charset="0"/>
                </a:rPr>
                <a:t>𝑛_(𝑝;𝑒𝑞;𝑚𝑎𝑥;𝑠𝑓ℎ)</a:t>
              </a:r>
              <a:r>
                <a:rPr lang="it-IT" sz="1100" i="0">
                  <a:latin typeface="Cambria Math" panose="02040503050406030204" pitchFamily="18" charset="0"/>
                </a:rPr>
                <a:t>=■8(</a:t>
              </a:r>
              <a:r>
                <a:rPr lang="it-IT" sz="1100" b="0" i="0">
                  <a:latin typeface="Cambria Math" panose="02040503050406030204" pitchFamily="18" charset="0"/>
                </a:rPr>
                <a:t>1    𝑖𝑓 〖  𝐴〗_ℎ</a:t>
              </a:r>
              <a:r>
                <a:rPr lang="it-IT" sz="1100" b="0" i="0">
                  <a:latin typeface="Cambria Math" panose="02040503050406030204" pitchFamily="18" charset="0"/>
                  <a:ea typeface="Cambria Math" panose="02040503050406030204" pitchFamily="18" charset="0"/>
                </a:rPr>
                <a:t>&lt;30 𝑚²@[</a:t>
              </a:r>
              <a:r>
                <a:rPr lang="it-IT" sz="1100" b="0" i="0">
                  <a:latin typeface="Cambria Math" panose="02040503050406030204" pitchFamily="18" charset="0"/>
                </a:rPr>
                <a:t>1.75−0,01875</a:t>
              </a:r>
              <a:r>
                <a:rPr lang="it-IT" sz="1100" b="0" i="0">
                  <a:latin typeface="Cambria Math" panose="02040503050406030204" pitchFamily="18" charset="0"/>
                  <a:ea typeface="Cambria Math" panose="02040503050406030204" pitchFamily="18" charset="0"/>
                </a:rPr>
                <a:t>×(70−</a:t>
              </a:r>
              <a:r>
                <a:rPr lang="it-IT" sz="1100" b="0" i="0">
                  <a:solidFill>
                    <a:schemeClr val="tx1"/>
                  </a:solidFill>
                  <a:effectLst/>
                  <a:latin typeface="Cambria Math" panose="02040503050406030204" pitchFamily="18" charset="0"/>
                  <a:ea typeface="+mn-ea"/>
                  <a:cs typeface="+mn-cs"/>
                </a:rPr>
                <a:t>𝐴_ℎ )</a:t>
              </a:r>
              <a:r>
                <a:rPr lang="it-IT" sz="1100" b="0" i="0">
                  <a:solidFill>
                    <a:schemeClr val="tx1"/>
                  </a:solidFill>
                  <a:effectLst/>
                  <a:latin typeface="Cambria Math" panose="02040503050406030204" pitchFamily="18" charset="0"/>
                  <a:ea typeface="Cambria Math" panose="02040503050406030204" pitchFamily="18" charset="0"/>
                  <a:cs typeface="+mn-cs"/>
                </a:rPr>
                <a:t> </a:t>
              </a:r>
              <a:r>
                <a:rPr lang="it-IT" sz="1100" b="0" i="0">
                  <a:latin typeface="Cambria Math" panose="02040503050406030204" pitchFamily="18" charset="0"/>
                  <a:ea typeface="Cambria Math" panose="02040503050406030204" pitchFamily="18" charset="0"/>
                </a:rPr>
                <a:t> ] </a:t>
              </a:r>
              <a:r>
                <a:rPr lang="it-IT" sz="1100" b="0" i="0">
                  <a:latin typeface="Cambria Math" panose="02040503050406030204" pitchFamily="18" charset="0"/>
                </a:rPr>
                <a:t>  </a:t>
              </a:r>
              <a:r>
                <a:rPr lang="it-IT" sz="1100" b="0" i="0">
                  <a:solidFill>
                    <a:schemeClr val="tx1"/>
                  </a:solidFill>
                  <a:effectLst/>
                  <a:latin typeface="Cambria Math" panose="02040503050406030204" pitchFamily="18" charset="0"/>
                  <a:ea typeface="+mn-ea"/>
                  <a:cs typeface="+mn-cs"/>
                </a:rPr>
                <a:t>𝑖𝑓  30 𝑚^2  </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𝐴_ℎ&lt;70 𝑚²@</a:t>
              </a:r>
              <a:r>
                <a:rPr lang="it-IT" sz="1100" b="0" i="0">
                  <a:latin typeface="Cambria Math" panose="02040503050406030204" pitchFamily="18" charset="0"/>
                </a:rPr>
                <a:t>0,025</a:t>
              </a:r>
              <a:r>
                <a:rPr lang="it-IT" sz="1100" b="0" i="0">
                  <a:latin typeface="Cambria Math" panose="02040503050406030204" pitchFamily="18" charset="0"/>
                  <a:ea typeface="Cambria Math" panose="02040503050406030204" pitchFamily="18" charset="0"/>
                </a:rPr>
                <a:t>×</a:t>
              </a:r>
              <a:r>
                <a:rPr lang="it-IT" sz="1100" b="0" i="0">
                  <a:solidFill>
                    <a:schemeClr val="tx1"/>
                  </a:solidFill>
                  <a:effectLst/>
                  <a:latin typeface="Cambria Math" panose="02040503050406030204" pitchFamily="18" charset="0"/>
                  <a:ea typeface="+mn-ea"/>
                  <a:cs typeface="+mn-cs"/>
                </a:rPr>
                <a:t>𝐴_ℎ     𝑖𝑓 〖   𝐴〗_ℎ  </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70 𝑚²)</a:t>
              </a:r>
              <a:r>
                <a:rPr lang="it-IT" sz="1100" b="0" i="0">
                  <a:latin typeface="Cambria Math" panose="02040503050406030204" pitchFamily="18" charset="0"/>
                </a:rPr>
                <a:t> </a:t>
              </a:r>
              <a:endParaRPr lang="it-IT" sz="1100"/>
            </a:p>
          </xdr:txBody>
        </xdr:sp>
      </mc:Fallback>
    </mc:AlternateContent>
    <xdr:clientData/>
  </xdr:oneCellAnchor>
  <xdr:oneCellAnchor>
    <xdr:from>
      <xdr:col>2</xdr:col>
      <xdr:colOff>212911</xdr:colOff>
      <xdr:row>241</xdr:row>
      <xdr:rowOff>100853</xdr:rowOff>
    </xdr:from>
    <xdr:ext cx="4886325" cy="419101"/>
    <mc:AlternateContent xmlns:mc="http://schemas.openxmlformats.org/markup-compatibility/2006" xmlns:a14="http://schemas.microsoft.com/office/drawing/2010/main">
      <mc:Choice Requires="a14">
        <xdr:sp macro="" textlink="">
          <xdr:nvSpPr>
            <xdr:cNvPr id="11" name="CasellaDiTesto 10">
              <a:extLst>
                <a:ext uri="{FF2B5EF4-FFF2-40B4-BE49-F238E27FC236}">
                  <a16:creationId xmlns:a16="http://schemas.microsoft.com/office/drawing/2014/main" id="{00000000-0008-0000-1500-00000B000000}"/>
                </a:ext>
              </a:extLst>
            </xdr:cNvPr>
            <xdr:cNvSpPr txBox="1"/>
          </xdr:nvSpPr>
          <xdr:spPr>
            <a:xfrm>
              <a:off x="2017058" y="57799941"/>
              <a:ext cx="4886325" cy="419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left"/>
                  </m:oMathParaPr>
                  <m:oMath xmlns:m="http://schemas.openxmlformats.org/officeDocument/2006/math">
                    <m:sSub>
                      <m:sSubPr>
                        <m:ctrlPr>
                          <a:rPr lang="it-IT" sz="1100" i="1">
                            <a:latin typeface="Cambria Math" panose="02040503050406030204" pitchFamily="18" charset="0"/>
                          </a:rPr>
                        </m:ctrlPr>
                      </m:sSubPr>
                      <m:e>
                        <m:r>
                          <a:rPr lang="it-IT" sz="1100" b="0" i="1">
                            <a:latin typeface="Cambria Math" panose="02040503050406030204" pitchFamily="18" charset="0"/>
                          </a:rPr>
                          <m:t>𝑛</m:t>
                        </m:r>
                      </m:e>
                      <m:sub>
                        <m:r>
                          <a:rPr lang="it-IT" sz="1100" b="0" i="1">
                            <a:latin typeface="Cambria Math" panose="02040503050406030204" pitchFamily="18" charset="0"/>
                          </a:rPr>
                          <m:t>𝑝</m:t>
                        </m:r>
                        <m:r>
                          <a:rPr lang="it-IT" sz="1100" b="0" i="1">
                            <a:latin typeface="Cambria Math" panose="02040503050406030204" pitchFamily="18" charset="0"/>
                          </a:rPr>
                          <m:t>;</m:t>
                        </m:r>
                        <m:r>
                          <a:rPr lang="it-IT" sz="1100" b="0" i="1">
                            <a:latin typeface="Cambria Math" panose="02040503050406030204" pitchFamily="18" charset="0"/>
                          </a:rPr>
                          <m:t>𝑒𝑞</m:t>
                        </m:r>
                      </m:sub>
                    </m:sSub>
                    <m:r>
                      <a:rPr lang="it-IT" sz="1100" i="1">
                        <a:latin typeface="Cambria Math" panose="02040503050406030204" pitchFamily="18" charset="0"/>
                      </a:rPr>
                      <m:t>=</m:t>
                    </m:r>
                    <m:m>
                      <m:mPr>
                        <m:mcs>
                          <m:mc>
                            <m:mcPr>
                              <m:count m:val="1"/>
                              <m:mcJc m:val="center"/>
                            </m:mcPr>
                          </m:mc>
                        </m:mcs>
                        <m:ctrlPr>
                          <a:rPr lang="it-IT" sz="1100" i="1">
                            <a:latin typeface="Cambria Math" panose="02040503050406030204" pitchFamily="18" charset="0"/>
                          </a:rPr>
                        </m:ctrlPr>
                      </m:mPr>
                      <m:mr>
                        <m:e>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𝑛</m:t>
                              </m:r>
                            </m:e>
                            <m:sub>
                              <m:r>
                                <a:rPr lang="it-IT" sz="1100" b="0" i="1">
                                  <a:solidFill>
                                    <a:schemeClr val="tx1"/>
                                  </a:solidFill>
                                  <a:effectLst/>
                                  <a:latin typeface="Cambria Math" panose="02040503050406030204" pitchFamily="18" charset="0"/>
                                  <a:ea typeface="+mn-ea"/>
                                  <a:cs typeface="+mn-cs"/>
                                </a:rPr>
                                <m:t>𝑝</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𝑚𝑎𝑥</m:t>
                              </m:r>
                            </m:sub>
                          </m:sSub>
                          <m:r>
                            <a:rPr lang="it-IT" sz="1100" b="0" i="1">
                              <a:solidFill>
                                <a:schemeClr val="tx1"/>
                              </a:solidFill>
                              <a:effectLst/>
                              <a:latin typeface="Cambria Math" panose="02040503050406030204" pitchFamily="18" charset="0"/>
                              <a:ea typeface="+mn-ea"/>
                              <a:cs typeface="+mn-cs"/>
                            </a:rPr>
                            <m:t> </m:t>
                          </m:r>
                          <m:r>
                            <m:rPr>
                              <m:brk m:alnAt="7"/>
                            </m:rP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𝑓</m:t>
                          </m:r>
                          <m:r>
                            <a:rPr lang="it-IT" sz="1100" b="0" i="1">
                              <a:solidFill>
                                <a:schemeClr val="tx1"/>
                              </a:solidFill>
                              <a:effectLst/>
                              <a:latin typeface="Cambria Math" panose="02040503050406030204" pitchFamily="18" charset="0"/>
                              <a:ea typeface="+mn-ea"/>
                              <a:cs typeface="+mn-cs"/>
                            </a:rPr>
                            <m:t> </m:t>
                          </m:r>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𝑛</m:t>
                              </m:r>
                            </m:e>
                            <m:sub>
                              <m:r>
                                <a:rPr lang="it-IT" sz="1100" b="0" i="1">
                                  <a:solidFill>
                                    <a:schemeClr val="tx1"/>
                                  </a:solidFill>
                                  <a:effectLst/>
                                  <a:latin typeface="Cambria Math" panose="02040503050406030204" pitchFamily="18" charset="0"/>
                                  <a:ea typeface="+mn-ea"/>
                                  <a:cs typeface="+mn-cs"/>
                                </a:rPr>
                                <m:t>𝑝</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𝑚𝑎𝑥</m:t>
                              </m:r>
                            </m:sub>
                          </m:sSub>
                          <m:r>
                            <m:rPr>
                              <m:brk m:alnAt="7"/>
                            </m:rPr>
                            <a:rPr lang="it-IT" sz="1100" b="0" i="1">
                              <a:solidFill>
                                <a:schemeClr val="tx1"/>
                              </a:solidFill>
                              <a:effectLst/>
                              <a:latin typeface="Cambria Math" panose="02040503050406030204" pitchFamily="18" charset="0"/>
                              <a:ea typeface="+mn-ea"/>
                              <a:cs typeface="+mn-cs"/>
                            </a:rPr>
                            <m:t>&lt;</m:t>
                          </m:r>
                          <m:r>
                            <a:rPr lang="it-IT" sz="1100" b="0" i="1">
                              <a:solidFill>
                                <a:schemeClr val="tx1"/>
                              </a:solidFill>
                              <a:effectLst/>
                              <a:latin typeface="Cambria Math" panose="02040503050406030204" pitchFamily="18" charset="0"/>
                              <a:ea typeface="+mn-ea"/>
                              <a:cs typeface="+mn-cs"/>
                            </a:rPr>
                            <m:t>1.75</m:t>
                          </m:r>
                        </m:e>
                      </m:mr>
                      <m:mr>
                        <m:e>
                          <m:r>
                            <a:rPr lang="it-IT" sz="1100" b="0" i="1">
                              <a:solidFill>
                                <a:schemeClr val="tx1"/>
                              </a:solidFill>
                              <a:effectLst/>
                              <a:latin typeface="Cambria Math" panose="02040503050406030204" pitchFamily="18" charset="0"/>
                              <a:ea typeface="+mn-ea"/>
                              <a:cs typeface="+mn-cs"/>
                            </a:rPr>
                            <m:t>1.75+0.3×</m:t>
                          </m:r>
                          <m:d>
                            <m:dPr>
                              <m:ctrlPr>
                                <a:rPr lang="it-IT" sz="1100" b="0" i="1">
                                  <a:solidFill>
                                    <a:schemeClr val="tx1"/>
                                  </a:solidFill>
                                  <a:effectLst/>
                                  <a:latin typeface="Cambria Math" panose="02040503050406030204" pitchFamily="18" charset="0"/>
                                  <a:ea typeface="+mn-ea"/>
                                  <a:cs typeface="+mn-cs"/>
                                </a:rPr>
                              </m:ctrlPr>
                            </m:dPr>
                            <m:e>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𝑛</m:t>
                                  </m:r>
                                </m:e>
                                <m:sub>
                                  <m:r>
                                    <a:rPr lang="it-IT" sz="1100" b="0" i="1">
                                      <a:solidFill>
                                        <a:schemeClr val="tx1"/>
                                      </a:solidFill>
                                      <a:effectLst/>
                                      <a:latin typeface="Cambria Math" panose="02040503050406030204" pitchFamily="18" charset="0"/>
                                      <a:ea typeface="+mn-ea"/>
                                      <a:cs typeface="+mn-cs"/>
                                    </a:rPr>
                                    <m:t>𝑝</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𝑚𝑎𝑥</m:t>
                                  </m:r>
                                </m:sub>
                              </m:sSub>
                              <m:r>
                                <a:rPr lang="it-IT" sz="1100" b="0" i="1">
                                  <a:solidFill>
                                    <a:schemeClr val="tx1"/>
                                  </a:solidFill>
                                  <a:effectLst/>
                                  <a:latin typeface="Cambria Math" panose="02040503050406030204" pitchFamily="18" charset="0"/>
                                  <a:ea typeface="+mn-ea"/>
                                  <a:cs typeface="+mn-cs"/>
                                </a:rPr>
                                <m:t>−1.75</m:t>
                              </m:r>
                            </m:e>
                          </m:d>
                          <m:r>
                            <a:rPr lang="it-IT" sz="1100" b="0" i="1">
                              <a:solidFill>
                                <a:schemeClr val="tx1"/>
                              </a:solidFill>
                              <a:effectLst/>
                              <a:latin typeface="Cambria Math" panose="02040503050406030204" pitchFamily="18" charset="0"/>
                              <a:ea typeface="+mn-ea"/>
                              <a:cs typeface="+mn-cs"/>
                            </a:rPr>
                            <m:t> </m:t>
                          </m:r>
                          <m:r>
                            <m:rPr>
                              <m:brk m:alnAt="7"/>
                            </m:rP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𝑓</m:t>
                          </m:r>
                          <m:r>
                            <a:rPr lang="it-IT" sz="1100" b="0" i="1">
                              <a:solidFill>
                                <a:schemeClr val="tx1"/>
                              </a:solidFill>
                              <a:effectLst/>
                              <a:latin typeface="Cambria Math" panose="02040503050406030204" pitchFamily="18" charset="0"/>
                              <a:ea typeface="+mn-ea"/>
                              <a:cs typeface="+mn-cs"/>
                            </a:rPr>
                            <m:t> </m:t>
                          </m:r>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𝑛</m:t>
                              </m:r>
                            </m:e>
                            <m:sub>
                              <m:r>
                                <a:rPr lang="it-IT" sz="1100" b="0" i="1">
                                  <a:solidFill>
                                    <a:schemeClr val="tx1"/>
                                  </a:solidFill>
                                  <a:effectLst/>
                                  <a:latin typeface="Cambria Math" panose="02040503050406030204" pitchFamily="18" charset="0"/>
                                  <a:ea typeface="+mn-ea"/>
                                  <a:cs typeface="+mn-cs"/>
                                </a:rPr>
                                <m:t>𝑝</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𝑚𝑎𝑥</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r>
                            <a:rPr lang="it-IT" sz="1100" b="0" i="1">
                              <a:solidFill>
                                <a:schemeClr val="tx1"/>
                              </a:solidFill>
                              <a:effectLst/>
                              <a:latin typeface="Cambria Math" panose="02040503050406030204" pitchFamily="18" charset="0"/>
                              <a:ea typeface="+mn-ea"/>
                              <a:cs typeface="+mn-cs"/>
                            </a:rPr>
                            <m:t>1,75</m:t>
                          </m:r>
                        </m:e>
                      </m:mr>
                    </m:m>
                    <m:r>
                      <a:rPr lang="it-IT" sz="1100" b="0" i="1">
                        <a:latin typeface="Cambria Math" panose="02040503050406030204" pitchFamily="18" charset="0"/>
                      </a:rPr>
                      <m:t> </m:t>
                    </m:r>
                  </m:oMath>
                </m:oMathPara>
              </a14:m>
              <a:endParaRPr lang="it-IT" sz="1100"/>
            </a:p>
          </xdr:txBody>
        </xdr:sp>
      </mc:Choice>
      <mc:Fallback xmlns="">
        <xdr:sp macro="" textlink="">
          <xdr:nvSpPr>
            <xdr:cNvPr id="11" name="CasellaDiTesto 10">
              <a:extLst>
                <a:ext uri="{FF2B5EF4-FFF2-40B4-BE49-F238E27FC236}">
                  <a16:creationId xmlns:a16="http://schemas.microsoft.com/office/drawing/2014/main" id="{9A5E47FB-3C36-4E4C-9384-950BFD3C0F96}"/>
                </a:ext>
              </a:extLst>
            </xdr:cNvPr>
            <xdr:cNvSpPr txBox="1"/>
          </xdr:nvSpPr>
          <xdr:spPr>
            <a:xfrm>
              <a:off x="2017058" y="57799941"/>
              <a:ext cx="4886325" cy="419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100" b="0" i="0">
                  <a:latin typeface="Cambria Math" panose="02040503050406030204" pitchFamily="18" charset="0"/>
                </a:rPr>
                <a:t>𝑛_(𝑝;𝑒𝑞)</a:t>
              </a:r>
              <a:r>
                <a:rPr lang="it-IT" sz="1100" i="0">
                  <a:latin typeface="Cambria Math" panose="02040503050406030204" pitchFamily="18" charset="0"/>
                </a:rPr>
                <a:t>=■8(</a:t>
              </a:r>
              <a:r>
                <a:rPr lang="it-IT" sz="1100" b="0" i="0">
                  <a:solidFill>
                    <a:schemeClr val="tx1"/>
                  </a:solidFill>
                  <a:effectLst/>
                  <a:latin typeface="Cambria Math" panose="02040503050406030204" pitchFamily="18" charset="0"/>
                  <a:ea typeface="+mn-ea"/>
                  <a:cs typeface="+mn-cs"/>
                </a:rPr>
                <a:t>𝑛_(𝑝;𝑒𝑞;𝑚𝑎𝑥)  𝑖𝑓 𝑛_(𝑝;𝑒𝑞;𝑚𝑎𝑥)&lt;1.75@1.75+0.3×(𝑛_(𝑝;𝑒𝑞;𝑚𝑎𝑥)−1.75)  𝑖𝑓 𝑛_(𝑝;𝑒𝑞;𝑚𝑎𝑥)</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1,75)</a:t>
              </a:r>
              <a:r>
                <a:rPr lang="it-IT" sz="1100" b="0" i="0">
                  <a:latin typeface="Cambria Math" panose="02040503050406030204" pitchFamily="18" charset="0"/>
                </a:rPr>
                <a:t> </a:t>
              </a:r>
              <a:endParaRPr lang="it-IT" sz="1100"/>
            </a:p>
          </xdr:txBody>
        </xdr:sp>
      </mc:Fallback>
    </mc:AlternateContent>
    <xdr:clientData/>
  </xdr:oneCellAnchor>
  <xdr:oneCellAnchor>
    <xdr:from>
      <xdr:col>2</xdr:col>
      <xdr:colOff>212911</xdr:colOff>
      <xdr:row>266</xdr:row>
      <xdr:rowOff>100853</xdr:rowOff>
    </xdr:from>
    <xdr:ext cx="4886325" cy="419101"/>
    <mc:AlternateContent xmlns:mc="http://schemas.openxmlformats.org/markup-compatibility/2006" xmlns:a14="http://schemas.microsoft.com/office/drawing/2010/main">
      <mc:Choice Requires="a14">
        <xdr:sp macro="" textlink="">
          <xdr:nvSpPr>
            <xdr:cNvPr id="13" name="CasellaDiTesto 12">
              <a:extLst>
                <a:ext uri="{FF2B5EF4-FFF2-40B4-BE49-F238E27FC236}">
                  <a16:creationId xmlns:a16="http://schemas.microsoft.com/office/drawing/2014/main" id="{00000000-0008-0000-1500-00000D000000}"/>
                </a:ext>
              </a:extLst>
            </xdr:cNvPr>
            <xdr:cNvSpPr txBox="1"/>
          </xdr:nvSpPr>
          <xdr:spPr>
            <a:xfrm>
              <a:off x="2017058" y="58371441"/>
              <a:ext cx="4886325" cy="419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left"/>
                  </m:oMathParaPr>
                  <m:oMath xmlns:m="http://schemas.openxmlformats.org/officeDocument/2006/math">
                    <m:sSub>
                      <m:sSubPr>
                        <m:ctrlPr>
                          <a:rPr lang="it-IT" sz="1100" i="1">
                            <a:latin typeface="Cambria Math" panose="02040503050406030204" pitchFamily="18" charset="0"/>
                          </a:rPr>
                        </m:ctrlPr>
                      </m:sSubPr>
                      <m:e>
                        <m:r>
                          <a:rPr lang="it-IT" sz="1100" b="0" i="1">
                            <a:latin typeface="Cambria Math" panose="02040503050406030204" pitchFamily="18" charset="0"/>
                          </a:rPr>
                          <m:t>𝑛</m:t>
                        </m:r>
                      </m:e>
                      <m:sub>
                        <m:r>
                          <a:rPr lang="it-IT" sz="1100" b="0" i="1">
                            <a:latin typeface="Cambria Math" panose="02040503050406030204" pitchFamily="18" charset="0"/>
                          </a:rPr>
                          <m:t>𝑝</m:t>
                        </m:r>
                        <m:r>
                          <a:rPr lang="it-IT" sz="1100" b="0" i="1">
                            <a:latin typeface="Cambria Math" panose="02040503050406030204" pitchFamily="18" charset="0"/>
                          </a:rPr>
                          <m:t>;</m:t>
                        </m:r>
                        <m:r>
                          <a:rPr lang="it-IT" sz="1100" b="0" i="1">
                            <a:latin typeface="Cambria Math" panose="02040503050406030204" pitchFamily="18" charset="0"/>
                          </a:rPr>
                          <m:t>𝑒𝑞</m:t>
                        </m:r>
                      </m:sub>
                    </m:sSub>
                    <m:r>
                      <a:rPr lang="it-IT" sz="1100" i="1">
                        <a:latin typeface="Cambria Math" panose="02040503050406030204" pitchFamily="18" charset="0"/>
                      </a:rPr>
                      <m:t>=</m:t>
                    </m:r>
                    <m:m>
                      <m:mPr>
                        <m:mcs>
                          <m:mc>
                            <m:mcPr>
                              <m:count m:val="1"/>
                              <m:mcJc m:val="center"/>
                            </m:mcPr>
                          </m:mc>
                        </m:mcs>
                        <m:ctrlPr>
                          <a:rPr lang="it-IT" sz="1100" i="1">
                            <a:latin typeface="Cambria Math" panose="02040503050406030204" pitchFamily="18" charset="0"/>
                          </a:rPr>
                        </m:ctrlPr>
                      </m:mPr>
                      <m:mr>
                        <m:e>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𝑛</m:t>
                              </m:r>
                            </m:e>
                            <m:sub>
                              <m:r>
                                <a:rPr lang="it-IT" sz="1100" b="0" i="1">
                                  <a:solidFill>
                                    <a:schemeClr val="tx1"/>
                                  </a:solidFill>
                                  <a:effectLst/>
                                  <a:latin typeface="Cambria Math" panose="02040503050406030204" pitchFamily="18" charset="0"/>
                                  <a:ea typeface="+mn-ea"/>
                                  <a:cs typeface="+mn-cs"/>
                                </a:rPr>
                                <m:t>𝑝</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𝑚𝑎𝑥</m:t>
                              </m:r>
                            </m:sub>
                          </m:sSub>
                          <m:r>
                            <a:rPr lang="it-IT" sz="1100" b="0" i="1">
                              <a:solidFill>
                                <a:schemeClr val="tx1"/>
                              </a:solidFill>
                              <a:effectLst/>
                              <a:latin typeface="Cambria Math" panose="02040503050406030204" pitchFamily="18" charset="0"/>
                              <a:ea typeface="+mn-ea"/>
                              <a:cs typeface="+mn-cs"/>
                            </a:rPr>
                            <m:t> </m:t>
                          </m:r>
                          <m:r>
                            <m:rPr>
                              <m:brk m:alnAt="7"/>
                            </m:rP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𝑓</m:t>
                          </m:r>
                          <m:r>
                            <a:rPr lang="it-IT" sz="1100" b="0" i="1">
                              <a:solidFill>
                                <a:schemeClr val="tx1"/>
                              </a:solidFill>
                              <a:effectLst/>
                              <a:latin typeface="Cambria Math" panose="02040503050406030204" pitchFamily="18" charset="0"/>
                              <a:ea typeface="+mn-ea"/>
                              <a:cs typeface="+mn-cs"/>
                            </a:rPr>
                            <m:t> </m:t>
                          </m:r>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𝑛</m:t>
                              </m:r>
                            </m:e>
                            <m:sub>
                              <m:r>
                                <a:rPr lang="it-IT" sz="1100" b="0" i="1">
                                  <a:solidFill>
                                    <a:schemeClr val="tx1"/>
                                  </a:solidFill>
                                  <a:effectLst/>
                                  <a:latin typeface="Cambria Math" panose="02040503050406030204" pitchFamily="18" charset="0"/>
                                  <a:ea typeface="+mn-ea"/>
                                  <a:cs typeface="+mn-cs"/>
                                </a:rPr>
                                <m:t>𝑝</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𝑚𝑎𝑥</m:t>
                              </m:r>
                            </m:sub>
                          </m:sSub>
                          <m:r>
                            <m:rPr>
                              <m:brk m:alnAt="7"/>
                            </m:rPr>
                            <a:rPr lang="it-IT" sz="1100" b="0" i="1">
                              <a:solidFill>
                                <a:schemeClr val="tx1"/>
                              </a:solidFill>
                              <a:effectLst/>
                              <a:latin typeface="Cambria Math" panose="02040503050406030204" pitchFamily="18" charset="0"/>
                              <a:ea typeface="+mn-ea"/>
                              <a:cs typeface="+mn-cs"/>
                            </a:rPr>
                            <m:t>&lt;</m:t>
                          </m:r>
                          <m:r>
                            <a:rPr lang="it-IT" sz="1100" b="0" i="1">
                              <a:solidFill>
                                <a:schemeClr val="tx1"/>
                              </a:solidFill>
                              <a:effectLst/>
                              <a:latin typeface="Cambria Math" panose="02040503050406030204" pitchFamily="18" charset="0"/>
                              <a:ea typeface="+mn-ea"/>
                              <a:cs typeface="+mn-cs"/>
                            </a:rPr>
                            <m:t>1.75</m:t>
                          </m:r>
                        </m:e>
                      </m:mr>
                      <m:mr>
                        <m:e>
                          <m:r>
                            <a:rPr lang="it-IT" sz="1100" b="0" i="1">
                              <a:solidFill>
                                <a:schemeClr val="tx1"/>
                              </a:solidFill>
                              <a:effectLst/>
                              <a:latin typeface="Cambria Math" panose="02040503050406030204" pitchFamily="18" charset="0"/>
                              <a:ea typeface="+mn-ea"/>
                              <a:cs typeface="+mn-cs"/>
                            </a:rPr>
                            <m:t>1.75+0.3×</m:t>
                          </m:r>
                          <m:d>
                            <m:dPr>
                              <m:ctrlPr>
                                <a:rPr lang="it-IT" sz="1100" b="0" i="1">
                                  <a:solidFill>
                                    <a:schemeClr val="tx1"/>
                                  </a:solidFill>
                                  <a:effectLst/>
                                  <a:latin typeface="Cambria Math" panose="02040503050406030204" pitchFamily="18" charset="0"/>
                                  <a:ea typeface="+mn-ea"/>
                                  <a:cs typeface="+mn-cs"/>
                                </a:rPr>
                              </m:ctrlPr>
                            </m:dPr>
                            <m:e>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𝑛</m:t>
                                  </m:r>
                                </m:e>
                                <m:sub>
                                  <m:r>
                                    <a:rPr lang="it-IT" sz="1100" b="0" i="1">
                                      <a:solidFill>
                                        <a:schemeClr val="tx1"/>
                                      </a:solidFill>
                                      <a:effectLst/>
                                      <a:latin typeface="Cambria Math" panose="02040503050406030204" pitchFamily="18" charset="0"/>
                                      <a:ea typeface="+mn-ea"/>
                                      <a:cs typeface="+mn-cs"/>
                                    </a:rPr>
                                    <m:t>𝑝</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𝑚𝑎𝑥</m:t>
                                  </m:r>
                                </m:sub>
                              </m:sSub>
                              <m:r>
                                <a:rPr lang="it-IT" sz="1100" b="0" i="1">
                                  <a:solidFill>
                                    <a:schemeClr val="tx1"/>
                                  </a:solidFill>
                                  <a:effectLst/>
                                  <a:latin typeface="Cambria Math" panose="02040503050406030204" pitchFamily="18" charset="0"/>
                                  <a:ea typeface="+mn-ea"/>
                                  <a:cs typeface="+mn-cs"/>
                                </a:rPr>
                                <m:t>−1.75</m:t>
                              </m:r>
                            </m:e>
                          </m:d>
                          <m:r>
                            <a:rPr lang="it-IT" sz="1100" b="0" i="1">
                              <a:solidFill>
                                <a:schemeClr val="tx1"/>
                              </a:solidFill>
                              <a:effectLst/>
                              <a:latin typeface="Cambria Math" panose="02040503050406030204" pitchFamily="18" charset="0"/>
                              <a:ea typeface="+mn-ea"/>
                              <a:cs typeface="+mn-cs"/>
                            </a:rPr>
                            <m:t> </m:t>
                          </m:r>
                          <m:r>
                            <m:rPr>
                              <m:brk m:alnAt="7"/>
                            </m:rP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𝑓</m:t>
                          </m:r>
                          <m:r>
                            <a:rPr lang="it-IT" sz="1100" b="0" i="1">
                              <a:solidFill>
                                <a:schemeClr val="tx1"/>
                              </a:solidFill>
                              <a:effectLst/>
                              <a:latin typeface="Cambria Math" panose="02040503050406030204" pitchFamily="18" charset="0"/>
                              <a:ea typeface="+mn-ea"/>
                              <a:cs typeface="+mn-cs"/>
                            </a:rPr>
                            <m:t> </m:t>
                          </m:r>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𝑛</m:t>
                              </m:r>
                            </m:e>
                            <m:sub>
                              <m:r>
                                <a:rPr lang="it-IT" sz="1100" b="0" i="1">
                                  <a:solidFill>
                                    <a:schemeClr val="tx1"/>
                                  </a:solidFill>
                                  <a:effectLst/>
                                  <a:latin typeface="Cambria Math" panose="02040503050406030204" pitchFamily="18" charset="0"/>
                                  <a:ea typeface="+mn-ea"/>
                                  <a:cs typeface="+mn-cs"/>
                                </a:rPr>
                                <m:t>𝑝</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𝑒𝑞</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𝑚𝑎𝑥</m:t>
                              </m:r>
                            </m:sub>
                          </m:sSub>
                          <m:r>
                            <a:rPr lang="it-IT" sz="1100" b="0" i="1">
                              <a:solidFill>
                                <a:schemeClr val="tx1"/>
                              </a:solidFill>
                              <a:effectLst/>
                              <a:latin typeface="Cambria Math" panose="02040503050406030204" pitchFamily="18" charset="0"/>
                              <a:ea typeface="Cambria Math" panose="02040503050406030204" pitchFamily="18" charset="0"/>
                              <a:cs typeface="+mn-cs"/>
                            </a:rPr>
                            <m:t>≥</m:t>
                          </m:r>
                          <m:r>
                            <a:rPr lang="it-IT" sz="1100" b="0" i="1">
                              <a:solidFill>
                                <a:schemeClr val="tx1"/>
                              </a:solidFill>
                              <a:effectLst/>
                              <a:latin typeface="Cambria Math" panose="02040503050406030204" pitchFamily="18" charset="0"/>
                              <a:ea typeface="+mn-ea"/>
                              <a:cs typeface="+mn-cs"/>
                            </a:rPr>
                            <m:t>1,75</m:t>
                          </m:r>
                        </m:e>
                      </m:mr>
                    </m:m>
                    <m:r>
                      <a:rPr lang="it-IT" sz="1100" b="0" i="1">
                        <a:latin typeface="Cambria Math" panose="02040503050406030204" pitchFamily="18" charset="0"/>
                      </a:rPr>
                      <m:t> </m:t>
                    </m:r>
                  </m:oMath>
                </m:oMathPara>
              </a14:m>
              <a:endParaRPr lang="it-IT" sz="1100"/>
            </a:p>
          </xdr:txBody>
        </xdr:sp>
      </mc:Choice>
      <mc:Fallback xmlns="">
        <xdr:sp macro="" textlink="">
          <xdr:nvSpPr>
            <xdr:cNvPr id="13" name="CasellaDiTesto 12">
              <a:extLst>
                <a:ext uri="{FF2B5EF4-FFF2-40B4-BE49-F238E27FC236}">
                  <a16:creationId xmlns:a16="http://schemas.microsoft.com/office/drawing/2014/main" id="{6629CE2D-9D4D-46F1-B9A3-7F210E52EA77}"/>
                </a:ext>
              </a:extLst>
            </xdr:cNvPr>
            <xdr:cNvSpPr txBox="1"/>
          </xdr:nvSpPr>
          <xdr:spPr>
            <a:xfrm>
              <a:off x="2017058" y="58371441"/>
              <a:ext cx="4886325" cy="419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100" b="0" i="0">
                  <a:latin typeface="Cambria Math" panose="02040503050406030204" pitchFamily="18" charset="0"/>
                </a:rPr>
                <a:t>𝑛_(𝑝;𝑒𝑞)</a:t>
              </a:r>
              <a:r>
                <a:rPr lang="it-IT" sz="1100" i="0">
                  <a:latin typeface="Cambria Math" panose="02040503050406030204" pitchFamily="18" charset="0"/>
                </a:rPr>
                <a:t>=■8(</a:t>
              </a:r>
              <a:r>
                <a:rPr lang="it-IT" sz="1100" b="0" i="0">
                  <a:solidFill>
                    <a:schemeClr val="tx1"/>
                  </a:solidFill>
                  <a:effectLst/>
                  <a:latin typeface="Cambria Math" panose="02040503050406030204" pitchFamily="18" charset="0"/>
                  <a:ea typeface="+mn-ea"/>
                  <a:cs typeface="+mn-cs"/>
                </a:rPr>
                <a:t>𝑛_(𝑝;𝑒𝑞;𝑚𝑎𝑥)  𝑖𝑓 𝑛_(𝑝;𝑒𝑞;𝑚𝑎𝑥)&lt;1.75@1.75+0.3×(𝑛_(𝑝;𝑒𝑞;𝑚𝑎𝑥)−1.75)  𝑖𝑓 𝑛_(𝑝;𝑒𝑞;𝑚𝑎𝑥)</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1,75)</a:t>
              </a:r>
              <a:r>
                <a:rPr lang="it-IT" sz="1100" b="0" i="0">
                  <a:latin typeface="Cambria Math" panose="02040503050406030204" pitchFamily="18" charset="0"/>
                </a:rPr>
                <a:t> </a:t>
              </a:r>
              <a:endParaRPr lang="it-IT" sz="1100"/>
            </a:p>
          </xdr:txBody>
        </xdr:sp>
      </mc:Fallback>
    </mc:AlternateContent>
    <xdr:clientData/>
  </xdr:oneCellAnchor>
  <xdr:oneCellAnchor>
    <xdr:from>
      <xdr:col>2</xdr:col>
      <xdr:colOff>190501</xdr:colOff>
      <xdr:row>261</xdr:row>
      <xdr:rowOff>112058</xdr:rowOff>
    </xdr:from>
    <xdr:ext cx="4385496" cy="550664"/>
    <mc:AlternateContent xmlns:mc="http://schemas.openxmlformats.org/markup-compatibility/2006" xmlns:a14="http://schemas.microsoft.com/office/drawing/2010/main">
      <mc:Choice Requires="a14">
        <xdr:sp macro="" textlink="">
          <xdr:nvSpPr>
            <xdr:cNvPr id="14" name="CasellaDiTesto 13">
              <a:extLst>
                <a:ext uri="{FF2B5EF4-FFF2-40B4-BE49-F238E27FC236}">
                  <a16:creationId xmlns:a16="http://schemas.microsoft.com/office/drawing/2014/main" id="{00000000-0008-0000-1500-00000E000000}"/>
                </a:ext>
              </a:extLst>
            </xdr:cNvPr>
            <xdr:cNvSpPr txBox="1"/>
          </xdr:nvSpPr>
          <xdr:spPr>
            <a:xfrm>
              <a:off x="1994648" y="62192646"/>
              <a:ext cx="4385496" cy="550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14:m>
                <m:oMathPara xmlns:m="http://schemas.openxmlformats.org/officeDocument/2006/math">
                  <m:oMathParaPr>
                    <m:jc m:val="left"/>
                  </m:oMathParaPr>
                  <m:oMath xmlns:m="http://schemas.openxmlformats.org/officeDocument/2006/math">
                    <m:sSub>
                      <m:sSubPr>
                        <m:ctrlPr>
                          <a:rPr lang="it-IT" sz="1100" i="1">
                            <a:latin typeface="Cambria Math" panose="02040503050406030204" pitchFamily="18" charset="0"/>
                          </a:rPr>
                        </m:ctrlPr>
                      </m:sSubPr>
                      <m:e>
                        <m:r>
                          <a:rPr lang="it-IT" sz="1100" b="0" i="1">
                            <a:latin typeface="Cambria Math" panose="02040503050406030204" pitchFamily="18" charset="0"/>
                          </a:rPr>
                          <m:t>𝑛</m:t>
                        </m:r>
                      </m:e>
                      <m:sub>
                        <m:r>
                          <a:rPr lang="it-IT" sz="1100" b="0" i="1">
                            <a:latin typeface="Cambria Math" panose="02040503050406030204" pitchFamily="18" charset="0"/>
                          </a:rPr>
                          <m:t>𝑝</m:t>
                        </m:r>
                        <m:r>
                          <a:rPr lang="it-IT" sz="1100" b="0" i="1">
                            <a:latin typeface="Cambria Math" panose="02040503050406030204" pitchFamily="18" charset="0"/>
                          </a:rPr>
                          <m:t>;</m:t>
                        </m:r>
                        <m:r>
                          <a:rPr lang="it-IT" sz="1100" b="0" i="1">
                            <a:latin typeface="Cambria Math" panose="02040503050406030204" pitchFamily="18" charset="0"/>
                          </a:rPr>
                          <m:t>𝑒𝑞</m:t>
                        </m:r>
                        <m:r>
                          <a:rPr lang="it-IT" sz="1100" b="0" i="1">
                            <a:latin typeface="Cambria Math" panose="02040503050406030204" pitchFamily="18" charset="0"/>
                          </a:rPr>
                          <m:t>;</m:t>
                        </m:r>
                        <m:r>
                          <a:rPr lang="it-IT" sz="1100" b="0" i="1">
                            <a:latin typeface="Cambria Math" panose="02040503050406030204" pitchFamily="18" charset="0"/>
                          </a:rPr>
                          <m:t>𝑚𝑎𝑥</m:t>
                        </m:r>
                        <m:r>
                          <a:rPr lang="it-IT" sz="1100" b="0" i="1">
                            <a:latin typeface="Cambria Math" panose="02040503050406030204" pitchFamily="18" charset="0"/>
                          </a:rPr>
                          <m:t>;</m:t>
                        </m:r>
                        <m:r>
                          <a:rPr lang="it-IT" sz="1100" b="0" i="1">
                            <a:latin typeface="Cambria Math" panose="02040503050406030204" pitchFamily="18" charset="0"/>
                          </a:rPr>
                          <m:t>𝑎𝑝𝑟</m:t>
                        </m:r>
                      </m:sub>
                    </m:sSub>
                    <m:r>
                      <a:rPr lang="it-IT" sz="1100" i="1">
                        <a:latin typeface="Cambria Math" panose="02040503050406030204" pitchFamily="18" charset="0"/>
                      </a:rPr>
                      <m:t>=</m:t>
                    </m:r>
                    <m:m>
                      <m:mPr>
                        <m:mcs>
                          <m:mc>
                            <m:mcPr>
                              <m:count m:val="1"/>
                              <m:mcJc m:val="center"/>
                            </m:mcPr>
                          </m:mc>
                        </m:mcs>
                        <m:ctrlPr>
                          <a:rPr lang="it-IT" sz="1100" i="1">
                            <a:latin typeface="Cambria Math" panose="02040503050406030204" pitchFamily="18" charset="0"/>
                          </a:rPr>
                        </m:ctrlPr>
                      </m:mPr>
                      <m:mr>
                        <m:e>
                          <m:r>
                            <m:rPr>
                              <m:brk m:alnAt="7"/>
                            </m:rPr>
                            <a:rPr lang="it-IT" sz="1100" b="0" i="1">
                              <a:latin typeface="Cambria Math" panose="02040503050406030204" pitchFamily="18" charset="0"/>
                            </a:rPr>
                            <m:t>1</m:t>
                          </m:r>
                          <m:r>
                            <a:rPr lang="it-IT" sz="1100" b="0" i="1">
                              <a:latin typeface="Cambria Math" panose="02040503050406030204" pitchFamily="18" charset="0"/>
                            </a:rPr>
                            <m:t>    </m:t>
                          </m:r>
                          <m:r>
                            <a:rPr lang="it-IT" sz="1100" b="0" i="1">
                              <a:latin typeface="Cambria Math" panose="02040503050406030204" pitchFamily="18" charset="0"/>
                            </a:rPr>
                            <m:t>𝑖𝑓</m:t>
                          </m:r>
                          <m:r>
                            <a:rPr lang="it-IT" sz="1100" b="0" i="1">
                              <a:latin typeface="Cambria Math" panose="02040503050406030204" pitchFamily="18" charset="0"/>
                            </a:rPr>
                            <m:t> </m:t>
                          </m:r>
                          <m:sSub>
                            <m:sSubPr>
                              <m:ctrlPr>
                                <a:rPr lang="it-IT" sz="1100" b="0" i="1">
                                  <a:latin typeface="Cambria Math" panose="02040503050406030204" pitchFamily="18" charset="0"/>
                                </a:rPr>
                              </m:ctrlPr>
                            </m:sSubPr>
                            <m:e>
                              <m:r>
                                <a:rPr lang="it-IT" sz="1100" b="0" i="1">
                                  <a:latin typeface="Cambria Math" panose="02040503050406030204" pitchFamily="18" charset="0"/>
                                </a:rPr>
                                <m:t>  </m:t>
                              </m:r>
                              <m:r>
                                <a:rPr lang="it-IT" sz="1100" b="0" i="1">
                                  <a:latin typeface="Cambria Math" panose="02040503050406030204" pitchFamily="18" charset="0"/>
                                </a:rPr>
                                <m:t>𝐴</m:t>
                              </m:r>
                            </m:e>
                            <m:sub>
                              <m:r>
                                <a:rPr lang="it-IT" sz="1100" b="0" i="1">
                                  <a:latin typeface="Cambria Math" panose="02040503050406030204" pitchFamily="18" charset="0"/>
                                </a:rPr>
                                <m:t>h</m:t>
                              </m:r>
                            </m:sub>
                          </m:sSub>
                          <m:r>
                            <m:rPr>
                              <m:brk m:alnAt="7"/>
                            </m:rPr>
                            <a:rPr lang="it-IT" sz="1100" b="0" i="1">
                              <a:latin typeface="Cambria Math" panose="02040503050406030204" pitchFamily="18" charset="0"/>
                              <a:ea typeface="Cambria Math" panose="02040503050406030204" pitchFamily="18" charset="0"/>
                            </a:rPr>
                            <m:t>&lt;</m:t>
                          </m:r>
                          <m:r>
                            <a:rPr lang="it-IT" sz="1100" b="0" i="1">
                              <a:latin typeface="Cambria Math" panose="02040503050406030204" pitchFamily="18" charset="0"/>
                              <a:ea typeface="Cambria Math" panose="02040503050406030204" pitchFamily="18" charset="0"/>
                            </a:rPr>
                            <m:t>10 </m:t>
                          </m:r>
                          <m:r>
                            <a:rPr lang="it-IT" sz="1100" b="0" i="1">
                              <a:latin typeface="Cambria Math" panose="02040503050406030204" pitchFamily="18" charset="0"/>
                              <a:ea typeface="Cambria Math" panose="02040503050406030204" pitchFamily="18" charset="0"/>
                            </a:rPr>
                            <m:t>𝑚</m:t>
                          </m:r>
                          <m:r>
                            <a:rPr lang="it-IT" sz="1100" b="0" i="1">
                              <a:latin typeface="Cambria Math" panose="02040503050406030204" pitchFamily="18" charset="0"/>
                              <a:ea typeface="Cambria Math" panose="02040503050406030204" pitchFamily="18" charset="0"/>
                            </a:rPr>
                            <m:t>²</m:t>
                          </m:r>
                        </m:e>
                      </m:mr>
                      <m:mr>
                        <m:e>
                          <m:d>
                            <m:dPr>
                              <m:begChr m:val="["/>
                              <m:endChr m:val="]"/>
                              <m:ctrlPr>
                                <a:rPr lang="it-IT" sz="1100" i="1">
                                  <a:latin typeface="Cambria Math" panose="02040503050406030204" pitchFamily="18" charset="0"/>
                                </a:rPr>
                              </m:ctrlPr>
                            </m:dPr>
                            <m:e>
                              <m:r>
                                <a:rPr lang="it-IT" sz="1100" b="0" i="1">
                                  <a:latin typeface="Cambria Math" panose="02040503050406030204" pitchFamily="18" charset="0"/>
                                </a:rPr>
                                <m:t>1.75−0,01875</m:t>
                              </m:r>
                              <m:r>
                                <a:rPr lang="it-IT" sz="1100" b="0" i="1">
                                  <a:latin typeface="Cambria Math" panose="02040503050406030204" pitchFamily="18" charset="0"/>
                                  <a:ea typeface="Cambria Math" panose="02040503050406030204" pitchFamily="18" charset="0"/>
                                </a:rPr>
                                <m:t>×</m:t>
                              </m:r>
                              <m:d>
                                <m:dPr>
                                  <m:ctrlPr>
                                    <a:rPr lang="it-IT" sz="1100" b="0" i="1">
                                      <a:latin typeface="Cambria Math" panose="02040503050406030204" pitchFamily="18" charset="0"/>
                                      <a:ea typeface="Cambria Math" panose="02040503050406030204" pitchFamily="18" charset="0"/>
                                    </a:rPr>
                                  </m:ctrlPr>
                                </m:dPr>
                                <m:e>
                                  <m:r>
                                    <a:rPr lang="it-IT" sz="1100" b="0" i="1">
                                      <a:latin typeface="Cambria Math" panose="02040503050406030204" pitchFamily="18" charset="0"/>
                                      <a:ea typeface="Cambria Math" panose="02040503050406030204" pitchFamily="18" charset="0"/>
                                    </a:rPr>
                                    <m:t>50−</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𝐴</m:t>
                                      </m:r>
                                    </m:e>
                                    <m:sub>
                                      <m:r>
                                        <a:rPr lang="it-IT" sz="1100" b="0" i="1">
                                          <a:solidFill>
                                            <a:schemeClr val="tx1"/>
                                          </a:solidFill>
                                          <a:effectLst/>
                                          <a:latin typeface="Cambria Math" panose="02040503050406030204" pitchFamily="18" charset="0"/>
                                          <a:ea typeface="+mn-ea"/>
                                          <a:cs typeface="+mn-cs"/>
                                        </a:rPr>
                                        <m:t>h</m:t>
                                      </m:r>
                                    </m:sub>
                                  </m:sSub>
                                </m:e>
                              </m:d>
                              <m:r>
                                <a:rPr lang="it-IT" sz="1100" b="0" i="1">
                                  <a:latin typeface="Cambria Math" panose="02040503050406030204" pitchFamily="18" charset="0"/>
                                  <a:ea typeface="Cambria Math" panose="02040503050406030204" pitchFamily="18" charset="0"/>
                                </a:rPr>
                                <m:t> </m:t>
                              </m:r>
                            </m:e>
                          </m:d>
                          <m:r>
                            <a:rPr lang="it-IT" sz="1100" b="0" i="1">
                              <a:latin typeface="Cambria Math" panose="02040503050406030204" pitchFamily="18" charset="0"/>
                            </a:rPr>
                            <m:t>  </m:t>
                          </m:r>
                          <m:r>
                            <m:rPr>
                              <m:brk m:alnAt="7"/>
                            </m:rPr>
                            <a:rPr lang="it-IT" sz="1100" b="0" i="1">
                              <a:solidFill>
                                <a:schemeClr val="tx1"/>
                              </a:solidFill>
                              <a:effectLst/>
                              <a:latin typeface="Cambria Math" panose="02040503050406030204" pitchFamily="18" charset="0"/>
                              <a:ea typeface="+mn-ea"/>
                              <a:cs typeface="+mn-cs"/>
                            </a:rPr>
                            <m:t>𝑖</m:t>
                          </m:r>
                          <m:r>
                            <a:rPr lang="it-IT" sz="1100" b="0" i="1">
                              <a:solidFill>
                                <a:schemeClr val="tx1"/>
                              </a:solidFill>
                              <a:effectLst/>
                              <a:latin typeface="Cambria Math" panose="02040503050406030204" pitchFamily="18" charset="0"/>
                              <a:ea typeface="+mn-ea"/>
                              <a:cs typeface="+mn-cs"/>
                            </a:rPr>
                            <m:t>𝑓</m:t>
                          </m:r>
                          <m:r>
                            <a:rPr lang="it-IT" sz="1100" b="0" i="1">
                              <a:solidFill>
                                <a:schemeClr val="tx1"/>
                              </a:solidFill>
                              <a:effectLst/>
                              <a:latin typeface="Cambria Math" panose="02040503050406030204" pitchFamily="18" charset="0"/>
                              <a:ea typeface="+mn-ea"/>
                              <a:cs typeface="+mn-cs"/>
                            </a:rPr>
                            <m:t>  10 </m:t>
                          </m:r>
                          <m:sSup>
                            <m:sSupPr>
                              <m:ctrlPr>
                                <a:rPr lang="it-IT" sz="1100" b="0" i="1">
                                  <a:solidFill>
                                    <a:schemeClr val="tx1"/>
                                  </a:solidFill>
                                  <a:effectLst/>
                                  <a:latin typeface="Cambria Math" panose="02040503050406030204" pitchFamily="18" charset="0"/>
                                  <a:ea typeface="+mn-ea"/>
                                  <a:cs typeface="+mn-cs"/>
                                </a:rPr>
                              </m:ctrlPr>
                            </m:sSupPr>
                            <m:e>
                              <m:r>
                                <a:rPr lang="it-IT" sz="1100" b="0" i="1">
                                  <a:solidFill>
                                    <a:schemeClr val="tx1"/>
                                  </a:solidFill>
                                  <a:effectLst/>
                                  <a:latin typeface="Cambria Math" panose="02040503050406030204" pitchFamily="18" charset="0"/>
                                  <a:ea typeface="+mn-ea"/>
                                  <a:cs typeface="+mn-cs"/>
                                </a:rPr>
                                <m:t>𝑚</m:t>
                              </m:r>
                            </m:e>
                            <m:sup>
                              <m:r>
                                <a:rPr lang="it-IT" sz="1100" b="0" i="1">
                                  <a:solidFill>
                                    <a:schemeClr val="tx1"/>
                                  </a:solidFill>
                                  <a:effectLst/>
                                  <a:latin typeface="Cambria Math" panose="02040503050406030204" pitchFamily="18" charset="0"/>
                                  <a:ea typeface="+mn-ea"/>
                                  <a:cs typeface="+mn-cs"/>
                                </a:rPr>
                                <m:t>2</m:t>
                              </m:r>
                            </m:sup>
                          </m:sSup>
                          <m:r>
                            <a:rPr lang="it-IT" sz="1100" b="0" i="1">
                              <a:solidFill>
                                <a:schemeClr val="tx1"/>
                              </a:solidFill>
                              <a:effectLst/>
                              <a:latin typeface="Cambria Math" panose="02040503050406030204" pitchFamily="18" charset="0"/>
                              <a:ea typeface="+mn-ea"/>
                              <a:cs typeface="+mn-cs"/>
                            </a:rPr>
                            <m:t> </m:t>
                          </m:r>
                          <m:r>
                            <a:rPr lang="it-IT" sz="1100" b="0" i="1">
                              <a:solidFill>
                                <a:schemeClr val="tx1"/>
                              </a:solidFill>
                              <a:effectLst/>
                              <a:latin typeface="Cambria Math" panose="02040503050406030204" pitchFamily="18" charset="0"/>
                              <a:ea typeface="Cambria Math" panose="02040503050406030204" pitchFamily="18" charset="0"/>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𝐴</m:t>
                              </m:r>
                            </m:e>
                            <m:sub>
                              <m:r>
                                <a:rPr lang="it-IT" sz="1100" b="0" i="1">
                                  <a:solidFill>
                                    <a:schemeClr val="tx1"/>
                                  </a:solidFill>
                                  <a:effectLst/>
                                  <a:latin typeface="Cambria Math" panose="02040503050406030204" pitchFamily="18" charset="0"/>
                                  <a:ea typeface="+mn-ea"/>
                                  <a:cs typeface="+mn-cs"/>
                                </a:rPr>
                                <m:t>h</m:t>
                              </m:r>
                            </m:sub>
                          </m:sSub>
                          <m:r>
                            <m:rPr>
                              <m:brk m:alnAt="7"/>
                            </m:rPr>
                            <a:rPr lang="it-IT" sz="1100" b="0" i="1">
                              <a:solidFill>
                                <a:schemeClr val="tx1"/>
                              </a:solidFill>
                              <a:effectLst/>
                              <a:latin typeface="Cambria Math" panose="02040503050406030204" pitchFamily="18" charset="0"/>
                              <a:ea typeface="+mn-ea"/>
                              <a:cs typeface="+mn-cs"/>
                            </a:rPr>
                            <m:t>&lt;</m:t>
                          </m:r>
                          <m:r>
                            <a:rPr lang="it-IT" sz="1100" b="0" i="1">
                              <a:solidFill>
                                <a:schemeClr val="tx1"/>
                              </a:solidFill>
                              <a:effectLst/>
                              <a:latin typeface="Cambria Math" panose="02040503050406030204" pitchFamily="18" charset="0"/>
                              <a:ea typeface="+mn-ea"/>
                              <a:cs typeface="+mn-cs"/>
                            </a:rPr>
                            <m:t>50 </m:t>
                          </m:r>
                          <m:r>
                            <a:rPr lang="it-IT" sz="1100" b="0" i="1">
                              <a:solidFill>
                                <a:schemeClr val="tx1"/>
                              </a:solidFill>
                              <a:effectLst/>
                              <a:latin typeface="Cambria Math" panose="02040503050406030204" pitchFamily="18" charset="0"/>
                              <a:ea typeface="+mn-ea"/>
                              <a:cs typeface="+mn-cs"/>
                            </a:rPr>
                            <m:t>𝑚</m:t>
                          </m:r>
                          <m:r>
                            <a:rPr lang="it-IT" sz="1100" b="0" i="1">
                              <a:solidFill>
                                <a:schemeClr val="tx1"/>
                              </a:solidFill>
                              <a:effectLst/>
                              <a:latin typeface="Cambria Math" panose="02040503050406030204" pitchFamily="18" charset="0"/>
                              <a:ea typeface="+mn-ea"/>
                              <a:cs typeface="+mn-cs"/>
                            </a:rPr>
                            <m:t>²</m:t>
                          </m:r>
                        </m:e>
                      </m:mr>
                      <m:mr>
                        <m:e>
                          <m:r>
                            <a:rPr lang="it-IT" sz="1100" b="0" i="1">
                              <a:latin typeface="Cambria Math" panose="02040503050406030204" pitchFamily="18" charset="0"/>
                            </a:rPr>
                            <m:t>0,035</m:t>
                          </m:r>
                          <m:r>
                            <a:rPr lang="it-IT" sz="1100" b="0" i="1">
                              <a:latin typeface="Cambria Math" panose="02040503050406030204" pitchFamily="18" charset="0"/>
                              <a:ea typeface="Cambria Math" panose="02040503050406030204" pitchFamily="18" charset="0"/>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𝐴</m:t>
                              </m:r>
                            </m:e>
                            <m:sub>
                              <m:r>
                                <a:rPr lang="it-IT" sz="1100" b="0" i="1">
                                  <a:solidFill>
                                    <a:schemeClr val="tx1"/>
                                  </a:solidFill>
                                  <a:effectLst/>
                                  <a:latin typeface="Cambria Math" panose="02040503050406030204" pitchFamily="18" charset="0"/>
                                  <a:ea typeface="+mn-ea"/>
                                  <a:cs typeface="+mn-cs"/>
                                </a:rPr>
                                <m:t>h</m:t>
                              </m:r>
                            </m:sub>
                          </m:sSub>
                          <m:r>
                            <a:rPr lang="it-IT" sz="1100" b="0" i="1">
                              <a:solidFill>
                                <a:schemeClr val="tx1"/>
                              </a:solidFill>
                              <a:effectLst/>
                              <a:latin typeface="Cambria Math" panose="02040503050406030204" pitchFamily="18" charset="0"/>
                              <a:ea typeface="+mn-ea"/>
                              <a:cs typeface="+mn-cs"/>
                            </a:rPr>
                            <m:t>    </m:t>
                          </m:r>
                          <m:r>
                            <a:rPr lang="it-IT" sz="1100" b="0" i="1">
                              <a:solidFill>
                                <a:schemeClr val="tx1"/>
                              </a:solidFill>
                              <a:effectLst/>
                              <a:latin typeface="Cambria Math" panose="02040503050406030204" pitchFamily="18" charset="0"/>
                              <a:ea typeface="+mn-ea"/>
                              <a:cs typeface="+mn-cs"/>
                            </a:rPr>
                            <m:t>𝑖𝑓</m:t>
                          </m:r>
                          <m:r>
                            <a:rPr lang="it-IT" sz="1100" b="0" i="1">
                              <a:solidFill>
                                <a:schemeClr val="tx1"/>
                              </a:solidFill>
                              <a:effectLst/>
                              <a:latin typeface="Cambria Math" panose="02040503050406030204" pitchFamily="18" charset="0"/>
                              <a:ea typeface="+mn-ea"/>
                              <a:cs typeface="+mn-cs"/>
                            </a:rPr>
                            <m:t> </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   </m:t>
                              </m:r>
                              <m:r>
                                <a:rPr lang="it-IT" sz="1100" b="0" i="1">
                                  <a:solidFill>
                                    <a:schemeClr val="tx1"/>
                                  </a:solidFill>
                                  <a:effectLst/>
                                  <a:latin typeface="Cambria Math" panose="02040503050406030204" pitchFamily="18" charset="0"/>
                                  <a:ea typeface="+mn-ea"/>
                                  <a:cs typeface="+mn-cs"/>
                                </a:rPr>
                                <m:t>𝐴</m:t>
                              </m:r>
                            </m:e>
                            <m:sub>
                              <m:r>
                                <a:rPr lang="it-IT" sz="1100" b="0" i="1">
                                  <a:solidFill>
                                    <a:schemeClr val="tx1"/>
                                  </a:solidFill>
                                  <a:effectLst/>
                                  <a:latin typeface="Cambria Math" panose="02040503050406030204" pitchFamily="18" charset="0"/>
                                  <a:ea typeface="+mn-ea"/>
                                  <a:cs typeface="+mn-cs"/>
                                </a:rPr>
                                <m:t>h</m:t>
                              </m:r>
                            </m:sub>
                          </m:sSub>
                          <m:r>
                            <a:rPr lang="it-IT" sz="1100" b="0" i="1">
                              <a:solidFill>
                                <a:schemeClr val="tx1"/>
                              </a:solidFill>
                              <a:effectLst/>
                              <a:latin typeface="Cambria Math" panose="02040503050406030204" pitchFamily="18" charset="0"/>
                              <a:ea typeface="+mn-ea"/>
                              <a:cs typeface="+mn-cs"/>
                            </a:rPr>
                            <m:t> </m:t>
                          </m:r>
                          <m:r>
                            <a:rPr lang="it-IT" sz="1100" b="0" i="1">
                              <a:solidFill>
                                <a:schemeClr val="tx1"/>
                              </a:solidFill>
                              <a:effectLst/>
                              <a:latin typeface="Cambria Math" panose="02040503050406030204" pitchFamily="18" charset="0"/>
                              <a:ea typeface="Cambria Math" panose="02040503050406030204" pitchFamily="18" charset="0"/>
                              <a:cs typeface="+mn-cs"/>
                            </a:rPr>
                            <m:t>≥</m:t>
                          </m:r>
                          <m:r>
                            <a:rPr lang="it-IT" sz="1100" b="0" i="1">
                              <a:solidFill>
                                <a:schemeClr val="tx1"/>
                              </a:solidFill>
                              <a:effectLst/>
                              <a:latin typeface="Cambria Math" panose="02040503050406030204" pitchFamily="18" charset="0"/>
                              <a:ea typeface="+mn-ea"/>
                              <a:cs typeface="+mn-cs"/>
                            </a:rPr>
                            <m:t>50 </m:t>
                          </m:r>
                          <m:r>
                            <a:rPr lang="it-IT" sz="1100" b="0" i="1">
                              <a:solidFill>
                                <a:schemeClr val="tx1"/>
                              </a:solidFill>
                              <a:effectLst/>
                              <a:latin typeface="Cambria Math" panose="02040503050406030204" pitchFamily="18" charset="0"/>
                              <a:ea typeface="+mn-ea"/>
                              <a:cs typeface="+mn-cs"/>
                            </a:rPr>
                            <m:t>𝑚</m:t>
                          </m:r>
                          <m:r>
                            <a:rPr lang="it-IT" sz="1100" b="0" i="1">
                              <a:solidFill>
                                <a:schemeClr val="tx1"/>
                              </a:solidFill>
                              <a:effectLst/>
                              <a:latin typeface="Cambria Math" panose="02040503050406030204" pitchFamily="18" charset="0"/>
                              <a:ea typeface="+mn-ea"/>
                              <a:cs typeface="+mn-cs"/>
                            </a:rPr>
                            <m:t>²</m:t>
                          </m:r>
                        </m:e>
                      </m:mr>
                    </m:m>
                    <m:r>
                      <a:rPr lang="it-IT" sz="1100" b="0" i="1">
                        <a:latin typeface="Cambria Math" panose="02040503050406030204" pitchFamily="18" charset="0"/>
                      </a:rPr>
                      <m:t> </m:t>
                    </m:r>
                  </m:oMath>
                </m:oMathPara>
              </a14:m>
              <a:endParaRPr lang="it-IT" sz="1100"/>
            </a:p>
          </xdr:txBody>
        </xdr:sp>
      </mc:Choice>
      <mc:Fallback xmlns="">
        <xdr:sp macro="" textlink="">
          <xdr:nvSpPr>
            <xdr:cNvPr id="14" name="CasellaDiTesto 13">
              <a:extLst>
                <a:ext uri="{FF2B5EF4-FFF2-40B4-BE49-F238E27FC236}">
                  <a16:creationId xmlns:a16="http://schemas.microsoft.com/office/drawing/2014/main" id="{77FCE869-432F-4188-8F29-54EBEBE7E352}"/>
                </a:ext>
              </a:extLst>
            </xdr:cNvPr>
            <xdr:cNvSpPr txBox="1"/>
          </xdr:nvSpPr>
          <xdr:spPr>
            <a:xfrm>
              <a:off x="1994648" y="62192646"/>
              <a:ext cx="4385496" cy="550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none" lIns="0" tIns="0" rIns="0" bIns="0" rtlCol="0" anchor="t">
              <a:spAutoFit/>
            </a:bodyPr>
            <a:lstStyle/>
            <a:p>
              <a:pPr/>
              <a:r>
                <a:rPr lang="it-IT" sz="1100" b="0" i="0">
                  <a:latin typeface="Cambria Math" panose="02040503050406030204" pitchFamily="18" charset="0"/>
                </a:rPr>
                <a:t>𝑛_(𝑝;𝑒𝑞;𝑚𝑎𝑥;𝑎𝑝𝑟)</a:t>
              </a:r>
              <a:r>
                <a:rPr lang="it-IT" sz="1100" i="0">
                  <a:latin typeface="Cambria Math" panose="02040503050406030204" pitchFamily="18" charset="0"/>
                </a:rPr>
                <a:t>=■8(</a:t>
              </a:r>
              <a:r>
                <a:rPr lang="it-IT" sz="1100" b="0" i="0">
                  <a:latin typeface="Cambria Math" panose="02040503050406030204" pitchFamily="18" charset="0"/>
                </a:rPr>
                <a:t>1    𝑖𝑓 〖  𝐴〗_ℎ</a:t>
              </a:r>
              <a:r>
                <a:rPr lang="it-IT" sz="1100" b="0" i="0">
                  <a:latin typeface="Cambria Math" panose="02040503050406030204" pitchFamily="18" charset="0"/>
                  <a:ea typeface="Cambria Math" panose="02040503050406030204" pitchFamily="18" charset="0"/>
                </a:rPr>
                <a:t>&lt;10 𝑚²@[</a:t>
              </a:r>
              <a:r>
                <a:rPr lang="it-IT" sz="1100" b="0" i="0">
                  <a:latin typeface="Cambria Math" panose="02040503050406030204" pitchFamily="18" charset="0"/>
                </a:rPr>
                <a:t>1.75−0,01875</a:t>
              </a:r>
              <a:r>
                <a:rPr lang="it-IT" sz="1100" b="0" i="0">
                  <a:latin typeface="Cambria Math" panose="02040503050406030204" pitchFamily="18" charset="0"/>
                  <a:ea typeface="Cambria Math" panose="02040503050406030204" pitchFamily="18" charset="0"/>
                </a:rPr>
                <a:t>×(50−</a:t>
              </a:r>
              <a:r>
                <a:rPr lang="it-IT" sz="1100" b="0" i="0">
                  <a:solidFill>
                    <a:schemeClr val="tx1"/>
                  </a:solidFill>
                  <a:effectLst/>
                  <a:latin typeface="Cambria Math" panose="02040503050406030204" pitchFamily="18" charset="0"/>
                  <a:ea typeface="+mn-ea"/>
                  <a:cs typeface="+mn-cs"/>
                </a:rPr>
                <a:t>𝐴_ℎ )</a:t>
              </a:r>
              <a:r>
                <a:rPr lang="it-IT" sz="1100" b="0" i="0">
                  <a:solidFill>
                    <a:schemeClr val="tx1"/>
                  </a:solidFill>
                  <a:effectLst/>
                  <a:latin typeface="Cambria Math" panose="02040503050406030204" pitchFamily="18" charset="0"/>
                  <a:ea typeface="Cambria Math" panose="02040503050406030204" pitchFamily="18" charset="0"/>
                  <a:cs typeface="+mn-cs"/>
                </a:rPr>
                <a:t> </a:t>
              </a:r>
              <a:r>
                <a:rPr lang="it-IT" sz="1100" b="0" i="0">
                  <a:latin typeface="Cambria Math" panose="02040503050406030204" pitchFamily="18" charset="0"/>
                  <a:ea typeface="Cambria Math" panose="02040503050406030204" pitchFamily="18" charset="0"/>
                </a:rPr>
                <a:t> ] </a:t>
              </a:r>
              <a:r>
                <a:rPr lang="it-IT" sz="1100" b="0" i="0">
                  <a:latin typeface="Cambria Math" panose="02040503050406030204" pitchFamily="18" charset="0"/>
                </a:rPr>
                <a:t>  </a:t>
              </a:r>
              <a:r>
                <a:rPr lang="it-IT" sz="1100" b="0" i="0">
                  <a:solidFill>
                    <a:schemeClr val="tx1"/>
                  </a:solidFill>
                  <a:effectLst/>
                  <a:latin typeface="Cambria Math" panose="02040503050406030204" pitchFamily="18" charset="0"/>
                  <a:ea typeface="+mn-ea"/>
                  <a:cs typeface="+mn-cs"/>
                </a:rPr>
                <a:t>𝑖𝑓  10 𝑚^2  </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𝐴_ℎ&lt;50 𝑚²@</a:t>
              </a:r>
              <a:r>
                <a:rPr lang="it-IT" sz="1100" b="0" i="0">
                  <a:latin typeface="Cambria Math" panose="02040503050406030204" pitchFamily="18" charset="0"/>
                </a:rPr>
                <a:t>0,035</a:t>
              </a:r>
              <a:r>
                <a:rPr lang="it-IT" sz="1100" b="0" i="0">
                  <a:latin typeface="Cambria Math" panose="02040503050406030204" pitchFamily="18" charset="0"/>
                  <a:ea typeface="Cambria Math" panose="02040503050406030204" pitchFamily="18" charset="0"/>
                </a:rPr>
                <a:t>×</a:t>
              </a:r>
              <a:r>
                <a:rPr lang="it-IT" sz="1100" b="0" i="0">
                  <a:solidFill>
                    <a:schemeClr val="tx1"/>
                  </a:solidFill>
                  <a:effectLst/>
                  <a:latin typeface="Cambria Math" panose="02040503050406030204" pitchFamily="18" charset="0"/>
                  <a:ea typeface="+mn-ea"/>
                  <a:cs typeface="+mn-cs"/>
                </a:rPr>
                <a:t>𝐴_ℎ     𝑖𝑓 〖   𝐴〗_ℎ  </a:t>
              </a:r>
              <a:r>
                <a:rPr lang="it-IT" sz="1100" b="0" i="0">
                  <a:solidFill>
                    <a:schemeClr val="tx1"/>
                  </a:solidFill>
                  <a:effectLst/>
                  <a:latin typeface="Cambria Math" panose="02040503050406030204" pitchFamily="18" charset="0"/>
                  <a:ea typeface="Cambria Math" panose="02040503050406030204" pitchFamily="18" charset="0"/>
                  <a:cs typeface="+mn-cs"/>
                </a:rPr>
                <a:t>≥</a:t>
              </a:r>
              <a:r>
                <a:rPr lang="it-IT" sz="1100" b="0" i="0">
                  <a:solidFill>
                    <a:schemeClr val="tx1"/>
                  </a:solidFill>
                  <a:effectLst/>
                  <a:latin typeface="Cambria Math" panose="02040503050406030204" pitchFamily="18" charset="0"/>
                  <a:ea typeface="+mn-ea"/>
                  <a:cs typeface="+mn-cs"/>
                </a:rPr>
                <a:t>50 𝑚²)</a:t>
              </a:r>
              <a:r>
                <a:rPr lang="it-IT" sz="1100" b="0" i="0">
                  <a:latin typeface="Cambria Math" panose="02040503050406030204" pitchFamily="18" charset="0"/>
                </a:rPr>
                <a:t> </a:t>
              </a:r>
              <a:endParaRPr lang="it-IT" sz="1100"/>
            </a:p>
          </xdr:txBody>
        </xdr:sp>
      </mc:Fallback>
    </mc:AlternateContent>
    <xdr:clientData/>
  </xdr:oneCellAnchor>
  <xdr:oneCellAnchor>
    <xdr:from>
      <xdr:col>13</xdr:col>
      <xdr:colOff>89647</xdr:colOff>
      <xdr:row>284</xdr:row>
      <xdr:rowOff>0</xdr:rowOff>
    </xdr:from>
    <xdr:ext cx="2440092" cy="381579"/>
    <mc:AlternateContent xmlns:mc="http://schemas.openxmlformats.org/markup-compatibility/2006" xmlns:a14="http://schemas.microsoft.com/office/drawing/2010/main">
      <mc:Choice Requires="a14">
        <xdr:sp macro="" textlink="">
          <xdr:nvSpPr>
            <xdr:cNvPr id="15" name="CasellaDiTesto 14">
              <a:extLst>
                <a:ext uri="{FF2B5EF4-FFF2-40B4-BE49-F238E27FC236}">
                  <a16:creationId xmlns:a16="http://schemas.microsoft.com/office/drawing/2014/main" id="{00000000-0008-0000-1500-00000F000000}"/>
                </a:ext>
              </a:extLst>
            </xdr:cNvPr>
            <xdr:cNvSpPr txBox="1"/>
          </xdr:nvSpPr>
          <xdr:spPr>
            <a:xfrm>
              <a:off x="9861176" y="67056000"/>
              <a:ext cx="2440092" cy="381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𝑉</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𝑛𝑑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𝑑</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𝑟𝑒𝑓</m:t>
                        </m:r>
                      </m:sub>
                    </m:sSub>
                    <m:r>
                      <a:rPr lang="it-IT" sz="1100" i="1">
                        <a:latin typeface="Cambria Math" panose="02040503050406030204" pitchFamily="18" charset="0"/>
                      </a:rPr>
                      <m:t>=</m:t>
                    </m:r>
                    <m:r>
                      <a:rPr lang="it-IT" sz="1100" b="0" i="1">
                        <a:latin typeface="Cambria Math" panose="02040503050406030204" pitchFamily="18" charset="0"/>
                      </a:rPr>
                      <m:t>𝑚𝑎𝑥</m:t>
                    </m:r>
                    <m:d>
                      <m:dPr>
                        <m:begChr m:val="["/>
                        <m:endChr m:val="]"/>
                        <m:ctrlPr>
                          <a:rPr lang="it-IT" sz="1100" b="0" i="1">
                            <a:latin typeface="Cambria Math" panose="02040503050406030204" pitchFamily="18" charset="0"/>
                          </a:rPr>
                        </m:ctrlPr>
                      </m:dPr>
                      <m:e>
                        <m:r>
                          <a:rPr lang="it-IT" sz="1100" b="0" i="1">
                            <a:latin typeface="Cambria Math" panose="02040503050406030204" pitchFamily="18" charset="0"/>
                          </a:rPr>
                          <m:t>40.71;3.26</m:t>
                        </m:r>
                        <m:r>
                          <a:rPr lang="it-IT" sz="1100" b="0" i="1">
                            <a:latin typeface="Cambria Math" panose="02040503050406030204" pitchFamily="18" charset="0"/>
                            <a:ea typeface="Cambria Math" panose="02040503050406030204" pitchFamily="18" charset="0"/>
                          </a:rPr>
                          <m:t>×</m:t>
                        </m:r>
                        <m:f>
                          <m:fPr>
                            <m:ctrlPr>
                              <a:rPr lang="it-IT" sz="1100" b="0" i="1">
                                <a:latin typeface="Cambria Math" panose="02040503050406030204" pitchFamily="18" charset="0"/>
                              </a:rPr>
                            </m:ctrlPr>
                          </m:fPr>
                          <m:num>
                            <m:sSub>
                              <m:sSubPr>
                                <m:ctrlPr>
                                  <a:rPr lang="it-IT" sz="1100" b="0" i="1">
                                    <a:latin typeface="Cambria Math" panose="02040503050406030204" pitchFamily="18" charset="0"/>
                                  </a:rPr>
                                </m:ctrlPr>
                              </m:sSubPr>
                              <m:e>
                                <m:r>
                                  <a:rPr lang="it-IT" sz="1100" b="0" i="1">
                                    <a:latin typeface="Cambria Math" panose="02040503050406030204" pitchFamily="18" charset="0"/>
                                  </a:rPr>
                                  <m:t>𝐴</m:t>
                                </m:r>
                              </m:e>
                              <m:sub>
                                <m:r>
                                  <a:rPr lang="it-IT" sz="1100" b="0" i="1">
                                    <a:latin typeface="Cambria Math" panose="02040503050406030204" pitchFamily="18" charset="0"/>
                                  </a:rPr>
                                  <m:t>h</m:t>
                                </m:r>
                              </m:sub>
                            </m:sSub>
                          </m:num>
                          <m:den>
                            <m:sSub>
                              <m:sSubPr>
                                <m:ctrlPr>
                                  <a:rPr lang="it-IT" sz="1100" b="0" i="1">
                                    <a:latin typeface="Cambria Math" panose="02040503050406030204" pitchFamily="18" charset="0"/>
                                  </a:rPr>
                                </m:ctrlPr>
                              </m:sSubPr>
                              <m:e>
                                <m:r>
                                  <a:rPr lang="it-IT" sz="1100" b="0" i="1">
                                    <a:latin typeface="Cambria Math" panose="02040503050406030204" pitchFamily="18" charset="0"/>
                                  </a:rPr>
                                  <m:t>𝑛</m:t>
                                </m:r>
                              </m:e>
                              <m:sub>
                                <m:r>
                                  <a:rPr lang="it-IT" sz="1100" b="0" i="1">
                                    <a:latin typeface="Cambria Math" panose="02040503050406030204" pitchFamily="18" charset="0"/>
                                  </a:rPr>
                                  <m:t>𝑃</m:t>
                                </m:r>
                                <m:r>
                                  <a:rPr lang="it-IT" sz="1100" b="0" i="1">
                                    <a:latin typeface="Cambria Math" panose="02040503050406030204" pitchFamily="18" charset="0"/>
                                  </a:rPr>
                                  <m:t>;</m:t>
                                </m:r>
                                <m:r>
                                  <a:rPr lang="it-IT" sz="1100" b="0" i="1">
                                    <a:latin typeface="Cambria Math" panose="02040503050406030204" pitchFamily="18" charset="0"/>
                                  </a:rPr>
                                  <m:t>𝑒𝑞</m:t>
                                </m:r>
                              </m:sub>
                            </m:sSub>
                          </m:den>
                        </m:f>
                      </m:e>
                    </m:d>
                  </m:oMath>
                </m:oMathPara>
              </a14:m>
              <a:endParaRPr lang="it-IT" sz="1100"/>
            </a:p>
          </xdr:txBody>
        </xdr:sp>
      </mc:Choice>
      <mc:Fallback xmlns="">
        <xdr:sp macro="" textlink="">
          <xdr:nvSpPr>
            <xdr:cNvPr id="15" name="CasellaDiTesto 14">
              <a:extLst>
                <a:ext uri="{FF2B5EF4-FFF2-40B4-BE49-F238E27FC236}">
                  <a16:creationId xmlns:a16="http://schemas.microsoft.com/office/drawing/2014/main" id="{A2074812-6D11-492A-AD7F-B08A453EACCD}"/>
                </a:ext>
              </a:extLst>
            </xdr:cNvPr>
            <xdr:cNvSpPr txBox="1"/>
          </xdr:nvSpPr>
          <xdr:spPr>
            <a:xfrm>
              <a:off x="9861176" y="67056000"/>
              <a:ext cx="2440092" cy="381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100" b="0" i="0">
                  <a:solidFill>
                    <a:schemeClr val="tx1"/>
                  </a:solidFill>
                  <a:effectLst/>
                  <a:latin typeface="Cambria Math" panose="02040503050406030204" pitchFamily="18" charset="0"/>
                  <a:ea typeface="+mn-ea"/>
                  <a:cs typeface="+mn-cs"/>
                </a:rPr>
                <a:t>𝑉_(𝑊;𝑛𝑑;𝑑;𝑟𝑒𝑓)</a:t>
              </a:r>
              <a:r>
                <a:rPr lang="it-IT" sz="1100" i="0">
                  <a:latin typeface="Cambria Math" panose="02040503050406030204" pitchFamily="18" charset="0"/>
                </a:rPr>
                <a:t>=</a:t>
              </a:r>
              <a:r>
                <a:rPr lang="it-IT" sz="1100" b="0" i="0">
                  <a:latin typeface="Cambria Math" panose="02040503050406030204" pitchFamily="18" charset="0"/>
                </a:rPr>
                <a:t>𝑚𝑎𝑥[40.71;3.26</a:t>
              </a:r>
              <a:r>
                <a:rPr lang="it-IT" sz="1100" b="0" i="0">
                  <a:latin typeface="Cambria Math" panose="02040503050406030204" pitchFamily="18" charset="0"/>
                  <a:ea typeface="Cambria Math" panose="02040503050406030204" pitchFamily="18" charset="0"/>
                </a:rPr>
                <a:t>×</a:t>
              </a:r>
              <a:r>
                <a:rPr lang="it-IT" sz="1100" b="0" i="0">
                  <a:latin typeface="Cambria Math" panose="02040503050406030204" pitchFamily="18" charset="0"/>
                </a:rPr>
                <a:t>𝐴_ℎ/𝑛_(𝑃;𝑒𝑞) ]</a:t>
              </a:r>
              <a:endParaRPr lang="it-IT" sz="1100"/>
            </a:p>
          </xdr:txBody>
        </xdr:sp>
      </mc:Fallback>
    </mc:AlternateContent>
    <xdr:clientData/>
  </xdr:oneCellAnchor>
</xdr:wsDr>
</file>

<file path=xl/drawings/drawing13.xml><?xml version="1.0" encoding="utf-8"?>
<xdr:wsDr xmlns:xdr="http://schemas.openxmlformats.org/drawingml/2006/spreadsheetDrawing" xmlns:a="http://schemas.openxmlformats.org/drawingml/2006/main">
  <xdr:twoCellAnchor>
    <xdr:from>
      <xdr:col>9</xdr:col>
      <xdr:colOff>485775</xdr:colOff>
      <xdr:row>50</xdr:row>
      <xdr:rowOff>104775</xdr:rowOff>
    </xdr:from>
    <xdr:to>
      <xdr:col>14</xdr:col>
      <xdr:colOff>561975</xdr:colOff>
      <xdr:row>54</xdr:row>
      <xdr:rowOff>171451</xdr:rowOff>
    </xdr:to>
    <xdr:sp macro="" textlink="">
      <xdr:nvSpPr>
        <xdr:cNvPr id="2" name="Freccia a sinistra 1">
          <a:extLst>
            <a:ext uri="{FF2B5EF4-FFF2-40B4-BE49-F238E27FC236}">
              <a16:creationId xmlns:a16="http://schemas.microsoft.com/office/drawing/2014/main" id="{00000000-0008-0000-1900-000002000000}"/>
            </a:ext>
          </a:extLst>
        </xdr:cNvPr>
        <xdr:cNvSpPr/>
      </xdr:nvSpPr>
      <xdr:spPr>
        <a:xfrm>
          <a:off x="9067800" y="9020175"/>
          <a:ext cx="3124200" cy="828676"/>
        </a:xfrm>
        <a:prstGeom prst="leftArrow">
          <a:avLst>
            <a:gd name="adj1" fmla="val 79730"/>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t-IT" sz="1100"/>
            <a:t>La presenza di festività infrasettimanali aumenta il numero di festivi e riduce i corrispondenti giorni della settimana</a:t>
          </a:r>
        </a:p>
      </xdr:txBody>
    </xdr:sp>
    <xdr:clientData/>
  </xdr:twoCellAnchor>
  <xdr:twoCellAnchor>
    <xdr:from>
      <xdr:col>10</xdr:col>
      <xdr:colOff>104776</xdr:colOff>
      <xdr:row>64</xdr:row>
      <xdr:rowOff>38101</xdr:rowOff>
    </xdr:from>
    <xdr:to>
      <xdr:col>14</xdr:col>
      <xdr:colOff>371476</xdr:colOff>
      <xdr:row>66</xdr:row>
      <xdr:rowOff>171450</xdr:rowOff>
    </xdr:to>
    <xdr:sp macro="" textlink="">
      <xdr:nvSpPr>
        <xdr:cNvPr id="3" name="Freccia a sinistra 2">
          <a:extLst>
            <a:ext uri="{FF2B5EF4-FFF2-40B4-BE49-F238E27FC236}">
              <a16:creationId xmlns:a16="http://schemas.microsoft.com/office/drawing/2014/main" id="{00000000-0008-0000-1900-000003000000}"/>
            </a:ext>
          </a:extLst>
        </xdr:cNvPr>
        <xdr:cNvSpPr/>
      </xdr:nvSpPr>
      <xdr:spPr>
        <a:xfrm>
          <a:off x="9639301" y="12420601"/>
          <a:ext cx="2705100" cy="600074"/>
        </a:xfrm>
        <a:prstGeom prst="leftArrow">
          <a:avLst>
            <a:gd name="adj1" fmla="val 79730"/>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t-IT" sz="1100"/>
            <a:t>Questo permette di allineare</a:t>
          </a:r>
          <a:r>
            <a:rPr lang="it-IT" sz="1100" baseline="0"/>
            <a:t> qualsiasi profilo orario con la media annuale</a:t>
          </a:r>
          <a:endParaRPr lang="it-IT" sz="1100"/>
        </a:p>
      </xdr:txBody>
    </xdr:sp>
    <xdr:clientData/>
  </xdr:twoCellAnchor>
  <xdr:oneCellAnchor>
    <xdr:from>
      <xdr:col>3</xdr:col>
      <xdr:colOff>46006</xdr:colOff>
      <xdr:row>57</xdr:row>
      <xdr:rowOff>189388</xdr:rowOff>
    </xdr:from>
    <xdr:ext cx="2220944" cy="229712"/>
    <mc:AlternateContent xmlns:mc="http://schemas.openxmlformats.org/markup-compatibility/2006" xmlns:a14="http://schemas.microsoft.com/office/drawing/2010/main">
      <mc:Choice Requires="a14">
        <xdr:sp macro="" textlink="">
          <xdr:nvSpPr>
            <xdr:cNvPr id="4" name="CasellaDiTesto 3">
              <a:extLst>
                <a:ext uri="{FF2B5EF4-FFF2-40B4-BE49-F238E27FC236}">
                  <a16:creationId xmlns:a16="http://schemas.microsoft.com/office/drawing/2014/main" id="{00000000-0008-0000-1900-000004000000}"/>
                </a:ext>
              </a:extLst>
            </xdr:cNvPr>
            <xdr:cNvSpPr txBox="1"/>
          </xdr:nvSpPr>
          <xdr:spPr>
            <a:xfrm>
              <a:off x="3932206" y="11085988"/>
              <a:ext cx="2220944"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050" i="1">
                            <a:latin typeface="Cambria Math" panose="02040503050406030204" pitchFamily="18" charset="0"/>
                          </a:rPr>
                        </m:ctrlPr>
                      </m:sSubPr>
                      <m:e>
                        <m:r>
                          <a:rPr lang="it-IT" sz="1050" b="0" i="1">
                            <a:latin typeface="Cambria Math" panose="02040503050406030204" pitchFamily="18" charset="0"/>
                          </a:rPr>
                          <m:t>𝑘</m:t>
                        </m:r>
                      </m:e>
                      <m:sub>
                        <m:r>
                          <a:rPr lang="it-IT" sz="1050" b="0" i="1">
                            <a:latin typeface="Cambria Math" panose="02040503050406030204" pitchFamily="18" charset="0"/>
                          </a:rPr>
                          <m:t>𝑊</m:t>
                        </m:r>
                        <m:r>
                          <a:rPr lang="it-IT" sz="1050" b="0" i="1">
                            <a:latin typeface="Cambria Math" panose="02040503050406030204" pitchFamily="18" charset="0"/>
                          </a:rPr>
                          <m:t>;</m:t>
                        </m:r>
                        <m:r>
                          <a:rPr lang="it-IT" sz="1050" b="0" i="1">
                            <a:latin typeface="Cambria Math" panose="02040503050406030204" pitchFamily="18" charset="0"/>
                          </a:rPr>
                          <m:t>𝑤𝑟𝑘</m:t>
                        </m:r>
                        <m:r>
                          <a:rPr lang="it-IT" sz="1050" b="0" i="1">
                            <a:latin typeface="Cambria Math" panose="02040503050406030204" pitchFamily="18" charset="0"/>
                          </a:rPr>
                          <m:t>;</m:t>
                        </m:r>
                        <m:r>
                          <a:rPr lang="it-IT" sz="1050" b="0" i="1">
                            <a:latin typeface="Cambria Math" panose="02040503050406030204" pitchFamily="18" charset="0"/>
                          </a:rPr>
                          <m:t>𝑦𝑒𝑎𝑟</m:t>
                        </m:r>
                      </m:sub>
                    </m:sSub>
                    <m:r>
                      <a:rPr lang="it-IT" sz="1050" i="1">
                        <a:latin typeface="Cambria Math" panose="02040503050406030204" pitchFamily="18" charset="0"/>
                      </a:rPr>
                      <m:t>=</m:t>
                    </m:r>
                    <m:sSub>
                      <m:sSubPr>
                        <m:ctrlPr>
                          <a:rPr lang="it-IT" sz="1050" i="1">
                            <a:solidFill>
                              <a:schemeClr val="tx1"/>
                            </a:solidFill>
                            <a:effectLst/>
                            <a:latin typeface="Cambria Math" panose="02040503050406030204" pitchFamily="18" charset="0"/>
                            <a:ea typeface="+mn-ea"/>
                            <a:cs typeface="+mn-cs"/>
                          </a:rPr>
                        </m:ctrlPr>
                      </m:sSubPr>
                      <m:e>
                        <m:sSub>
                          <m:sSubPr>
                            <m:ctrlPr>
                              <a:rPr lang="it-IT" sz="1050" i="1">
                                <a:solidFill>
                                  <a:schemeClr val="tx1"/>
                                </a:solidFill>
                                <a:effectLst/>
                                <a:latin typeface="Cambria Math" panose="02040503050406030204" pitchFamily="18" charset="0"/>
                                <a:ea typeface="+mn-ea"/>
                                <a:cs typeface="+mn-cs"/>
                              </a:rPr>
                            </m:ctrlPr>
                          </m:sSubPr>
                          <m:e>
                            <m:r>
                              <a:rPr lang="it-IT" sz="1050" b="0" i="1">
                                <a:solidFill>
                                  <a:schemeClr val="tx1"/>
                                </a:solidFill>
                                <a:effectLst/>
                                <a:latin typeface="Cambria Math" panose="02040503050406030204" pitchFamily="18" charset="0"/>
                                <a:ea typeface="+mn-ea"/>
                                <a:cs typeface="+mn-cs"/>
                              </a:rPr>
                              <m:t>𝑘</m:t>
                            </m:r>
                          </m:e>
                          <m:sub>
                            <m:r>
                              <a:rPr lang="it-IT" sz="1050" b="0" i="1">
                                <a:solidFill>
                                  <a:schemeClr val="tx1"/>
                                </a:solidFill>
                                <a:effectLst/>
                                <a:latin typeface="Cambria Math" panose="02040503050406030204" pitchFamily="18" charset="0"/>
                                <a:ea typeface="+mn-ea"/>
                                <a:cs typeface="+mn-cs"/>
                              </a:rPr>
                              <m:t>𝑊</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𝑤𝑟𝑘</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𝑑𝑎𝑦</m:t>
                            </m:r>
                          </m:sub>
                        </m:sSub>
                        <m:r>
                          <a:rPr lang="it-IT" sz="1050" b="0" i="1">
                            <a:solidFill>
                              <a:schemeClr val="tx1"/>
                            </a:solidFill>
                            <a:effectLst/>
                            <a:latin typeface="Cambria Math" panose="02040503050406030204" pitchFamily="18" charset="0"/>
                            <a:ea typeface="Cambria Math" panose="02040503050406030204" pitchFamily="18" charset="0"/>
                            <a:cs typeface="+mn-cs"/>
                          </a:rPr>
                          <m:t>×</m:t>
                        </m:r>
                        <m:r>
                          <a:rPr lang="it-IT" sz="1050" b="0" i="1">
                            <a:solidFill>
                              <a:schemeClr val="tx1"/>
                            </a:solidFill>
                            <a:effectLst/>
                            <a:latin typeface="Cambria Math" panose="02040503050406030204" pitchFamily="18" charset="0"/>
                            <a:ea typeface="+mn-ea"/>
                            <a:cs typeface="+mn-cs"/>
                          </a:rPr>
                          <m:t>𝑛</m:t>
                        </m:r>
                      </m:e>
                      <m:sub>
                        <m:r>
                          <a:rPr lang="it-IT" sz="1050" b="0" i="1">
                            <a:solidFill>
                              <a:schemeClr val="tx1"/>
                            </a:solidFill>
                            <a:effectLst/>
                            <a:latin typeface="Cambria Math" panose="02040503050406030204" pitchFamily="18" charset="0"/>
                            <a:ea typeface="+mn-ea"/>
                            <a:cs typeface="+mn-cs"/>
                          </a:rPr>
                          <m:t>𝑑𝑎𝑦</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𝑤𝑟𝑘</m:t>
                        </m:r>
                      </m:sub>
                    </m:sSub>
                  </m:oMath>
                </m:oMathPara>
              </a14:m>
              <a:endParaRPr lang="it-IT" sz="1050"/>
            </a:p>
          </xdr:txBody>
        </xdr:sp>
      </mc:Choice>
      <mc:Fallback xmlns="">
        <xdr:sp macro="" textlink="">
          <xdr:nvSpPr>
            <xdr:cNvPr id="4" name="CasellaDiTesto 3">
              <a:extLst>
                <a:ext uri="{FF2B5EF4-FFF2-40B4-BE49-F238E27FC236}">
                  <a16:creationId xmlns:a16="http://schemas.microsoft.com/office/drawing/2014/main" id="{A07E07FE-0D3B-4BE3-8CBB-1A1EFA44E565}"/>
                </a:ext>
              </a:extLst>
            </xdr:cNvPr>
            <xdr:cNvSpPr txBox="1"/>
          </xdr:nvSpPr>
          <xdr:spPr>
            <a:xfrm>
              <a:off x="3932206" y="11085988"/>
              <a:ext cx="2220944"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050" b="0" i="0">
                  <a:latin typeface="Cambria Math" panose="02040503050406030204" pitchFamily="18" charset="0"/>
                </a:rPr>
                <a:t>𝑘_(𝑊;𝑤𝑟𝑘;𝑦𝑒𝑎𝑟)</a:t>
              </a:r>
              <a:r>
                <a:rPr lang="it-IT" sz="1050" i="0">
                  <a:latin typeface="Cambria Math" panose="02040503050406030204" pitchFamily="18" charset="0"/>
                </a:rPr>
                <a:t>=</a:t>
              </a:r>
              <a:r>
                <a:rPr lang="it-IT" sz="1050" i="0">
                  <a:solidFill>
                    <a:schemeClr val="tx1"/>
                  </a:solidFill>
                  <a:effectLst/>
                  <a:latin typeface="+mn-lt"/>
                  <a:ea typeface="+mn-ea"/>
                  <a:cs typeface="+mn-cs"/>
                </a:rPr>
                <a:t>〖</a:t>
              </a:r>
              <a:r>
                <a:rPr lang="it-IT" sz="1050" b="0" i="0">
                  <a:solidFill>
                    <a:schemeClr val="tx1"/>
                  </a:solidFill>
                  <a:effectLst/>
                  <a:latin typeface="+mn-lt"/>
                  <a:ea typeface="+mn-ea"/>
                  <a:cs typeface="+mn-cs"/>
                </a:rPr>
                <a:t>𝑘_(𝑊;𝑤𝑟𝑘;</a:t>
              </a:r>
              <a:r>
                <a:rPr lang="it-IT" sz="1050" b="0" i="0">
                  <a:solidFill>
                    <a:schemeClr val="tx1"/>
                  </a:solidFill>
                  <a:effectLst/>
                  <a:latin typeface="Cambria Math" panose="02040503050406030204" pitchFamily="18" charset="0"/>
                  <a:ea typeface="+mn-ea"/>
                  <a:cs typeface="+mn-cs"/>
                </a:rPr>
                <a:t>𝑑𝑎𝑦</a:t>
              </a:r>
              <a:r>
                <a:rPr lang="it-IT" sz="1050" b="0" i="0">
                  <a:solidFill>
                    <a:schemeClr val="tx1"/>
                  </a:solidFill>
                  <a:effectLst/>
                  <a:latin typeface="+mn-lt"/>
                  <a:ea typeface="+mn-ea"/>
                  <a:cs typeface="+mn-cs"/>
                </a:rPr>
                <a:t>)</a:t>
              </a:r>
              <a:r>
                <a:rPr lang="it-IT" sz="1050" b="0" i="0">
                  <a:solidFill>
                    <a:schemeClr val="tx1"/>
                  </a:solidFill>
                  <a:effectLst/>
                  <a:latin typeface="Cambria Math" panose="02040503050406030204" pitchFamily="18" charset="0"/>
                  <a:ea typeface="Cambria Math" panose="02040503050406030204" pitchFamily="18" charset="0"/>
                  <a:cs typeface="+mn-cs"/>
                </a:rPr>
                <a:t>×</a:t>
              </a:r>
              <a:r>
                <a:rPr lang="it-IT" sz="1050" b="0" i="0">
                  <a:solidFill>
                    <a:schemeClr val="tx1"/>
                  </a:solidFill>
                  <a:effectLst/>
                  <a:latin typeface="Cambria Math" panose="02040503050406030204" pitchFamily="18" charset="0"/>
                  <a:ea typeface="+mn-ea"/>
                  <a:cs typeface="+mn-cs"/>
                </a:rPr>
                <a:t>𝑛</a:t>
              </a:r>
              <a:r>
                <a:rPr lang="it-IT" sz="1050" b="0" i="0">
                  <a:solidFill>
                    <a:schemeClr val="tx1"/>
                  </a:solidFill>
                  <a:effectLst/>
                  <a:latin typeface="+mn-lt"/>
                  <a:ea typeface="+mn-ea"/>
                  <a:cs typeface="+mn-cs"/>
                </a:rPr>
                <a:t>〗_(</a:t>
              </a:r>
              <a:r>
                <a:rPr lang="it-IT" sz="1050" b="0" i="0">
                  <a:solidFill>
                    <a:schemeClr val="tx1"/>
                  </a:solidFill>
                  <a:effectLst/>
                  <a:latin typeface="Cambria Math" panose="02040503050406030204" pitchFamily="18" charset="0"/>
                  <a:ea typeface="+mn-ea"/>
                  <a:cs typeface="+mn-cs"/>
                </a:rPr>
                <a:t>𝑑𝑎𝑦</a:t>
              </a:r>
              <a:r>
                <a:rPr lang="it-IT" sz="1050" b="0" i="0">
                  <a:solidFill>
                    <a:schemeClr val="tx1"/>
                  </a:solidFill>
                  <a:effectLst/>
                  <a:latin typeface="+mn-lt"/>
                  <a:ea typeface="+mn-ea"/>
                  <a:cs typeface="+mn-cs"/>
                </a:rPr>
                <a:t>;𝑤𝑟𝑘)</a:t>
              </a:r>
              <a:endParaRPr lang="it-IT" sz="1050"/>
            </a:p>
          </xdr:txBody>
        </xdr:sp>
      </mc:Fallback>
    </mc:AlternateContent>
    <xdr:clientData/>
  </xdr:oneCellAnchor>
  <xdr:oneCellAnchor>
    <xdr:from>
      <xdr:col>3</xdr:col>
      <xdr:colOff>38100</xdr:colOff>
      <xdr:row>64</xdr:row>
      <xdr:rowOff>152400</xdr:rowOff>
    </xdr:from>
    <xdr:ext cx="1666875" cy="400050"/>
    <mc:AlternateContent xmlns:mc="http://schemas.openxmlformats.org/markup-compatibility/2006" xmlns:a14="http://schemas.microsoft.com/office/drawing/2010/main">
      <mc:Choice Requires="a14">
        <xdr:sp macro="" textlink="">
          <xdr:nvSpPr>
            <xdr:cNvPr id="5" name="CasellaDiTesto 4">
              <a:extLst>
                <a:ext uri="{FF2B5EF4-FFF2-40B4-BE49-F238E27FC236}">
                  <a16:creationId xmlns:a16="http://schemas.microsoft.com/office/drawing/2014/main" id="{00000000-0008-0000-1900-000005000000}"/>
                </a:ext>
              </a:extLst>
            </xdr:cNvPr>
            <xdr:cNvSpPr txBox="1"/>
          </xdr:nvSpPr>
          <xdr:spPr>
            <a:xfrm>
              <a:off x="3924300" y="12534900"/>
              <a:ext cx="1666875" cy="400050"/>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050" i="1">
                            <a:latin typeface="Cambria Math" panose="02040503050406030204" pitchFamily="18" charset="0"/>
                          </a:rPr>
                        </m:ctrlPr>
                      </m:sSubPr>
                      <m:e>
                        <m:r>
                          <a:rPr lang="it-IT" sz="1050" b="0" i="1">
                            <a:latin typeface="Cambria Math" panose="02040503050406030204" pitchFamily="18" charset="0"/>
                          </a:rPr>
                          <m:t>𝑘</m:t>
                        </m:r>
                      </m:e>
                      <m:sub>
                        <m:r>
                          <a:rPr lang="it-IT" sz="1050" b="0" i="1">
                            <a:latin typeface="Cambria Math" panose="02040503050406030204" pitchFamily="18" charset="0"/>
                          </a:rPr>
                          <m:t>𝑥</m:t>
                        </m:r>
                        <m:r>
                          <a:rPr lang="it-IT" sz="1050" b="0" i="1">
                            <a:latin typeface="Cambria Math" panose="02040503050406030204" pitchFamily="18" charset="0"/>
                          </a:rPr>
                          <m:t>;</m:t>
                        </m:r>
                        <m:r>
                          <a:rPr lang="it-IT" sz="1050" b="0" i="1">
                            <a:latin typeface="Cambria Math" panose="02040503050406030204" pitchFamily="18" charset="0"/>
                          </a:rPr>
                          <m:t>𝑎𝑣𝑔</m:t>
                        </m:r>
                      </m:sub>
                    </m:sSub>
                    <m:r>
                      <a:rPr lang="it-IT" sz="1050" i="1">
                        <a:latin typeface="Cambria Math" panose="02040503050406030204" pitchFamily="18" charset="0"/>
                      </a:rPr>
                      <m:t>=</m:t>
                    </m:r>
                    <m:f>
                      <m:fPr>
                        <m:ctrlPr>
                          <a:rPr lang="it-IT" sz="1100" b="0" i="1">
                            <a:solidFill>
                              <a:schemeClr val="tx1"/>
                            </a:solidFill>
                            <a:effectLst/>
                            <a:latin typeface="Cambria Math" panose="02040503050406030204" pitchFamily="18" charset="0"/>
                            <a:ea typeface="+mn-ea"/>
                            <a:cs typeface="+mn-cs"/>
                          </a:rPr>
                        </m:ctrlPr>
                      </m:fPr>
                      <m:num>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𝑛</m:t>
                            </m:r>
                          </m:e>
                          <m:sub>
                            <m:r>
                              <a:rPr lang="it-IT" sz="1100" b="0" i="1">
                                <a:solidFill>
                                  <a:schemeClr val="tx1"/>
                                </a:solidFill>
                                <a:effectLst/>
                                <a:latin typeface="Cambria Math" panose="02040503050406030204" pitchFamily="18" charset="0"/>
                                <a:ea typeface="+mn-ea"/>
                                <a:cs typeface="+mn-cs"/>
                              </a:rPr>
                              <m:t>𝑑𝑎𝑦</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𝑡𝑜𝑡</m:t>
                            </m:r>
                          </m:sub>
                        </m:sSub>
                      </m:num>
                      <m:den>
                        <m:sSub>
                          <m:sSubPr>
                            <m:ctrlPr>
                              <a:rPr lang="it-IT" sz="110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𝑘</m:t>
                            </m:r>
                          </m:e>
                          <m:sub>
                            <m:r>
                              <a:rPr lang="it-IT" sz="1100" b="0" i="1">
                                <a:solidFill>
                                  <a:schemeClr val="tx1"/>
                                </a:solidFill>
                                <a:effectLst/>
                                <a:latin typeface="Cambria Math" panose="02040503050406030204" pitchFamily="18" charset="0"/>
                                <a:ea typeface="+mn-ea"/>
                                <a:cs typeface="+mn-cs"/>
                              </a:rPr>
                              <m:t>𝑊</m:t>
                            </m:r>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𝑡𝑜𝑡</m:t>
                            </m:r>
                          </m:sub>
                        </m:sSub>
                      </m:den>
                    </m:f>
                  </m:oMath>
                </m:oMathPara>
              </a14:m>
              <a:endParaRPr lang="it-IT" sz="1050"/>
            </a:p>
          </xdr:txBody>
        </xdr:sp>
      </mc:Choice>
      <mc:Fallback xmlns="">
        <xdr:sp macro="" textlink="">
          <xdr:nvSpPr>
            <xdr:cNvPr id="5" name="CasellaDiTesto 4">
              <a:extLst>
                <a:ext uri="{FF2B5EF4-FFF2-40B4-BE49-F238E27FC236}">
                  <a16:creationId xmlns:a16="http://schemas.microsoft.com/office/drawing/2014/main" id="{276A1668-2A7C-4307-A17F-34331D6124F7}"/>
                </a:ext>
              </a:extLst>
            </xdr:cNvPr>
            <xdr:cNvSpPr txBox="1"/>
          </xdr:nvSpPr>
          <xdr:spPr>
            <a:xfrm>
              <a:off x="3924300" y="12534900"/>
              <a:ext cx="1666875" cy="400050"/>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050" b="0" i="0">
                  <a:latin typeface="Cambria Math" panose="02040503050406030204" pitchFamily="18" charset="0"/>
                </a:rPr>
                <a:t>𝑘_(𝑥;𝑎𝑣𝑔)</a:t>
              </a:r>
              <a:r>
                <a:rPr lang="it-IT" sz="1050" i="0">
                  <a:latin typeface="Cambria Math" panose="02040503050406030204" pitchFamily="18" charset="0"/>
                </a:rPr>
                <a:t>=</a:t>
              </a:r>
              <a:r>
                <a:rPr lang="it-IT" sz="1100" b="0" i="0">
                  <a:solidFill>
                    <a:schemeClr val="tx1"/>
                  </a:solidFill>
                  <a:effectLst/>
                  <a:latin typeface="Cambria Math" panose="02040503050406030204" pitchFamily="18" charset="0"/>
                  <a:ea typeface="+mn-ea"/>
                  <a:cs typeface="+mn-cs"/>
                </a:rPr>
                <a:t>𝑛_(𝑑𝑎𝑦;𝑡𝑜𝑡)</a:t>
              </a:r>
              <a:r>
                <a:rPr lang="it-IT" sz="1100" b="0" i="0">
                  <a:solidFill>
                    <a:schemeClr val="tx1"/>
                  </a:solidFill>
                  <a:effectLst/>
                  <a:latin typeface="+mn-lt"/>
                  <a:ea typeface="+mn-ea"/>
                  <a:cs typeface="+mn-cs"/>
                </a:rPr>
                <a:t>/𝑘_(𝑊;</a:t>
              </a:r>
              <a:r>
                <a:rPr lang="it-IT" sz="1100" b="0" i="0">
                  <a:solidFill>
                    <a:schemeClr val="tx1"/>
                  </a:solidFill>
                  <a:effectLst/>
                  <a:latin typeface="Cambria Math" panose="02040503050406030204" pitchFamily="18" charset="0"/>
                  <a:ea typeface="+mn-ea"/>
                  <a:cs typeface="+mn-cs"/>
                </a:rPr>
                <a:t>𝑡𝑜𝑡</a:t>
              </a:r>
              <a:r>
                <a:rPr lang="it-IT" sz="1100" b="0" i="0">
                  <a:solidFill>
                    <a:schemeClr val="tx1"/>
                  </a:solidFill>
                  <a:effectLst/>
                  <a:latin typeface="+mn-lt"/>
                  <a:ea typeface="+mn-ea"/>
                  <a:cs typeface="+mn-cs"/>
                </a:rPr>
                <a:t>) </a:t>
              </a:r>
              <a:endParaRPr lang="it-IT" sz="1050"/>
            </a:p>
          </xdr:txBody>
        </xdr:sp>
      </mc:Fallback>
    </mc:AlternateContent>
    <xdr:clientData/>
  </xdr:oneCellAnchor>
  <xdr:oneCellAnchor>
    <xdr:from>
      <xdr:col>3</xdr:col>
      <xdr:colOff>0</xdr:colOff>
      <xdr:row>67</xdr:row>
      <xdr:rowOff>0</xdr:rowOff>
    </xdr:from>
    <xdr:ext cx="1809750" cy="229712"/>
    <mc:AlternateContent xmlns:mc="http://schemas.openxmlformats.org/markup-compatibility/2006" xmlns:a14="http://schemas.microsoft.com/office/drawing/2010/main">
      <mc:Choice Requires="a14">
        <xdr:sp macro="" textlink="">
          <xdr:nvSpPr>
            <xdr:cNvPr id="6" name="CasellaDiTesto 5">
              <a:extLst>
                <a:ext uri="{FF2B5EF4-FFF2-40B4-BE49-F238E27FC236}">
                  <a16:creationId xmlns:a16="http://schemas.microsoft.com/office/drawing/2014/main" id="{00000000-0008-0000-1900-000006000000}"/>
                </a:ext>
              </a:extLst>
            </xdr:cNvPr>
            <xdr:cNvSpPr txBox="1"/>
          </xdr:nvSpPr>
          <xdr:spPr>
            <a:xfrm>
              <a:off x="3886200" y="13039725"/>
              <a:ext cx="1809750"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050" i="1">
                            <a:latin typeface="Cambria Math" panose="02040503050406030204" pitchFamily="18" charset="0"/>
                          </a:rPr>
                        </m:ctrlPr>
                      </m:sSubPr>
                      <m:e>
                        <m:r>
                          <a:rPr lang="it-IT" sz="1050" b="0" i="1">
                            <a:latin typeface="Cambria Math" panose="02040503050406030204" pitchFamily="18" charset="0"/>
                          </a:rPr>
                          <m:t>𝑥</m:t>
                        </m:r>
                      </m:e>
                      <m:sub>
                        <m:r>
                          <a:rPr lang="it-IT" sz="1050" b="0" i="1">
                            <a:latin typeface="Cambria Math" panose="02040503050406030204" pitchFamily="18" charset="0"/>
                          </a:rPr>
                          <m:t>h</m:t>
                        </m:r>
                        <m:r>
                          <a:rPr lang="it-IT" sz="1050" b="0" i="1">
                            <a:latin typeface="Cambria Math" panose="02040503050406030204" pitchFamily="18" charset="0"/>
                          </a:rPr>
                          <m:t>;</m:t>
                        </m:r>
                        <m:r>
                          <a:rPr lang="it-IT" sz="1050" b="0" i="1">
                            <a:latin typeface="Cambria Math" panose="02040503050406030204" pitchFamily="18" charset="0"/>
                          </a:rPr>
                          <m:t>𝑤𝑟𝑘</m:t>
                        </m:r>
                        <m:r>
                          <a:rPr lang="it-IT" sz="1050" b="0" i="1">
                            <a:latin typeface="Cambria Math" panose="02040503050406030204" pitchFamily="18" charset="0"/>
                          </a:rPr>
                          <m:t>,</m:t>
                        </m:r>
                        <m:r>
                          <a:rPr lang="it-IT" sz="1050" b="0" i="1">
                            <a:latin typeface="Cambria Math" panose="02040503050406030204" pitchFamily="18" charset="0"/>
                          </a:rPr>
                          <m:t>𝑖</m:t>
                        </m:r>
                      </m:sub>
                    </m:sSub>
                    <m:r>
                      <a:rPr lang="it-IT" sz="1050" i="1">
                        <a:latin typeface="Cambria Math" panose="02040503050406030204" pitchFamily="18" charset="0"/>
                      </a:rPr>
                      <m:t>=</m:t>
                    </m:r>
                    <m:sSub>
                      <m:sSubPr>
                        <m:ctrlPr>
                          <a:rPr lang="it-IT" sz="1050" i="1">
                            <a:solidFill>
                              <a:schemeClr val="tx1"/>
                            </a:solidFill>
                            <a:effectLst/>
                            <a:latin typeface="Cambria Math" panose="02040503050406030204" pitchFamily="18" charset="0"/>
                            <a:ea typeface="+mn-ea"/>
                            <a:cs typeface="+mn-cs"/>
                          </a:rPr>
                        </m:ctrlPr>
                      </m:sSubPr>
                      <m:e>
                        <m:sSub>
                          <m:sSubPr>
                            <m:ctrlPr>
                              <a:rPr lang="it-IT" sz="1050" i="1">
                                <a:solidFill>
                                  <a:schemeClr val="tx1"/>
                                </a:solidFill>
                                <a:effectLst/>
                                <a:latin typeface="Cambria Math" panose="02040503050406030204" pitchFamily="18" charset="0"/>
                                <a:ea typeface="+mn-ea"/>
                                <a:cs typeface="+mn-cs"/>
                              </a:rPr>
                            </m:ctrlPr>
                          </m:sSubPr>
                          <m:e>
                            <m:r>
                              <a:rPr lang="it-IT" sz="1050" b="0" i="1">
                                <a:solidFill>
                                  <a:schemeClr val="tx1"/>
                                </a:solidFill>
                                <a:effectLst/>
                                <a:latin typeface="Cambria Math" panose="02040503050406030204" pitchFamily="18" charset="0"/>
                                <a:ea typeface="+mn-ea"/>
                                <a:cs typeface="+mn-cs"/>
                              </a:rPr>
                              <m:t>𝑘</m:t>
                            </m:r>
                          </m:e>
                          <m:sub>
                            <m:r>
                              <a:rPr lang="it-IT" sz="1050" b="0" i="1">
                                <a:solidFill>
                                  <a:schemeClr val="tx1"/>
                                </a:solidFill>
                                <a:effectLst/>
                                <a:latin typeface="Cambria Math" panose="02040503050406030204" pitchFamily="18" charset="0"/>
                                <a:ea typeface="+mn-ea"/>
                                <a:cs typeface="+mn-cs"/>
                              </a:rPr>
                              <m:t>𝑊</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𝑤𝑟𝑘</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h</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𝑖</m:t>
                            </m:r>
                          </m:sub>
                        </m:sSub>
                        <m:r>
                          <a:rPr lang="it-IT" sz="1050" b="0" i="1">
                            <a:solidFill>
                              <a:schemeClr val="tx1"/>
                            </a:solidFill>
                            <a:effectLst/>
                            <a:latin typeface="Cambria Math" panose="02040503050406030204" pitchFamily="18" charset="0"/>
                            <a:ea typeface="Cambria Math" panose="02040503050406030204" pitchFamily="18" charset="0"/>
                            <a:cs typeface="+mn-cs"/>
                          </a:rPr>
                          <m:t>×</m:t>
                        </m:r>
                        <m:r>
                          <a:rPr lang="it-IT" sz="1050" b="0" i="1">
                            <a:solidFill>
                              <a:schemeClr val="tx1"/>
                            </a:solidFill>
                            <a:effectLst/>
                            <a:latin typeface="Cambria Math" panose="02040503050406030204" pitchFamily="18" charset="0"/>
                            <a:ea typeface="+mn-ea"/>
                            <a:cs typeface="+mn-cs"/>
                          </a:rPr>
                          <m:t>𝑘</m:t>
                        </m:r>
                      </m:e>
                      <m:sub>
                        <m:r>
                          <a:rPr lang="it-IT" sz="1050" b="0" i="1">
                            <a:solidFill>
                              <a:schemeClr val="tx1"/>
                            </a:solidFill>
                            <a:effectLst/>
                            <a:latin typeface="Cambria Math" panose="02040503050406030204" pitchFamily="18" charset="0"/>
                            <a:ea typeface="+mn-ea"/>
                            <a:cs typeface="+mn-cs"/>
                          </a:rPr>
                          <m:t>𝑥</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𝑎𝑣𝑔</m:t>
                        </m:r>
                      </m:sub>
                    </m:sSub>
                  </m:oMath>
                </m:oMathPara>
              </a14:m>
              <a:endParaRPr lang="it-IT" sz="1050"/>
            </a:p>
          </xdr:txBody>
        </xdr:sp>
      </mc:Choice>
      <mc:Fallback xmlns="">
        <xdr:sp macro="" textlink="">
          <xdr:nvSpPr>
            <xdr:cNvPr id="6" name="CasellaDiTesto 5">
              <a:extLst>
                <a:ext uri="{FF2B5EF4-FFF2-40B4-BE49-F238E27FC236}">
                  <a16:creationId xmlns:a16="http://schemas.microsoft.com/office/drawing/2014/main" id="{B07F05B4-274B-45DB-92DA-24AB281FA6D9}"/>
                </a:ext>
              </a:extLst>
            </xdr:cNvPr>
            <xdr:cNvSpPr txBox="1"/>
          </xdr:nvSpPr>
          <xdr:spPr>
            <a:xfrm>
              <a:off x="3886200" y="13039725"/>
              <a:ext cx="1809750"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050" b="0" i="0">
                  <a:latin typeface="Cambria Math" panose="02040503050406030204" pitchFamily="18" charset="0"/>
                </a:rPr>
                <a:t>𝑥_(ℎ;𝑤𝑟𝑘,𝑖)</a:t>
              </a:r>
              <a:r>
                <a:rPr lang="it-IT" sz="1050" i="0">
                  <a:latin typeface="Cambria Math" panose="02040503050406030204" pitchFamily="18" charset="0"/>
                </a:rPr>
                <a:t>=</a:t>
              </a:r>
              <a:r>
                <a:rPr lang="it-IT" sz="1050" i="0">
                  <a:solidFill>
                    <a:schemeClr val="tx1"/>
                  </a:solidFill>
                  <a:effectLst/>
                  <a:latin typeface="+mn-lt"/>
                  <a:ea typeface="+mn-ea"/>
                  <a:cs typeface="+mn-cs"/>
                </a:rPr>
                <a:t>〖</a:t>
              </a:r>
              <a:r>
                <a:rPr lang="it-IT" sz="1050" b="0" i="0">
                  <a:solidFill>
                    <a:schemeClr val="tx1"/>
                  </a:solidFill>
                  <a:effectLst/>
                  <a:latin typeface="+mn-lt"/>
                  <a:ea typeface="+mn-ea"/>
                  <a:cs typeface="+mn-cs"/>
                </a:rPr>
                <a:t>𝑘_(𝑊;𝑤𝑟𝑘;</a:t>
              </a:r>
              <a:r>
                <a:rPr lang="it-IT" sz="1050" b="0" i="0">
                  <a:solidFill>
                    <a:schemeClr val="tx1"/>
                  </a:solidFill>
                  <a:effectLst/>
                  <a:latin typeface="Cambria Math" panose="02040503050406030204" pitchFamily="18" charset="0"/>
                  <a:ea typeface="+mn-ea"/>
                  <a:cs typeface="+mn-cs"/>
                </a:rPr>
                <a:t>ℎ,𝑖</a:t>
              </a:r>
              <a:r>
                <a:rPr lang="it-IT" sz="1050" b="0" i="0">
                  <a:solidFill>
                    <a:schemeClr val="tx1"/>
                  </a:solidFill>
                  <a:effectLst/>
                  <a:latin typeface="+mn-lt"/>
                  <a:ea typeface="+mn-ea"/>
                  <a:cs typeface="+mn-cs"/>
                </a:rPr>
                <a:t>)</a:t>
              </a:r>
              <a:r>
                <a:rPr lang="it-IT" sz="1050" b="0" i="0">
                  <a:solidFill>
                    <a:schemeClr val="tx1"/>
                  </a:solidFill>
                  <a:effectLst/>
                  <a:latin typeface="Cambria Math" panose="02040503050406030204" pitchFamily="18" charset="0"/>
                  <a:ea typeface="Cambria Math" panose="02040503050406030204" pitchFamily="18" charset="0"/>
                  <a:cs typeface="+mn-cs"/>
                </a:rPr>
                <a:t>×</a:t>
              </a:r>
              <a:r>
                <a:rPr lang="it-IT" sz="1050" b="0" i="0">
                  <a:solidFill>
                    <a:schemeClr val="tx1"/>
                  </a:solidFill>
                  <a:effectLst/>
                  <a:latin typeface="Cambria Math" panose="02040503050406030204" pitchFamily="18" charset="0"/>
                  <a:ea typeface="+mn-ea"/>
                  <a:cs typeface="+mn-cs"/>
                </a:rPr>
                <a:t>𝑘</a:t>
              </a:r>
              <a:r>
                <a:rPr lang="it-IT" sz="1050" b="0" i="0">
                  <a:solidFill>
                    <a:schemeClr val="tx1"/>
                  </a:solidFill>
                  <a:effectLst/>
                  <a:latin typeface="+mn-lt"/>
                  <a:ea typeface="+mn-ea"/>
                  <a:cs typeface="+mn-cs"/>
                </a:rPr>
                <a:t>〗_(</a:t>
              </a:r>
              <a:r>
                <a:rPr lang="it-IT" sz="1050" b="0" i="0">
                  <a:solidFill>
                    <a:schemeClr val="tx1"/>
                  </a:solidFill>
                  <a:effectLst/>
                  <a:latin typeface="Cambria Math" panose="02040503050406030204" pitchFamily="18" charset="0"/>
                  <a:ea typeface="+mn-ea"/>
                  <a:cs typeface="+mn-cs"/>
                </a:rPr>
                <a:t>𝑥;𝑎𝑣𝑔</a:t>
              </a:r>
              <a:r>
                <a:rPr lang="it-IT" sz="1050" b="0" i="0">
                  <a:solidFill>
                    <a:schemeClr val="tx1"/>
                  </a:solidFill>
                  <a:effectLst/>
                  <a:latin typeface="+mn-lt"/>
                  <a:ea typeface="+mn-ea"/>
                  <a:cs typeface="+mn-cs"/>
                </a:rPr>
                <a:t>)</a:t>
              </a:r>
              <a:endParaRPr lang="it-IT" sz="1050"/>
            </a:p>
          </xdr:txBody>
        </xdr:sp>
      </mc:Fallback>
    </mc:AlternateContent>
    <xdr:clientData/>
  </xdr:oneCellAnchor>
  <xdr:oneCellAnchor>
    <xdr:from>
      <xdr:col>3</xdr:col>
      <xdr:colOff>19050</xdr:colOff>
      <xdr:row>68</xdr:row>
      <xdr:rowOff>19050</xdr:rowOff>
    </xdr:from>
    <xdr:ext cx="1809750" cy="229712"/>
    <mc:AlternateContent xmlns:mc="http://schemas.openxmlformats.org/markup-compatibility/2006" xmlns:a14="http://schemas.microsoft.com/office/drawing/2010/main">
      <mc:Choice Requires="a14">
        <xdr:sp macro="" textlink="">
          <xdr:nvSpPr>
            <xdr:cNvPr id="7" name="CasellaDiTesto 6">
              <a:extLst>
                <a:ext uri="{FF2B5EF4-FFF2-40B4-BE49-F238E27FC236}">
                  <a16:creationId xmlns:a16="http://schemas.microsoft.com/office/drawing/2014/main" id="{00000000-0008-0000-1900-000007000000}"/>
                </a:ext>
              </a:extLst>
            </xdr:cNvPr>
            <xdr:cNvSpPr txBox="1"/>
          </xdr:nvSpPr>
          <xdr:spPr>
            <a:xfrm>
              <a:off x="3905250" y="13287375"/>
              <a:ext cx="1809750"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050" i="1">
                            <a:latin typeface="Cambria Math" panose="02040503050406030204" pitchFamily="18" charset="0"/>
                          </a:rPr>
                        </m:ctrlPr>
                      </m:sSubPr>
                      <m:e>
                        <m:r>
                          <a:rPr lang="it-IT" sz="1050" b="0" i="1">
                            <a:latin typeface="Cambria Math" panose="02040503050406030204" pitchFamily="18" charset="0"/>
                          </a:rPr>
                          <m:t>𝑥</m:t>
                        </m:r>
                      </m:e>
                      <m:sub>
                        <m:r>
                          <a:rPr lang="it-IT" sz="1050" b="0" i="1">
                            <a:latin typeface="Cambria Math" panose="02040503050406030204" pitchFamily="18" charset="0"/>
                          </a:rPr>
                          <m:t>h</m:t>
                        </m:r>
                        <m:r>
                          <a:rPr lang="it-IT" sz="1050" b="0" i="1">
                            <a:latin typeface="Cambria Math" panose="02040503050406030204" pitchFamily="18" charset="0"/>
                          </a:rPr>
                          <m:t>;</m:t>
                        </m:r>
                        <m:r>
                          <a:rPr lang="it-IT" sz="1050" b="0" i="1">
                            <a:latin typeface="Cambria Math" panose="02040503050406030204" pitchFamily="18" charset="0"/>
                          </a:rPr>
                          <m:t>𝑠𝑎𝑡</m:t>
                        </m:r>
                        <m:r>
                          <a:rPr lang="it-IT" sz="1050" b="0" i="1">
                            <a:latin typeface="Cambria Math" panose="02040503050406030204" pitchFamily="18" charset="0"/>
                          </a:rPr>
                          <m:t>,</m:t>
                        </m:r>
                        <m:r>
                          <a:rPr lang="it-IT" sz="1050" b="0" i="1">
                            <a:latin typeface="Cambria Math" panose="02040503050406030204" pitchFamily="18" charset="0"/>
                          </a:rPr>
                          <m:t>𝑖</m:t>
                        </m:r>
                      </m:sub>
                    </m:sSub>
                    <m:r>
                      <a:rPr lang="it-IT" sz="1050" i="1">
                        <a:latin typeface="Cambria Math" panose="02040503050406030204" pitchFamily="18" charset="0"/>
                      </a:rPr>
                      <m:t>=</m:t>
                    </m:r>
                    <m:sSub>
                      <m:sSubPr>
                        <m:ctrlPr>
                          <a:rPr lang="it-IT" sz="1050" i="1">
                            <a:solidFill>
                              <a:schemeClr val="tx1"/>
                            </a:solidFill>
                            <a:effectLst/>
                            <a:latin typeface="Cambria Math" panose="02040503050406030204" pitchFamily="18" charset="0"/>
                            <a:ea typeface="+mn-ea"/>
                            <a:cs typeface="+mn-cs"/>
                          </a:rPr>
                        </m:ctrlPr>
                      </m:sSubPr>
                      <m:e>
                        <m:sSub>
                          <m:sSubPr>
                            <m:ctrlPr>
                              <a:rPr lang="it-IT" sz="1050" i="1">
                                <a:solidFill>
                                  <a:schemeClr val="tx1"/>
                                </a:solidFill>
                                <a:effectLst/>
                                <a:latin typeface="Cambria Math" panose="02040503050406030204" pitchFamily="18" charset="0"/>
                                <a:ea typeface="+mn-ea"/>
                                <a:cs typeface="+mn-cs"/>
                              </a:rPr>
                            </m:ctrlPr>
                          </m:sSubPr>
                          <m:e>
                            <m:r>
                              <a:rPr lang="it-IT" sz="1050" b="0" i="1">
                                <a:solidFill>
                                  <a:schemeClr val="tx1"/>
                                </a:solidFill>
                                <a:effectLst/>
                                <a:latin typeface="Cambria Math" panose="02040503050406030204" pitchFamily="18" charset="0"/>
                                <a:ea typeface="+mn-ea"/>
                                <a:cs typeface="+mn-cs"/>
                              </a:rPr>
                              <m:t>𝑘</m:t>
                            </m:r>
                          </m:e>
                          <m:sub>
                            <m:r>
                              <a:rPr lang="it-IT" sz="1050" b="0" i="1">
                                <a:solidFill>
                                  <a:schemeClr val="tx1"/>
                                </a:solidFill>
                                <a:effectLst/>
                                <a:latin typeface="Cambria Math" panose="02040503050406030204" pitchFamily="18" charset="0"/>
                                <a:ea typeface="+mn-ea"/>
                                <a:cs typeface="+mn-cs"/>
                              </a:rPr>
                              <m:t>𝑊</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𝑠𝑎𝑡</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h</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𝑖</m:t>
                            </m:r>
                          </m:sub>
                        </m:sSub>
                        <m:r>
                          <a:rPr lang="it-IT" sz="1050" b="0" i="1">
                            <a:solidFill>
                              <a:schemeClr val="tx1"/>
                            </a:solidFill>
                            <a:effectLst/>
                            <a:latin typeface="Cambria Math" panose="02040503050406030204" pitchFamily="18" charset="0"/>
                            <a:ea typeface="Cambria Math" panose="02040503050406030204" pitchFamily="18" charset="0"/>
                            <a:cs typeface="+mn-cs"/>
                          </a:rPr>
                          <m:t>×</m:t>
                        </m:r>
                        <m:r>
                          <a:rPr lang="it-IT" sz="1050" b="0" i="1">
                            <a:solidFill>
                              <a:schemeClr val="tx1"/>
                            </a:solidFill>
                            <a:effectLst/>
                            <a:latin typeface="Cambria Math" panose="02040503050406030204" pitchFamily="18" charset="0"/>
                            <a:ea typeface="+mn-ea"/>
                            <a:cs typeface="+mn-cs"/>
                          </a:rPr>
                          <m:t>𝑘</m:t>
                        </m:r>
                      </m:e>
                      <m:sub>
                        <m:r>
                          <a:rPr lang="it-IT" sz="1050" b="0" i="1">
                            <a:solidFill>
                              <a:schemeClr val="tx1"/>
                            </a:solidFill>
                            <a:effectLst/>
                            <a:latin typeface="Cambria Math" panose="02040503050406030204" pitchFamily="18" charset="0"/>
                            <a:ea typeface="+mn-ea"/>
                            <a:cs typeface="+mn-cs"/>
                          </a:rPr>
                          <m:t>𝑥</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𝑎𝑣𝑔</m:t>
                        </m:r>
                      </m:sub>
                    </m:sSub>
                  </m:oMath>
                </m:oMathPara>
              </a14:m>
              <a:endParaRPr lang="it-IT" sz="1050"/>
            </a:p>
          </xdr:txBody>
        </xdr:sp>
      </mc:Choice>
      <mc:Fallback xmlns="">
        <xdr:sp macro="" textlink="">
          <xdr:nvSpPr>
            <xdr:cNvPr id="7" name="CasellaDiTesto 6">
              <a:extLst>
                <a:ext uri="{FF2B5EF4-FFF2-40B4-BE49-F238E27FC236}">
                  <a16:creationId xmlns:a16="http://schemas.microsoft.com/office/drawing/2014/main" id="{8ADB404A-0E0B-4A77-AAEA-DCA2C1EF2447}"/>
                </a:ext>
              </a:extLst>
            </xdr:cNvPr>
            <xdr:cNvSpPr txBox="1"/>
          </xdr:nvSpPr>
          <xdr:spPr>
            <a:xfrm>
              <a:off x="3905250" y="13287375"/>
              <a:ext cx="1809750"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050" b="0" i="0">
                  <a:latin typeface="Cambria Math" panose="02040503050406030204" pitchFamily="18" charset="0"/>
                </a:rPr>
                <a:t>𝑥_(ℎ;𝑠𝑎𝑡,𝑖)</a:t>
              </a:r>
              <a:r>
                <a:rPr lang="it-IT" sz="1050" i="0">
                  <a:latin typeface="Cambria Math" panose="02040503050406030204" pitchFamily="18" charset="0"/>
                </a:rPr>
                <a:t>=</a:t>
              </a:r>
              <a:r>
                <a:rPr lang="it-IT" sz="1050" i="0">
                  <a:solidFill>
                    <a:schemeClr val="tx1"/>
                  </a:solidFill>
                  <a:effectLst/>
                  <a:latin typeface="+mn-lt"/>
                  <a:ea typeface="+mn-ea"/>
                  <a:cs typeface="+mn-cs"/>
                </a:rPr>
                <a:t>〖</a:t>
              </a:r>
              <a:r>
                <a:rPr lang="it-IT" sz="1050" b="0" i="0">
                  <a:solidFill>
                    <a:schemeClr val="tx1"/>
                  </a:solidFill>
                  <a:effectLst/>
                  <a:latin typeface="+mn-lt"/>
                  <a:ea typeface="+mn-ea"/>
                  <a:cs typeface="+mn-cs"/>
                </a:rPr>
                <a:t>𝑘_(𝑊</a:t>
              </a:r>
              <a:r>
                <a:rPr lang="it-IT" sz="1050" b="0" i="0">
                  <a:solidFill>
                    <a:schemeClr val="tx1"/>
                  </a:solidFill>
                  <a:effectLst/>
                  <a:latin typeface="Cambria Math" panose="02040503050406030204" pitchFamily="18" charset="0"/>
                  <a:ea typeface="+mn-ea"/>
                  <a:cs typeface="+mn-cs"/>
                </a:rPr>
                <a:t>;𝑠𝑎𝑡</a:t>
              </a:r>
              <a:r>
                <a:rPr lang="it-IT" sz="1050" b="0" i="0">
                  <a:solidFill>
                    <a:schemeClr val="tx1"/>
                  </a:solidFill>
                  <a:effectLst/>
                  <a:latin typeface="+mn-lt"/>
                  <a:ea typeface="+mn-ea"/>
                  <a:cs typeface="+mn-cs"/>
                </a:rPr>
                <a:t>;</a:t>
              </a:r>
              <a:r>
                <a:rPr lang="it-IT" sz="1050" b="0" i="0">
                  <a:solidFill>
                    <a:schemeClr val="tx1"/>
                  </a:solidFill>
                  <a:effectLst/>
                  <a:latin typeface="Cambria Math" panose="02040503050406030204" pitchFamily="18" charset="0"/>
                  <a:ea typeface="+mn-ea"/>
                  <a:cs typeface="+mn-cs"/>
                </a:rPr>
                <a:t>ℎ,𝑖</a:t>
              </a:r>
              <a:r>
                <a:rPr lang="it-IT" sz="1050" b="0" i="0">
                  <a:solidFill>
                    <a:schemeClr val="tx1"/>
                  </a:solidFill>
                  <a:effectLst/>
                  <a:latin typeface="+mn-lt"/>
                  <a:ea typeface="+mn-ea"/>
                  <a:cs typeface="+mn-cs"/>
                </a:rPr>
                <a:t>)</a:t>
              </a:r>
              <a:r>
                <a:rPr lang="it-IT" sz="1050" b="0" i="0">
                  <a:solidFill>
                    <a:schemeClr val="tx1"/>
                  </a:solidFill>
                  <a:effectLst/>
                  <a:latin typeface="Cambria Math" panose="02040503050406030204" pitchFamily="18" charset="0"/>
                  <a:ea typeface="Cambria Math" panose="02040503050406030204" pitchFamily="18" charset="0"/>
                  <a:cs typeface="+mn-cs"/>
                </a:rPr>
                <a:t>×</a:t>
              </a:r>
              <a:r>
                <a:rPr lang="it-IT" sz="1050" b="0" i="0">
                  <a:solidFill>
                    <a:schemeClr val="tx1"/>
                  </a:solidFill>
                  <a:effectLst/>
                  <a:latin typeface="Cambria Math" panose="02040503050406030204" pitchFamily="18" charset="0"/>
                  <a:ea typeface="+mn-ea"/>
                  <a:cs typeface="+mn-cs"/>
                </a:rPr>
                <a:t>𝑘</a:t>
              </a:r>
              <a:r>
                <a:rPr lang="it-IT" sz="1050" b="0" i="0">
                  <a:solidFill>
                    <a:schemeClr val="tx1"/>
                  </a:solidFill>
                  <a:effectLst/>
                  <a:latin typeface="+mn-lt"/>
                  <a:ea typeface="+mn-ea"/>
                  <a:cs typeface="+mn-cs"/>
                </a:rPr>
                <a:t>〗_(</a:t>
              </a:r>
              <a:r>
                <a:rPr lang="it-IT" sz="1050" b="0" i="0">
                  <a:solidFill>
                    <a:schemeClr val="tx1"/>
                  </a:solidFill>
                  <a:effectLst/>
                  <a:latin typeface="Cambria Math" panose="02040503050406030204" pitchFamily="18" charset="0"/>
                  <a:ea typeface="+mn-ea"/>
                  <a:cs typeface="+mn-cs"/>
                </a:rPr>
                <a:t>𝑥;𝑎𝑣𝑔</a:t>
              </a:r>
              <a:r>
                <a:rPr lang="it-IT" sz="1050" b="0" i="0">
                  <a:solidFill>
                    <a:schemeClr val="tx1"/>
                  </a:solidFill>
                  <a:effectLst/>
                  <a:latin typeface="+mn-lt"/>
                  <a:ea typeface="+mn-ea"/>
                  <a:cs typeface="+mn-cs"/>
                </a:rPr>
                <a:t>)</a:t>
              </a:r>
              <a:endParaRPr lang="it-IT" sz="1050"/>
            </a:p>
          </xdr:txBody>
        </xdr:sp>
      </mc:Fallback>
    </mc:AlternateContent>
    <xdr:clientData/>
  </xdr:oneCellAnchor>
  <xdr:oneCellAnchor>
    <xdr:from>
      <xdr:col>3</xdr:col>
      <xdr:colOff>28575</xdr:colOff>
      <xdr:row>69</xdr:row>
      <xdr:rowOff>38100</xdr:rowOff>
    </xdr:from>
    <xdr:ext cx="1809750" cy="229712"/>
    <mc:AlternateContent xmlns:mc="http://schemas.openxmlformats.org/markup-compatibility/2006" xmlns:a14="http://schemas.microsoft.com/office/drawing/2010/main">
      <mc:Choice Requires="a14">
        <xdr:sp macro="" textlink="">
          <xdr:nvSpPr>
            <xdr:cNvPr id="8" name="CasellaDiTesto 7">
              <a:extLst>
                <a:ext uri="{FF2B5EF4-FFF2-40B4-BE49-F238E27FC236}">
                  <a16:creationId xmlns:a16="http://schemas.microsoft.com/office/drawing/2014/main" id="{00000000-0008-0000-1900-000008000000}"/>
                </a:ext>
              </a:extLst>
            </xdr:cNvPr>
            <xdr:cNvSpPr txBox="1"/>
          </xdr:nvSpPr>
          <xdr:spPr>
            <a:xfrm>
              <a:off x="3914775" y="13535025"/>
              <a:ext cx="1809750"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050" i="1">
                            <a:latin typeface="Cambria Math" panose="02040503050406030204" pitchFamily="18" charset="0"/>
                          </a:rPr>
                        </m:ctrlPr>
                      </m:sSubPr>
                      <m:e>
                        <m:r>
                          <a:rPr lang="it-IT" sz="1050" b="0" i="1">
                            <a:latin typeface="Cambria Math" panose="02040503050406030204" pitchFamily="18" charset="0"/>
                          </a:rPr>
                          <m:t>𝑥</m:t>
                        </m:r>
                      </m:e>
                      <m:sub>
                        <m:r>
                          <a:rPr lang="it-IT" sz="1050" b="0" i="1">
                            <a:latin typeface="Cambria Math" panose="02040503050406030204" pitchFamily="18" charset="0"/>
                          </a:rPr>
                          <m:t>h</m:t>
                        </m:r>
                        <m:r>
                          <a:rPr lang="it-IT" sz="1050" b="0" i="1">
                            <a:latin typeface="Cambria Math" panose="02040503050406030204" pitchFamily="18" charset="0"/>
                          </a:rPr>
                          <m:t>;</m:t>
                        </m:r>
                        <m:r>
                          <a:rPr lang="it-IT" sz="1050" b="0" i="1">
                            <a:latin typeface="Cambria Math" panose="02040503050406030204" pitchFamily="18" charset="0"/>
                          </a:rPr>
                          <m:t>h𝑜𝑙</m:t>
                        </m:r>
                        <m:r>
                          <a:rPr lang="it-IT" sz="1050" b="0" i="1">
                            <a:latin typeface="Cambria Math" panose="02040503050406030204" pitchFamily="18" charset="0"/>
                          </a:rPr>
                          <m:t>,</m:t>
                        </m:r>
                        <m:r>
                          <a:rPr lang="it-IT" sz="1050" b="0" i="1">
                            <a:latin typeface="Cambria Math" panose="02040503050406030204" pitchFamily="18" charset="0"/>
                          </a:rPr>
                          <m:t>𝑖</m:t>
                        </m:r>
                      </m:sub>
                    </m:sSub>
                    <m:r>
                      <a:rPr lang="it-IT" sz="1050" i="1">
                        <a:latin typeface="Cambria Math" panose="02040503050406030204" pitchFamily="18" charset="0"/>
                      </a:rPr>
                      <m:t>=</m:t>
                    </m:r>
                    <m:sSub>
                      <m:sSubPr>
                        <m:ctrlPr>
                          <a:rPr lang="it-IT" sz="1050" i="1">
                            <a:solidFill>
                              <a:schemeClr val="tx1"/>
                            </a:solidFill>
                            <a:effectLst/>
                            <a:latin typeface="Cambria Math" panose="02040503050406030204" pitchFamily="18" charset="0"/>
                            <a:ea typeface="+mn-ea"/>
                            <a:cs typeface="+mn-cs"/>
                          </a:rPr>
                        </m:ctrlPr>
                      </m:sSubPr>
                      <m:e>
                        <m:sSub>
                          <m:sSubPr>
                            <m:ctrlPr>
                              <a:rPr lang="it-IT" sz="1050" i="1">
                                <a:solidFill>
                                  <a:schemeClr val="tx1"/>
                                </a:solidFill>
                                <a:effectLst/>
                                <a:latin typeface="Cambria Math" panose="02040503050406030204" pitchFamily="18" charset="0"/>
                                <a:ea typeface="+mn-ea"/>
                                <a:cs typeface="+mn-cs"/>
                              </a:rPr>
                            </m:ctrlPr>
                          </m:sSubPr>
                          <m:e>
                            <m:r>
                              <a:rPr lang="it-IT" sz="1050" b="0" i="1">
                                <a:solidFill>
                                  <a:schemeClr val="tx1"/>
                                </a:solidFill>
                                <a:effectLst/>
                                <a:latin typeface="Cambria Math" panose="02040503050406030204" pitchFamily="18" charset="0"/>
                                <a:ea typeface="+mn-ea"/>
                                <a:cs typeface="+mn-cs"/>
                              </a:rPr>
                              <m:t>𝑘</m:t>
                            </m:r>
                          </m:e>
                          <m:sub>
                            <m:r>
                              <a:rPr lang="it-IT" sz="1050" b="0" i="1">
                                <a:solidFill>
                                  <a:schemeClr val="tx1"/>
                                </a:solidFill>
                                <a:effectLst/>
                                <a:latin typeface="Cambria Math" panose="02040503050406030204" pitchFamily="18" charset="0"/>
                                <a:ea typeface="+mn-ea"/>
                                <a:cs typeface="+mn-cs"/>
                              </a:rPr>
                              <m:t>𝑊</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h𝑜𝑙</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h</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𝑖</m:t>
                            </m:r>
                          </m:sub>
                        </m:sSub>
                        <m:r>
                          <a:rPr lang="it-IT" sz="1050" b="0" i="1">
                            <a:solidFill>
                              <a:schemeClr val="tx1"/>
                            </a:solidFill>
                            <a:effectLst/>
                            <a:latin typeface="Cambria Math" panose="02040503050406030204" pitchFamily="18" charset="0"/>
                            <a:ea typeface="Cambria Math" panose="02040503050406030204" pitchFamily="18" charset="0"/>
                            <a:cs typeface="+mn-cs"/>
                          </a:rPr>
                          <m:t>×</m:t>
                        </m:r>
                        <m:r>
                          <a:rPr lang="it-IT" sz="1050" b="0" i="1">
                            <a:solidFill>
                              <a:schemeClr val="tx1"/>
                            </a:solidFill>
                            <a:effectLst/>
                            <a:latin typeface="Cambria Math" panose="02040503050406030204" pitchFamily="18" charset="0"/>
                            <a:ea typeface="+mn-ea"/>
                            <a:cs typeface="+mn-cs"/>
                          </a:rPr>
                          <m:t>𝑘</m:t>
                        </m:r>
                      </m:e>
                      <m:sub>
                        <m:r>
                          <a:rPr lang="it-IT" sz="1050" b="0" i="1">
                            <a:solidFill>
                              <a:schemeClr val="tx1"/>
                            </a:solidFill>
                            <a:effectLst/>
                            <a:latin typeface="Cambria Math" panose="02040503050406030204" pitchFamily="18" charset="0"/>
                            <a:ea typeface="+mn-ea"/>
                            <a:cs typeface="+mn-cs"/>
                          </a:rPr>
                          <m:t>𝑥</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𝑎𝑣𝑔</m:t>
                        </m:r>
                      </m:sub>
                    </m:sSub>
                  </m:oMath>
                </m:oMathPara>
              </a14:m>
              <a:endParaRPr lang="it-IT" sz="1050"/>
            </a:p>
          </xdr:txBody>
        </xdr:sp>
      </mc:Choice>
      <mc:Fallback xmlns="">
        <xdr:sp macro="" textlink="">
          <xdr:nvSpPr>
            <xdr:cNvPr id="8" name="CasellaDiTesto 7">
              <a:extLst>
                <a:ext uri="{FF2B5EF4-FFF2-40B4-BE49-F238E27FC236}">
                  <a16:creationId xmlns:a16="http://schemas.microsoft.com/office/drawing/2014/main" id="{6A018FA6-14E4-42E0-9770-946E19FD89E6}"/>
                </a:ext>
              </a:extLst>
            </xdr:cNvPr>
            <xdr:cNvSpPr txBox="1"/>
          </xdr:nvSpPr>
          <xdr:spPr>
            <a:xfrm>
              <a:off x="3914775" y="13535025"/>
              <a:ext cx="1809750"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050" b="0" i="0">
                  <a:latin typeface="Cambria Math" panose="02040503050406030204" pitchFamily="18" charset="0"/>
                </a:rPr>
                <a:t>𝑥_(ℎ;ℎ𝑜𝑙,𝑖)</a:t>
              </a:r>
              <a:r>
                <a:rPr lang="it-IT" sz="1050" i="0">
                  <a:latin typeface="Cambria Math" panose="02040503050406030204" pitchFamily="18" charset="0"/>
                </a:rPr>
                <a:t>=</a:t>
              </a:r>
              <a:r>
                <a:rPr lang="it-IT" sz="1050" i="0">
                  <a:solidFill>
                    <a:schemeClr val="tx1"/>
                  </a:solidFill>
                  <a:effectLst/>
                  <a:latin typeface="+mn-lt"/>
                  <a:ea typeface="+mn-ea"/>
                  <a:cs typeface="+mn-cs"/>
                </a:rPr>
                <a:t>〖</a:t>
              </a:r>
              <a:r>
                <a:rPr lang="it-IT" sz="1050" b="0" i="0">
                  <a:solidFill>
                    <a:schemeClr val="tx1"/>
                  </a:solidFill>
                  <a:effectLst/>
                  <a:latin typeface="+mn-lt"/>
                  <a:ea typeface="+mn-ea"/>
                  <a:cs typeface="+mn-cs"/>
                </a:rPr>
                <a:t>𝑘_(𝑊;</a:t>
              </a:r>
              <a:r>
                <a:rPr lang="it-IT" sz="1050" b="0" i="0">
                  <a:solidFill>
                    <a:schemeClr val="tx1"/>
                  </a:solidFill>
                  <a:effectLst/>
                  <a:latin typeface="Cambria Math" panose="02040503050406030204" pitchFamily="18" charset="0"/>
                  <a:ea typeface="+mn-ea"/>
                  <a:cs typeface="+mn-cs"/>
                </a:rPr>
                <a:t>ℎ𝑜𝑙</a:t>
              </a:r>
              <a:r>
                <a:rPr lang="it-IT" sz="1050" b="0" i="0">
                  <a:solidFill>
                    <a:schemeClr val="tx1"/>
                  </a:solidFill>
                  <a:effectLst/>
                  <a:latin typeface="+mn-lt"/>
                  <a:ea typeface="+mn-ea"/>
                  <a:cs typeface="+mn-cs"/>
                </a:rPr>
                <a:t>;</a:t>
              </a:r>
              <a:r>
                <a:rPr lang="it-IT" sz="1050" b="0" i="0">
                  <a:solidFill>
                    <a:schemeClr val="tx1"/>
                  </a:solidFill>
                  <a:effectLst/>
                  <a:latin typeface="Cambria Math" panose="02040503050406030204" pitchFamily="18" charset="0"/>
                  <a:ea typeface="+mn-ea"/>
                  <a:cs typeface="+mn-cs"/>
                </a:rPr>
                <a:t>ℎ,𝑖</a:t>
              </a:r>
              <a:r>
                <a:rPr lang="it-IT" sz="1050" b="0" i="0">
                  <a:solidFill>
                    <a:schemeClr val="tx1"/>
                  </a:solidFill>
                  <a:effectLst/>
                  <a:latin typeface="+mn-lt"/>
                  <a:ea typeface="+mn-ea"/>
                  <a:cs typeface="+mn-cs"/>
                </a:rPr>
                <a:t>)</a:t>
              </a:r>
              <a:r>
                <a:rPr lang="it-IT" sz="1050" b="0" i="0">
                  <a:solidFill>
                    <a:schemeClr val="tx1"/>
                  </a:solidFill>
                  <a:effectLst/>
                  <a:latin typeface="Cambria Math" panose="02040503050406030204" pitchFamily="18" charset="0"/>
                  <a:ea typeface="Cambria Math" panose="02040503050406030204" pitchFamily="18" charset="0"/>
                  <a:cs typeface="+mn-cs"/>
                </a:rPr>
                <a:t>×</a:t>
              </a:r>
              <a:r>
                <a:rPr lang="it-IT" sz="1050" b="0" i="0">
                  <a:solidFill>
                    <a:schemeClr val="tx1"/>
                  </a:solidFill>
                  <a:effectLst/>
                  <a:latin typeface="Cambria Math" panose="02040503050406030204" pitchFamily="18" charset="0"/>
                  <a:ea typeface="+mn-ea"/>
                  <a:cs typeface="+mn-cs"/>
                </a:rPr>
                <a:t>𝑘</a:t>
              </a:r>
              <a:r>
                <a:rPr lang="it-IT" sz="1050" b="0" i="0">
                  <a:solidFill>
                    <a:schemeClr val="tx1"/>
                  </a:solidFill>
                  <a:effectLst/>
                  <a:latin typeface="+mn-lt"/>
                  <a:ea typeface="+mn-ea"/>
                  <a:cs typeface="+mn-cs"/>
                </a:rPr>
                <a:t>〗_(</a:t>
              </a:r>
              <a:r>
                <a:rPr lang="it-IT" sz="1050" b="0" i="0">
                  <a:solidFill>
                    <a:schemeClr val="tx1"/>
                  </a:solidFill>
                  <a:effectLst/>
                  <a:latin typeface="Cambria Math" panose="02040503050406030204" pitchFamily="18" charset="0"/>
                  <a:ea typeface="+mn-ea"/>
                  <a:cs typeface="+mn-cs"/>
                </a:rPr>
                <a:t>𝑥;𝑎𝑣𝑔</a:t>
              </a:r>
              <a:r>
                <a:rPr lang="it-IT" sz="1050" b="0" i="0">
                  <a:solidFill>
                    <a:schemeClr val="tx1"/>
                  </a:solidFill>
                  <a:effectLst/>
                  <a:latin typeface="+mn-lt"/>
                  <a:ea typeface="+mn-ea"/>
                  <a:cs typeface="+mn-cs"/>
                </a:rPr>
                <a:t>)</a:t>
              </a:r>
              <a:endParaRPr lang="it-IT" sz="1050"/>
            </a:p>
          </xdr:txBody>
        </xdr:sp>
      </mc:Fallback>
    </mc:AlternateContent>
    <xdr:clientData/>
  </xdr:oneCellAnchor>
  <xdr:oneCellAnchor>
    <xdr:from>
      <xdr:col>3</xdr:col>
      <xdr:colOff>0</xdr:colOff>
      <xdr:row>98</xdr:row>
      <xdr:rowOff>0</xdr:rowOff>
    </xdr:from>
    <xdr:ext cx="1809750" cy="229712"/>
    <mc:AlternateContent xmlns:mc="http://schemas.openxmlformats.org/markup-compatibility/2006" xmlns:a14="http://schemas.microsoft.com/office/drawing/2010/main">
      <mc:Choice Requires="a14">
        <xdr:sp macro="" textlink="">
          <xdr:nvSpPr>
            <xdr:cNvPr id="9" name="CasellaDiTesto 8">
              <a:extLst>
                <a:ext uri="{FF2B5EF4-FFF2-40B4-BE49-F238E27FC236}">
                  <a16:creationId xmlns:a16="http://schemas.microsoft.com/office/drawing/2014/main" id="{00000000-0008-0000-1900-000009000000}"/>
                </a:ext>
              </a:extLst>
            </xdr:cNvPr>
            <xdr:cNvSpPr txBox="1"/>
          </xdr:nvSpPr>
          <xdr:spPr>
            <a:xfrm>
              <a:off x="3886200" y="19078575"/>
              <a:ext cx="1809750"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050" i="1">
                            <a:latin typeface="Cambria Math" panose="02040503050406030204" pitchFamily="18" charset="0"/>
                          </a:rPr>
                        </m:ctrlPr>
                      </m:sSubPr>
                      <m:e>
                        <m:r>
                          <a:rPr lang="it-IT" sz="1050" b="0" i="1">
                            <a:latin typeface="Cambria Math" panose="02040503050406030204" pitchFamily="18" charset="0"/>
                          </a:rPr>
                          <m:t>𝑉</m:t>
                        </m:r>
                      </m:e>
                      <m:sub>
                        <m:r>
                          <a:rPr lang="it-IT" sz="1050" b="0" i="1">
                            <a:latin typeface="Cambria Math" panose="02040503050406030204" pitchFamily="18" charset="0"/>
                          </a:rPr>
                          <m:t>𝑊</m:t>
                        </m:r>
                        <m:r>
                          <a:rPr lang="it-IT" sz="1050" b="0" i="1">
                            <a:latin typeface="Cambria Math" panose="02040503050406030204" pitchFamily="18" charset="0"/>
                          </a:rPr>
                          <m:t>;</m:t>
                        </m:r>
                        <m:r>
                          <a:rPr lang="it-IT" sz="1050" b="0" i="1">
                            <a:latin typeface="Cambria Math" panose="02040503050406030204" pitchFamily="18" charset="0"/>
                          </a:rPr>
                          <m:t>h</m:t>
                        </m:r>
                        <m:r>
                          <a:rPr lang="it-IT" sz="1050" b="0" i="1">
                            <a:latin typeface="Cambria Math" panose="02040503050406030204" pitchFamily="18" charset="0"/>
                          </a:rPr>
                          <m:t>,</m:t>
                        </m:r>
                        <m:r>
                          <a:rPr lang="it-IT" sz="1050" b="0" i="1">
                            <a:latin typeface="Cambria Math" panose="02040503050406030204" pitchFamily="18" charset="0"/>
                          </a:rPr>
                          <m:t>𝑖</m:t>
                        </m:r>
                      </m:sub>
                    </m:sSub>
                    <m:r>
                      <a:rPr lang="it-IT" sz="1050" i="1">
                        <a:latin typeface="Cambria Math" panose="02040503050406030204" pitchFamily="18" charset="0"/>
                      </a:rPr>
                      <m:t>=</m:t>
                    </m:r>
                    <m:sSub>
                      <m:sSubPr>
                        <m:ctrlPr>
                          <a:rPr lang="it-IT" sz="1050" i="1">
                            <a:solidFill>
                              <a:schemeClr val="tx1"/>
                            </a:solidFill>
                            <a:effectLst/>
                            <a:latin typeface="Cambria Math" panose="02040503050406030204" pitchFamily="18" charset="0"/>
                            <a:ea typeface="+mn-ea"/>
                            <a:cs typeface="+mn-cs"/>
                          </a:rPr>
                        </m:ctrlPr>
                      </m:sSubPr>
                      <m:e>
                        <m:sSub>
                          <m:sSubPr>
                            <m:ctrlPr>
                              <a:rPr lang="it-IT" sz="1050" i="1">
                                <a:solidFill>
                                  <a:schemeClr val="tx1"/>
                                </a:solidFill>
                                <a:effectLst/>
                                <a:latin typeface="Cambria Math" panose="02040503050406030204" pitchFamily="18" charset="0"/>
                                <a:ea typeface="+mn-ea"/>
                                <a:cs typeface="+mn-cs"/>
                              </a:rPr>
                            </m:ctrlPr>
                          </m:sSubPr>
                          <m:e>
                            <m:r>
                              <a:rPr lang="it-IT" sz="1050" b="0" i="1">
                                <a:solidFill>
                                  <a:schemeClr val="tx1"/>
                                </a:solidFill>
                                <a:effectLst/>
                                <a:latin typeface="Cambria Math" panose="02040503050406030204" pitchFamily="18" charset="0"/>
                                <a:ea typeface="+mn-ea"/>
                                <a:cs typeface="+mn-cs"/>
                              </a:rPr>
                              <m:t>𝑥</m:t>
                            </m:r>
                          </m:e>
                          <m:sub>
                            <m:r>
                              <a:rPr lang="it-IT" sz="1050" b="0" i="1">
                                <a:solidFill>
                                  <a:schemeClr val="tx1"/>
                                </a:solidFill>
                                <a:effectLst/>
                                <a:latin typeface="Cambria Math" panose="02040503050406030204" pitchFamily="18" charset="0"/>
                                <a:ea typeface="+mn-ea"/>
                                <a:cs typeface="+mn-cs"/>
                              </a:rPr>
                              <m:t>h</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𝑤𝑟𝑘</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𝑖</m:t>
                            </m:r>
                          </m:sub>
                        </m:sSub>
                        <m:r>
                          <a:rPr lang="it-IT" sz="1050" b="0" i="1">
                            <a:solidFill>
                              <a:schemeClr val="tx1"/>
                            </a:solidFill>
                            <a:effectLst/>
                            <a:latin typeface="Cambria Math" panose="02040503050406030204" pitchFamily="18" charset="0"/>
                            <a:ea typeface="Cambria Math" panose="02040503050406030204" pitchFamily="18" charset="0"/>
                            <a:cs typeface="+mn-cs"/>
                          </a:rPr>
                          <m:t>×</m:t>
                        </m:r>
                        <m:r>
                          <a:rPr lang="it-IT" sz="1050" b="0" i="1">
                            <a:solidFill>
                              <a:schemeClr val="tx1"/>
                            </a:solidFill>
                            <a:effectLst/>
                            <a:latin typeface="Cambria Math" panose="02040503050406030204" pitchFamily="18" charset="0"/>
                            <a:ea typeface="Cambria Math" panose="02040503050406030204" pitchFamily="18" charset="0"/>
                            <a:cs typeface="+mn-cs"/>
                          </a:rPr>
                          <m:t>𝑉</m:t>
                        </m:r>
                      </m:e>
                      <m:sub>
                        <m:r>
                          <a:rPr lang="it-IT" sz="1050" b="0" i="1">
                            <a:solidFill>
                              <a:schemeClr val="tx1"/>
                            </a:solidFill>
                            <a:effectLst/>
                            <a:latin typeface="Cambria Math" panose="02040503050406030204" pitchFamily="18" charset="0"/>
                            <a:ea typeface="+mn-ea"/>
                            <a:cs typeface="+mn-cs"/>
                          </a:rPr>
                          <m:t>𝑊</m:t>
                        </m:r>
                        <m:r>
                          <a:rPr lang="it-IT" sz="1050" b="0" i="1">
                            <a:solidFill>
                              <a:schemeClr val="tx1"/>
                            </a:solidFill>
                            <a:effectLst/>
                            <a:latin typeface="Cambria Math" panose="02040503050406030204" pitchFamily="18" charset="0"/>
                            <a:ea typeface="+mn-ea"/>
                            <a:cs typeface="+mn-cs"/>
                          </a:rPr>
                          <m:t>;</m:t>
                        </m:r>
                        <m:r>
                          <a:rPr lang="it-IT" sz="1050" b="0" i="1">
                            <a:solidFill>
                              <a:schemeClr val="tx1"/>
                            </a:solidFill>
                            <a:effectLst/>
                            <a:latin typeface="Cambria Math" panose="02040503050406030204" pitchFamily="18" charset="0"/>
                            <a:ea typeface="+mn-ea"/>
                            <a:cs typeface="+mn-cs"/>
                          </a:rPr>
                          <m:t>𝑑𝑎𝑦</m:t>
                        </m:r>
                      </m:sub>
                    </m:sSub>
                  </m:oMath>
                </m:oMathPara>
              </a14:m>
              <a:endParaRPr lang="it-IT" sz="1050"/>
            </a:p>
          </xdr:txBody>
        </xdr:sp>
      </mc:Choice>
      <mc:Fallback xmlns="">
        <xdr:sp macro="" textlink="">
          <xdr:nvSpPr>
            <xdr:cNvPr id="9" name="CasellaDiTesto 8">
              <a:extLst>
                <a:ext uri="{FF2B5EF4-FFF2-40B4-BE49-F238E27FC236}">
                  <a16:creationId xmlns:a16="http://schemas.microsoft.com/office/drawing/2014/main" id="{F66B0E4D-CD13-4AF2-B879-4AD96EEA7B8C}"/>
                </a:ext>
              </a:extLst>
            </xdr:cNvPr>
            <xdr:cNvSpPr txBox="1"/>
          </xdr:nvSpPr>
          <xdr:spPr>
            <a:xfrm>
              <a:off x="3886200" y="19078575"/>
              <a:ext cx="1809750" cy="2297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050" b="0" i="0">
                  <a:latin typeface="Cambria Math" panose="02040503050406030204" pitchFamily="18" charset="0"/>
                </a:rPr>
                <a:t>𝑉_(𝑊;ℎ,𝑖)</a:t>
              </a:r>
              <a:r>
                <a:rPr lang="it-IT" sz="1050" i="0">
                  <a:latin typeface="Cambria Math" panose="02040503050406030204" pitchFamily="18" charset="0"/>
                </a:rPr>
                <a:t>=</a:t>
              </a:r>
              <a:r>
                <a:rPr lang="it-IT" sz="1050" i="0">
                  <a:solidFill>
                    <a:schemeClr val="tx1"/>
                  </a:solidFill>
                  <a:effectLst/>
                  <a:latin typeface="+mn-lt"/>
                  <a:ea typeface="+mn-ea"/>
                  <a:cs typeface="+mn-cs"/>
                </a:rPr>
                <a:t>〖</a:t>
              </a:r>
              <a:r>
                <a:rPr lang="it-IT" sz="1050" b="0" i="0">
                  <a:solidFill>
                    <a:schemeClr val="tx1"/>
                  </a:solidFill>
                  <a:effectLst/>
                  <a:latin typeface="Cambria Math" panose="02040503050406030204" pitchFamily="18" charset="0"/>
                  <a:ea typeface="+mn-ea"/>
                  <a:cs typeface="+mn-cs"/>
                </a:rPr>
                <a:t>𝑥</a:t>
              </a:r>
              <a:r>
                <a:rPr lang="it-IT" sz="1050" b="0" i="0">
                  <a:solidFill>
                    <a:schemeClr val="tx1"/>
                  </a:solidFill>
                  <a:effectLst/>
                  <a:latin typeface="+mn-lt"/>
                  <a:ea typeface="+mn-ea"/>
                  <a:cs typeface="+mn-cs"/>
                </a:rPr>
                <a:t>_(</a:t>
              </a:r>
              <a:r>
                <a:rPr lang="it-IT" sz="1050" b="0" i="0">
                  <a:solidFill>
                    <a:schemeClr val="tx1"/>
                  </a:solidFill>
                  <a:effectLst/>
                  <a:latin typeface="Cambria Math" panose="02040503050406030204" pitchFamily="18" charset="0"/>
                  <a:ea typeface="+mn-ea"/>
                  <a:cs typeface="+mn-cs"/>
                </a:rPr>
                <a:t>ℎ</a:t>
              </a:r>
              <a:r>
                <a:rPr lang="it-IT" sz="1050" b="0" i="0">
                  <a:solidFill>
                    <a:schemeClr val="tx1"/>
                  </a:solidFill>
                  <a:effectLst/>
                  <a:latin typeface="+mn-lt"/>
                  <a:ea typeface="+mn-ea"/>
                  <a:cs typeface="+mn-cs"/>
                </a:rPr>
                <a:t>;𝑤𝑟𝑘</a:t>
              </a:r>
              <a:r>
                <a:rPr lang="it-IT" sz="1050" b="0" i="0">
                  <a:solidFill>
                    <a:schemeClr val="tx1"/>
                  </a:solidFill>
                  <a:effectLst/>
                  <a:latin typeface="Cambria Math" panose="02040503050406030204" pitchFamily="18" charset="0"/>
                  <a:ea typeface="+mn-ea"/>
                  <a:cs typeface="+mn-cs"/>
                </a:rPr>
                <a:t>,𝑖</a:t>
              </a:r>
              <a:r>
                <a:rPr lang="it-IT" sz="1050" b="0" i="0">
                  <a:solidFill>
                    <a:schemeClr val="tx1"/>
                  </a:solidFill>
                  <a:effectLst/>
                  <a:latin typeface="+mn-lt"/>
                  <a:ea typeface="+mn-ea"/>
                  <a:cs typeface="+mn-cs"/>
                </a:rPr>
                <a:t>)</a:t>
              </a:r>
              <a:r>
                <a:rPr lang="it-IT" sz="1050" b="0" i="0">
                  <a:solidFill>
                    <a:schemeClr val="tx1"/>
                  </a:solidFill>
                  <a:effectLst/>
                  <a:latin typeface="Cambria Math" panose="02040503050406030204" pitchFamily="18" charset="0"/>
                  <a:ea typeface="Cambria Math" panose="02040503050406030204" pitchFamily="18" charset="0"/>
                  <a:cs typeface="+mn-cs"/>
                </a:rPr>
                <a:t>×𝑉</a:t>
              </a:r>
              <a:r>
                <a:rPr lang="it-IT" sz="1050" b="0" i="0">
                  <a:solidFill>
                    <a:schemeClr val="tx1"/>
                  </a:solidFill>
                  <a:effectLst/>
                  <a:latin typeface="+mn-lt"/>
                  <a:ea typeface="+mn-ea"/>
                  <a:cs typeface="+mn-cs"/>
                </a:rPr>
                <a:t>〗_(</a:t>
              </a:r>
              <a:r>
                <a:rPr lang="it-IT" sz="1050" b="0" i="0">
                  <a:solidFill>
                    <a:schemeClr val="tx1"/>
                  </a:solidFill>
                  <a:effectLst/>
                  <a:latin typeface="Cambria Math" panose="02040503050406030204" pitchFamily="18" charset="0"/>
                  <a:ea typeface="+mn-ea"/>
                  <a:cs typeface="+mn-cs"/>
                </a:rPr>
                <a:t>𝑊;𝑑𝑎𝑦</a:t>
              </a:r>
              <a:r>
                <a:rPr lang="it-IT" sz="1050" b="0" i="0">
                  <a:solidFill>
                    <a:schemeClr val="tx1"/>
                  </a:solidFill>
                  <a:effectLst/>
                  <a:latin typeface="+mn-lt"/>
                  <a:ea typeface="+mn-ea"/>
                  <a:cs typeface="+mn-cs"/>
                </a:rPr>
                <a:t>)</a:t>
              </a:r>
              <a:endParaRPr lang="it-IT" sz="1050"/>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b-laurent\c-nb-ls\Sinertec\Sopralluoghi\Modello%20-%202002-04-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i/Lavori%20in%20corso/_EN_ENER_C3_ISSO/40%20-%20Case%20studies/40%20-%20Case%20EN%2052000-1/20%20-%20Calculation/01%20-%20Preliminary/Case_EN_ISO_52000-1_Preliminary_08_hp_PVyes_TSyes_K0_B5_2020_10_16%20-%20yea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i"/>
      <sheetName val="Lavori da fare"/>
      <sheetName val="Costi lavori"/>
      <sheetName val="Dispersioni tubo int"/>
      <sheetName val="Fabbisogni"/>
      <sheetName val="Gas attuale"/>
      <sheetName val="Cond 1"/>
      <sheetName val="Cond 2"/>
      <sheetName val="Cond 3"/>
      <sheetName val="Cond 4"/>
      <sheetName val="Dim gen"/>
      <sheetName val="Rid costi"/>
      <sheetName val="Prezzo kWh"/>
      <sheetName val="Ammortamento"/>
      <sheetName val="Monostadio-Gas"/>
      <sheetName val="Bistadio-Gas"/>
      <sheetName val="Bistadio-Gas co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Explanation"/>
      <sheetName val="Diagram_NEW"/>
      <sheetName val="Base_profiles"/>
      <sheetName val="Base_calc_hourly"/>
      <sheetName val="Product_data"/>
      <sheetName val="Nat_options"/>
      <sheetName val="ConvFactors"/>
      <sheetName val="Sys_Config"/>
      <sheetName val="Input_series"/>
      <sheetName val="Method_input"/>
      <sheetName val="Method_calculation"/>
      <sheetName val="Method_output"/>
      <sheetName val="Output_series"/>
      <sheetName val="Output_interface_stock"/>
      <sheetName val="Fmatch"/>
      <sheetName val="Language"/>
      <sheetName val="History"/>
      <sheetName val="INFO_old"/>
    </sheetNames>
    <sheetDataSet>
      <sheetData sheetId="0" refreshError="1"/>
      <sheetData sheetId="1" refreshError="1"/>
      <sheetData sheetId="2" refreshError="1"/>
      <sheetData sheetId="3">
        <row r="8">
          <cell r="A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5">
          <cell r="B5">
            <v>1</v>
          </cell>
        </row>
      </sheetData>
      <sheetData sheetId="17" refreshError="1"/>
      <sheetData sheetId="18" refreshError="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accent6">
            <a:lumMod val="40000"/>
            <a:lumOff val="60000"/>
          </a:schemeClr>
        </a:solidFill>
      </a:spPr>
      <a:bodyPr vertOverflow="overflow" horzOverflow="overflow" wrap="none" lIns="0" tIns="0" rIns="0" bIns="0" rtlCol="0" anchor="t">
        <a:spAutoFit/>
      </a:bodyPr>
      <a:lstStyle>
        <a:defPPr algn="l">
          <a:defRPr sz="1100" b="0" i="1">
            <a:solidFill>
              <a:schemeClr val="tx1"/>
            </a:solidFill>
            <a:effectLst/>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pb.center/epb-standards/background/" TargetMode="External"/><Relationship Id="rId1" Type="http://schemas.openxmlformats.org/officeDocument/2006/relationships/hyperlink" Target="http://www.epb.cent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pb.center/documents/centr-12831-4/" TargetMode="External"/><Relationship Id="rId1" Type="http://schemas.openxmlformats.org/officeDocument/2006/relationships/hyperlink" Target="https://epb.center/documents/centr-12831-3/"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17" Type="http://schemas.openxmlformats.org/officeDocument/2006/relationships/hyperlink" Target="https://www.ncm-pcdb.org.uk/sap/pcdbdetails.jsp?pid=33&amp;id=080123&amp;type=353&amp;mid=020101" TargetMode="External"/><Relationship Id="rId21" Type="http://schemas.openxmlformats.org/officeDocument/2006/relationships/hyperlink" Target="https://www.ncm-pcdb.org.uk/sap/pcdbdetails.jsp?pid=33&amp;id=080023&amp;type=353&amp;mid=020063" TargetMode="External"/><Relationship Id="rId42" Type="http://schemas.openxmlformats.org/officeDocument/2006/relationships/hyperlink" Target="https://www.ncm-pcdb.org.uk/sap/pcdbdetails.jsp?pid=33&amp;id=080044&amp;type=353&amp;mid=020063" TargetMode="External"/><Relationship Id="rId63" Type="http://schemas.openxmlformats.org/officeDocument/2006/relationships/hyperlink" Target="https://www.ncm-pcdb.org.uk/sap/pcdbdetails.jsp?pid=33&amp;id=080065&amp;type=353&amp;mid=020063" TargetMode="External"/><Relationship Id="rId84" Type="http://schemas.openxmlformats.org/officeDocument/2006/relationships/hyperlink" Target="https://www.ncm-pcdb.org.uk/sap/pcdbdetails.jsp?pid=33&amp;id=080086&amp;type=353&amp;mid=020014" TargetMode="External"/><Relationship Id="rId138" Type="http://schemas.openxmlformats.org/officeDocument/2006/relationships/hyperlink" Target="https://www.ncm-pcdb.org.uk/sap/pcdbdetails.jsp?pid=33&amp;id=080144&amp;type=353&amp;mid=020075" TargetMode="External"/><Relationship Id="rId159" Type="http://schemas.openxmlformats.org/officeDocument/2006/relationships/hyperlink" Target="https://www.ncm-pcdb.org.uk/sap/pcdbdetails.jsp?pid=33&amp;id=080165&amp;type=353&amp;mid=020142" TargetMode="External"/><Relationship Id="rId170" Type="http://schemas.openxmlformats.org/officeDocument/2006/relationships/hyperlink" Target="https://www.ncm-pcdb.org.uk/sap/pcdbdetails.jsp?pid=33&amp;id=080176&amp;type=353&amp;mid=020101" TargetMode="External"/><Relationship Id="rId191" Type="http://schemas.openxmlformats.org/officeDocument/2006/relationships/hyperlink" Target="https://www.ncm-pcdb.org.uk/sap/pcdbdetails.jsp?pid=33&amp;id=080197&amp;type=353&amp;mid=020142" TargetMode="External"/><Relationship Id="rId205" Type="http://schemas.openxmlformats.org/officeDocument/2006/relationships/hyperlink" Target="https://www.ncm-pcdb.org.uk/sap/pcdbdetails.jsp?pid=33&amp;id=080172&amp;type=353&amp;mid=020142" TargetMode="External"/><Relationship Id="rId16" Type="http://schemas.openxmlformats.org/officeDocument/2006/relationships/hyperlink" Target="https://www.ncm-pcdb.org.uk/sap/pcdbdetails.jsp?pid=33&amp;id=080018&amp;type=353&amp;mid=020063" TargetMode="External"/><Relationship Id="rId107" Type="http://schemas.openxmlformats.org/officeDocument/2006/relationships/hyperlink" Target="https://www.ncm-pcdb.org.uk/sap/pcdbdetails.jsp?pid=33&amp;id=080113&amp;type=353&amp;mid=020075" TargetMode="External"/><Relationship Id="rId11" Type="http://schemas.openxmlformats.org/officeDocument/2006/relationships/hyperlink" Target="https://www.ncm-pcdb.org.uk/sap/pcdbdetails.jsp?pid=33&amp;id=080013&amp;type=353&amp;mid=020063" TargetMode="External"/><Relationship Id="rId32" Type="http://schemas.openxmlformats.org/officeDocument/2006/relationships/hyperlink" Target="https://www.ncm-pcdb.org.uk/sap/pcdbdetails.jsp?pid=33&amp;id=080034&amp;type=353&amp;mid=020063" TargetMode="External"/><Relationship Id="rId37" Type="http://schemas.openxmlformats.org/officeDocument/2006/relationships/hyperlink" Target="https://www.ncm-pcdb.org.uk/sap/pcdbdetails.jsp?pid=33&amp;id=080039&amp;type=353&amp;mid=020063" TargetMode="External"/><Relationship Id="rId53" Type="http://schemas.openxmlformats.org/officeDocument/2006/relationships/hyperlink" Target="https://www.ncm-pcdb.org.uk/sap/pcdbdetails.jsp?pid=33&amp;id=080055&amp;type=353&amp;mid=020063" TargetMode="External"/><Relationship Id="rId58" Type="http://schemas.openxmlformats.org/officeDocument/2006/relationships/hyperlink" Target="https://www.ncm-pcdb.org.uk/sap/pcdbdetails.jsp?pid=33&amp;id=080060&amp;type=353&amp;mid=020063" TargetMode="External"/><Relationship Id="rId74" Type="http://schemas.openxmlformats.org/officeDocument/2006/relationships/hyperlink" Target="https://www.ncm-pcdb.org.uk/sap/pcdbdetails.jsp?pid=33&amp;id=080076&amp;type=353&amp;mid=020075" TargetMode="External"/><Relationship Id="rId79" Type="http://schemas.openxmlformats.org/officeDocument/2006/relationships/hyperlink" Target="https://www.ncm-pcdb.org.uk/sap/pcdbdetails.jsp?pid=33&amp;id=080081&amp;type=353&amp;mid=020075" TargetMode="External"/><Relationship Id="rId102" Type="http://schemas.openxmlformats.org/officeDocument/2006/relationships/hyperlink" Target="https://www.ncm-pcdb.org.uk/sap/pcdbdetails.jsp?pid=33&amp;id=080108&amp;type=353&amp;mid=020075" TargetMode="External"/><Relationship Id="rId123" Type="http://schemas.openxmlformats.org/officeDocument/2006/relationships/hyperlink" Target="https://www.ncm-pcdb.org.uk/sap/pcdbdetails.jsp?pid=33&amp;id=080129&amp;type=353&amp;mid=020064" TargetMode="External"/><Relationship Id="rId128" Type="http://schemas.openxmlformats.org/officeDocument/2006/relationships/hyperlink" Target="https://www.ncm-pcdb.org.uk/sap/pcdbdetails.jsp?pid=33&amp;id=080134&amp;type=353&amp;mid=020064" TargetMode="External"/><Relationship Id="rId144" Type="http://schemas.openxmlformats.org/officeDocument/2006/relationships/hyperlink" Target="https://www.ncm-pcdb.org.uk/sap/pcdbdetails.jsp?pid=33&amp;id=080150&amp;type=353&amp;mid=020075" TargetMode="External"/><Relationship Id="rId149" Type="http://schemas.openxmlformats.org/officeDocument/2006/relationships/hyperlink" Target="https://www.ncm-pcdb.org.uk/sap/pcdbdetails.jsp?pid=33&amp;id=080155&amp;type=353&amp;mid=020063" TargetMode="External"/><Relationship Id="rId5" Type="http://schemas.openxmlformats.org/officeDocument/2006/relationships/hyperlink" Target="https://www.ncm-pcdb.org.uk/sap/pcdbdetails.jsp?pid=33&amp;id=080007&amp;type=353&amp;mid=020064" TargetMode="External"/><Relationship Id="rId90" Type="http://schemas.openxmlformats.org/officeDocument/2006/relationships/hyperlink" Target="https://www.ncm-pcdb.org.uk/sap/pcdbdetails.jsp?pid=33&amp;id=080092&amp;type=353&amp;mid=020075" TargetMode="External"/><Relationship Id="rId95" Type="http://schemas.openxmlformats.org/officeDocument/2006/relationships/hyperlink" Target="https://www.ncm-pcdb.org.uk/sap/pcdbdetails.jsp?pid=33&amp;id=080101&amp;type=353&amp;mid=020142" TargetMode="External"/><Relationship Id="rId160" Type="http://schemas.openxmlformats.org/officeDocument/2006/relationships/hyperlink" Target="https://www.ncm-pcdb.org.uk/sap/pcdbdetails.jsp?pid=33&amp;id=080166&amp;type=353&amp;mid=020142" TargetMode="External"/><Relationship Id="rId165" Type="http://schemas.openxmlformats.org/officeDocument/2006/relationships/hyperlink" Target="https://www.ncm-pcdb.org.uk/sap/pcdbdetails.jsp?pid=33&amp;id=080171&amp;type=353&amp;mid=020142" TargetMode="External"/><Relationship Id="rId181" Type="http://schemas.openxmlformats.org/officeDocument/2006/relationships/hyperlink" Target="https://www.ncm-pcdb.org.uk/sap/pcdbdetails.jsp?pid=33&amp;id=080187&amp;type=353&amp;mid=020064" TargetMode="External"/><Relationship Id="rId186" Type="http://schemas.openxmlformats.org/officeDocument/2006/relationships/hyperlink" Target="https://www.ncm-pcdb.org.uk/sap/pcdbdetails.jsp?pid=33&amp;id=080192&amp;type=353&amp;mid=020075" TargetMode="External"/><Relationship Id="rId22" Type="http://schemas.openxmlformats.org/officeDocument/2006/relationships/hyperlink" Target="https://www.ncm-pcdb.org.uk/sap/pcdbdetails.jsp?pid=33&amp;id=080024&amp;type=353&amp;mid=020063" TargetMode="External"/><Relationship Id="rId27" Type="http://schemas.openxmlformats.org/officeDocument/2006/relationships/hyperlink" Target="https://www.ncm-pcdb.org.uk/sap/pcdbdetails.jsp?pid=33&amp;id=080029&amp;type=353&amp;mid=020063" TargetMode="External"/><Relationship Id="rId43" Type="http://schemas.openxmlformats.org/officeDocument/2006/relationships/hyperlink" Target="https://www.ncm-pcdb.org.uk/sap/pcdbdetails.jsp?pid=33&amp;id=080045&amp;type=353&amp;mid=020063" TargetMode="External"/><Relationship Id="rId48" Type="http://schemas.openxmlformats.org/officeDocument/2006/relationships/hyperlink" Target="https://www.ncm-pcdb.org.uk/sap/pcdbdetails.jsp?pid=33&amp;id=080050&amp;type=353&amp;mid=020063" TargetMode="External"/><Relationship Id="rId64" Type="http://schemas.openxmlformats.org/officeDocument/2006/relationships/hyperlink" Target="https://www.ncm-pcdb.org.uk/sap/pcdbdetails.jsp?pid=33&amp;id=080066&amp;type=353&amp;mid=020063" TargetMode="External"/><Relationship Id="rId69" Type="http://schemas.openxmlformats.org/officeDocument/2006/relationships/hyperlink" Target="https://www.ncm-pcdb.org.uk/sap/pcdbdetails.jsp?pid=33&amp;id=080071&amp;type=353&amp;mid=020075" TargetMode="External"/><Relationship Id="rId113" Type="http://schemas.openxmlformats.org/officeDocument/2006/relationships/hyperlink" Target="https://www.ncm-pcdb.org.uk/sap/pcdbdetails.jsp?pid=33&amp;id=080119&amp;type=353&amp;mid=020064" TargetMode="External"/><Relationship Id="rId118" Type="http://schemas.openxmlformats.org/officeDocument/2006/relationships/hyperlink" Target="https://www.ncm-pcdb.org.uk/sap/pcdbdetails.jsp?pid=33&amp;id=080124&amp;type=353&amp;mid=020101" TargetMode="External"/><Relationship Id="rId134" Type="http://schemas.openxmlformats.org/officeDocument/2006/relationships/hyperlink" Target="https://www.ncm-pcdb.org.uk/sap/pcdbdetails.jsp?pid=33&amp;id=080140&amp;type=353&amp;mid=020075" TargetMode="External"/><Relationship Id="rId139" Type="http://schemas.openxmlformats.org/officeDocument/2006/relationships/hyperlink" Target="https://www.ncm-pcdb.org.uk/sap/pcdbdetails.jsp?pid=33&amp;id=080145&amp;type=353&amp;mid=020075" TargetMode="External"/><Relationship Id="rId80" Type="http://schemas.openxmlformats.org/officeDocument/2006/relationships/hyperlink" Target="https://www.ncm-pcdb.org.uk/sap/pcdbdetails.jsp?pid=33&amp;id=080082&amp;type=353&amp;mid=020075" TargetMode="External"/><Relationship Id="rId85" Type="http://schemas.openxmlformats.org/officeDocument/2006/relationships/hyperlink" Target="https://www.ncm-pcdb.org.uk/sap/pcdbdetails.jsp?pid=33&amp;id=080087&amp;type=353&amp;mid=020014" TargetMode="External"/><Relationship Id="rId150" Type="http://schemas.openxmlformats.org/officeDocument/2006/relationships/hyperlink" Target="https://www.ncm-pcdb.org.uk/sap/pcdbdetails.jsp?pid=33&amp;id=080156&amp;type=353&amp;mid=020063" TargetMode="External"/><Relationship Id="rId155" Type="http://schemas.openxmlformats.org/officeDocument/2006/relationships/hyperlink" Target="https://www.ncm-pcdb.org.uk/sap/pcdbdetails.jsp?pid=33&amp;id=080161&amp;type=353&amp;mid=020063" TargetMode="External"/><Relationship Id="rId171" Type="http://schemas.openxmlformats.org/officeDocument/2006/relationships/hyperlink" Target="https://www.ncm-pcdb.org.uk/sap/pcdbdetails.jsp?pid=33&amp;id=080177&amp;type=353&amp;mid=020101" TargetMode="External"/><Relationship Id="rId176" Type="http://schemas.openxmlformats.org/officeDocument/2006/relationships/hyperlink" Target="https://www.ncm-pcdb.org.uk/sap/pcdbdetails.jsp?pid=33&amp;id=080182&amp;type=353&amp;mid=020064" TargetMode="External"/><Relationship Id="rId192" Type="http://schemas.openxmlformats.org/officeDocument/2006/relationships/hyperlink" Target="https://www.ncm-pcdb.org.uk/sap/pcdbdetails.jsp?pid=33&amp;id=080198&amp;type=353&amp;mid=020142" TargetMode="External"/><Relationship Id="rId197" Type="http://schemas.openxmlformats.org/officeDocument/2006/relationships/hyperlink" Target="https://www.ncm-pcdb.org.uk/sap/pcdbdetails.jsp?pid=33&amp;id=080006&amp;type=353&amp;mid=020064" TargetMode="External"/><Relationship Id="rId206" Type="http://schemas.openxmlformats.org/officeDocument/2006/relationships/drawing" Target="../drawings/drawing8.xml"/><Relationship Id="rId201" Type="http://schemas.openxmlformats.org/officeDocument/2006/relationships/hyperlink" Target="https://www.ncm-pcdb.org.uk/sap/pcdbdetails.jsp?pid=33&amp;id=080004&amp;type=353&amp;mid=020064" TargetMode="External"/><Relationship Id="rId12" Type="http://schemas.openxmlformats.org/officeDocument/2006/relationships/hyperlink" Target="https://www.ncm-pcdb.org.uk/sap/pcdbdetails.jsp?pid=33&amp;id=080014&amp;type=353&amp;mid=020063" TargetMode="External"/><Relationship Id="rId17" Type="http://schemas.openxmlformats.org/officeDocument/2006/relationships/hyperlink" Target="https://www.ncm-pcdb.org.uk/sap/pcdbdetails.jsp?pid=33&amp;id=080019&amp;type=353&amp;mid=020063" TargetMode="External"/><Relationship Id="rId33" Type="http://schemas.openxmlformats.org/officeDocument/2006/relationships/hyperlink" Target="https://www.ncm-pcdb.org.uk/sap/pcdbdetails.jsp?pid=33&amp;id=080035&amp;type=353&amp;mid=020063" TargetMode="External"/><Relationship Id="rId38" Type="http://schemas.openxmlformats.org/officeDocument/2006/relationships/hyperlink" Target="https://www.ncm-pcdb.org.uk/sap/pcdbdetails.jsp?pid=33&amp;id=080040&amp;type=353&amp;mid=020063" TargetMode="External"/><Relationship Id="rId59" Type="http://schemas.openxmlformats.org/officeDocument/2006/relationships/hyperlink" Target="https://www.ncm-pcdb.org.uk/sap/pcdbdetails.jsp?pid=33&amp;id=080061&amp;type=353&amp;mid=020063" TargetMode="External"/><Relationship Id="rId103" Type="http://schemas.openxmlformats.org/officeDocument/2006/relationships/hyperlink" Target="https://www.ncm-pcdb.org.uk/sap/pcdbdetails.jsp?pid=33&amp;id=080109&amp;type=353&amp;mid=020075" TargetMode="External"/><Relationship Id="rId108" Type="http://schemas.openxmlformats.org/officeDocument/2006/relationships/hyperlink" Target="https://www.ncm-pcdb.org.uk/sap/pcdbdetails.jsp?pid=33&amp;id=080114&amp;type=353&amp;mid=020063" TargetMode="External"/><Relationship Id="rId124" Type="http://schemas.openxmlformats.org/officeDocument/2006/relationships/hyperlink" Target="https://www.ncm-pcdb.org.uk/sap/pcdbdetails.jsp?pid=33&amp;id=080130&amp;type=353&amp;mid=020064" TargetMode="External"/><Relationship Id="rId129" Type="http://schemas.openxmlformats.org/officeDocument/2006/relationships/hyperlink" Target="https://www.ncm-pcdb.org.uk/sap/pcdbdetails.jsp?pid=33&amp;id=080135&amp;type=353&amp;mid=020064" TargetMode="External"/><Relationship Id="rId54" Type="http://schemas.openxmlformats.org/officeDocument/2006/relationships/hyperlink" Target="https://www.ncm-pcdb.org.uk/sap/pcdbdetails.jsp?pid=33&amp;id=080056&amp;type=353&amp;mid=020063" TargetMode="External"/><Relationship Id="rId70" Type="http://schemas.openxmlformats.org/officeDocument/2006/relationships/hyperlink" Target="https://www.ncm-pcdb.org.uk/sap/pcdbdetails.jsp?pid=33&amp;id=080072&amp;type=353&amp;mid=020075" TargetMode="External"/><Relationship Id="rId75" Type="http://schemas.openxmlformats.org/officeDocument/2006/relationships/hyperlink" Target="https://www.ncm-pcdb.org.uk/sap/pcdbdetails.jsp?pid=33&amp;id=080077&amp;type=353&amp;mid=020075" TargetMode="External"/><Relationship Id="rId91" Type="http://schemas.openxmlformats.org/officeDocument/2006/relationships/hyperlink" Target="https://www.ncm-pcdb.org.uk/sap/pcdbdetails.jsp?pid=33&amp;id=080093&amp;type=353&amp;mid=020075" TargetMode="External"/><Relationship Id="rId96" Type="http://schemas.openxmlformats.org/officeDocument/2006/relationships/hyperlink" Target="https://www.ncm-pcdb.org.uk/sap/pcdbdetails.jsp?pid=33&amp;id=080102&amp;type=353&amp;mid=020142" TargetMode="External"/><Relationship Id="rId140" Type="http://schemas.openxmlformats.org/officeDocument/2006/relationships/hyperlink" Target="https://www.ncm-pcdb.org.uk/sap/pcdbdetails.jsp?pid=33&amp;id=080146&amp;type=353&amp;mid=020075" TargetMode="External"/><Relationship Id="rId145" Type="http://schemas.openxmlformats.org/officeDocument/2006/relationships/hyperlink" Target="https://www.ncm-pcdb.org.uk/sap/pcdbdetails.jsp?pid=33&amp;id=080151&amp;type=353&amp;mid=020075" TargetMode="External"/><Relationship Id="rId161" Type="http://schemas.openxmlformats.org/officeDocument/2006/relationships/hyperlink" Target="https://www.ncm-pcdb.org.uk/sap/pcdbdetails.jsp?pid=33&amp;id=080167&amp;type=353&amp;mid=020142" TargetMode="External"/><Relationship Id="rId166" Type="http://schemas.openxmlformats.org/officeDocument/2006/relationships/hyperlink" Target="https://www.ncm-pcdb.org.uk/sap/pcdbdetails.jsp?pid=33&amp;id=080172&amp;type=353&amp;mid=020142" TargetMode="External"/><Relationship Id="rId182" Type="http://schemas.openxmlformats.org/officeDocument/2006/relationships/hyperlink" Target="https://www.ncm-pcdb.org.uk/sap/pcdbdetails.jsp?pid=33&amp;id=080188&amp;type=353&amp;mid=020064" TargetMode="External"/><Relationship Id="rId187" Type="http://schemas.openxmlformats.org/officeDocument/2006/relationships/hyperlink" Target="https://www.ncm-pcdb.org.uk/sap/pcdbdetails.jsp?pid=33&amp;id=080193&amp;type=353&amp;mid=020075" TargetMode="External"/><Relationship Id="rId1" Type="http://schemas.openxmlformats.org/officeDocument/2006/relationships/hyperlink" Target="https://www.ncm-pcdb.org.uk/sap/pcdbdetails.jsp?pid=33&amp;id=080003&amp;type=353&amp;mid=020064" TargetMode="External"/><Relationship Id="rId6" Type="http://schemas.openxmlformats.org/officeDocument/2006/relationships/hyperlink" Target="https://www.ncm-pcdb.org.uk/sap/pcdbdetails.jsp?pid=33&amp;id=080008&amp;type=353&amp;mid=020063" TargetMode="External"/><Relationship Id="rId23" Type="http://schemas.openxmlformats.org/officeDocument/2006/relationships/hyperlink" Target="https://www.ncm-pcdb.org.uk/sap/pcdbdetails.jsp?pid=33&amp;id=080025&amp;type=353&amp;mid=020063" TargetMode="External"/><Relationship Id="rId28" Type="http://schemas.openxmlformats.org/officeDocument/2006/relationships/hyperlink" Target="https://www.ncm-pcdb.org.uk/sap/pcdbdetails.jsp?pid=33&amp;id=080030&amp;type=353&amp;mid=020063" TargetMode="External"/><Relationship Id="rId49" Type="http://schemas.openxmlformats.org/officeDocument/2006/relationships/hyperlink" Target="https://www.ncm-pcdb.org.uk/sap/pcdbdetails.jsp?pid=33&amp;id=080051&amp;type=353&amp;mid=020063" TargetMode="External"/><Relationship Id="rId114" Type="http://schemas.openxmlformats.org/officeDocument/2006/relationships/hyperlink" Target="https://www.ncm-pcdb.org.uk/sap/pcdbdetails.jsp?pid=33&amp;id=080120&amp;type=353&amp;mid=020064" TargetMode="External"/><Relationship Id="rId119" Type="http://schemas.openxmlformats.org/officeDocument/2006/relationships/hyperlink" Target="https://www.ncm-pcdb.org.uk/sap/pcdbdetails.jsp?pid=33&amp;id=080125&amp;type=353&amp;mid=020101" TargetMode="External"/><Relationship Id="rId44" Type="http://schemas.openxmlformats.org/officeDocument/2006/relationships/hyperlink" Target="https://www.ncm-pcdb.org.uk/sap/pcdbdetails.jsp?pid=33&amp;id=080046&amp;type=353&amp;mid=020063" TargetMode="External"/><Relationship Id="rId60" Type="http://schemas.openxmlformats.org/officeDocument/2006/relationships/hyperlink" Target="https://www.ncm-pcdb.org.uk/sap/pcdbdetails.jsp?pid=33&amp;id=080062&amp;type=353&amp;mid=020063" TargetMode="External"/><Relationship Id="rId65" Type="http://schemas.openxmlformats.org/officeDocument/2006/relationships/hyperlink" Target="https://www.ncm-pcdb.org.uk/sap/pcdbdetails.jsp?pid=33&amp;id=080067&amp;type=353&amp;mid=020063" TargetMode="External"/><Relationship Id="rId81" Type="http://schemas.openxmlformats.org/officeDocument/2006/relationships/hyperlink" Target="https://www.ncm-pcdb.org.uk/sap/pcdbdetails.jsp?pid=33&amp;id=080083&amp;type=353&amp;mid=020075" TargetMode="External"/><Relationship Id="rId86" Type="http://schemas.openxmlformats.org/officeDocument/2006/relationships/hyperlink" Target="https://www.ncm-pcdb.org.uk/sap/pcdbdetails.jsp?pid=33&amp;id=080088&amp;type=353&amp;mid=020014" TargetMode="External"/><Relationship Id="rId130" Type="http://schemas.openxmlformats.org/officeDocument/2006/relationships/hyperlink" Target="https://www.ncm-pcdb.org.uk/sap/pcdbdetails.jsp?pid=33&amp;id=080136&amp;type=353&amp;mid=020064" TargetMode="External"/><Relationship Id="rId135" Type="http://schemas.openxmlformats.org/officeDocument/2006/relationships/hyperlink" Target="https://www.ncm-pcdb.org.uk/sap/pcdbdetails.jsp?pid=33&amp;id=080141&amp;type=353&amp;mid=020075" TargetMode="External"/><Relationship Id="rId151" Type="http://schemas.openxmlformats.org/officeDocument/2006/relationships/hyperlink" Target="https://www.ncm-pcdb.org.uk/sap/pcdbdetails.jsp?pid=33&amp;id=080157&amp;type=353&amp;mid=020063" TargetMode="External"/><Relationship Id="rId156" Type="http://schemas.openxmlformats.org/officeDocument/2006/relationships/hyperlink" Target="https://www.ncm-pcdb.org.uk/sap/pcdbdetails.jsp?pid=33&amp;id=080162&amp;type=353&amp;mid=020062" TargetMode="External"/><Relationship Id="rId177" Type="http://schemas.openxmlformats.org/officeDocument/2006/relationships/hyperlink" Target="https://www.ncm-pcdb.org.uk/sap/pcdbdetails.jsp?pid=33&amp;id=080183&amp;type=353&amp;mid=020064" TargetMode="External"/><Relationship Id="rId198" Type="http://schemas.openxmlformats.org/officeDocument/2006/relationships/hyperlink" Target="https://www.ncm-pcdb.org.uk/sap/pcdbdetails.jsp?pid=33&amp;id=080086&amp;type=353&amp;mid=020014" TargetMode="External"/><Relationship Id="rId172" Type="http://schemas.openxmlformats.org/officeDocument/2006/relationships/hyperlink" Target="https://www.ncm-pcdb.org.uk/sap/pcdbdetails.jsp?pid=33&amp;id=080178&amp;type=353&amp;mid=020101" TargetMode="External"/><Relationship Id="rId193" Type="http://schemas.openxmlformats.org/officeDocument/2006/relationships/hyperlink" Target="https://www.ncm-pcdb.org.uk/sap/pcdbdetails.jsp?pid=33&amp;id=080199&amp;type=353&amp;mid=020142" TargetMode="External"/><Relationship Id="rId202" Type="http://schemas.openxmlformats.org/officeDocument/2006/relationships/hyperlink" Target="https://www.ncm-pcdb.org.uk/sap/pcdbdetails.jsp?pid=33&amp;id=080005&amp;type=353&amp;mid=020064" TargetMode="External"/><Relationship Id="rId13" Type="http://schemas.openxmlformats.org/officeDocument/2006/relationships/hyperlink" Target="https://www.ncm-pcdb.org.uk/sap/pcdbdetails.jsp?pid=33&amp;id=080015&amp;type=353&amp;mid=020063" TargetMode="External"/><Relationship Id="rId18" Type="http://schemas.openxmlformats.org/officeDocument/2006/relationships/hyperlink" Target="https://www.ncm-pcdb.org.uk/sap/pcdbdetails.jsp?pid=33&amp;id=080020&amp;type=353&amp;mid=020063" TargetMode="External"/><Relationship Id="rId39" Type="http://schemas.openxmlformats.org/officeDocument/2006/relationships/hyperlink" Target="https://www.ncm-pcdb.org.uk/sap/pcdbdetails.jsp?pid=33&amp;id=080041&amp;type=353&amp;mid=020063" TargetMode="External"/><Relationship Id="rId109" Type="http://schemas.openxmlformats.org/officeDocument/2006/relationships/hyperlink" Target="https://www.ncm-pcdb.org.uk/sap/pcdbdetails.jsp?pid=33&amp;id=080115&amp;type=353&amp;mid=020063" TargetMode="External"/><Relationship Id="rId34" Type="http://schemas.openxmlformats.org/officeDocument/2006/relationships/hyperlink" Target="https://www.ncm-pcdb.org.uk/sap/pcdbdetails.jsp?pid=33&amp;id=080036&amp;type=353&amp;mid=020063" TargetMode="External"/><Relationship Id="rId50" Type="http://schemas.openxmlformats.org/officeDocument/2006/relationships/hyperlink" Target="https://www.ncm-pcdb.org.uk/sap/pcdbdetails.jsp?pid=33&amp;id=080052&amp;type=353&amp;mid=020063" TargetMode="External"/><Relationship Id="rId55" Type="http://schemas.openxmlformats.org/officeDocument/2006/relationships/hyperlink" Target="https://www.ncm-pcdb.org.uk/sap/pcdbdetails.jsp?pid=33&amp;id=080057&amp;type=353&amp;mid=020063" TargetMode="External"/><Relationship Id="rId76" Type="http://schemas.openxmlformats.org/officeDocument/2006/relationships/hyperlink" Target="https://www.ncm-pcdb.org.uk/sap/pcdbdetails.jsp?pid=33&amp;id=080078&amp;type=353&amp;mid=020075" TargetMode="External"/><Relationship Id="rId97" Type="http://schemas.openxmlformats.org/officeDocument/2006/relationships/hyperlink" Target="https://www.ncm-pcdb.org.uk/sap/pcdbdetails.jsp?pid=33&amp;id=080103&amp;type=353&amp;mid=020063" TargetMode="External"/><Relationship Id="rId104" Type="http://schemas.openxmlformats.org/officeDocument/2006/relationships/hyperlink" Target="https://www.ncm-pcdb.org.uk/sap/pcdbdetails.jsp?pid=33&amp;id=080110&amp;type=353&amp;mid=020075" TargetMode="External"/><Relationship Id="rId120" Type="http://schemas.openxmlformats.org/officeDocument/2006/relationships/hyperlink" Target="https://www.ncm-pcdb.org.uk/sap/pcdbdetails.jsp?pid=33&amp;id=080126&amp;type=353&amp;mid=020101" TargetMode="External"/><Relationship Id="rId125" Type="http://schemas.openxmlformats.org/officeDocument/2006/relationships/hyperlink" Target="https://www.ncm-pcdb.org.uk/sap/pcdbdetails.jsp?pid=33&amp;id=080131&amp;type=353&amp;mid=020064" TargetMode="External"/><Relationship Id="rId141" Type="http://schemas.openxmlformats.org/officeDocument/2006/relationships/hyperlink" Target="https://www.ncm-pcdb.org.uk/sap/pcdbdetails.jsp?pid=33&amp;id=080147&amp;type=353&amp;mid=020075" TargetMode="External"/><Relationship Id="rId146" Type="http://schemas.openxmlformats.org/officeDocument/2006/relationships/hyperlink" Target="https://www.ncm-pcdb.org.uk/sap/pcdbdetails.jsp?pid=33&amp;id=080152&amp;type=353&amp;mid=020063" TargetMode="External"/><Relationship Id="rId167" Type="http://schemas.openxmlformats.org/officeDocument/2006/relationships/hyperlink" Target="https://www.ncm-pcdb.org.uk/sap/pcdbdetails.jsp?pid=33&amp;id=080173&amp;type=353&amp;mid=020101" TargetMode="External"/><Relationship Id="rId188" Type="http://schemas.openxmlformats.org/officeDocument/2006/relationships/hyperlink" Target="https://www.ncm-pcdb.org.uk/sap/pcdbdetails.jsp?pid=33&amp;id=080194&amp;type=353&amp;mid=020142" TargetMode="External"/><Relationship Id="rId7" Type="http://schemas.openxmlformats.org/officeDocument/2006/relationships/hyperlink" Target="https://www.ncm-pcdb.org.uk/sap/pcdbdetails.jsp?pid=33&amp;id=080009&amp;type=353&amp;mid=020063" TargetMode="External"/><Relationship Id="rId71" Type="http://schemas.openxmlformats.org/officeDocument/2006/relationships/hyperlink" Target="https://www.ncm-pcdb.org.uk/sap/pcdbdetails.jsp?pid=33&amp;id=080073&amp;type=353&amp;mid=020075" TargetMode="External"/><Relationship Id="rId92" Type="http://schemas.openxmlformats.org/officeDocument/2006/relationships/hyperlink" Target="https://www.ncm-pcdb.org.uk/sap/pcdbdetails.jsp?pid=33&amp;id=080094&amp;type=353&amp;mid=020075" TargetMode="External"/><Relationship Id="rId162" Type="http://schemas.openxmlformats.org/officeDocument/2006/relationships/hyperlink" Target="https://www.ncm-pcdb.org.uk/sap/pcdbdetails.jsp?pid=33&amp;id=080168&amp;type=353&amp;mid=020142" TargetMode="External"/><Relationship Id="rId183" Type="http://schemas.openxmlformats.org/officeDocument/2006/relationships/hyperlink" Target="https://www.ncm-pcdb.org.uk/sap/pcdbdetails.jsp?pid=33&amp;id=080189&amp;type=353&amp;mid=020064" TargetMode="External"/><Relationship Id="rId2" Type="http://schemas.openxmlformats.org/officeDocument/2006/relationships/hyperlink" Target="https://www.ncm-pcdb.org.uk/sap/pcdbdetails.jsp?pid=33&amp;id=080004&amp;type=353&amp;mid=020064" TargetMode="External"/><Relationship Id="rId29" Type="http://schemas.openxmlformats.org/officeDocument/2006/relationships/hyperlink" Target="https://www.ncm-pcdb.org.uk/sap/pcdbdetails.jsp?pid=33&amp;id=080031&amp;type=353&amp;mid=020063" TargetMode="External"/><Relationship Id="rId24" Type="http://schemas.openxmlformats.org/officeDocument/2006/relationships/hyperlink" Target="https://www.ncm-pcdb.org.uk/sap/pcdbdetails.jsp?pid=33&amp;id=080026&amp;type=353&amp;mid=020063" TargetMode="External"/><Relationship Id="rId40" Type="http://schemas.openxmlformats.org/officeDocument/2006/relationships/hyperlink" Target="https://www.ncm-pcdb.org.uk/sap/pcdbdetails.jsp?pid=33&amp;id=080042&amp;type=353&amp;mid=020063" TargetMode="External"/><Relationship Id="rId45" Type="http://schemas.openxmlformats.org/officeDocument/2006/relationships/hyperlink" Target="https://www.ncm-pcdb.org.uk/sap/pcdbdetails.jsp?pid=33&amp;id=080047&amp;type=353&amp;mid=020063" TargetMode="External"/><Relationship Id="rId66" Type="http://schemas.openxmlformats.org/officeDocument/2006/relationships/hyperlink" Target="https://www.ncm-pcdb.org.uk/sap/pcdbdetails.jsp?pid=33&amp;id=080068&amp;type=353&amp;mid=020063" TargetMode="External"/><Relationship Id="rId87" Type="http://schemas.openxmlformats.org/officeDocument/2006/relationships/hyperlink" Target="https://www.ncm-pcdb.org.uk/sap/pcdbdetails.jsp?pid=33&amp;id=080089&amp;type=353&amp;mid=020014" TargetMode="External"/><Relationship Id="rId110" Type="http://schemas.openxmlformats.org/officeDocument/2006/relationships/hyperlink" Target="https://www.ncm-pcdb.org.uk/sap/pcdbdetails.jsp?pid=33&amp;id=080116&amp;type=353&amp;mid=020064" TargetMode="External"/><Relationship Id="rId115" Type="http://schemas.openxmlformats.org/officeDocument/2006/relationships/hyperlink" Target="https://www.ncm-pcdb.org.uk/sap/pcdbdetails.jsp?pid=33&amp;id=080121&amp;type=353&amp;mid=020064" TargetMode="External"/><Relationship Id="rId131" Type="http://schemas.openxmlformats.org/officeDocument/2006/relationships/hyperlink" Target="https://www.ncm-pcdb.org.uk/sap/pcdbdetails.jsp?pid=33&amp;id=080137&amp;type=353&amp;mid=020075" TargetMode="External"/><Relationship Id="rId136" Type="http://schemas.openxmlformats.org/officeDocument/2006/relationships/hyperlink" Target="https://www.ncm-pcdb.org.uk/sap/pcdbdetails.jsp?pid=33&amp;id=080142&amp;type=353&amp;mid=020075" TargetMode="External"/><Relationship Id="rId157" Type="http://schemas.openxmlformats.org/officeDocument/2006/relationships/hyperlink" Target="https://www.ncm-pcdb.org.uk/sap/pcdbdetails.jsp?pid=33&amp;id=080163&amp;type=353&amp;mid=020062" TargetMode="External"/><Relationship Id="rId178" Type="http://schemas.openxmlformats.org/officeDocument/2006/relationships/hyperlink" Target="https://www.ncm-pcdb.org.uk/sap/pcdbdetails.jsp?pid=33&amp;id=080184&amp;type=353&amp;mid=020064" TargetMode="External"/><Relationship Id="rId61" Type="http://schemas.openxmlformats.org/officeDocument/2006/relationships/hyperlink" Target="https://www.ncm-pcdb.org.uk/sap/pcdbdetails.jsp?pid=33&amp;id=080063&amp;type=353&amp;mid=020063" TargetMode="External"/><Relationship Id="rId82" Type="http://schemas.openxmlformats.org/officeDocument/2006/relationships/hyperlink" Target="https://www.ncm-pcdb.org.uk/sap/pcdbdetails.jsp?pid=33&amp;id=080084&amp;type=353&amp;mid=020075" TargetMode="External"/><Relationship Id="rId152" Type="http://schemas.openxmlformats.org/officeDocument/2006/relationships/hyperlink" Target="https://www.ncm-pcdb.org.uk/sap/pcdbdetails.jsp?pid=33&amp;id=080158&amp;type=353&amp;mid=020063" TargetMode="External"/><Relationship Id="rId173" Type="http://schemas.openxmlformats.org/officeDocument/2006/relationships/hyperlink" Target="https://www.ncm-pcdb.org.uk/sap/pcdbdetails.jsp?pid=33&amp;id=080179&amp;type=353&amp;mid=020171" TargetMode="External"/><Relationship Id="rId194" Type="http://schemas.openxmlformats.org/officeDocument/2006/relationships/hyperlink" Target="https://www.ncm-pcdb.org.uk/sap/pcdbdetails.jsp?pid=33&amp;id=080173&amp;type=353&amp;mid=020101" TargetMode="External"/><Relationship Id="rId199" Type="http://schemas.openxmlformats.org/officeDocument/2006/relationships/hyperlink" Target="https://www.ncm-pcdb.org.uk/sap/pcdbdetails.jsp?pid=33&amp;id=080088&amp;type=353&amp;mid=020014" TargetMode="External"/><Relationship Id="rId203" Type="http://schemas.openxmlformats.org/officeDocument/2006/relationships/hyperlink" Target="https://www.ncm-pcdb.org.uk/sap/pcdbdetails.jsp?pid=33&amp;id=080166&amp;type=353&amp;mid=020142" TargetMode="External"/><Relationship Id="rId19" Type="http://schemas.openxmlformats.org/officeDocument/2006/relationships/hyperlink" Target="https://www.ncm-pcdb.org.uk/sap/pcdbdetails.jsp?pid=33&amp;id=080021&amp;type=353&amp;mid=020063" TargetMode="External"/><Relationship Id="rId14" Type="http://schemas.openxmlformats.org/officeDocument/2006/relationships/hyperlink" Target="https://www.ncm-pcdb.org.uk/sap/pcdbdetails.jsp?pid=33&amp;id=080016&amp;type=353&amp;mid=020063" TargetMode="External"/><Relationship Id="rId30" Type="http://schemas.openxmlformats.org/officeDocument/2006/relationships/hyperlink" Target="https://www.ncm-pcdb.org.uk/sap/pcdbdetails.jsp?pid=33&amp;id=080032&amp;type=353&amp;mid=020063" TargetMode="External"/><Relationship Id="rId35" Type="http://schemas.openxmlformats.org/officeDocument/2006/relationships/hyperlink" Target="https://www.ncm-pcdb.org.uk/sap/pcdbdetails.jsp?pid=33&amp;id=080037&amp;type=353&amp;mid=020063" TargetMode="External"/><Relationship Id="rId56" Type="http://schemas.openxmlformats.org/officeDocument/2006/relationships/hyperlink" Target="https://www.ncm-pcdb.org.uk/sap/pcdbdetails.jsp?pid=33&amp;id=080058&amp;type=353&amp;mid=020063" TargetMode="External"/><Relationship Id="rId77" Type="http://schemas.openxmlformats.org/officeDocument/2006/relationships/hyperlink" Target="https://www.ncm-pcdb.org.uk/sap/pcdbdetails.jsp?pid=33&amp;id=080079&amp;type=353&amp;mid=020075" TargetMode="External"/><Relationship Id="rId100" Type="http://schemas.openxmlformats.org/officeDocument/2006/relationships/hyperlink" Target="https://www.ncm-pcdb.org.uk/sap/pcdbdetails.jsp?pid=33&amp;id=080106&amp;type=353&amp;mid=020101" TargetMode="External"/><Relationship Id="rId105" Type="http://schemas.openxmlformats.org/officeDocument/2006/relationships/hyperlink" Target="https://www.ncm-pcdb.org.uk/sap/pcdbdetails.jsp?pid=33&amp;id=080111&amp;type=353&amp;mid=020075" TargetMode="External"/><Relationship Id="rId126" Type="http://schemas.openxmlformats.org/officeDocument/2006/relationships/hyperlink" Target="https://www.ncm-pcdb.org.uk/sap/pcdbdetails.jsp?pid=33&amp;id=080132&amp;type=353&amp;mid=020064" TargetMode="External"/><Relationship Id="rId147" Type="http://schemas.openxmlformats.org/officeDocument/2006/relationships/hyperlink" Target="https://www.ncm-pcdb.org.uk/sap/pcdbdetails.jsp?pid=33&amp;id=080153&amp;type=353&amp;mid=020063" TargetMode="External"/><Relationship Id="rId168" Type="http://schemas.openxmlformats.org/officeDocument/2006/relationships/hyperlink" Target="https://www.ncm-pcdb.org.uk/sap/pcdbdetails.jsp?pid=33&amp;id=080174&amp;type=353&amp;mid=020101" TargetMode="External"/><Relationship Id="rId8" Type="http://schemas.openxmlformats.org/officeDocument/2006/relationships/hyperlink" Target="https://www.ncm-pcdb.org.uk/sap/pcdbdetails.jsp?pid=33&amp;id=080010&amp;type=353&amp;mid=020063" TargetMode="External"/><Relationship Id="rId51" Type="http://schemas.openxmlformats.org/officeDocument/2006/relationships/hyperlink" Target="https://www.ncm-pcdb.org.uk/sap/pcdbdetails.jsp?pid=33&amp;id=080053&amp;type=353&amp;mid=020063" TargetMode="External"/><Relationship Id="rId72" Type="http://schemas.openxmlformats.org/officeDocument/2006/relationships/hyperlink" Target="https://www.ncm-pcdb.org.uk/sap/pcdbdetails.jsp?pid=33&amp;id=080074&amp;type=353&amp;mid=020075" TargetMode="External"/><Relationship Id="rId93" Type="http://schemas.openxmlformats.org/officeDocument/2006/relationships/hyperlink" Target="https://www.ncm-pcdb.org.uk/sap/pcdbdetails.jsp?pid=33&amp;id=080095&amp;type=353&amp;mid=020075" TargetMode="External"/><Relationship Id="rId98" Type="http://schemas.openxmlformats.org/officeDocument/2006/relationships/hyperlink" Target="https://www.ncm-pcdb.org.uk/sap/pcdbdetails.jsp?pid=33&amp;id=080104&amp;type=353&amp;mid=020063" TargetMode="External"/><Relationship Id="rId121" Type="http://schemas.openxmlformats.org/officeDocument/2006/relationships/hyperlink" Target="https://www.ncm-pcdb.org.uk/sap/pcdbdetails.jsp?pid=33&amp;id=080127&amp;type=353&amp;mid=020101" TargetMode="External"/><Relationship Id="rId142" Type="http://schemas.openxmlformats.org/officeDocument/2006/relationships/hyperlink" Target="https://www.ncm-pcdb.org.uk/sap/pcdbdetails.jsp?pid=33&amp;id=080148&amp;type=353&amp;mid=020075" TargetMode="External"/><Relationship Id="rId163" Type="http://schemas.openxmlformats.org/officeDocument/2006/relationships/hyperlink" Target="https://www.ncm-pcdb.org.uk/sap/pcdbdetails.jsp?pid=33&amp;id=080169&amp;type=353&amp;mid=020142" TargetMode="External"/><Relationship Id="rId184" Type="http://schemas.openxmlformats.org/officeDocument/2006/relationships/hyperlink" Target="https://www.ncm-pcdb.org.uk/sap/pcdbdetails.jsp?pid=33&amp;id=080190&amp;type=353&amp;mid=020064" TargetMode="External"/><Relationship Id="rId189" Type="http://schemas.openxmlformats.org/officeDocument/2006/relationships/hyperlink" Target="https://www.ncm-pcdb.org.uk/sap/pcdbdetails.jsp?pid=33&amp;id=080195&amp;type=353&amp;mid=020142" TargetMode="External"/><Relationship Id="rId3" Type="http://schemas.openxmlformats.org/officeDocument/2006/relationships/hyperlink" Target="https://www.ncm-pcdb.org.uk/sap/pcdbdetails.jsp?pid=33&amp;id=080005&amp;type=353&amp;mid=020064" TargetMode="External"/><Relationship Id="rId25" Type="http://schemas.openxmlformats.org/officeDocument/2006/relationships/hyperlink" Target="https://www.ncm-pcdb.org.uk/sap/pcdbdetails.jsp?pid=33&amp;id=080027&amp;type=353&amp;mid=020063" TargetMode="External"/><Relationship Id="rId46" Type="http://schemas.openxmlformats.org/officeDocument/2006/relationships/hyperlink" Target="https://www.ncm-pcdb.org.uk/sap/pcdbdetails.jsp?pid=33&amp;id=080048&amp;type=353&amp;mid=020063" TargetMode="External"/><Relationship Id="rId67" Type="http://schemas.openxmlformats.org/officeDocument/2006/relationships/hyperlink" Target="https://www.ncm-pcdb.org.uk/sap/pcdbdetails.jsp?pid=33&amp;id=080069&amp;type=353&amp;mid=020063" TargetMode="External"/><Relationship Id="rId116" Type="http://schemas.openxmlformats.org/officeDocument/2006/relationships/hyperlink" Target="https://www.ncm-pcdb.org.uk/sap/pcdbdetails.jsp?pid=33&amp;id=080122&amp;type=353&amp;mid=020101" TargetMode="External"/><Relationship Id="rId137" Type="http://schemas.openxmlformats.org/officeDocument/2006/relationships/hyperlink" Target="https://www.ncm-pcdb.org.uk/sap/pcdbdetails.jsp?pid=33&amp;id=080143&amp;type=353&amp;mid=020075" TargetMode="External"/><Relationship Id="rId158" Type="http://schemas.openxmlformats.org/officeDocument/2006/relationships/hyperlink" Target="https://www.ncm-pcdb.org.uk/sap/pcdbdetails.jsp?pid=33&amp;id=080164&amp;type=353&amp;mid=020142" TargetMode="External"/><Relationship Id="rId20" Type="http://schemas.openxmlformats.org/officeDocument/2006/relationships/hyperlink" Target="https://www.ncm-pcdb.org.uk/sap/pcdbdetails.jsp?pid=33&amp;id=080022&amp;type=353&amp;mid=020063" TargetMode="External"/><Relationship Id="rId41" Type="http://schemas.openxmlformats.org/officeDocument/2006/relationships/hyperlink" Target="https://www.ncm-pcdb.org.uk/sap/pcdbdetails.jsp?pid=33&amp;id=080043&amp;type=353&amp;mid=020063" TargetMode="External"/><Relationship Id="rId62" Type="http://schemas.openxmlformats.org/officeDocument/2006/relationships/hyperlink" Target="https://www.ncm-pcdb.org.uk/sap/pcdbdetails.jsp?pid=33&amp;id=080064&amp;type=353&amp;mid=020063" TargetMode="External"/><Relationship Id="rId83" Type="http://schemas.openxmlformats.org/officeDocument/2006/relationships/hyperlink" Target="https://www.ncm-pcdb.org.uk/sap/pcdbdetails.jsp?pid=33&amp;id=080085&amp;type=353&amp;mid=020075" TargetMode="External"/><Relationship Id="rId88" Type="http://schemas.openxmlformats.org/officeDocument/2006/relationships/hyperlink" Target="https://www.ncm-pcdb.org.uk/sap/pcdbdetails.jsp?pid=33&amp;id=080090&amp;type=353&amp;mid=020075" TargetMode="External"/><Relationship Id="rId111" Type="http://schemas.openxmlformats.org/officeDocument/2006/relationships/hyperlink" Target="https://www.ncm-pcdb.org.uk/sap/pcdbdetails.jsp?pid=33&amp;id=080117&amp;type=353&amp;mid=020064" TargetMode="External"/><Relationship Id="rId132" Type="http://schemas.openxmlformats.org/officeDocument/2006/relationships/hyperlink" Target="https://www.ncm-pcdb.org.uk/sap/pcdbdetails.jsp?pid=33&amp;id=080138&amp;type=353&amp;mid=020075" TargetMode="External"/><Relationship Id="rId153" Type="http://schemas.openxmlformats.org/officeDocument/2006/relationships/hyperlink" Target="https://www.ncm-pcdb.org.uk/sap/pcdbdetails.jsp?pid=33&amp;id=080159&amp;type=353&amp;mid=020063" TargetMode="External"/><Relationship Id="rId174" Type="http://schemas.openxmlformats.org/officeDocument/2006/relationships/hyperlink" Target="https://www.ncm-pcdb.org.uk/sap/pcdbdetails.jsp?pid=33&amp;id=080180&amp;type=353&amp;mid=020171" TargetMode="External"/><Relationship Id="rId179" Type="http://schemas.openxmlformats.org/officeDocument/2006/relationships/hyperlink" Target="https://www.ncm-pcdb.org.uk/sap/pcdbdetails.jsp?pid=33&amp;id=080185&amp;type=353&amp;mid=020064" TargetMode="External"/><Relationship Id="rId195" Type="http://schemas.openxmlformats.org/officeDocument/2006/relationships/hyperlink" Target="https://www.ncm-pcdb.org.uk/sap/pcdbdetails.jsp?pid=33&amp;id=080174&amp;type=353&amp;mid=020101" TargetMode="External"/><Relationship Id="rId190" Type="http://schemas.openxmlformats.org/officeDocument/2006/relationships/hyperlink" Target="https://www.ncm-pcdb.org.uk/sap/pcdbdetails.jsp?pid=33&amp;id=080196&amp;type=353&amp;mid=020142" TargetMode="External"/><Relationship Id="rId204" Type="http://schemas.openxmlformats.org/officeDocument/2006/relationships/hyperlink" Target="https://www.ncm-pcdb.org.uk/sap/pcdbdetails.jsp?pid=33&amp;id=080169&amp;type=353&amp;mid=020142" TargetMode="External"/><Relationship Id="rId15" Type="http://schemas.openxmlformats.org/officeDocument/2006/relationships/hyperlink" Target="https://www.ncm-pcdb.org.uk/sap/pcdbdetails.jsp?pid=33&amp;id=080017&amp;type=353&amp;mid=020063" TargetMode="External"/><Relationship Id="rId36" Type="http://schemas.openxmlformats.org/officeDocument/2006/relationships/hyperlink" Target="https://www.ncm-pcdb.org.uk/sap/pcdbdetails.jsp?pid=33&amp;id=080038&amp;type=353&amp;mid=020063" TargetMode="External"/><Relationship Id="rId57" Type="http://schemas.openxmlformats.org/officeDocument/2006/relationships/hyperlink" Target="https://www.ncm-pcdb.org.uk/sap/pcdbdetails.jsp?pid=33&amp;id=080059&amp;type=353&amp;mid=020063" TargetMode="External"/><Relationship Id="rId106" Type="http://schemas.openxmlformats.org/officeDocument/2006/relationships/hyperlink" Target="https://www.ncm-pcdb.org.uk/sap/pcdbdetails.jsp?pid=33&amp;id=080112&amp;type=353&amp;mid=020075" TargetMode="External"/><Relationship Id="rId127" Type="http://schemas.openxmlformats.org/officeDocument/2006/relationships/hyperlink" Target="https://www.ncm-pcdb.org.uk/sap/pcdbdetails.jsp?pid=33&amp;id=080133&amp;type=353&amp;mid=020064" TargetMode="External"/><Relationship Id="rId10" Type="http://schemas.openxmlformats.org/officeDocument/2006/relationships/hyperlink" Target="https://www.ncm-pcdb.org.uk/sap/pcdbdetails.jsp?pid=33&amp;id=080012&amp;type=353&amp;mid=020063" TargetMode="External"/><Relationship Id="rId31" Type="http://schemas.openxmlformats.org/officeDocument/2006/relationships/hyperlink" Target="https://www.ncm-pcdb.org.uk/sap/pcdbdetails.jsp?pid=33&amp;id=080033&amp;type=353&amp;mid=020063" TargetMode="External"/><Relationship Id="rId52" Type="http://schemas.openxmlformats.org/officeDocument/2006/relationships/hyperlink" Target="https://www.ncm-pcdb.org.uk/sap/pcdbdetails.jsp?pid=33&amp;id=080054&amp;type=353&amp;mid=020063" TargetMode="External"/><Relationship Id="rId73" Type="http://schemas.openxmlformats.org/officeDocument/2006/relationships/hyperlink" Target="https://www.ncm-pcdb.org.uk/sap/pcdbdetails.jsp?pid=33&amp;id=080075&amp;type=353&amp;mid=020075" TargetMode="External"/><Relationship Id="rId78" Type="http://schemas.openxmlformats.org/officeDocument/2006/relationships/hyperlink" Target="https://www.ncm-pcdb.org.uk/sap/pcdbdetails.jsp?pid=33&amp;id=080080&amp;type=353&amp;mid=020075" TargetMode="External"/><Relationship Id="rId94" Type="http://schemas.openxmlformats.org/officeDocument/2006/relationships/hyperlink" Target="https://www.ncm-pcdb.org.uk/sap/pcdbdetails.jsp?pid=33&amp;id=080100&amp;type=353&amp;mid=020142" TargetMode="External"/><Relationship Id="rId99" Type="http://schemas.openxmlformats.org/officeDocument/2006/relationships/hyperlink" Target="https://www.ncm-pcdb.org.uk/sap/pcdbdetails.jsp?pid=33&amp;id=080105&amp;type=353&amp;mid=020101" TargetMode="External"/><Relationship Id="rId101" Type="http://schemas.openxmlformats.org/officeDocument/2006/relationships/hyperlink" Target="https://www.ncm-pcdb.org.uk/sap/pcdbdetails.jsp?pid=33&amp;id=080107&amp;type=353&amp;mid=020101" TargetMode="External"/><Relationship Id="rId122" Type="http://schemas.openxmlformats.org/officeDocument/2006/relationships/hyperlink" Target="https://www.ncm-pcdb.org.uk/sap/pcdbdetails.jsp?pid=33&amp;id=080128&amp;type=353&amp;mid=020064" TargetMode="External"/><Relationship Id="rId143" Type="http://schemas.openxmlformats.org/officeDocument/2006/relationships/hyperlink" Target="https://www.ncm-pcdb.org.uk/sap/pcdbdetails.jsp?pid=33&amp;id=080149&amp;type=353&amp;mid=020075" TargetMode="External"/><Relationship Id="rId148" Type="http://schemas.openxmlformats.org/officeDocument/2006/relationships/hyperlink" Target="https://www.ncm-pcdb.org.uk/sap/pcdbdetails.jsp?pid=33&amp;id=080154&amp;type=353&amp;mid=020063" TargetMode="External"/><Relationship Id="rId164" Type="http://schemas.openxmlformats.org/officeDocument/2006/relationships/hyperlink" Target="https://www.ncm-pcdb.org.uk/sap/pcdbdetails.jsp?pid=33&amp;id=080170&amp;type=353&amp;mid=020142" TargetMode="External"/><Relationship Id="rId169" Type="http://schemas.openxmlformats.org/officeDocument/2006/relationships/hyperlink" Target="https://www.ncm-pcdb.org.uk/sap/pcdbdetails.jsp?pid=33&amp;id=080175&amp;type=353&amp;mid=020101" TargetMode="External"/><Relationship Id="rId185" Type="http://schemas.openxmlformats.org/officeDocument/2006/relationships/hyperlink" Target="https://www.ncm-pcdb.org.uk/sap/pcdbdetails.jsp?pid=33&amp;id=080191&amp;type=353&amp;mid=020075" TargetMode="External"/><Relationship Id="rId4" Type="http://schemas.openxmlformats.org/officeDocument/2006/relationships/hyperlink" Target="https://www.ncm-pcdb.org.uk/sap/pcdbdetails.jsp?pid=33&amp;id=080006&amp;type=353&amp;mid=020064" TargetMode="External"/><Relationship Id="rId9" Type="http://schemas.openxmlformats.org/officeDocument/2006/relationships/hyperlink" Target="https://www.ncm-pcdb.org.uk/sap/pcdbdetails.jsp?pid=33&amp;id=080011&amp;type=353&amp;mid=020063" TargetMode="External"/><Relationship Id="rId180" Type="http://schemas.openxmlformats.org/officeDocument/2006/relationships/hyperlink" Target="https://www.ncm-pcdb.org.uk/sap/pcdbdetails.jsp?pid=33&amp;id=080186&amp;type=353&amp;mid=020064" TargetMode="External"/><Relationship Id="rId26" Type="http://schemas.openxmlformats.org/officeDocument/2006/relationships/hyperlink" Target="https://www.ncm-pcdb.org.uk/sap/pcdbdetails.jsp?pid=33&amp;id=080028&amp;type=353&amp;mid=020063" TargetMode="External"/><Relationship Id="rId47" Type="http://schemas.openxmlformats.org/officeDocument/2006/relationships/hyperlink" Target="https://www.ncm-pcdb.org.uk/sap/pcdbdetails.jsp?pid=33&amp;id=080049&amp;type=353&amp;mid=020063" TargetMode="External"/><Relationship Id="rId68" Type="http://schemas.openxmlformats.org/officeDocument/2006/relationships/hyperlink" Target="https://www.ncm-pcdb.org.uk/sap/pcdbdetails.jsp?pid=33&amp;id=080070&amp;type=353&amp;mid=020063" TargetMode="External"/><Relationship Id="rId89" Type="http://schemas.openxmlformats.org/officeDocument/2006/relationships/hyperlink" Target="https://www.ncm-pcdb.org.uk/sap/pcdbdetails.jsp?pid=33&amp;id=080091&amp;type=353&amp;mid=020075" TargetMode="External"/><Relationship Id="rId112" Type="http://schemas.openxmlformats.org/officeDocument/2006/relationships/hyperlink" Target="https://www.ncm-pcdb.org.uk/sap/pcdbdetails.jsp?pid=33&amp;id=080118&amp;type=353&amp;mid=020064" TargetMode="External"/><Relationship Id="rId133" Type="http://schemas.openxmlformats.org/officeDocument/2006/relationships/hyperlink" Target="https://www.ncm-pcdb.org.uk/sap/pcdbdetails.jsp?pid=33&amp;id=080139&amp;type=353&amp;mid=020075" TargetMode="External"/><Relationship Id="rId154" Type="http://schemas.openxmlformats.org/officeDocument/2006/relationships/hyperlink" Target="https://www.ncm-pcdb.org.uk/sap/pcdbdetails.jsp?pid=33&amp;id=080160&amp;type=353&amp;mid=020063" TargetMode="External"/><Relationship Id="rId175" Type="http://schemas.openxmlformats.org/officeDocument/2006/relationships/hyperlink" Target="https://www.ncm-pcdb.org.uk/sap/pcdbdetails.jsp?pid=33&amp;id=080181&amp;type=353&amp;mid=020171" TargetMode="External"/><Relationship Id="rId196" Type="http://schemas.openxmlformats.org/officeDocument/2006/relationships/hyperlink" Target="https://www.ncm-pcdb.org.uk/sap/pcdbdetails.jsp?pid=33&amp;id=080175&amp;type=353&amp;mid=020101" TargetMode="External"/><Relationship Id="rId200" Type="http://schemas.openxmlformats.org/officeDocument/2006/relationships/hyperlink" Target="https://www.ncm-pcdb.org.uk/sap/pcdbdetails.jsp?pid=33&amp;id=080003&amp;type=353&amp;mid=020064"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hyperlink" Target="https://www.engineeringtoolbox.com/humidity-ratio-air-d_686.html" TargetMode="External"/><Relationship Id="rId1" Type="http://schemas.openxmlformats.org/officeDocument/2006/relationships/hyperlink" Target="https://www.engineeringtoolbox.com/humidity-ratio-air-d_686.html"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1E7C9-8191-40D1-A20C-582A5DC2A992}">
  <sheetPr codeName="Sheet5">
    <tabColor rgb="FFFF0000"/>
  </sheetPr>
  <dimension ref="B1:I61"/>
  <sheetViews>
    <sheetView workbookViewId="0"/>
  </sheetViews>
  <sheetFormatPr defaultColWidth="10.28515625" defaultRowHeight="14.25"/>
  <cols>
    <col min="1" max="1" width="2.5703125" style="379" customWidth="1"/>
    <col min="2" max="2" width="28.5703125" style="377" customWidth="1"/>
    <col min="3" max="3" width="109" style="378" customWidth="1"/>
    <col min="4" max="4" width="2.140625" style="379" customWidth="1"/>
    <col min="5" max="16384" width="10.28515625" style="379"/>
  </cols>
  <sheetData>
    <row r="1" spans="2:3" ht="15" thickBot="1"/>
    <row r="2" spans="2:3" ht="18">
      <c r="B2" s="380" t="s">
        <v>511</v>
      </c>
      <c r="C2" s="381"/>
    </row>
    <row r="3" spans="2:3">
      <c r="B3" s="382" t="s">
        <v>512</v>
      </c>
      <c r="C3" s="383"/>
    </row>
    <row r="4" spans="2:3">
      <c r="B4" s="384" t="s">
        <v>513</v>
      </c>
      <c r="C4" s="385"/>
    </row>
    <row r="5" spans="2:3">
      <c r="B5" s="384"/>
      <c r="C5" s="385"/>
    </row>
    <row r="6" spans="2:3" ht="28.5">
      <c r="B6" s="386" t="s">
        <v>514</v>
      </c>
      <c r="C6" s="387" t="s">
        <v>1243</v>
      </c>
    </row>
    <row r="7" spans="2:3">
      <c r="B7" s="388"/>
      <c r="C7" s="389"/>
    </row>
    <row r="8" spans="2:3">
      <c r="B8" s="390" t="s">
        <v>515</v>
      </c>
      <c r="C8" s="391" t="s">
        <v>579</v>
      </c>
    </row>
    <row r="9" spans="2:3">
      <c r="B9" s="392"/>
      <c r="C9" s="393"/>
    </row>
    <row r="10" spans="2:3">
      <c r="B10" s="388"/>
      <c r="C10" s="394"/>
    </row>
    <row r="11" spans="2:3">
      <c r="B11" s="386" t="s">
        <v>516</v>
      </c>
      <c r="C11" s="395" t="s">
        <v>517</v>
      </c>
    </row>
    <row r="12" spans="2:3">
      <c r="B12" s="396"/>
      <c r="C12" s="394"/>
    </row>
    <row r="13" spans="2:3">
      <c r="B13" s="390" t="s">
        <v>518</v>
      </c>
      <c r="C13" s="397">
        <v>45058</v>
      </c>
    </row>
    <row r="14" spans="2:3">
      <c r="B14" s="392"/>
      <c r="C14" s="398" t="s">
        <v>580</v>
      </c>
    </row>
    <row r="15" spans="2:3">
      <c r="B15" s="388"/>
      <c r="C15" s="399"/>
    </row>
    <row r="16" spans="2:3" ht="15" thickBot="1">
      <c r="B16" s="400" t="s">
        <v>519</v>
      </c>
      <c r="C16" s="401" t="s">
        <v>520</v>
      </c>
    </row>
    <row r="17" spans="2:9" ht="15" thickBot="1"/>
    <row r="18" spans="2:9" ht="18.75" thickBot="1">
      <c r="B18" s="402" t="s">
        <v>521</v>
      </c>
      <c r="C18" s="403"/>
    </row>
    <row r="19" spans="2:9" ht="15" thickBot="1">
      <c r="B19" s="404"/>
    </row>
    <row r="20" spans="2:9" ht="28.5">
      <c r="B20" s="405" t="s">
        <v>522</v>
      </c>
      <c r="C20" s="406" t="s">
        <v>523</v>
      </c>
    </row>
    <row r="21" spans="2:9" ht="15" thickBot="1">
      <c r="B21" s="407"/>
      <c r="C21" s="408" t="s">
        <v>524</v>
      </c>
    </row>
    <row r="22" spans="2:9" ht="15" thickBot="1"/>
    <row r="23" spans="2:9">
      <c r="B23" s="405" t="s">
        <v>525</v>
      </c>
      <c r="C23" s="406" t="s">
        <v>526</v>
      </c>
    </row>
    <row r="24" spans="2:9" ht="28.5">
      <c r="B24" s="409"/>
      <c r="C24" s="410" t="s">
        <v>527</v>
      </c>
    </row>
    <row r="25" spans="2:9" ht="42.75">
      <c r="B25" s="409"/>
      <c r="C25" s="410" t="s">
        <v>528</v>
      </c>
    </row>
    <row r="26" spans="2:9" ht="28.5">
      <c r="B26" s="409"/>
      <c r="C26" s="782" t="s">
        <v>529</v>
      </c>
    </row>
    <row r="27" spans="2:9" ht="48" thickBot="1">
      <c r="B27" s="407"/>
      <c r="C27" s="783" t="s">
        <v>1244</v>
      </c>
    </row>
    <row r="28" spans="2:9" ht="15" thickBot="1">
      <c r="C28" s="379"/>
    </row>
    <row r="29" spans="2:9" ht="42.75">
      <c r="B29" s="405" t="s">
        <v>530</v>
      </c>
      <c r="C29" s="412" t="s">
        <v>531</v>
      </c>
      <c r="F29" s="798"/>
      <c r="G29" s="798"/>
      <c r="H29" s="798"/>
      <c r="I29" s="798"/>
    </row>
    <row r="30" spans="2:9" ht="28.5">
      <c r="B30" s="413"/>
      <c r="C30" s="410" t="s">
        <v>532</v>
      </c>
      <c r="F30" s="798"/>
      <c r="G30" s="798"/>
      <c r="H30" s="798"/>
      <c r="I30" s="798"/>
    </row>
    <row r="31" spans="2:9" ht="28.5">
      <c r="B31" s="409"/>
      <c r="C31" s="410" t="s">
        <v>533</v>
      </c>
      <c r="F31" s="798"/>
      <c r="G31" s="798"/>
      <c r="H31" s="798"/>
      <c r="I31" s="798"/>
    </row>
    <row r="32" spans="2:9" ht="43.5" thickBot="1">
      <c r="B32" s="407"/>
      <c r="C32" s="411" t="s">
        <v>534</v>
      </c>
      <c r="F32" s="798"/>
      <c r="G32" s="798"/>
      <c r="H32" s="798"/>
      <c r="I32" s="798"/>
    </row>
    <row r="33" spans="2:3" ht="15" thickBot="1">
      <c r="C33" s="414"/>
    </row>
    <row r="34" spans="2:3" ht="28.5">
      <c r="B34" s="405" t="s">
        <v>535</v>
      </c>
      <c r="C34" s="406" t="s">
        <v>536</v>
      </c>
    </row>
    <row r="35" spans="2:3" ht="15" thickBot="1">
      <c r="B35" s="407"/>
      <c r="C35" s="411" t="s">
        <v>537</v>
      </c>
    </row>
    <row r="36" spans="2:3" ht="15" thickBot="1">
      <c r="C36" s="414"/>
    </row>
    <row r="37" spans="2:3" ht="57.75" thickBot="1">
      <c r="B37" s="415" t="s">
        <v>538</v>
      </c>
      <c r="C37" s="416" t="s">
        <v>539</v>
      </c>
    </row>
    <row r="38" spans="2:3" ht="15" thickBot="1">
      <c r="B38" s="417"/>
      <c r="C38" s="414"/>
    </row>
    <row r="39" spans="2:3" ht="57">
      <c r="B39" s="405" t="s">
        <v>540</v>
      </c>
      <c r="C39" s="406" t="s">
        <v>541</v>
      </c>
    </row>
    <row r="40" spans="2:3" ht="43.5" thickBot="1">
      <c r="B40" s="407"/>
      <c r="C40" s="411" t="s">
        <v>542</v>
      </c>
    </row>
    <row r="41" spans="2:3" ht="15" thickBot="1">
      <c r="C41" s="414"/>
    </row>
    <row r="42" spans="2:3">
      <c r="B42" s="405" t="s">
        <v>543</v>
      </c>
      <c r="C42" s="406" t="s">
        <v>544</v>
      </c>
    </row>
    <row r="43" spans="2:3" ht="15" thickBot="1">
      <c r="B43" s="407"/>
      <c r="C43" s="411" t="s">
        <v>545</v>
      </c>
    </row>
    <row r="44" spans="2:3" ht="15" thickBot="1">
      <c r="C44" s="414"/>
    </row>
    <row r="45" spans="2:3" ht="15.75" thickBot="1">
      <c r="B45" s="415" t="s">
        <v>546</v>
      </c>
      <c r="C45" s="418" t="s">
        <v>547</v>
      </c>
    </row>
    <row r="46" spans="2:3" ht="15" thickBot="1">
      <c r="C46" s="419"/>
    </row>
    <row r="47" spans="2:3" ht="57">
      <c r="B47" s="405" t="s">
        <v>548</v>
      </c>
      <c r="C47" s="406" t="s">
        <v>549</v>
      </c>
    </row>
    <row r="48" spans="2:3" ht="28.5">
      <c r="B48" s="409"/>
      <c r="C48" s="410" t="s">
        <v>550</v>
      </c>
    </row>
    <row r="49" spans="2:3" ht="28.5">
      <c r="B49" s="409"/>
      <c r="C49" s="410" t="s">
        <v>551</v>
      </c>
    </row>
    <row r="50" spans="2:3" ht="33.75" customHeight="1">
      <c r="B50" s="409"/>
      <c r="C50" s="420" t="s">
        <v>552</v>
      </c>
    </row>
    <row r="51" spans="2:3">
      <c r="B51" s="409"/>
      <c r="C51" s="420" t="s">
        <v>553</v>
      </c>
    </row>
    <row r="52" spans="2:3" ht="15.75" thickBot="1">
      <c r="B52" s="421"/>
      <c r="C52" s="422" t="s">
        <v>554</v>
      </c>
    </row>
    <row r="53" spans="2:3">
      <c r="B53" s="379"/>
      <c r="C53" s="379"/>
    </row>
    <row r="54" spans="2:3">
      <c r="B54" s="379"/>
      <c r="C54" s="379"/>
    </row>
    <row r="55" spans="2:3">
      <c r="B55" s="379"/>
      <c r="C55" s="379"/>
    </row>
    <row r="56" spans="2:3">
      <c r="B56" s="379"/>
      <c r="C56" s="379"/>
    </row>
    <row r="57" spans="2:3">
      <c r="B57" s="379"/>
      <c r="C57" s="379"/>
    </row>
    <row r="58" spans="2:3">
      <c r="B58" s="379"/>
      <c r="C58" s="379"/>
    </row>
    <row r="59" spans="2:3">
      <c r="B59" s="379"/>
      <c r="C59" s="379"/>
    </row>
    <row r="60" spans="2:3">
      <c r="B60" s="379"/>
      <c r="C60" s="379"/>
    </row>
    <row r="61" spans="2:3">
      <c r="B61" s="379"/>
      <c r="C61" s="379"/>
    </row>
  </sheetData>
  <mergeCells count="1">
    <mergeCell ref="F29:I32"/>
  </mergeCells>
  <hyperlinks>
    <hyperlink ref="C45" r:id="rId1" xr:uid="{9ED9EE08-54C3-4E36-9597-355846BFBBDD}"/>
    <hyperlink ref="C52" r:id="rId2" xr:uid="{7D9FCDB6-F03A-4C67-9049-643F90659BDE}"/>
  </hyperlinks>
  <pageMargins left="0.7" right="0.7" top="0.75" bottom="0.75" header="0.3" footer="0.3"/>
  <pageSetup paperSize="9" scale="60" orientation="portrait" r:id="rId3"/>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55EC-7436-4A8B-999C-DA68B8D42726}">
  <sheetPr codeName="Foglio2">
    <tabColor rgb="FFFF0000"/>
  </sheetPr>
  <dimension ref="A1:G74"/>
  <sheetViews>
    <sheetView workbookViewId="0"/>
  </sheetViews>
  <sheetFormatPr defaultColWidth="9.140625" defaultRowHeight="15"/>
  <cols>
    <col min="1" max="1" width="9.140625" style="50"/>
    <col min="2" max="2" width="22.140625" style="50" customWidth="1"/>
    <col min="3" max="3" width="19" style="50" customWidth="1"/>
    <col min="4" max="4" width="41.140625" style="50" customWidth="1"/>
    <col min="5" max="5" width="40.140625" style="50" customWidth="1"/>
    <col min="6" max="16384" width="9.140625" style="50"/>
  </cols>
  <sheetData>
    <row r="1" spans="1:7">
      <c r="A1" s="252"/>
      <c r="B1" s="252"/>
      <c r="C1" s="252"/>
      <c r="D1" s="252"/>
      <c r="E1" s="252"/>
    </row>
    <row r="2" spans="1:7">
      <c r="A2" s="252"/>
      <c r="B2" s="425"/>
      <c r="C2" s="425"/>
      <c r="D2" s="425"/>
      <c r="E2" s="425"/>
      <c r="F2" s="426"/>
      <c r="G2" s="426"/>
    </row>
    <row r="3" spans="1:7" ht="57">
      <c r="A3" s="252"/>
      <c r="B3" s="427" t="s">
        <v>555</v>
      </c>
      <c r="C3" s="428" t="s">
        <v>1245</v>
      </c>
      <c r="D3" s="428" t="s">
        <v>1246</v>
      </c>
      <c r="E3" s="425"/>
      <c r="F3" s="426"/>
      <c r="G3" s="426"/>
    </row>
    <row r="4" spans="1:7">
      <c r="A4" s="252"/>
      <c r="B4" s="429" t="s">
        <v>556</v>
      </c>
      <c r="C4" s="425"/>
      <c r="D4" s="425" t="s">
        <v>599</v>
      </c>
      <c r="E4" s="425"/>
      <c r="F4" s="426"/>
      <c r="G4" s="426"/>
    </row>
    <row r="5" spans="1:7">
      <c r="A5" s="252"/>
      <c r="B5" s="425"/>
      <c r="C5" s="425"/>
      <c r="D5" s="425"/>
      <c r="E5" s="425"/>
      <c r="F5" s="426"/>
      <c r="G5" s="426"/>
    </row>
    <row r="6" spans="1:7" ht="15.75" thickBot="1">
      <c r="A6" s="252"/>
      <c r="B6" s="427" t="s">
        <v>557</v>
      </c>
      <c r="C6" s="430" t="s">
        <v>558</v>
      </c>
      <c r="D6" s="425"/>
      <c r="E6" s="425"/>
      <c r="F6" s="426"/>
      <c r="G6" s="426"/>
    </row>
    <row r="7" spans="1:7">
      <c r="A7" s="252"/>
      <c r="B7" s="425"/>
      <c r="C7" s="431" t="s">
        <v>581</v>
      </c>
      <c r="D7" s="432" t="s">
        <v>582</v>
      </c>
      <c r="E7" s="425"/>
      <c r="F7" s="433"/>
      <c r="G7" s="426"/>
    </row>
    <row r="8" spans="1:7">
      <c r="A8" s="252"/>
      <c r="B8" s="425"/>
      <c r="C8" s="434" t="s">
        <v>583</v>
      </c>
      <c r="D8" s="435" t="s">
        <v>584</v>
      </c>
      <c r="E8" s="425"/>
      <c r="F8" s="426"/>
      <c r="G8" s="426"/>
    </row>
    <row r="9" spans="1:7">
      <c r="A9" s="252"/>
      <c r="B9" s="425"/>
      <c r="C9" s="436" t="s">
        <v>585</v>
      </c>
      <c r="D9" s="437" t="s">
        <v>586</v>
      </c>
      <c r="E9" s="425"/>
      <c r="F9" s="426"/>
      <c r="G9" s="426"/>
    </row>
    <row r="10" spans="1:7">
      <c r="A10" s="252"/>
      <c r="B10" s="425"/>
      <c r="C10" s="438" t="s">
        <v>587</v>
      </c>
      <c r="D10" s="439" t="s">
        <v>588</v>
      </c>
      <c r="E10" s="425"/>
      <c r="F10" s="426"/>
      <c r="G10" s="426"/>
    </row>
    <row r="11" spans="1:7" ht="15.75" thickBot="1">
      <c r="A11" s="252"/>
      <c r="B11" s="425"/>
      <c r="C11" s="440" t="s">
        <v>589</v>
      </c>
      <c r="D11" s="441" t="s">
        <v>590</v>
      </c>
      <c r="E11" s="425"/>
      <c r="F11" s="426"/>
      <c r="G11" s="426"/>
    </row>
    <row r="12" spans="1:7">
      <c r="A12" s="252"/>
      <c r="B12" s="425"/>
      <c r="C12" s="425"/>
      <c r="D12" s="425"/>
      <c r="E12" s="425"/>
      <c r="F12" s="426"/>
      <c r="G12" s="426"/>
    </row>
    <row r="13" spans="1:7">
      <c r="A13" s="252"/>
      <c r="B13" s="425"/>
      <c r="C13" s="425"/>
      <c r="D13" s="425"/>
      <c r="E13" s="425"/>
      <c r="F13" s="426"/>
      <c r="G13" s="426"/>
    </row>
    <row r="14" spans="1:7">
      <c r="A14" s="252"/>
      <c r="B14" s="427" t="s">
        <v>559</v>
      </c>
      <c r="C14" s="425" t="s">
        <v>1247</v>
      </c>
      <c r="D14" s="428"/>
      <c r="E14" s="425"/>
      <c r="F14" s="426"/>
      <c r="G14" s="426"/>
    </row>
    <row r="15" spans="1:7">
      <c r="A15" s="252"/>
      <c r="B15" s="427"/>
      <c r="C15" s="425" t="s">
        <v>1248</v>
      </c>
      <c r="D15" s="428"/>
      <c r="E15" s="425"/>
      <c r="F15" s="426"/>
      <c r="G15" s="426"/>
    </row>
    <row r="16" spans="1:7">
      <c r="A16" s="252"/>
      <c r="B16" s="427"/>
      <c r="C16" s="425" t="s">
        <v>1249</v>
      </c>
      <c r="D16" s="428"/>
      <c r="E16" s="425"/>
      <c r="F16" s="426"/>
      <c r="G16" s="426"/>
    </row>
    <row r="17" spans="1:7">
      <c r="A17" s="252"/>
      <c r="B17" s="427"/>
      <c r="C17" s="425" t="s">
        <v>600</v>
      </c>
      <c r="D17" s="428"/>
      <c r="E17" s="425"/>
      <c r="F17" s="426"/>
      <c r="G17" s="426"/>
    </row>
    <row r="18" spans="1:7">
      <c r="A18" s="252"/>
      <c r="B18" s="425"/>
      <c r="C18" s="427"/>
      <c r="D18" s="425"/>
      <c r="E18" s="425"/>
      <c r="F18" s="426"/>
      <c r="G18" s="426"/>
    </row>
    <row r="19" spans="1:7">
      <c r="A19" s="252"/>
      <c r="B19" s="427" t="s">
        <v>560</v>
      </c>
      <c r="C19" s="427" t="s">
        <v>1250</v>
      </c>
      <c r="D19" s="425"/>
      <c r="E19" s="425"/>
      <c r="F19" s="426"/>
      <c r="G19" s="426"/>
    </row>
    <row r="20" spans="1:7">
      <c r="A20" s="252"/>
      <c r="B20" s="427"/>
      <c r="C20" s="425"/>
      <c r="D20" s="425"/>
      <c r="E20" s="425"/>
      <c r="F20" s="426"/>
      <c r="G20" s="426"/>
    </row>
    <row r="21" spans="1:7">
      <c r="A21" s="252"/>
      <c r="B21" s="442" t="s">
        <v>561</v>
      </c>
      <c r="C21" s="425" t="s">
        <v>1251</v>
      </c>
      <c r="D21" s="425"/>
      <c r="E21" s="425"/>
      <c r="F21" s="426"/>
      <c r="G21" s="426"/>
    </row>
    <row r="22" spans="1:7">
      <c r="A22" s="252"/>
      <c r="B22" s="442"/>
      <c r="C22" s="425" t="s">
        <v>1252</v>
      </c>
      <c r="D22" s="425"/>
      <c r="E22" s="425"/>
      <c r="F22" s="426"/>
      <c r="G22" s="426"/>
    </row>
    <row r="23" spans="1:7">
      <c r="A23" s="252"/>
      <c r="B23" s="442"/>
      <c r="C23" s="425" t="s">
        <v>1253</v>
      </c>
      <c r="D23" s="425"/>
      <c r="E23" s="425"/>
      <c r="F23" s="426"/>
      <c r="G23" s="426"/>
    </row>
    <row r="24" spans="1:7">
      <c r="A24" s="252"/>
      <c r="B24" s="442"/>
      <c r="C24" s="425" t="s">
        <v>601</v>
      </c>
      <c r="D24" s="425"/>
      <c r="E24" s="425"/>
      <c r="F24" s="426"/>
      <c r="G24" s="426"/>
    </row>
    <row r="25" spans="1:7">
      <c r="A25" s="252"/>
      <c r="B25" s="425"/>
      <c r="C25" s="425" t="s">
        <v>1254</v>
      </c>
      <c r="D25" s="443"/>
      <c r="E25" s="425"/>
      <c r="F25" s="426"/>
      <c r="G25" s="426"/>
    </row>
    <row r="26" spans="1:7">
      <c r="A26" s="252"/>
      <c r="B26" s="425"/>
      <c r="C26" s="425" t="s">
        <v>1255</v>
      </c>
      <c r="D26" s="443"/>
      <c r="E26" s="425"/>
      <c r="F26" s="426"/>
      <c r="G26" s="426"/>
    </row>
    <row r="27" spans="1:7">
      <c r="A27" s="252"/>
      <c r="B27" s="425"/>
      <c r="C27" s="425" t="s">
        <v>1256</v>
      </c>
      <c r="D27" s="443"/>
      <c r="E27" s="425"/>
      <c r="F27" s="426"/>
      <c r="G27" s="426"/>
    </row>
    <row r="28" spans="1:7">
      <c r="A28" s="252"/>
      <c r="B28" s="425"/>
      <c r="C28" s="425"/>
      <c r="D28" s="443"/>
      <c r="E28" s="425"/>
      <c r="F28" s="426"/>
      <c r="G28" s="426"/>
    </row>
    <row r="29" spans="1:7">
      <c r="A29" s="252"/>
      <c r="B29" s="425"/>
      <c r="D29" s="425"/>
      <c r="E29" s="425"/>
      <c r="F29" s="426"/>
      <c r="G29" s="426"/>
    </row>
    <row r="30" spans="1:7" ht="28.5">
      <c r="A30" s="252"/>
      <c r="B30" s="444" t="s">
        <v>562</v>
      </c>
      <c r="C30" s="445" t="s">
        <v>1257</v>
      </c>
      <c r="D30" s="425"/>
      <c r="E30" s="425"/>
      <c r="F30" s="426"/>
      <c r="G30" s="426"/>
    </row>
    <row r="31" spans="1:7">
      <c r="A31" s="252"/>
      <c r="B31" s="444"/>
      <c r="C31" s="445"/>
      <c r="D31" s="425"/>
      <c r="E31" s="425"/>
      <c r="F31" s="426"/>
      <c r="G31" s="426"/>
    </row>
    <row r="32" spans="1:7">
      <c r="A32" s="252"/>
      <c r="B32" s="427" t="s">
        <v>563</v>
      </c>
      <c r="C32" s="425" t="s">
        <v>1258</v>
      </c>
      <c r="D32" s="425"/>
      <c r="E32" s="425"/>
      <c r="F32" s="426"/>
      <c r="G32" s="426"/>
    </row>
    <row r="33" spans="1:7">
      <c r="A33" s="252"/>
      <c r="B33" s="427"/>
      <c r="C33" s="425"/>
      <c r="D33" s="425"/>
      <c r="E33" s="425"/>
      <c r="F33" s="426"/>
      <c r="G33" s="426"/>
    </row>
    <row r="34" spans="1:7">
      <c r="A34" s="252"/>
      <c r="B34" s="427" t="s">
        <v>591</v>
      </c>
      <c r="C34" s="425" t="s">
        <v>592</v>
      </c>
      <c r="D34" s="425"/>
      <c r="E34" s="425"/>
      <c r="F34" s="426"/>
      <c r="G34" s="426"/>
    </row>
    <row r="35" spans="1:7">
      <c r="A35" s="252"/>
      <c r="B35" s="425"/>
      <c r="C35" s="425"/>
      <c r="D35" s="425"/>
      <c r="E35" s="425"/>
      <c r="F35" s="426"/>
      <c r="G35" s="426"/>
    </row>
    <row r="36" spans="1:7">
      <c r="A36" s="252"/>
      <c r="B36" s="442" t="s">
        <v>564</v>
      </c>
      <c r="C36" s="445" t="s">
        <v>1259</v>
      </c>
      <c r="D36" s="425"/>
      <c r="E36" s="425"/>
      <c r="F36" s="426"/>
      <c r="G36" s="426"/>
    </row>
    <row r="37" spans="1:7">
      <c r="A37" s="252"/>
      <c r="B37" s="445"/>
      <c r="C37" s="445" t="s">
        <v>593</v>
      </c>
      <c r="D37" s="425"/>
      <c r="E37" s="425"/>
      <c r="F37" s="426"/>
      <c r="G37" s="426"/>
    </row>
    <row r="38" spans="1:7">
      <c r="A38" s="252"/>
      <c r="B38" s="425"/>
      <c r="C38" s="425"/>
      <c r="D38" s="425"/>
      <c r="E38" s="425"/>
      <c r="F38" s="426"/>
      <c r="G38" s="426"/>
    </row>
    <row r="39" spans="1:7">
      <c r="A39" s="252"/>
      <c r="B39" s="427" t="s">
        <v>565</v>
      </c>
      <c r="C39" s="425" t="s">
        <v>609</v>
      </c>
      <c r="D39" s="425"/>
      <c r="E39" s="425"/>
      <c r="F39" s="426"/>
      <c r="G39" s="426"/>
    </row>
    <row r="40" spans="1:7">
      <c r="A40" s="425"/>
      <c r="B40" s="425"/>
      <c r="C40" s="425"/>
      <c r="D40" s="425"/>
      <c r="E40" s="425"/>
      <c r="F40" s="426"/>
      <c r="G40" s="426"/>
    </row>
    <row r="41" spans="1:7">
      <c r="A41" s="252"/>
      <c r="B41" s="427" t="s">
        <v>546</v>
      </c>
      <c r="C41" s="425"/>
      <c r="D41" s="428"/>
      <c r="E41" s="425"/>
      <c r="F41" s="426"/>
      <c r="G41" s="426"/>
    </row>
    <row r="42" spans="1:7">
      <c r="A42" s="252"/>
      <c r="B42" s="425"/>
      <c r="C42" s="425"/>
      <c r="D42" s="428"/>
      <c r="E42" s="425"/>
      <c r="F42" s="426"/>
      <c r="G42" s="426"/>
    </row>
    <row r="43" spans="1:7">
      <c r="A43" s="252"/>
      <c r="B43" s="425"/>
      <c r="C43" s="425"/>
      <c r="D43" s="428"/>
      <c r="E43" s="425"/>
      <c r="F43" s="426"/>
      <c r="G43" s="426"/>
    </row>
    <row r="44" spans="1:7">
      <c r="A44" s="252"/>
      <c r="B44" s="427" t="s">
        <v>566</v>
      </c>
      <c r="C44" s="474" t="s">
        <v>602</v>
      </c>
      <c r="D44" s="475"/>
      <c r="E44" s="425" t="s">
        <v>603</v>
      </c>
      <c r="F44" s="426"/>
      <c r="G44" s="426"/>
    </row>
    <row r="45" spans="1:7">
      <c r="A45" s="252"/>
      <c r="B45" s="425"/>
      <c r="C45" s="425" t="s">
        <v>567</v>
      </c>
      <c r="D45" s="428"/>
      <c r="E45" s="425"/>
      <c r="F45" s="426"/>
      <c r="G45" s="426"/>
    </row>
    <row r="46" spans="1:7">
      <c r="A46" s="252"/>
      <c r="B46" s="425"/>
      <c r="C46" s="474" t="s">
        <v>604</v>
      </c>
      <c r="D46" s="475"/>
      <c r="E46" s="425" t="s">
        <v>603</v>
      </c>
      <c r="F46" s="426"/>
      <c r="G46" s="426"/>
    </row>
    <row r="47" spans="1:7" ht="15.75" thickBot="1">
      <c r="A47" s="252"/>
      <c r="B47" s="425"/>
      <c r="C47" s="425"/>
      <c r="D47" s="425"/>
      <c r="E47" s="425"/>
      <c r="F47" s="426"/>
      <c r="G47" s="426"/>
    </row>
    <row r="48" spans="1:7">
      <c r="A48" s="252"/>
      <c r="B48" s="446" t="s">
        <v>568</v>
      </c>
      <c r="C48" s="447"/>
      <c r="D48" s="448"/>
      <c r="E48" s="425"/>
      <c r="F48" s="426"/>
      <c r="G48" s="426"/>
    </row>
    <row r="49" spans="1:7" ht="42.75">
      <c r="A49" s="252"/>
      <c r="B49" s="449" t="s">
        <v>569</v>
      </c>
      <c r="C49" s="450"/>
      <c r="D49" s="451" t="s">
        <v>73</v>
      </c>
      <c r="E49" s="452" t="s">
        <v>570</v>
      </c>
      <c r="F49" s="426"/>
      <c r="G49" s="426"/>
    </row>
    <row r="50" spans="1:7" ht="28.5">
      <c r="A50" s="252"/>
      <c r="B50" s="453" t="s">
        <v>571</v>
      </c>
      <c r="C50" s="454"/>
      <c r="D50" s="455" t="s">
        <v>572</v>
      </c>
      <c r="E50" s="456" t="s">
        <v>573</v>
      </c>
      <c r="F50" s="426"/>
      <c r="G50" s="426"/>
    </row>
    <row r="51" spans="1:7">
      <c r="A51" s="252"/>
      <c r="B51" s="453" t="s">
        <v>574</v>
      </c>
      <c r="C51" s="454"/>
      <c r="D51" s="455" t="s">
        <v>1262</v>
      </c>
      <c r="E51" s="425"/>
      <c r="F51" s="426"/>
      <c r="G51" s="426"/>
    </row>
    <row r="52" spans="1:7">
      <c r="A52" s="252"/>
      <c r="B52" s="784" t="s">
        <v>1261</v>
      </c>
      <c r="C52" s="785"/>
      <c r="D52" s="786" t="s">
        <v>1264</v>
      </c>
      <c r="E52" s="456" t="s">
        <v>1263</v>
      </c>
      <c r="F52" s="426"/>
      <c r="G52" s="426"/>
    </row>
    <row r="53" spans="1:7">
      <c r="A53" s="252"/>
      <c r="B53" s="457" t="s">
        <v>575</v>
      </c>
      <c r="C53" s="458"/>
      <c r="D53" s="459" t="s">
        <v>605</v>
      </c>
      <c r="E53" s="456" t="s">
        <v>594</v>
      </c>
      <c r="F53" s="423"/>
      <c r="G53" s="423"/>
    </row>
    <row r="54" spans="1:7">
      <c r="A54" s="252"/>
      <c r="B54" s="457" t="s">
        <v>606</v>
      </c>
      <c r="C54" s="458"/>
      <c r="D54" s="459" t="s">
        <v>607</v>
      </c>
      <c r="E54" s="456"/>
      <c r="F54" s="423"/>
      <c r="G54" s="423"/>
    </row>
    <row r="55" spans="1:7">
      <c r="A55" s="252"/>
      <c r="B55" s="457" t="s">
        <v>576</v>
      </c>
      <c r="C55" s="458"/>
      <c r="D55" s="459" t="s">
        <v>608</v>
      </c>
      <c r="E55" s="460"/>
      <c r="F55" s="423"/>
      <c r="G55" s="423"/>
    </row>
    <row r="56" spans="1:7" ht="15.75" thickBot="1">
      <c r="A56" s="252"/>
      <c r="B56" s="461"/>
      <c r="C56" s="476"/>
      <c r="D56" s="477"/>
      <c r="E56" s="456"/>
      <c r="F56" s="424"/>
      <c r="G56" s="424"/>
    </row>
    <row r="57" spans="1:7">
      <c r="A57" s="252"/>
      <c r="B57" s="443"/>
      <c r="C57" s="425"/>
      <c r="D57" s="425"/>
      <c r="E57" s="425"/>
      <c r="F57" s="426"/>
      <c r="G57" s="426"/>
    </row>
    <row r="58" spans="1:7">
      <c r="A58" s="252"/>
      <c r="B58" s="443"/>
      <c r="C58" s="425"/>
      <c r="D58" s="425"/>
      <c r="E58" s="425"/>
      <c r="F58" s="426"/>
      <c r="G58" s="426"/>
    </row>
    <row r="59" spans="1:7">
      <c r="A59" s="252"/>
      <c r="B59" s="427" t="s">
        <v>577</v>
      </c>
      <c r="C59" s="425"/>
      <c r="D59" s="425"/>
      <c r="E59" s="425"/>
      <c r="F59" s="426"/>
      <c r="G59" s="426"/>
    </row>
    <row r="60" spans="1:7">
      <c r="A60" s="252"/>
      <c r="B60" s="462" t="s">
        <v>448</v>
      </c>
      <c r="C60" s="462" t="s">
        <v>578</v>
      </c>
      <c r="D60" s="463" t="s">
        <v>73</v>
      </c>
      <c r="E60" s="425"/>
      <c r="F60" s="426"/>
      <c r="G60" s="426"/>
    </row>
    <row r="61" spans="1:7">
      <c r="A61" s="252"/>
      <c r="B61" s="464" t="s">
        <v>1260</v>
      </c>
      <c r="C61" s="465" t="s">
        <v>595</v>
      </c>
      <c r="D61" s="465" t="s">
        <v>596</v>
      </c>
      <c r="E61" s="425"/>
      <c r="F61" s="426"/>
      <c r="G61" s="426"/>
    </row>
    <row r="62" spans="1:7">
      <c r="A62" s="252"/>
      <c r="B62" s="466"/>
      <c r="C62" s="466"/>
      <c r="D62" s="465"/>
      <c r="E62" s="425"/>
      <c r="F62" s="426"/>
      <c r="G62" s="426"/>
    </row>
    <row r="63" spans="1:7">
      <c r="A63" s="252"/>
      <c r="B63" s="467"/>
      <c r="C63" s="464"/>
      <c r="D63" s="468"/>
      <c r="E63" s="425"/>
      <c r="F63" s="426"/>
      <c r="G63" s="426"/>
    </row>
    <row r="64" spans="1:7">
      <c r="A64" s="252"/>
      <c r="B64" s="467"/>
      <c r="C64" s="464"/>
      <c r="D64" s="468"/>
      <c r="E64" s="425"/>
      <c r="F64" s="426"/>
      <c r="G64" s="426"/>
    </row>
    <row r="65" spans="1:7">
      <c r="A65" s="252"/>
      <c r="B65" s="469"/>
      <c r="C65" s="469"/>
      <c r="D65" s="470"/>
      <c r="E65" s="425"/>
      <c r="F65" s="426"/>
      <c r="G65" s="426"/>
    </row>
    <row r="66" spans="1:7">
      <c r="A66" s="252"/>
      <c r="B66" s="425"/>
      <c r="C66" s="425"/>
      <c r="D66" s="471"/>
      <c r="E66" s="425"/>
      <c r="F66" s="426"/>
      <c r="G66" s="426"/>
    </row>
    <row r="67" spans="1:7">
      <c r="A67" s="252"/>
      <c r="B67" s="425"/>
      <c r="C67" s="425"/>
      <c r="D67" s="471"/>
      <c r="E67" s="425"/>
      <c r="F67" s="426"/>
      <c r="G67" s="426"/>
    </row>
    <row r="68" spans="1:7">
      <c r="A68" s="252"/>
      <c r="B68" s="425"/>
      <c r="C68" s="425"/>
      <c r="D68" s="471"/>
      <c r="E68" s="425"/>
      <c r="F68" s="426"/>
      <c r="G68" s="426"/>
    </row>
    <row r="69" spans="1:7">
      <c r="A69" s="252"/>
      <c r="B69" s="427" t="s">
        <v>597</v>
      </c>
      <c r="C69" s="472"/>
      <c r="D69" s="473"/>
      <c r="E69" s="425"/>
      <c r="F69" s="426"/>
      <c r="G69" s="426"/>
    </row>
    <row r="70" spans="1:7">
      <c r="A70" s="252"/>
      <c r="B70" s="462" t="s">
        <v>448</v>
      </c>
      <c r="C70" s="462" t="s">
        <v>578</v>
      </c>
      <c r="D70" s="463" t="s">
        <v>73</v>
      </c>
      <c r="E70" s="462" t="s">
        <v>598</v>
      </c>
      <c r="F70" s="426"/>
      <c r="G70" s="426"/>
    </row>
    <row r="71" spans="1:7">
      <c r="A71" s="252"/>
      <c r="B71" s="464"/>
      <c r="C71" s="464"/>
      <c r="D71" s="468"/>
      <c r="E71" s="464"/>
      <c r="F71" s="426"/>
      <c r="G71" s="426"/>
    </row>
    <row r="72" spans="1:7">
      <c r="A72" s="252"/>
      <c r="B72" s="464"/>
      <c r="C72" s="464"/>
      <c r="D72" s="468"/>
      <c r="E72" s="464"/>
      <c r="F72" s="426"/>
      <c r="G72" s="426"/>
    </row>
    <row r="73" spans="1:7">
      <c r="A73" s="252"/>
      <c r="B73" s="464"/>
      <c r="C73" s="464"/>
      <c r="D73" s="468"/>
      <c r="E73" s="464"/>
      <c r="F73" s="426"/>
      <c r="G73" s="426"/>
    </row>
    <row r="74" spans="1:7">
      <c r="A74" s="252"/>
      <c r="B74" s="464"/>
      <c r="C74" s="464"/>
      <c r="D74" s="465"/>
      <c r="E74" s="465"/>
    </row>
  </sheetData>
  <hyperlinks>
    <hyperlink ref="C44" r:id="rId1" xr:uid="{DE63B911-A73F-4972-8808-B10C1D0F7A1C}"/>
    <hyperlink ref="C46" r:id="rId2" xr:uid="{DEDCC708-FB91-4E09-93A2-11B6759BF79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B3E21-044A-478B-8BEB-5D9F6C42FCA4}">
  <dimension ref="A8:G27"/>
  <sheetViews>
    <sheetView workbookViewId="0">
      <selection activeCell="A20" sqref="A20"/>
    </sheetView>
  </sheetViews>
  <sheetFormatPr defaultRowHeight="15"/>
  <cols>
    <col min="1" max="1" width="38" customWidth="1"/>
    <col min="2" max="2" width="19.28515625" customWidth="1"/>
    <col min="3" max="3" width="19.5703125" customWidth="1"/>
    <col min="4" max="4" width="20.28515625" customWidth="1"/>
    <col min="7" max="7" width="17.5703125" customWidth="1"/>
  </cols>
  <sheetData>
    <row r="8" spans="1:3" ht="18.75">
      <c r="A8" s="34" t="s">
        <v>1062</v>
      </c>
    </row>
    <row r="9" spans="1:3" ht="15.75" thickBot="1"/>
    <row r="10" spans="1:3" ht="20.25" customHeight="1">
      <c r="A10" s="630" t="s">
        <v>1063</v>
      </c>
      <c r="B10" s="614"/>
      <c r="C10" s="699"/>
    </row>
    <row r="11" spans="1:3" ht="21" customHeight="1" thickBot="1">
      <c r="A11" s="776" t="str">
        <f>+Method_input!E38</f>
        <v>Preheats cold water to shower only</v>
      </c>
      <c r="B11" s="616" t="s">
        <v>1064</v>
      </c>
      <c r="C11" s="617" t="str">
        <f>B11&amp;INDEX(C13:C15,C12)</f>
        <v>WWHR_CONN_B</v>
      </c>
    </row>
    <row r="12" spans="1:3" ht="15.75" thickBot="1">
      <c r="A12" s="618"/>
      <c r="B12" s="700" t="s">
        <v>1199</v>
      </c>
      <c r="C12" s="701">
        <f>MATCH(A11,A13:A15,0)</f>
        <v>2</v>
      </c>
    </row>
    <row r="13" spans="1:3">
      <c r="A13" s="620" t="s">
        <v>1067</v>
      </c>
      <c r="B13" s="621" t="s">
        <v>426</v>
      </c>
      <c r="C13" s="622" t="str">
        <f>$B$96&amp;"_"&amp;B13</f>
        <v>_A</v>
      </c>
    </row>
    <row r="14" spans="1:3">
      <c r="A14" s="623" t="s">
        <v>1068</v>
      </c>
      <c r="B14" s="624" t="s">
        <v>1065</v>
      </c>
      <c r="C14" s="625" t="str">
        <f>$B$96&amp;"_"&amp;B14</f>
        <v>_B</v>
      </c>
    </row>
    <row r="15" spans="1:3" ht="15.75" thickBot="1">
      <c r="A15" s="626" t="s">
        <v>1069</v>
      </c>
      <c r="B15" s="627" t="s">
        <v>1066</v>
      </c>
      <c r="C15" s="628" t="str">
        <f>$B$96&amp;"_"&amp;B15</f>
        <v>_C</v>
      </c>
    </row>
    <row r="18" spans="1:7" ht="15.75" thickBot="1">
      <c r="A18" s="692" t="s">
        <v>209</v>
      </c>
      <c r="G18">
        <v>1.075E-4</v>
      </c>
    </row>
    <row r="19" spans="1:7">
      <c r="A19" s="691" t="s">
        <v>1167</v>
      </c>
      <c r="B19" s="614"/>
      <c r="C19" s="699"/>
      <c r="G19">
        <v>1.394E-4</v>
      </c>
    </row>
    <row r="20" spans="1:7" ht="15.75" thickBot="1">
      <c r="A20" s="629" t="str">
        <f>+Method_input!E30</f>
        <v>Copper</v>
      </c>
      <c r="B20" s="616" t="s">
        <v>1169</v>
      </c>
      <c r="C20" s="617" t="str">
        <f>B20&amp;INDEX(C23:C27,C21)</f>
        <v>WWHR_CP_CU</v>
      </c>
    </row>
    <row r="21" spans="1:7" ht="15.75" thickBot="1">
      <c r="A21" s="618"/>
      <c r="C21" s="615">
        <f>MATCH(A20,A23:A27,0)</f>
        <v>1</v>
      </c>
    </row>
    <row r="22" spans="1:7">
      <c r="A22" s="703"/>
      <c r="B22" s="704" t="s">
        <v>1176</v>
      </c>
      <c r="C22" s="710"/>
      <c r="D22" s="705" t="s">
        <v>1171</v>
      </c>
    </row>
    <row r="23" spans="1:7">
      <c r="A23" s="702" t="s">
        <v>1168</v>
      </c>
      <c r="B23" s="791">
        <f>+D23/3600</f>
        <v>1.075E-4</v>
      </c>
      <c r="C23" s="711" t="s">
        <v>1173</v>
      </c>
      <c r="D23" s="706">
        <v>0.38700000000000001</v>
      </c>
    </row>
    <row r="24" spans="1:7">
      <c r="A24" s="693" t="s">
        <v>1170</v>
      </c>
      <c r="B24" s="792">
        <f t="shared" ref="B24:B27" si="0">+D24/3600</f>
        <v>1.3944444444444445E-4</v>
      </c>
      <c r="C24" s="712" t="s">
        <v>1174</v>
      </c>
      <c r="D24" s="707">
        <v>0.502</v>
      </c>
    </row>
    <row r="25" spans="1:7">
      <c r="A25" s="693" t="s">
        <v>1177</v>
      </c>
      <c r="B25" s="694">
        <f t="shared" si="0"/>
        <v>6.0464444444444446E-4</v>
      </c>
      <c r="C25" s="712" t="s">
        <v>1178</v>
      </c>
      <c r="D25" s="708">
        <f>+D26*0.52</f>
        <v>2.17672</v>
      </c>
    </row>
    <row r="26" spans="1:7">
      <c r="A26" s="623" t="s">
        <v>1179</v>
      </c>
      <c r="B26" s="694">
        <f t="shared" si="0"/>
        <v>1.1627777777777778E-3</v>
      </c>
      <c r="C26" s="713" t="s">
        <v>1180</v>
      </c>
      <c r="D26" s="619">
        <v>4.1859999999999999</v>
      </c>
    </row>
    <row r="27" spans="1:7" ht="15.75" thickBot="1">
      <c r="A27" s="626" t="s">
        <v>1172</v>
      </c>
      <c r="B27" s="627">
        <f t="shared" si="0"/>
        <v>0</v>
      </c>
      <c r="C27" s="714" t="s">
        <v>1175</v>
      </c>
      <c r="D27" s="70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D9C46-06DD-4725-91AB-6BFE56006554}">
  <sheetPr>
    <tabColor rgb="FF009900"/>
  </sheetPr>
  <dimension ref="A1:AX58"/>
  <sheetViews>
    <sheetView topLeftCell="A26" zoomScaleNormal="100" workbookViewId="0">
      <selection activeCell="E61" sqref="E61"/>
    </sheetView>
  </sheetViews>
  <sheetFormatPr defaultColWidth="9.140625" defaultRowHeight="12.75"/>
  <cols>
    <col min="1" max="1" width="47.7109375" style="77" customWidth="1"/>
    <col min="2" max="2" width="19" style="75" customWidth="1"/>
    <col min="3" max="3" width="21.42578125" style="75" customWidth="1"/>
    <col min="4" max="4" width="12" style="75" customWidth="1"/>
    <col min="5" max="5" width="26.5703125" style="75" bestFit="1" customWidth="1"/>
    <col min="6" max="6" width="12.28515625" style="75" customWidth="1"/>
    <col min="7" max="7" width="10" style="75" customWidth="1"/>
    <col min="8" max="8" width="9.140625" style="75"/>
    <col min="9" max="9" width="39.28515625" style="75" customWidth="1"/>
    <col min="10" max="14" width="9.140625" style="75"/>
    <col min="15" max="27" width="9.28515625" style="75" customWidth="1"/>
    <col min="28" max="16384" width="9.140625" style="75"/>
  </cols>
  <sheetData>
    <row r="1" spans="1:50" ht="76.5" customHeight="1" thickBot="1">
      <c r="A1" s="799" t="s">
        <v>196</v>
      </c>
      <c r="B1" s="800"/>
      <c r="C1" s="800"/>
      <c r="D1" s="800"/>
      <c r="E1" s="800"/>
      <c r="F1" s="800"/>
      <c r="G1" s="800"/>
      <c r="H1" s="800"/>
      <c r="I1" s="801"/>
    </row>
    <row r="2" spans="1:50">
      <c r="A2" s="75"/>
      <c r="B2" s="76"/>
    </row>
    <row r="3" spans="1:50" ht="13.5" thickBot="1"/>
    <row r="4" spans="1:50" ht="23.25" customHeight="1" thickBot="1">
      <c r="A4" s="78" t="s">
        <v>197</v>
      </c>
      <c r="B4" s="79" t="s">
        <v>198</v>
      </c>
      <c r="C4" s="79" t="s">
        <v>199</v>
      </c>
      <c r="D4" s="79" t="s">
        <v>200</v>
      </c>
      <c r="E4" s="79" t="s">
        <v>201</v>
      </c>
      <c r="F4" s="79" t="s">
        <v>202</v>
      </c>
      <c r="G4" s="79" t="s">
        <v>203</v>
      </c>
      <c r="H4" s="79" t="s">
        <v>204</v>
      </c>
      <c r="I4" s="80" t="s">
        <v>97</v>
      </c>
      <c r="K4" s="81" t="s">
        <v>205</v>
      </c>
      <c r="L4" s="82"/>
      <c r="M4" s="82"/>
      <c r="N4" s="82"/>
      <c r="O4" s="82"/>
      <c r="P4" s="82"/>
      <c r="Q4" s="82" t="str">
        <f>Method_output!A5</f>
        <v>Name</v>
      </c>
      <c r="R4" s="82" t="str">
        <f>Method_output!B5</f>
        <v>Symbol</v>
      </c>
      <c r="S4" s="82" t="str">
        <f>Method_output!C5</f>
        <v>Software name</v>
      </c>
      <c r="T4" s="82" t="str">
        <f>Method_output!D5</f>
        <v>Unit</v>
      </c>
      <c r="U4" s="82" t="str">
        <f>Method_output!E5</f>
        <v>Value</v>
      </c>
      <c r="V4" s="82" t="str">
        <f>Method_output!F5</f>
        <v>Range</v>
      </c>
      <c r="W4" s="82" t="str">
        <f>Method_output!G5</f>
        <v>Intended destination</v>
      </c>
      <c r="X4" s="82" t="str">
        <f>Method_output!H5</f>
        <v>Varying</v>
      </c>
      <c r="Y4" s="82" t="str">
        <f>Method_output!I5</f>
        <v>Notes</v>
      </c>
      <c r="Z4" s="82"/>
      <c r="AA4" s="82"/>
      <c r="AB4" s="82"/>
      <c r="AC4" s="82"/>
      <c r="AD4" s="82"/>
      <c r="AE4" s="82"/>
      <c r="AF4" s="82"/>
      <c r="AG4" s="82"/>
      <c r="AH4" s="82"/>
      <c r="AI4" s="82"/>
      <c r="AJ4" s="82"/>
      <c r="AK4" s="82"/>
      <c r="AL4" s="82"/>
      <c r="AM4" s="82"/>
      <c r="AN4" s="82"/>
      <c r="AO4" s="82"/>
      <c r="AP4" s="82"/>
      <c r="AQ4" s="82"/>
      <c r="AR4" s="82"/>
      <c r="AS4" s="82"/>
      <c r="AT4" s="82"/>
      <c r="AU4" s="82"/>
      <c r="AV4" s="82"/>
      <c r="AW4" s="82"/>
      <c r="AX4" s="83"/>
    </row>
    <row r="5" spans="1:50" ht="19.5" customHeight="1">
      <c r="A5" s="84" t="s">
        <v>206</v>
      </c>
      <c r="B5" s="85"/>
      <c r="C5" s="85"/>
      <c r="D5" s="85"/>
      <c r="E5" s="85"/>
      <c r="F5" s="85"/>
      <c r="G5" s="85"/>
      <c r="H5" s="86"/>
      <c r="I5" s="184"/>
      <c r="K5" s="87">
        <v>1</v>
      </c>
      <c r="L5" s="88">
        <v>2</v>
      </c>
      <c r="M5" s="88">
        <v>3</v>
      </c>
      <c r="N5" s="88">
        <v>4</v>
      </c>
      <c r="O5" s="88">
        <v>5</v>
      </c>
      <c r="P5" s="88">
        <v>6</v>
      </c>
      <c r="Q5" s="88">
        <v>7</v>
      </c>
      <c r="R5" s="88">
        <v>8</v>
      </c>
      <c r="S5" s="88">
        <v>9</v>
      </c>
      <c r="T5" s="88">
        <v>10</v>
      </c>
      <c r="U5" s="88">
        <v>11</v>
      </c>
      <c r="V5" s="88">
        <v>12</v>
      </c>
      <c r="W5" s="88">
        <v>13</v>
      </c>
      <c r="X5" s="88">
        <v>14</v>
      </c>
      <c r="Y5" s="88">
        <v>15</v>
      </c>
      <c r="Z5" s="88">
        <v>16</v>
      </c>
      <c r="AA5" s="88">
        <v>17</v>
      </c>
      <c r="AB5" s="88">
        <v>18</v>
      </c>
      <c r="AC5" s="88">
        <v>19</v>
      </c>
      <c r="AD5" s="88">
        <v>20</v>
      </c>
      <c r="AE5" s="88">
        <v>21</v>
      </c>
      <c r="AF5" s="88">
        <v>22</v>
      </c>
      <c r="AG5" s="88">
        <v>23</v>
      </c>
      <c r="AH5" s="88">
        <v>24</v>
      </c>
      <c r="AI5" s="88">
        <v>25</v>
      </c>
      <c r="AJ5" s="88">
        <v>26</v>
      </c>
      <c r="AK5" s="88">
        <v>27</v>
      </c>
      <c r="AL5" s="88">
        <v>28</v>
      </c>
      <c r="AM5" s="88">
        <v>29</v>
      </c>
      <c r="AN5" s="88">
        <v>30</v>
      </c>
      <c r="AO5" s="88">
        <v>31</v>
      </c>
      <c r="AP5" s="88">
        <v>32</v>
      </c>
      <c r="AQ5" s="88">
        <v>33</v>
      </c>
      <c r="AR5" s="88">
        <v>34</v>
      </c>
      <c r="AS5" s="88">
        <v>35</v>
      </c>
      <c r="AT5" s="88">
        <v>36</v>
      </c>
      <c r="AU5" s="88">
        <v>37</v>
      </c>
      <c r="AV5" s="88">
        <v>38</v>
      </c>
      <c r="AW5" s="88">
        <v>39</v>
      </c>
      <c r="AX5" s="89">
        <v>40</v>
      </c>
    </row>
    <row r="6" spans="1:50" ht="15.75">
      <c r="A6" s="728" t="s">
        <v>1271</v>
      </c>
      <c r="B6" s="572" t="s">
        <v>1071</v>
      </c>
      <c r="C6" s="112"/>
      <c r="D6" s="112" t="s">
        <v>207</v>
      </c>
      <c r="E6" s="480">
        <v>40</v>
      </c>
      <c r="F6" s="112" t="s">
        <v>1060</v>
      </c>
      <c r="G6" s="91"/>
      <c r="H6" s="91"/>
      <c r="I6" s="118" t="s">
        <v>1227</v>
      </c>
      <c r="K6" s="87"/>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9"/>
    </row>
    <row r="7" spans="1:50" ht="15.75">
      <c r="A7" s="728" t="s">
        <v>1272</v>
      </c>
      <c r="B7" s="572" t="s">
        <v>1072</v>
      </c>
      <c r="C7" s="112"/>
      <c r="D7" s="112" t="s">
        <v>207</v>
      </c>
      <c r="E7" s="480">
        <v>60</v>
      </c>
      <c r="F7" s="112" t="s">
        <v>1060</v>
      </c>
      <c r="G7" s="93"/>
      <c r="H7" s="91"/>
      <c r="I7" s="118" t="s">
        <v>1226</v>
      </c>
      <c r="K7" s="87"/>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9"/>
    </row>
    <row r="8" spans="1:50" ht="15.75">
      <c r="A8" s="729" t="s">
        <v>319</v>
      </c>
      <c r="B8" s="572" t="s">
        <v>1077</v>
      </c>
      <c r="C8" s="112"/>
      <c r="D8" s="112" t="s">
        <v>207</v>
      </c>
      <c r="E8" s="568">
        <v>15</v>
      </c>
      <c r="F8" s="112" t="s">
        <v>1060</v>
      </c>
      <c r="G8" s="91"/>
      <c r="H8" s="91"/>
      <c r="I8" s="118" t="s">
        <v>1227</v>
      </c>
      <c r="K8" s="87"/>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9"/>
    </row>
    <row r="9" spans="1:50" ht="15.75">
      <c r="A9" s="730" t="s">
        <v>1273</v>
      </c>
      <c r="B9" s="483" t="s">
        <v>1079</v>
      </c>
      <c r="C9" s="185"/>
      <c r="D9" s="185" t="s">
        <v>218</v>
      </c>
      <c r="E9" s="480">
        <v>2.5</v>
      </c>
      <c r="F9" s="195" t="s">
        <v>1229</v>
      </c>
      <c r="G9" s="91"/>
      <c r="H9" s="91"/>
      <c r="I9" s="118"/>
      <c r="K9" s="87"/>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9"/>
    </row>
    <row r="10" spans="1:50" ht="15.75">
      <c r="A10" s="730" t="s">
        <v>1082</v>
      </c>
      <c r="B10" s="483" t="s">
        <v>1087</v>
      </c>
      <c r="C10" s="114"/>
      <c r="D10" s="93" t="s">
        <v>20</v>
      </c>
      <c r="E10" s="480">
        <v>0.8</v>
      </c>
      <c r="F10" s="195" t="s">
        <v>1228</v>
      </c>
      <c r="G10" s="91"/>
      <c r="H10" s="91"/>
      <c r="I10" s="118"/>
      <c r="K10" s="87"/>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9"/>
    </row>
    <row r="11" spans="1:50" ht="15.75">
      <c r="A11" s="728" t="s">
        <v>914</v>
      </c>
      <c r="B11" s="572" t="s">
        <v>1091</v>
      </c>
      <c r="C11" s="112"/>
      <c r="D11" s="112" t="s">
        <v>207</v>
      </c>
      <c r="E11" s="480">
        <v>35</v>
      </c>
      <c r="F11" s="112" t="s">
        <v>1060</v>
      </c>
      <c r="G11" s="91"/>
      <c r="H11" s="91"/>
      <c r="I11" s="118"/>
      <c r="K11" s="87"/>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9"/>
    </row>
    <row r="12" spans="1:50" ht="15.75">
      <c r="A12" s="728" t="s">
        <v>1154</v>
      </c>
      <c r="B12" s="572" t="s">
        <v>1158</v>
      </c>
      <c r="C12" s="114"/>
      <c r="D12" s="93" t="s">
        <v>615</v>
      </c>
      <c r="E12" s="575">
        <v>12</v>
      </c>
      <c r="F12" s="195" t="s">
        <v>1061</v>
      </c>
      <c r="G12" s="91"/>
      <c r="H12" s="91"/>
      <c r="I12" s="118"/>
      <c r="K12" s="87"/>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9"/>
    </row>
    <row r="13" spans="1:50" ht="15.75">
      <c r="A13" s="730" t="s">
        <v>1155</v>
      </c>
      <c r="B13" s="483" t="s">
        <v>1157</v>
      </c>
      <c r="C13" s="114"/>
      <c r="D13" s="93" t="s">
        <v>627</v>
      </c>
      <c r="E13" s="569">
        <v>5</v>
      </c>
      <c r="F13" s="112" t="s">
        <v>1060</v>
      </c>
      <c r="G13" s="91"/>
      <c r="H13" s="91"/>
      <c r="I13" s="118"/>
      <c r="K13" s="87"/>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9"/>
    </row>
    <row r="14" spans="1:50" ht="15">
      <c r="A14" s="181"/>
      <c r="B14" s="90"/>
      <c r="C14" s="90"/>
      <c r="D14" s="91"/>
      <c r="E14" s="96"/>
      <c r="F14" s="92"/>
      <c r="G14" s="91"/>
      <c r="H14" s="91"/>
      <c r="I14" s="118"/>
      <c r="K14" s="87"/>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9"/>
    </row>
    <row r="15" spans="1:50" ht="18" customHeight="1">
      <c r="A15" s="95" t="s">
        <v>209</v>
      </c>
      <c r="B15" s="94"/>
      <c r="C15" s="91"/>
      <c r="D15" s="94"/>
      <c r="E15" s="96"/>
      <c r="F15" s="94"/>
      <c r="G15" s="94"/>
      <c r="H15" s="94"/>
      <c r="I15" s="118"/>
      <c r="K15" s="87"/>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9"/>
    </row>
    <row r="16" spans="1:50" ht="18" customHeight="1">
      <c r="A16" s="97" t="s">
        <v>210</v>
      </c>
      <c r="B16" s="94"/>
      <c r="C16" s="98"/>
      <c r="D16" s="99"/>
      <c r="E16" s="94"/>
      <c r="F16" s="100"/>
      <c r="G16" s="94"/>
      <c r="H16" s="94"/>
      <c r="I16" s="118"/>
      <c r="K16" s="87"/>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9"/>
    </row>
    <row r="17" spans="1:50" ht="15">
      <c r="A17" s="778" t="s">
        <v>430</v>
      </c>
      <c r="B17" s="132"/>
      <c r="C17" s="135"/>
      <c r="D17" s="98"/>
      <c r="E17" s="133"/>
      <c r="F17" s="134"/>
      <c r="G17" s="91"/>
      <c r="H17" s="91"/>
      <c r="I17" s="118"/>
      <c r="K17" s="87"/>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9"/>
    </row>
    <row r="18" spans="1:50" ht="15">
      <c r="A18" s="130"/>
      <c r="B18" s="132"/>
      <c r="C18" s="135"/>
      <c r="D18" s="98"/>
      <c r="E18" s="133"/>
      <c r="F18" s="134"/>
      <c r="G18" s="91"/>
      <c r="H18" s="91"/>
      <c r="I18" s="118"/>
      <c r="K18" s="87"/>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9"/>
    </row>
    <row r="19" spans="1:50">
      <c r="A19" s="97" t="s">
        <v>211</v>
      </c>
      <c r="B19" s="132"/>
      <c r="C19" s="136"/>
      <c r="D19" s="98"/>
      <c r="E19" s="137"/>
      <c r="F19" s="134"/>
      <c r="G19" s="91"/>
      <c r="H19" s="91"/>
      <c r="I19" s="118"/>
      <c r="K19" s="87"/>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9"/>
    </row>
    <row r="20" spans="1:50" ht="30">
      <c r="A20" s="787" t="s">
        <v>1265</v>
      </c>
      <c r="B20" s="572" t="s">
        <v>1093</v>
      </c>
      <c r="C20" s="138"/>
      <c r="D20" s="98" t="s">
        <v>431</v>
      </c>
      <c r="E20" s="632">
        <v>62</v>
      </c>
      <c r="F20" s="112" t="s">
        <v>1060</v>
      </c>
      <c r="G20" s="91"/>
      <c r="H20" s="91"/>
      <c r="I20" s="118"/>
      <c r="K20" s="87"/>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9"/>
    </row>
    <row r="21" spans="1:50" ht="30">
      <c r="A21" s="787" t="s">
        <v>1266</v>
      </c>
      <c r="B21" s="572" t="s">
        <v>1094</v>
      </c>
      <c r="C21" s="138"/>
      <c r="D21" s="93" t="s">
        <v>615</v>
      </c>
      <c r="E21" s="633">
        <v>12.5</v>
      </c>
      <c r="F21" s="195" t="s">
        <v>1229</v>
      </c>
      <c r="G21" s="91"/>
      <c r="H21" s="91"/>
      <c r="I21" s="118"/>
      <c r="K21" s="87"/>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9"/>
    </row>
    <row r="22" spans="1:50" ht="30">
      <c r="A22" s="787" t="s">
        <v>1267</v>
      </c>
      <c r="B22" s="111" t="s">
        <v>1098</v>
      </c>
      <c r="C22" s="140"/>
      <c r="D22" s="98" t="s">
        <v>431</v>
      </c>
      <c r="E22" s="632">
        <v>65</v>
      </c>
      <c r="F22" s="112" t="s">
        <v>1060</v>
      </c>
      <c r="G22" s="91"/>
      <c r="H22" s="91"/>
      <c r="I22" s="118"/>
      <c r="K22" s="87"/>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9"/>
    </row>
    <row r="23" spans="1:50" ht="30">
      <c r="A23" s="787" t="s">
        <v>1268</v>
      </c>
      <c r="B23" s="111" t="s">
        <v>1100</v>
      </c>
      <c r="C23" s="140"/>
      <c r="D23" s="93" t="s">
        <v>615</v>
      </c>
      <c r="E23" s="633">
        <v>9.1999999999999993</v>
      </c>
      <c r="F23" s="195" t="s">
        <v>1229</v>
      </c>
      <c r="G23" s="91"/>
      <c r="H23" s="91"/>
      <c r="I23" s="118"/>
      <c r="K23" s="87"/>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9"/>
    </row>
    <row r="24" spans="1:50" ht="15">
      <c r="A24" s="479"/>
      <c r="B24" s="139"/>
      <c r="C24" s="140"/>
      <c r="D24" s="731"/>
      <c r="E24" s="732"/>
      <c r="F24" s="134"/>
      <c r="G24" s="91"/>
      <c r="H24" s="91"/>
      <c r="I24" s="118"/>
      <c r="K24" s="87"/>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9"/>
    </row>
    <row r="25" spans="1:50" ht="15">
      <c r="A25" s="779" t="s">
        <v>1070</v>
      </c>
      <c r="B25" s="139"/>
      <c r="C25" s="140"/>
      <c r="D25" s="98" t="s">
        <v>431</v>
      </c>
      <c r="E25" s="780">
        <v>85</v>
      </c>
      <c r="F25" s="112" t="s">
        <v>1060</v>
      </c>
      <c r="G25" s="91"/>
      <c r="H25" s="91"/>
      <c r="I25" s="118" t="s">
        <v>1240</v>
      </c>
      <c r="K25" s="87"/>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9"/>
    </row>
    <row r="26" spans="1:50" ht="15">
      <c r="A26" s="779" t="s">
        <v>1238</v>
      </c>
      <c r="B26" s="139"/>
      <c r="C26" s="140"/>
      <c r="D26" s="93" t="s">
        <v>615</v>
      </c>
      <c r="E26" s="781">
        <v>12.5</v>
      </c>
      <c r="F26" s="195" t="s">
        <v>1229</v>
      </c>
      <c r="G26" s="91"/>
      <c r="H26" s="91"/>
      <c r="I26" s="118" t="s">
        <v>1240</v>
      </c>
      <c r="K26" s="87"/>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9"/>
    </row>
    <row r="27" spans="1:50" ht="15">
      <c r="A27" s="779" t="s">
        <v>1239</v>
      </c>
      <c r="B27" s="139"/>
      <c r="C27" s="140"/>
      <c r="D27" s="93" t="s">
        <v>615</v>
      </c>
      <c r="E27" s="781">
        <v>6.25</v>
      </c>
      <c r="F27" s="195" t="s">
        <v>1229</v>
      </c>
      <c r="G27" s="91"/>
      <c r="H27" s="91"/>
      <c r="I27" s="118" t="s">
        <v>1240</v>
      </c>
      <c r="K27" s="87"/>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9"/>
    </row>
    <row r="28" spans="1:50" ht="15">
      <c r="A28" s="479"/>
      <c r="B28" s="139"/>
      <c r="C28" s="140"/>
      <c r="D28" s="731"/>
      <c r="E28" s="732"/>
      <c r="F28" s="134"/>
      <c r="G28" s="91"/>
      <c r="H28" s="91"/>
      <c r="I28" s="118"/>
      <c r="K28" s="87"/>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9"/>
    </row>
    <row r="29" spans="1:50" ht="15.75">
      <c r="A29" s="774" t="s">
        <v>1236</v>
      </c>
      <c r="B29" s="572" t="s">
        <v>1183</v>
      </c>
      <c r="C29" s="138"/>
      <c r="D29" s="142" t="s">
        <v>69</v>
      </c>
      <c r="E29" s="631">
        <v>1.5</v>
      </c>
      <c r="F29" s="788" t="s">
        <v>1060</v>
      </c>
      <c r="G29" s="91"/>
      <c r="H29" s="91"/>
      <c r="I29" s="118"/>
      <c r="K29" s="87"/>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9"/>
    </row>
    <row r="30" spans="1:50" ht="15">
      <c r="A30" s="181" t="s">
        <v>1237</v>
      </c>
      <c r="B30" s="132"/>
      <c r="C30" s="138"/>
      <c r="D30" s="142"/>
      <c r="E30" s="790" t="s">
        <v>1168</v>
      </c>
      <c r="F30" s="134"/>
      <c r="G30" s="91"/>
      <c r="H30" s="91"/>
      <c r="I30" s="118"/>
      <c r="K30" s="87"/>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9"/>
    </row>
    <row r="31" spans="1:50" ht="15.75">
      <c r="A31" s="726" t="s">
        <v>1270</v>
      </c>
      <c r="B31" s="111" t="s">
        <v>1184</v>
      </c>
      <c r="C31" s="112"/>
      <c r="D31" s="604" t="s">
        <v>975</v>
      </c>
      <c r="E31" s="632">
        <v>15</v>
      </c>
      <c r="F31" s="789" t="s">
        <v>1229</v>
      </c>
      <c r="G31" s="91"/>
      <c r="H31" s="91"/>
      <c r="I31" s="118"/>
      <c r="K31" s="87"/>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9"/>
    </row>
    <row r="32" spans="1:50" ht="15.75">
      <c r="A32" s="198" t="s">
        <v>1167</v>
      </c>
      <c r="B32" s="111" t="s">
        <v>1185</v>
      </c>
      <c r="C32" s="112"/>
      <c r="D32" s="259" t="s">
        <v>435</v>
      </c>
      <c r="E32" s="775">
        <f>INDEX(Data_tables!$B$23:$B$27,Data_tables!$C$21)</f>
        <v>1.075E-4</v>
      </c>
      <c r="F32" s="134"/>
      <c r="G32" s="91"/>
      <c r="H32" s="91"/>
      <c r="I32" s="118"/>
      <c r="K32" s="87"/>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9"/>
    </row>
    <row r="33" spans="1:50" ht="15">
      <c r="A33" s="198"/>
      <c r="B33" s="111"/>
      <c r="C33" s="604"/>
      <c r="D33" s="259"/>
      <c r="E33" s="775"/>
      <c r="F33" s="134"/>
      <c r="G33" s="91"/>
      <c r="H33" s="91"/>
      <c r="I33" s="118"/>
      <c r="K33" s="87"/>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9"/>
    </row>
    <row r="34" spans="1:50" ht="15.75">
      <c r="A34" s="198" t="s">
        <v>1269</v>
      </c>
      <c r="B34" s="111" t="s">
        <v>1220</v>
      </c>
      <c r="C34" s="112"/>
      <c r="D34" s="112" t="s">
        <v>915</v>
      </c>
      <c r="E34" s="633">
        <v>0.05</v>
      </c>
      <c r="F34" s="112" t="s">
        <v>1060</v>
      </c>
      <c r="G34" s="91"/>
      <c r="H34" s="91"/>
      <c r="I34" s="118"/>
      <c r="K34" s="87"/>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9"/>
    </row>
    <row r="35" spans="1:50" ht="15">
      <c r="A35" s="130"/>
      <c r="B35" s="132"/>
      <c r="C35" s="138"/>
      <c r="D35" s="142"/>
      <c r="E35" s="143"/>
      <c r="F35" s="134"/>
      <c r="G35" s="91"/>
      <c r="H35" s="91"/>
      <c r="I35" s="118"/>
      <c r="K35" s="87"/>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9"/>
    </row>
    <row r="36" spans="1:50" ht="15">
      <c r="A36" s="95" t="s">
        <v>212</v>
      </c>
      <c r="B36" s="91"/>
      <c r="C36" s="98"/>
      <c r="D36" s="99"/>
      <c r="E36" s="94"/>
      <c r="F36" s="100"/>
      <c r="G36" s="94"/>
      <c r="H36" s="94"/>
      <c r="I36" s="118"/>
      <c r="K36" s="87"/>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9"/>
    </row>
    <row r="37" spans="1:50">
      <c r="A37" s="144" t="s">
        <v>213</v>
      </c>
      <c r="B37" s="90"/>
      <c r="C37" s="136"/>
      <c r="D37" s="98"/>
      <c r="E37" s="94"/>
      <c r="F37" s="100"/>
      <c r="G37" s="94"/>
      <c r="H37" s="94"/>
      <c r="I37" s="118"/>
      <c r="K37" s="87"/>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9"/>
    </row>
    <row r="38" spans="1:50" ht="25.5">
      <c r="A38" s="479" t="s">
        <v>611</v>
      </c>
      <c r="B38" s="132"/>
      <c r="C38" s="132"/>
      <c r="D38" s="142"/>
      <c r="E38" s="569" t="s">
        <v>1068</v>
      </c>
      <c r="F38" s="134"/>
      <c r="G38" s="91"/>
      <c r="H38" s="91"/>
      <c r="I38" s="118"/>
      <c r="K38" s="87"/>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9"/>
    </row>
    <row r="39" spans="1:50" ht="15">
      <c r="A39" s="479"/>
      <c r="B39" s="132"/>
      <c r="C39" s="132"/>
      <c r="D39" s="142"/>
      <c r="E39" s="143" t="str">
        <f>+Data_tables!C11</f>
        <v>WWHR_CONN_B</v>
      </c>
      <c r="F39" s="134"/>
      <c r="G39" s="91"/>
      <c r="H39" s="91"/>
      <c r="I39" s="118"/>
      <c r="K39" s="87"/>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9"/>
    </row>
    <row r="40" spans="1:50" ht="15.75">
      <c r="A40" s="727" t="s">
        <v>1182</v>
      </c>
      <c r="B40" s="572" t="s">
        <v>1181</v>
      </c>
      <c r="C40" s="135"/>
      <c r="D40" s="142" t="s">
        <v>69</v>
      </c>
      <c r="E40" s="631">
        <v>1</v>
      </c>
      <c r="F40" s="112" t="s">
        <v>1060</v>
      </c>
      <c r="G40" s="91"/>
      <c r="H40" s="91"/>
      <c r="I40" s="118"/>
      <c r="K40" s="87"/>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9"/>
    </row>
    <row r="41" spans="1:50" ht="15.75">
      <c r="A41" s="726" t="s">
        <v>960</v>
      </c>
      <c r="B41" s="111" t="s">
        <v>1188</v>
      </c>
      <c r="C41" s="112"/>
      <c r="D41" s="112" t="s">
        <v>961</v>
      </c>
      <c r="E41" s="575">
        <v>12</v>
      </c>
      <c r="F41" s="195" t="s">
        <v>1229</v>
      </c>
      <c r="G41" s="91"/>
      <c r="H41" s="91"/>
      <c r="I41" s="118"/>
      <c r="K41" s="87"/>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9"/>
    </row>
    <row r="42" spans="1:50" ht="15.75">
      <c r="A42" s="726" t="s">
        <v>962</v>
      </c>
      <c r="B42" s="111" t="s">
        <v>1190</v>
      </c>
      <c r="C42" s="112"/>
      <c r="D42" s="112" t="s">
        <v>961</v>
      </c>
      <c r="E42" s="584">
        <v>1.2E-2</v>
      </c>
      <c r="F42" s="195" t="s">
        <v>1228</v>
      </c>
      <c r="G42" s="91"/>
      <c r="H42" s="91"/>
      <c r="I42" s="118"/>
      <c r="K42" s="87"/>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8"/>
      <c r="AX42" s="89"/>
    </row>
    <row r="43" spans="1:50" ht="15">
      <c r="A43" s="698"/>
      <c r="B43" s="111"/>
      <c r="C43" s="604"/>
      <c r="D43" s="604"/>
      <c r="E43" s="143"/>
      <c r="F43" s="134"/>
      <c r="G43" s="91"/>
      <c r="H43" s="91"/>
      <c r="I43" s="118"/>
      <c r="K43" s="87"/>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9"/>
    </row>
    <row r="44" spans="1:50" ht="15">
      <c r="A44" s="144" t="s">
        <v>393</v>
      </c>
      <c r="B44" s="132"/>
      <c r="C44" s="138"/>
      <c r="D44" s="142"/>
      <c r="E44" s="143"/>
      <c r="F44" s="146"/>
      <c r="G44" s="91"/>
      <c r="H44" s="91"/>
      <c r="I44" s="118"/>
      <c r="K44" s="87"/>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9"/>
    </row>
    <row r="45" spans="1:50" ht="12.75" customHeight="1">
      <c r="A45" s="131" t="s">
        <v>430</v>
      </c>
      <c r="B45" s="132"/>
      <c r="C45" s="138"/>
      <c r="D45" s="142"/>
      <c r="E45" s="143"/>
      <c r="F45" s="146"/>
      <c r="G45" s="91"/>
      <c r="H45" s="91"/>
      <c r="I45" s="118"/>
      <c r="K45" s="87"/>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9"/>
    </row>
    <row r="46" spans="1:50" ht="12.75" customHeight="1">
      <c r="A46" s="145"/>
      <c r="B46" s="132"/>
      <c r="C46" s="138"/>
      <c r="D46" s="142"/>
      <c r="E46" s="143"/>
      <c r="F46" s="146"/>
      <c r="G46" s="91"/>
      <c r="H46" s="91"/>
      <c r="I46" s="118"/>
      <c r="K46" s="87"/>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9"/>
    </row>
    <row r="47" spans="1:50" ht="18.75" customHeight="1">
      <c r="A47" s="95" t="s">
        <v>474</v>
      </c>
      <c r="B47" s="132"/>
      <c r="C47" s="138"/>
      <c r="D47" s="142"/>
      <c r="E47" s="143"/>
      <c r="F47" s="146"/>
      <c r="G47" s="91"/>
      <c r="H47" s="91"/>
      <c r="I47" s="118"/>
      <c r="K47" s="87"/>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9"/>
    </row>
    <row r="48" spans="1:50" ht="18.75" customHeight="1">
      <c r="A48" s="724" t="s">
        <v>432</v>
      </c>
      <c r="B48" s="197" t="s">
        <v>487</v>
      </c>
      <c r="C48" s="258"/>
      <c r="D48" s="259" t="s">
        <v>434</v>
      </c>
      <c r="E48" s="634">
        <v>1000</v>
      </c>
      <c r="F48" s="146"/>
      <c r="G48" s="91"/>
      <c r="H48" s="91"/>
      <c r="I48" s="118"/>
      <c r="K48" s="87"/>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9"/>
    </row>
    <row r="49" spans="1:50" ht="12.75" customHeight="1">
      <c r="A49" s="724" t="s">
        <v>433</v>
      </c>
      <c r="B49" s="197" t="s">
        <v>486</v>
      </c>
      <c r="C49" s="258"/>
      <c r="D49" s="259" t="s">
        <v>435</v>
      </c>
      <c r="E49" s="635">
        <v>1.16E-3</v>
      </c>
      <c r="F49" s="146"/>
      <c r="G49" s="91"/>
      <c r="H49" s="91"/>
      <c r="I49" s="118"/>
      <c r="K49" s="87"/>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9"/>
    </row>
    <row r="50" spans="1:50" ht="12.75" customHeight="1">
      <c r="A50" s="260"/>
      <c r="B50" s="132"/>
      <c r="C50" s="138"/>
      <c r="D50" s="142"/>
      <c r="E50" s="261"/>
      <c r="F50" s="146"/>
      <c r="G50" s="91"/>
      <c r="H50" s="91"/>
      <c r="I50" s="118"/>
      <c r="K50" s="87"/>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c r="AV50" s="88"/>
      <c r="AW50" s="88"/>
      <c r="AX50" s="89"/>
    </row>
    <row r="51" spans="1:50" ht="12.75" customHeight="1">
      <c r="A51" s="145"/>
      <c r="B51" s="132"/>
      <c r="C51" s="138"/>
      <c r="D51" s="142"/>
      <c r="E51" s="143"/>
      <c r="F51" s="146"/>
      <c r="G51" s="91"/>
      <c r="H51" s="91"/>
      <c r="I51" s="118"/>
      <c r="K51" s="87"/>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9"/>
    </row>
    <row r="52" spans="1:50" ht="12.75" customHeight="1">
      <c r="A52" s="145"/>
      <c r="B52" s="132"/>
      <c r="C52" s="138"/>
      <c r="D52" s="142"/>
      <c r="E52" s="143"/>
      <c r="F52" s="146"/>
      <c r="G52" s="91"/>
      <c r="H52" s="91"/>
      <c r="I52" s="118"/>
      <c r="K52" s="87"/>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9"/>
    </row>
    <row r="53" spans="1:50" ht="15">
      <c r="A53" s="145"/>
      <c r="B53" s="132"/>
      <c r="C53" s="138"/>
      <c r="D53" s="142"/>
      <c r="E53" s="143"/>
      <c r="F53" s="146"/>
      <c r="G53" s="91"/>
      <c r="H53" s="91"/>
      <c r="I53" s="118"/>
      <c r="K53" s="87"/>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9"/>
    </row>
    <row r="54" spans="1:50" ht="15">
      <c r="A54" s="147"/>
      <c r="B54" s="132"/>
      <c r="C54" s="138"/>
      <c r="D54" s="98"/>
      <c r="E54" s="141"/>
      <c r="F54" s="146"/>
      <c r="G54" s="91"/>
      <c r="H54" s="91"/>
      <c r="I54" s="118"/>
      <c r="K54" s="87"/>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c r="AX54" s="89"/>
    </row>
    <row r="55" spans="1:50" ht="18" customHeight="1">
      <c r="A55" s="147"/>
      <c r="B55" s="132"/>
      <c r="C55" s="138"/>
      <c r="D55" s="142"/>
      <c r="E55" s="141"/>
      <c r="F55" s="146"/>
      <c r="G55" s="91"/>
      <c r="H55" s="91"/>
      <c r="I55" s="118"/>
      <c r="K55" s="104"/>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6"/>
    </row>
    <row r="58" spans="1:50">
      <c r="N58" s="75" t="s">
        <v>208</v>
      </c>
    </row>
  </sheetData>
  <mergeCells count="1">
    <mergeCell ref="A1:I1"/>
  </mergeCells>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7498687-614F-4A1C-8514-B91FC488E6B9}">
          <x14:formula1>
            <xm:f>Data_tables!$A$23:$A$27</xm:f>
          </x14:formula1>
          <xm:sqref>E30</xm:sqref>
        </x14:dataValidation>
        <x14:dataValidation type="list" allowBlank="1" showInputMessage="1" showErrorMessage="1" xr:uid="{03682508-A1EC-4E7D-ABF5-3316114559E0}">
          <x14:formula1>
            <xm:f>Data_tables!$A$13:$A$15</xm:f>
          </x14:formula1>
          <xm:sqref>E38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BDA8A-F0A3-40DD-B281-F4539F475A68}">
  <sheetPr>
    <tabColor rgb="FF92D050"/>
  </sheetPr>
  <dimension ref="A2:N186"/>
  <sheetViews>
    <sheetView tabSelected="1" topLeftCell="E63" workbookViewId="0">
      <selection activeCell="D74" sqref="D74"/>
    </sheetView>
  </sheetViews>
  <sheetFormatPr defaultColWidth="9.140625" defaultRowHeight="12.75"/>
  <cols>
    <col min="1" max="1" width="44.7109375" style="75" customWidth="1"/>
    <col min="2" max="2" width="17.42578125" style="75" customWidth="1"/>
    <col min="3" max="3" width="20.42578125" style="75" bestFit="1" customWidth="1"/>
    <col min="4" max="4" width="11.85546875" style="75" customWidth="1"/>
    <col min="5" max="5" width="11" style="75" customWidth="1"/>
    <col min="6" max="6" width="13.28515625" style="262" customWidth="1"/>
    <col min="7" max="7" width="49" style="262" customWidth="1"/>
    <col min="8" max="8" width="29.85546875" style="262" customWidth="1"/>
    <col min="9" max="9" width="14" style="75" customWidth="1"/>
    <col min="10" max="10" width="94.5703125" style="75" customWidth="1"/>
    <col min="11" max="11" width="29.42578125" style="75" customWidth="1"/>
    <col min="12" max="19" width="9.140625" style="75"/>
    <col min="20" max="21" width="9.140625" style="75" customWidth="1"/>
    <col min="22" max="22" width="19" style="75" customWidth="1"/>
    <col min="23" max="26" width="9.140625" style="75" customWidth="1"/>
    <col min="27" max="16384" width="9.140625" style="75"/>
  </cols>
  <sheetData>
    <row r="2" spans="1:11" ht="15">
      <c r="A2" s="107" t="s">
        <v>73</v>
      </c>
      <c r="B2" s="107" t="s">
        <v>198</v>
      </c>
      <c r="C2" s="108" t="s">
        <v>199</v>
      </c>
      <c r="D2" s="107" t="s">
        <v>200</v>
      </c>
      <c r="E2" s="107" t="s">
        <v>201</v>
      </c>
      <c r="F2" s="499" t="s">
        <v>215</v>
      </c>
      <c r="G2" s="499" t="s">
        <v>1076</v>
      </c>
      <c r="H2" s="499" t="s">
        <v>97</v>
      </c>
      <c r="I2" s="107" t="s">
        <v>1073</v>
      </c>
      <c r="J2" s="107" t="s">
        <v>1075</v>
      </c>
      <c r="K2" s="107"/>
    </row>
    <row r="3" spans="1:11">
      <c r="A3" s="94"/>
      <c r="B3" s="94"/>
      <c r="C3" s="85"/>
      <c r="D3" s="94"/>
      <c r="E3" s="94"/>
      <c r="F3" s="112"/>
      <c r="G3" s="112"/>
      <c r="H3" s="112"/>
      <c r="I3" s="94"/>
      <c r="J3" s="94"/>
      <c r="K3" s="94"/>
    </row>
    <row r="4" spans="1:11">
      <c r="A4" s="109"/>
      <c r="B4" s="111"/>
      <c r="C4" s="112"/>
      <c r="D4" s="112"/>
      <c r="E4" s="113"/>
      <c r="F4" s="113"/>
      <c r="G4" s="113"/>
      <c r="H4" s="113"/>
      <c r="I4" s="112"/>
      <c r="J4" s="110"/>
      <c r="K4" s="93"/>
    </row>
    <row r="5" spans="1:11">
      <c r="A5" s="645"/>
      <c r="B5" s="646"/>
      <c r="C5" s="647"/>
      <c r="D5" s="647"/>
      <c r="E5" s="648"/>
      <c r="F5" s="648"/>
      <c r="G5" s="648"/>
      <c r="H5" s="648"/>
      <c r="I5" s="647"/>
      <c r="J5" s="649"/>
      <c r="K5" s="93"/>
    </row>
    <row r="6" spans="1:11">
      <c r="A6" s="645"/>
      <c r="B6" s="646"/>
      <c r="C6" s="647"/>
      <c r="D6" s="647"/>
      <c r="E6" s="648"/>
      <c r="F6" s="648"/>
      <c r="G6" s="648"/>
      <c r="H6" s="648"/>
      <c r="I6" s="647"/>
      <c r="J6" s="649"/>
      <c r="K6" s="93"/>
    </row>
    <row r="7" spans="1:11">
      <c r="A7" s="645"/>
      <c r="B7" s="646"/>
      <c r="C7" s="647"/>
      <c r="D7" s="647"/>
      <c r="E7" s="648"/>
      <c r="F7" s="648"/>
      <c r="G7" s="648"/>
      <c r="H7" s="648"/>
      <c r="I7" s="647"/>
      <c r="J7" s="649"/>
      <c r="K7" s="93"/>
    </row>
    <row r="8" spans="1:11">
      <c r="A8" s="573" t="s">
        <v>360</v>
      </c>
      <c r="B8" s="574"/>
      <c r="C8" s="574"/>
      <c r="D8" s="574"/>
      <c r="E8" s="574"/>
      <c r="F8" s="574"/>
      <c r="G8" s="574"/>
      <c r="H8" s="574"/>
      <c r="I8" s="574"/>
      <c r="J8" s="640"/>
      <c r="K8" s="112"/>
    </row>
    <row r="10" spans="1:11">
      <c r="A10" s="256"/>
      <c r="B10" s="483"/>
      <c r="C10" s="185"/>
      <c r="D10" s="185"/>
      <c r="E10" s="194"/>
      <c r="F10" s="194"/>
      <c r="G10" s="194"/>
      <c r="H10" s="194"/>
      <c r="I10" s="185"/>
      <c r="J10" s="512"/>
      <c r="K10" s="513"/>
    </row>
    <row r="11" spans="1:11" ht="15">
      <c r="A11" s="651" t="s">
        <v>1276</v>
      </c>
      <c r="B11" s="483"/>
      <c r="C11" s="185"/>
      <c r="D11" s="185"/>
      <c r="E11" s="194"/>
      <c r="F11" s="194"/>
      <c r="G11" s="194"/>
      <c r="H11" s="194"/>
      <c r="I11" s="185"/>
      <c r="J11" s="512"/>
      <c r="K11" s="513"/>
    </row>
    <row r="12" spans="1:11" ht="18">
      <c r="A12" s="196" t="s">
        <v>432</v>
      </c>
      <c r="B12" s="197" t="s">
        <v>487</v>
      </c>
      <c r="C12" s="258"/>
      <c r="D12" s="259" t="s">
        <v>434</v>
      </c>
      <c r="E12" s="657">
        <f>+Method_input!E48</f>
        <v>1000</v>
      </c>
      <c r="F12" s="194"/>
      <c r="G12" s="194"/>
      <c r="H12" s="194"/>
      <c r="I12" s="185"/>
      <c r="J12" s="512"/>
      <c r="K12" s="513"/>
    </row>
    <row r="13" spans="1:11" ht="18">
      <c r="A13" s="196" t="s">
        <v>433</v>
      </c>
      <c r="B13" s="197" t="s">
        <v>486</v>
      </c>
      <c r="C13" s="258"/>
      <c r="D13" s="259" t="s">
        <v>435</v>
      </c>
      <c r="E13" s="658">
        <f>+Method_input!E49</f>
        <v>1.16E-3</v>
      </c>
      <c r="F13" s="194"/>
      <c r="G13" s="194"/>
      <c r="H13" s="194"/>
      <c r="I13" s="185"/>
      <c r="J13" s="512"/>
      <c r="K13" s="513"/>
    </row>
    <row r="14" spans="1:11" ht="15">
      <c r="A14" s="672"/>
      <c r="B14" s="669"/>
      <c r="C14" s="670"/>
      <c r="D14" s="671"/>
      <c r="E14" s="725"/>
      <c r="F14" s="194"/>
      <c r="G14" s="194"/>
      <c r="H14" s="194"/>
      <c r="I14" s="185"/>
      <c r="J14" s="512"/>
      <c r="K14" s="513"/>
    </row>
    <row r="15" spans="1:11">
      <c r="A15" s="256"/>
      <c r="B15" s="483"/>
      <c r="C15" s="185"/>
      <c r="D15" s="185"/>
      <c r="E15" s="194"/>
      <c r="F15" s="194"/>
      <c r="G15" s="194"/>
      <c r="H15" s="194"/>
      <c r="I15" s="185"/>
      <c r="J15" s="512"/>
      <c r="K15" s="513"/>
    </row>
    <row r="16" spans="1:11" ht="15">
      <c r="A16" s="651" t="s">
        <v>1275</v>
      </c>
      <c r="B16" s="646"/>
      <c r="C16" s="647"/>
      <c r="D16" s="647"/>
      <c r="E16" s="648"/>
      <c r="F16" s="648"/>
      <c r="G16" s="650"/>
      <c r="H16" s="194"/>
      <c r="I16" s="185"/>
      <c r="J16" s="512"/>
      <c r="K16" s="513"/>
    </row>
    <row r="17" spans="1:11" ht="15.75">
      <c r="A17" s="109" t="s">
        <v>911</v>
      </c>
      <c r="B17" s="572" t="s">
        <v>1071</v>
      </c>
      <c r="C17" s="112"/>
      <c r="D17" s="112" t="s">
        <v>207</v>
      </c>
      <c r="E17" s="654">
        <f>+Method_input!E6</f>
        <v>40</v>
      </c>
      <c r="F17" s="113" t="s">
        <v>1074</v>
      </c>
      <c r="G17" s="113"/>
      <c r="H17" s="113"/>
      <c r="I17" s="112" t="str">
        <f>TEXT(E17,"0,0")&amp;" °C"</f>
        <v>40,0 °C</v>
      </c>
      <c r="J17" s="478"/>
      <c r="K17" s="112"/>
    </row>
    <row r="18" spans="1:11" ht="25.5">
      <c r="A18" s="567" t="s">
        <v>319</v>
      </c>
      <c r="B18" s="572" t="s">
        <v>1077</v>
      </c>
      <c r="C18" s="112"/>
      <c r="D18" s="112" t="s">
        <v>207</v>
      </c>
      <c r="E18" s="654">
        <f>+Method_input!E8</f>
        <v>15</v>
      </c>
      <c r="F18" s="113" t="s">
        <v>1074</v>
      </c>
      <c r="G18" s="113"/>
      <c r="H18" s="653" t="s">
        <v>1078</v>
      </c>
      <c r="I18" s="112" t="str">
        <f>TEXT(E18,"0,0")&amp;" °C"</f>
        <v>15,0 °C</v>
      </c>
      <c r="J18" s="482" t="s">
        <v>637</v>
      </c>
      <c r="K18" s="112"/>
    </row>
    <row r="19" spans="1:11" ht="25.5">
      <c r="A19" s="193" t="s">
        <v>1080</v>
      </c>
      <c r="B19" s="483" t="s">
        <v>1079</v>
      </c>
      <c r="C19" s="185"/>
      <c r="D19" s="185" t="s">
        <v>218</v>
      </c>
      <c r="E19" s="655">
        <f>+Method_input!E9</f>
        <v>2.5</v>
      </c>
      <c r="F19" s="113" t="s">
        <v>1074</v>
      </c>
      <c r="G19" s="194"/>
      <c r="H19" s="653" t="s">
        <v>1078</v>
      </c>
      <c r="I19" s="185"/>
      <c r="J19" s="512"/>
      <c r="K19" s="513"/>
    </row>
    <row r="20" spans="1:11" ht="15">
      <c r="A20" s="651" t="s">
        <v>1274</v>
      </c>
      <c r="B20" s="646"/>
      <c r="C20" s="647"/>
      <c r="D20" s="647"/>
      <c r="E20" s="648"/>
      <c r="F20" s="648"/>
      <c r="G20" s="650"/>
      <c r="H20" s="194"/>
      <c r="I20" s="185"/>
      <c r="J20" s="512"/>
      <c r="K20" s="513"/>
    </row>
    <row r="21" spans="1:11" ht="38.25">
      <c r="A21" s="193" t="s">
        <v>1082</v>
      </c>
      <c r="B21" s="483" t="s">
        <v>1087</v>
      </c>
      <c r="C21" s="185"/>
      <c r="D21" s="185"/>
      <c r="E21" s="655">
        <f>+Method_input!E10</f>
        <v>0.8</v>
      </c>
      <c r="F21" s="113" t="s">
        <v>1074</v>
      </c>
      <c r="G21" s="194"/>
      <c r="H21" s="653" t="s">
        <v>1085</v>
      </c>
      <c r="I21" s="185"/>
      <c r="J21" s="512"/>
      <c r="K21" s="513"/>
    </row>
    <row r="22" spans="1:11" ht="38.25" customHeight="1">
      <c r="A22" s="193" t="s">
        <v>1083</v>
      </c>
      <c r="B22" s="483" t="s">
        <v>1277</v>
      </c>
      <c r="C22" s="185"/>
      <c r="D22" s="185" t="s">
        <v>218</v>
      </c>
      <c r="E22" s="194">
        <f>+E19*E21</f>
        <v>2</v>
      </c>
      <c r="F22" s="113" t="s">
        <v>1081</v>
      </c>
      <c r="G22" s="194"/>
      <c r="H22" s="653"/>
      <c r="I22" s="185"/>
      <c r="J22" s="512"/>
      <c r="K22" s="513"/>
    </row>
    <row r="23" spans="1:11" ht="43.5" customHeight="1">
      <c r="A23" s="193" t="s">
        <v>1084</v>
      </c>
      <c r="B23" s="483" t="s">
        <v>1278</v>
      </c>
      <c r="C23" s="185"/>
      <c r="D23" s="185" t="s">
        <v>436</v>
      </c>
      <c r="E23" s="656">
        <f>+E22/(E12*E13*(E17-E18))</f>
        <v>6.8965517241379323E-2</v>
      </c>
      <c r="F23" s="113" t="s">
        <v>1086</v>
      </c>
      <c r="G23" s="194"/>
      <c r="H23" s="653"/>
      <c r="I23" s="185"/>
      <c r="J23" s="512"/>
      <c r="K23" s="513"/>
    </row>
    <row r="24" spans="1:11" ht="15">
      <c r="A24" s="651" t="s">
        <v>1280</v>
      </c>
      <c r="B24" s="111"/>
      <c r="C24" s="112"/>
      <c r="D24" s="112"/>
      <c r="E24" s="662"/>
      <c r="F24" s="113"/>
      <c r="G24" s="113"/>
      <c r="H24" s="653"/>
      <c r="I24" s="112"/>
      <c r="J24" s="512"/>
      <c r="K24" s="513"/>
    </row>
    <row r="25" spans="1:11" ht="22.5" customHeight="1">
      <c r="A25" s="109" t="s">
        <v>1096</v>
      </c>
      <c r="B25" s="572" t="s">
        <v>1093</v>
      </c>
      <c r="C25" s="112"/>
      <c r="D25" s="112" t="s">
        <v>20</v>
      </c>
      <c r="E25" s="655">
        <f>+Method_input!E20/100</f>
        <v>0.62</v>
      </c>
      <c r="F25" s="113" t="s">
        <v>1074</v>
      </c>
      <c r="G25" s="113"/>
      <c r="H25" s="653" t="s">
        <v>1092</v>
      </c>
      <c r="I25" s="112"/>
      <c r="J25" s="512"/>
      <c r="K25" s="513"/>
    </row>
    <row r="26" spans="1:11" ht="15.75">
      <c r="A26" s="109" t="s">
        <v>1095</v>
      </c>
      <c r="B26" s="572" t="s">
        <v>1094</v>
      </c>
      <c r="C26" s="112"/>
      <c r="D26" s="112" t="s">
        <v>20</v>
      </c>
      <c r="E26" s="655">
        <f>+Method_input!E22/100</f>
        <v>0.65</v>
      </c>
      <c r="F26" s="113" t="s">
        <v>1074</v>
      </c>
      <c r="G26" s="113"/>
      <c r="H26" s="653"/>
      <c r="I26" s="112"/>
      <c r="J26" s="512"/>
      <c r="K26" s="513"/>
    </row>
    <row r="27" spans="1:11" ht="15.75">
      <c r="A27" s="109" t="s">
        <v>1097</v>
      </c>
      <c r="B27" s="111" t="s">
        <v>1098</v>
      </c>
      <c r="C27" s="112"/>
      <c r="D27" s="112" t="s">
        <v>615</v>
      </c>
      <c r="E27" s="654">
        <f>+Method_input!E21</f>
        <v>12.5</v>
      </c>
      <c r="F27" s="113" t="s">
        <v>1074</v>
      </c>
      <c r="G27" s="113"/>
      <c r="H27" s="653"/>
      <c r="I27" s="112"/>
      <c r="J27" s="512"/>
      <c r="K27" s="513"/>
    </row>
    <row r="28" spans="1:11" ht="15.75">
      <c r="A28" s="109" t="s">
        <v>1099</v>
      </c>
      <c r="B28" s="111" t="s">
        <v>1100</v>
      </c>
      <c r="C28" s="112"/>
      <c r="D28" s="112" t="s">
        <v>615</v>
      </c>
      <c r="E28" s="654">
        <f>+Method_input!E23</f>
        <v>9.1999999999999993</v>
      </c>
      <c r="F28" s="113" t="s">
        <v>1074</v>
      </c>
      <c r="G28" s="113"/>
      <c r="H28" s="653"/>
      <c r="I28" s="112"/>
      <c r="J28" s="512"/>
      <c r="K28" s="513"/>
    </row>
    <row r="29" spans="1:11" ht="38.25" customHeight="1">
      <c r="A29" s="109" t="s">
        <v>1101</v>
      </c>
      <c r="B29" s="572" t="s">
        <v>1102</v>
      </c>
      <c r="C29" s="112"/>
      <c r="D29" s="112" t="s">
        <v>20</v>
      </c>
      <c r="E29" s="662">
        <f>+E25+(E26-E25)*(E148-E27)/(E28-E27)</f>
        <v>0.62454545454545451</v>
      </c>
      <c r="F29" s="113"/>
      <c r="G29" s="113"/>
      <c r="H29" s="653"/>
      <c r="I29" s="112"/>
      <c r="J29" s="512"/>
      <c r="K29" s="513"/>
    </row>
    <row r="30" spans="1:11" ht="17.25" customHeight="1">
      <c r="A30" s="109"/>
      <c r="B30" s="111"/>
      <c r="C30" s="112"/>
      <c r="D30" s="112"/>
      <c r="E30" s="662"/>
      <c r="F30" s="113"/>
      <c r="G30" s="113"/>
      <c r="H30" s="653"/>
      <c r="I30" s="112"/>
      <c r="J30" s="512"/>
      <c r="K30" s="513"/>
    </row>
    <row r="31" spans="1:11">
      <c r="A31" s="109"/>
      <c r="B31" s="111"/>
      <c r="C31" s="112"/>
      <c r="D31" s="112"/>
      <c r="E31" s="662"/>
      <c r="F31" s="113"/>
      <c r="G31" s="113"/>
      <c r="H31" s="653"/>
      <c r="I31" s="112"/>
      <c r="J31" s="512"/>
      <c r="K31" s="513"/>
    </row>
    <row r="32" spans="1:11" ht="17.25" customHeight="1" thickBot="1">
      <c r="A32" s="651" t="s">
        <v>1281</v>
      </c>
      <c r="B32" s="646"/>
      <c r="C32" s="647"/>
      <c r="D32" s="647"/>
      <c r="E32" s="648"/>
      <c r="F32" s="648"/>
      <c r="G32" s="650"/>
      <c r="H32" s="194"/>
      <c r="I32" s="185"/>
      <c r="J32" s="512"/>
      <c r="K32" s="513"/>
    </row>
    <row r="33" spans="1:14">
      <c r="A33" s="660" t="s">
        <v>1090</v>
      </c>
      <c r="B33" s="646"/>
      <c r="C33" s="647"/>
      <c r="D33" s="647"/>
      <c r="E33" s="648"/>
      <c r="F33" s="648"/>
      <c r="G33" s="650"/>
      <c r="H33" s="113"/>
      <c r="I33" s="112"/>
      <c r="J33" s="576"/>
      <c r="K33" s="521"/>
      <c r="M33" s="613">
        <f>+$E$34</f>
        <v>35</v>
      </c>
      <c r="N33" s="612">
        <f>+E55</f>
        <v>62.454545454545453</v>
      </c>
    </row>
    <row r="34" spans="1:14" ht="15.75">
      <c r="A34" s="109" t="s">
        <v>914</v>
      </c>
      <c r="B34" s="572" t="s">
        <v>1091</v>
      </c>
      <c r="C34" s="112"/>
      <c r="D34" s="112" t="s">
        <v>207</v>
      </c>
      <c r="E34" s="654">
        <f>+Method_input!E11</f>
        <v>35</v>
      </c>
      <c r="F34" s="113" t="s">
        <v>1074</v>
      </c>
      <c r="G34" s="113"/>
      <c r="H34" s="113"/>
      <c r="I34" s="112" t="str">
        <f>TEXT(E34,"0,0")&amp;" °C"</f>
        <v>35,0 °C</v>
      </c>
      <c r="J34" s="110"/>
      <c r="K34" s="93"/>
    </row>
    <row r="35" spans="1:14" ht="15.75">
      <c r="A35" s="109" t="s">
        <v>912</v>
      </c>
      <c r="B35" s="572" t="s">
        <v>1072</v>
      </c>
      <c r="C35" s="112"/>
      <c r="D35" s="112" t="s">
        <v>207</v>
      </c>
      <c r="E35" s="654">
        <f>+Method_input!E7</f>
        <v>60</v>
      </c>
      <c r="F35" s="113" t="s">
        <v>1074</v>
      </c>
      <c r="G35" s="113"/>
      <c r="H35" s="113"/>
      <c r="I35" s="112" t="str">
        <f>TEXT(E35,"0,0")&amp;" °C"</f>
        <v>60,0 °C</v>
      </c>
      <c r="J35" s="478"/>
      <c r="K35" s="112"/>
    </row>
    <row r="36" spans="1:14" ht="13.5" thickBot="1">
      <c r="A36" s="109"/>
      <c r="B36" s="572"/>
      <c r="C36" s="112"/>
      <c r="D36" s="112"/>
      <c r="E36" s="113"/>
      <c r="F36" s="113"/>
      <c r="G36" s="113"/>
      <c r="H36" s="113"/>
      <c r="I36" s="112"/>
      <c r="J36" s="577"/>
      <c r="K36" s="186"/>
    </row>
    <row r="37" spans="1:14">
      <c r="A37" s="660" t="s">
        <v>1282</v>
      </c>
      <c r="B37" s="646"/>
      <c r="C37" s="647"/>
      <c r="D37" s="647"/>
      <c r="E37" s="648"/>
      <c r="F37" s="648"/>
      <c r="G37" s="650"/>
      <c r="H37" s="113"/>
      <c r="I37" s="112"/>
      <c r="J37" s="576"/>
      <c r="K37" s="521"/>
      <c r="M37" s="613">
        <f>+$E$34</f>
        <v>35</v>
      </c>
      <c r="N37" s="612">
        <f>+E59</f>
        <v>27.490909090909092</v>
      </c>
    </row>
    <row r="38" spans="1:14" ht="42" customHeight="1">
      <c r="A38" s="514" t="s">
        <v>1088</v>
      </c>
      <c r="B38" s="111" t="s">
        <v>1089</v>
      </c>
      <c r="C38" s="187"/>
      <c r="D38" s="659" t="s">
        <v>274</v>
      </c>
      <c r="E38" s="515">
        <f>+(E34-E18)/(E17-E18)</f>
        <v>0.8</v>
      </c>
      <c r="F38" s="515"/>
      <c r="G38"/>
      <c r="H38" s="515"/>
      <c r="I38" s="187"/>
      <c r="J38" s="577"/>
      <c r="K38" s="186"/>
      <c r="M38" s="613">
        <f>+E63</f>
        <v>22.509090909090908</v>
      </c>
      <c r="N38" s="612">
        <f>+$E$148</f>
        <v>12</v>
      </c>
    </row>
    <row r="39" spans="1:14" ht="24.75" customHeight="1">
      <c r="A39" s="663" t="s">
        <v>1203</v>
      </c>
      <c r="B39" s="572" t="s">
        <v>1279</v>
      </c>
      <c r="C39" s="94"/>
      <c r="D39" s="94"/>
      <c r="E39" s="664">
        <f>+E29</f>
        <v>0.62454545454545451</v>
      </c>
      <c r="F39" s="515"/>
      <c r="G39" s="113"/>
      <c r="H39" s="515"/>
      <c r="I39" s="187"/>
      <c r="J39" s="577"/>
      <c r="K39" s="93"/>
    </row>
    <row r="40" spans="1:14">
      <c r="A40" s="94"/>
      <c r="B40" s="94"/>
      <c r="C40" s="94"/>
      <c r="D40" s="94"/>
      <c r="E40" s="94"/>
      <c r="F40" s="515"/>
      <c r="G40" s="515"/>
      <c r="H40" s="515"/>
      <c r="I40" s="187"/>
      <c r="J40" s="577"/>
      <c r="K40" s="93"/>
    </row>
    <row r="41" spans="1:14">
      <c r="A41" s="94"/>
      <c r="B41" s="94"/>
      <c r="C41" s="94"/>
      <c r="D41" s="94"/>
      <c r="E41" s="94"/>
      <c r="F41" s="113"/>
      <c r="G41" s="113"/>
      <c r="H41" s="113"/>
      <c r="I41" s="112"/>
      <c r="J41" s="512"/>
      <c r="K41" s="513"/>
    </row>
    <row r="42" spans="1:14">
      <c r="A42" s="94"/>
      <c r="B42" s="94"/>
      <c r="C42" s="94"/>
      <c r="D42" s="94"/>
      <c r="E42" s="94"/>
      <c r="F42" s="113"/>
      <c r="G42" s="113"/>
      <c r="H42" s="113"/>
      <c r="I42" s="112"/>
      <c r="J42" s="512"/>
      <c r="K42" s="513"/>
    </row>
    <row r="43" spans="1:14">
      <c r="A43" s="109"/>
      <c r="B43" s="111"/>
      <c r="C43" s="112"/>
      <c r="D43" s="112"/>
      <c r="E43" s="113"/>
      <c r="F43" s="515"/>
      <c r="G43" s="515"/>
      <c r="H43" s="515"/>
      <c r="I43" s="187"/>
      <c r="J43" s="577"/>
      <c r="K43" s="93"/>
    </row>
    <row r="44" spans="1:14">
      <c r="A44" s="667" t="s">
        <v>1152</v>
      </c>
      <c r="B44" s="201"/>
      <c r="C44" s="187"/>
      <c r="D44" s="187"/>
      <c r="E44" s="515"/>
      <c r="F44" s="515"/>
      <c r="G44" s="515"/>
      <c r="H44" s="515"/>
      <c r="I44" s="187"/>
      <c r="J44" s="577"/>
      <c r="K44" s="93"/>
    </row>
    <row r="45" spans="1:14" ht="15.75">
      <c r="A45" s="733" t="s">
        <v>1153</v>
      </c>
      <c r="B45" s="734" t="s">
        <v>1230</v>
      </c>
      <c r="C45" s="735"/>
      <c r="D45" s="735" t="s">
        <v>615</v>
      </c>
      <c r="E45" s="736">
        <f>+E148</f>
        <v>12</v>
      </c>
      <c r="F45" s="515"/>
      <c r="G45" s="515"/>
      <c r="H45" s="515"/>
      <c r="I45" s="187"/>
      <c r="J45" s="577"/>
      <c r="K45" s="93"/>
    </row>
    <row r="46" spans="1:14">
      <c r="A46" s="733" t="s">
        <v>917</v>
      </c>
      <c r="B46" s="734" t="s">
        <v>1231</v>
      </c>
      <c r="C46" s="737"/>
      <c r="D46" s="737" t="s">
        <v>915</v>
      </c>
      <c r="E46" s="738">
        <f>+E148*0.06*E13*E12*(E17-E18)</f>
        <v>20.880000000000003</v>
      </c>
      <c r="F46" s="515"/>
      <c r="G46" s="515"/>
      <c r="H46" s="515"/>
      <c r="I46" s="187"/>
      <c r="J46" s="577"/>
      <c r="K46" s="93"/>
    </row>
    <row r="47" spans="1:14">
      <c r="A47" s="739"/>
      <c r="B47" s="740"/>
      <c r="C47" s="741"/>
      <c r="D47" s="741"/>
      <c r="E47" s="742"/>
      <c r="F47" s="515"/>
      <c r="G47" s="515"/>
      <c r="H47" s="515"/>
      <c r="I47" s="187"/>
      <c r="J47" s="577"/>
      <c r="K47" s="93"/>
    </row>
    <row r="48" spans="1:14">
      <c r="A48" s="733" t="s">
        <v>924</v>
      </c>
      <c r="B48" s="743"/>
      <c r="C48" s="735"/>
      <c r="D48" s="735" t="s">
        <v>615</v>
      </c>
      <c r="E48" s="738">
        <f>+$E$148</f>
        <v>12</v>
      </c>
      <c r="F48" s="113"/>
      <c r="G48" s="113"/>
      <c r="H48" s="113"/>
      <c r="I48" s="112" t="str">
        <f>TEXT(E48,"0,0")&amp;" l/min"</f>
        <v>12,0 l/min</v>
      </c>
      <c r="J48" s="577"/>
      <c r="K48" s="93"/>
    </row>
    <row r="49" spans="1:11">
      <c r="A49" s="733" t="s">
        <v>925</v>
      </c>
      <c r="B49" s="737"/>
      <c r="C49" s="737"/>
      <c r="D49" s="735" t="s">
        <v>615</v>
      </c>
      <c r="E49" s="738">
        <f>+$E$45</f>
        <v>12</v>
      </c>
      <c r="F49" s="113"/>
      <c r="G49" s="113"/>
      <c r="H49" s="113"/>
      <c r="I49" s="112" t="str">
        <f>TEXT(E49,"0,0")&amp;" l/min"</f>
        <v>12,0 l/min</v>
      </c>
      <c r="J49" s="577"/>
      <c r="K49" s="93"/>
    </row>
    <row r="50" spans="1:11">
      <c r="A50" s="744" t="s">
        <v>922</v>
      </c>
      <c r="B50" s="745"/>
      <c r="C50" s="737"/>
      <c r="D50" s="737" t="s">
        <v>207</v>
      </c>
      <c r="E50" s="738">
        <f>+$E$18</f>
        <v>15</v>
      </c>
      <c r="F50" s="113"/>
      <c r="G50" s="113"/>
      <c r="H50" s="113"/>
      <c r="I50" s="112" t="str">
        <f t="shared" ref="I50:I51" si="0">TEXT(E50,"0,0")&amp;" °C"</f>
        <v>15,0 °C</v>
      </c>
      <c r="J50" s="577"/>
      <c r="K50" s="93"/>
    </row>
    <row r="51" spans="1:11">
      <c r="A51" s="744" t="s">
        <v>923</v>
      </c>
      <c r="B51" s="745"/>
      <c r="C51" s="737"/>
      <c r="D51" s="737" t="s">
        <v>207</v>
      </c>
      <c r="E51" s="738">
        <f>+$E$34</f>
        <v>35</v>
      </c>
      <c r="F51" s="113"/>
      <c r="G51" s="113"/>
      <c r="H51" s="113"/>
      <c r="I51" s="112" t="str">
        <f t="shared" si="0"/>
        <v>35,0 °C</v>
      </c>
      <c r="J51" s="577"/>
      <c r="K51" s="93"/>
    </row>
    <row r="52" spans="1:11">
      <c r="A52" s="744" t="s">
        <v>916</v>
      </c>
      <c r="B52" s="745"/>
      <c r="C52" s="737"/>
      <c r="D52" s="737" t="s">
        <v>915</v>
      </c>
      <c r="E52" s="738">
        <f>+MIN(E48:E49)*0.06*1.16*(E51-E50)</f>
        <v>16.704000000000001</v>
      </c>
      <c r="F52" s="641"/>
      <c r="G52" s="641"/>
      <c r="H52" s="641"/>
      <c r="J52" s="577"/>
      <c r="K52" s="93"/>
    </row>
    <row r="53" spans="1:11">
      <c r="A53" s="746" t="s">
        <v>1088</v>
      </c>
      <c r="B53" s="737"/>
      <c r="C53" s="737"/>
      <c r="D53" s="737"/>
      <c r="E53" s="747">
        <f>+E52/$E$46</f>
        <v>0.79999999999999993</v>
      </c>
      <c r="F53" s="642"/>
      <c r="G53" s="642"/>
      <c r="H53" s="642"/>
      <c r="I53" s="94"/>
      <c r="J53" s="577"/>
      <c r="K53" s="93"/>
    </row>
    <row r="54" spans="1:11">
      <c r="A54" s="748"/>
      <c r="B54" s="748"/>
      <c r="C54" s="748"/>
      <c r="D54" s="748"/>
      <c r="E54" s="748"/>
      <c r="F54" s="75"/>
      <c r="G54" s="75"/>
      <c r="H54" s="75"/>
      <c r="J54" s="577"/>
      <c r="K54" s="93"/>
    </row>
    <row r="55" spans="1:11">
      <c r="A55" s="744" t="s">
        <v>931</v>
      </c>
      <c r="B55" s="737"/>
      <c r="C55" s="737"/>
      <c r="D55" s="737" t="s">
        <v>431</v>
      </c>
      <c r="E55" s="749">
        <f>+E29*100</f>
        <v>62.454545454545453</v>
      </c>
      <c r="F55" s="112"/>
      <c r="G55" s="112"/>
      <c r="H55" s="112"/>
      <c r="I55" s="94"/>
      <c r="J55" s="577"/>
      <c r="K55" s="93"/>
    </row>
    <row r="56" spans="1:11">
      <c r="A56" s="744" t="s">
        <v>932</v>
      </c>
      <c r="B56" s="737"/>
      <c r="C56" s="737"/>
      <c r="D56" s="737" t="s">
        <v>915</v>
      </c>
      <c r="E56" s="750">
        <f>+E55*E52/100</f>
        <v>10.432407272727273</v>
      </c>
      <c r="F56" s="643"/>
      <c r="G56" s="643"/>
      <c r="H56" s="643"/>
      <c r="I56" s="94"/>
      <c r="J56" s="577"/>
      <c r="K56" s="93"/>
    </row>
    <row r="57" spans="1:11">
      <c r="A57" s="733" t="s">
        <v>930</v>
      </c>
      <c r="B57" s="743"/>
      <c r="C57" s="735"/>
      <c r="D57" s="735" t="s">
        <v>431</v>
      </c>
      <c r="E57" s="751">
        <f>+E56/$E$46</f>
        <v>0.4996363636363636</v>
      </c>
      <c r="F57" s="557"/>
      <c r="G57" s="557"/>
      <c r="H57" s="557"/>
      <c r="I57" s="112"/>
      <c r="J57" s="577"/>
      <c r="K57" s="93"/>
    </row>
    <row r="58" spans="1:11">
      <c r="A58" s="733"/>
      <c r="B58" s="743"/>
      <c r="C58" s="735"/>
      <c r="D58" s="735"/>
      <c r="E58" s="736"/>
      <c r="F58" s="113"/>
      <c r="G58" s="113"/>
      <c r="H58" s="113"/>
      <c r="I58" s="112"/>
      <c r="J58" s="577"/>
      <c r="K58" s="93"/>
    </row>
    <row r="59" spans="1:11">
      <c r="A59" s="744" t="s">
        <v>929</v>
      </c>
      <c r="B59" s="737"/>
      <c r="C59" s="737"/>
      <c r="D59" s="737" t="s">
        <v>207</v>
      </c>
      <c r="E59" s="750">
        <f>+E50+E55*(E34-E18)/100</f>
        <v>27.490909090909092</v>
      </c>
      <c r="F59" s="643"/>
      <c r="G59" s="643"/>
      <c r="H59" s="643"/>
      <c r="I59" s="112" t="str">
        <f t="shared" ref="I59" si="1">TEXT(E59,"0,0")&amp;" °C"</f>
        <v>27,5 °C</v>
      </c>
      <c r="J59" s="577"/>
      <c r="K59" s="93"/>
    </row>
    <row r="60" spans="1:11">
      <c r="A60" s="744" t="s">
        <v>1160</v>
      </c>
      <c r="B60" s="752"/>
      <c r="C60" s="737"/>
      <c r="D60" s="737"/>
      <c r="E60" s="753">
        <f>+($E$17-E59)/($E$35-E59)</f>
        <v>0.38478747203579416</v>
      </c>
      <c r="F60" s="644"/>
      <c r="G60" s="644"/>
      <c r="H60" s="644"/>
      <c r="I60" s="94"/>
      <c r="J60" s="577"/>
      <c r="K60" s="93"/>
    </row>
    <row r="61" spans="1:11">
      <c r="A61" s="733" t="s">
        <v>1161</v>
      </c>
      <c r="B61" s="754"/>
      <c r="C61" s="755"/>
      <c r="D61" s="735" t="s">
        <v>615</v>
      </c>
      <c r="E61" s="738">
        <f>+$E$148*E60</f>
        <v>4.6174496644295298</v>
      </c>
      <c r="F61" s="113"/>
      <c r="G61" s="113"/>
      <c r="H61" s="113"/>
      <c r="I61" s="112" t="str">
        <f>TEXT(E61,"0,0")&amp;" l/min"</f>
        <v>4,6 l/min</v>
      </c>
      <c r="J61" s="577"/>
      <c r="K61" s="93"/>
    </row>
    <row r="62" spans="1:11">
      <c r="A62" s="733" t="s">
        <v>928</v>
      </c>
      <c r="B62" s="743"/>
      <c r="C62" s="735"/>
      <c r="D62" s="735" t="s">
        <v>615</v>
      </c>
      <c r="E62" s="736">
        <f>+$E$148-E61</f>
        <v>7.3825503355704702</v>
      </c>
      <c r="F62" s="673"/>
      <c r="G62" s="113"/>
      <c r="H62" s="113"/>
      <c r="I62" s="112" t="str">
        <f>TEXT(E62,"0,0")&amp;" l/min"</f>
        <v>7,4 l/min</v>
      </c>
      <c r="J62" s="577"/>
      <c r="K62" s="93"/>
    </row>
    <row r="63" spans="1:11">
      <c r="A63" s="733" t="s">
        <v>1059</v>
      </c>
      <c r="B63" s="743"/>
      <c r="C63" s="735"/>
      <c r="D63" s="735" t="s">
        <v>207</v>
      </c>
      <c r="E63" s="736">
        <f>+E51-(E59-E50)</f>
        <v>22.509090909090908</v>
      </c>
      <c r="F63" s="113"/>
      <c r="G63" s="113"/>
      <c r="H63" s="113"/>
      <c r="I63" s="112" t="str">
        <f t="shared" ref="I63" si="2">TEXT(E63,"0,0")&amp;" °C"</f>
        <v>22,5 °C</v>
      </c>
      <c r="J63" s="577"/>
      <c r="K63" s="93"/>
    </row>
    <row r="64" spans="1:11">
      <c r="A64" s="733"/>
      <c r="B64" s="743"/>
      <c r="C64" s="735"/>
      <c r="D64" s="735"/>
      <c r="E64" s="736"/>
      <c r="F64" s="113"/>
      <c r="G64" s="113"/>
      <c r="H64" s="113"/>
      <c r="I64" s="112"/>
      <c r="J64" s="577"/>
      <c r="K64" s="93"/>
    </row>
    <row r="65" spans="1:14">
      <c r="A65" s="733" t="s">
        <v>960</v>
      </c>
      <c r="B65" s="743"/>
      <c r="C65" s="735"/>
      <c r="D65" s="735" t="s">
        <v>961</v>
      </c>
      <c r="E65" s="756">
        <v>15</v>
      </c>
      <c r="F65" s="113"/>
      <c r="G65" s="113"/>
      <c r="H65" s="113"/>
      <c r="I65" s="112"/>
      <c r="J65" s="577"/>
      <c r="K65" s="93"/>
    </row>
    <row r="66" spans="1:14">
      <c r="A66" s="733" t="s">
        <v>962</v>
      </c>
      <c r="B66" s="743"/>
      <c r="C66" s="735"/>
      <c r="D66" s="735" t="s">
        <v>961</v>
      </c>
      <c r="E66" s="757">
        <v>1.6E-2</v>
      </c>
      <c r="F66" s="94"/>
      <c r="G66" s="94"/>
      <c r="H66" s="94"/>
      <c r="I66" s="94"/>
      <c r="J66" s="577"/>
      <c r="K66" s="93"/>
    </row>
    <row r="67" spans="1:14">
      <c r="A67" s="733" t="s">
        <v>963</v>
      </c>
      <c r="B67" s="743"/>
      <c r="C67" s="735"/>
      <c r="D67" s="735" t="s">
        <v>69</v>
      </c>
      <c r="E67" s="736">
        <f>+E66*E66*3.1415*0.25*1000*E65</f>
        <v>3.0158399999999999</v>
      </c>
      <c r="F67" s="94"/>
      <c r="G67" s="94"/>
      <c r="H67" s="94"/>
      <c r="I67" s="94"/>
      <c r="J67" s="577"/>
      <c r="K67" s="93"/>
    </row>
    <row r="68" spans="1:14">
      <c r="A68" s="733" t="s">
        <v>964</v>
      </c>
      <c r="B68" s="743"/>
      <c r="C68" s="735"/>
      <c r="D68" s="735" t="s">
        <v>69</v>
      </c>
      <c r="E68" s="736">
        <f>+E67+$E$153/2+$E$152</f>
        <v>4.7658399999999999</v>
      </c>
      <c r="F68" s="113"/>
      <c r="G68" s="113"/>
      <c r="H68" s="113"/>
      <c r="I68" s="112"/>
      <c r="J68" s="577"/>
      <c r="K68" s="93"/>
    </row>
    <row r="69" spans="1:14">
      <c r="A69" s="733" t="s">
        <v>903</v>
      </c>
      <c r="B69" s="743"/>
      <c r="C69" s="735"/>
      <c r="D69" s="735"/>
      <c r="E69" s="736">
        <f>+($E$150-E68)/$E$150</f>
        <v>0.92056933333333335</v>
      </c>
      <c r="F69" s="113"/>
      <c r="G69" s="113"/>
      <c r="H69" s="113"/>
      <c r="I69" s="112"/>
      <c r="J69" s="577"/>
      <c r="K69" s="93"/>
    </row>
    <row r="70" spans="1:14" ht="13.5" thickBot="1">
      <c r="A70" s="522"/>
      <c r="B70" s="272"/>
      <c r="C70" s="275"/>
      <c r="D70" s="275"/>
      <c r="E70" s="274"/>
      <c r="F70" s="274"/>
      <c r="G70" s="274"/>
      <c r="H70" s="274"/>
      <c r="I70" s="275"/>
      <c r="J70" s="578"/>
      <c r="K70" s="273"/>
    </row>
    <row r="71" spans="1:14">
      <c r="A71" s="660" t="s">
        <v>1283</v>
      </c>
      <c r="B71" s="518"/>
      <c r="C71" s="519"/>
      <c r="D71" s="519"/>
      <c r="E71" s="520"/>
      <c r="F71" s="520"/>
      <c r="G71" s="520"/>
      <c r="H71" s="520"/>
      <c r="I71" s="519"/>
      <c r="J71" s="576"/>
      <c r="K71" s="521"/>
      <c r="M71" s="613">
        <f>+$E$34</f>
        <v>35</v>
      </c>
      <c r="N71" s="612">
        <f>+E59</f>
        <v>27.490909090909092</v>
      </c>
    </row>
    <row r="72" spans="1:14" ht="28.5" customHeight="1">
      <c r="A72" s="514" t="s">
        <v>1162</v>
      </c>
      <c r="B72" s="572" t="s">
        <v>1112</v>
      </c>
      <c r="C72" s="187"/>
      <c r="D72" s="659"/>
      <c r="E72" s="515">
        <f>+E29</f>
        <v>0.62454545454545451</v>
      </c>
      <c r="F72" s="515"/>
      <c r="G72" s="515"/>
      <c r="H72" s="515"/>
      <c r="I72" s="187"/>
      <c r="J72" s="577"/>
      <c r="K72" s="186"/>
      <c r="M72" s="613"/>
      <c r="N72" s="612"/>
    </row>
    <row r="73" spans="1:14" ht="39" customHeight="1">
      <c r="A73" s="514" t="s">
        <v>1163</v>
      </c>
      <c r="B73" s="201" t="s">
        <v>1103</v>
      </c>
      <c r="C73" s="187"/>
      <c r="D73" s="659" t="s">
        <v>274</v>
      </c>
      <c r="E73" s="515">
        <f>+E29/(1-E29)</f>
        <v>1.6634382566585955</v>
      </c>
      <c r="F73" s="515"/>
      <c r="G73" s="515"/>
      <c r="H73" s="515" t="s">
        <v>1104</v>
      </c>
      <c r="I73" s="187"/>
      <c r="J73" s="577"/>
      <c r="K73" s="186"/>
      <c r="M73" s="613">
        <f>+E112</f>
        <v>24.258379320187125</v>
      </c>
      <c r="N73" s="612">
        <f>+$E$148</f>
        <v>12</v>
      </c>
    </row>
    <row r="74" spans="1:14" ht="39" customHeight="1" thickBot="1">
      <c r="A74" s="666" t="s">
        <v>1108</v>
      </c>
      <c r="B74" s="96" t="s">
        <v>1105</v>
      </c>
      <c r="C74" s="96"/>
      <c r="D74" s="96"/>
      <c r="E74" s="656">
        <f>+($E$35-$E$17)/($E$35-$E$18-E72*($E$34-$E$18))</f>
        <v>0.61521252796420589</v>
      </c>
      <c r="F74" s="96"/>
      <c r="G74" s="96"/>
      <c r="H74" s="96" t="s">
        <v>1113</v>
      </c>
      <c r="I74" s="96"/>
      <c r="J74" s="577"/>
      <c r="K74" s="93"/>
    </row>
    <row r="75" spans="1:14" ht="51.75" customHeight="1">
      <c r="A75" s="674" t="s">
        <v>1109</v>
      </c>
      <c r="B75" s="518" t="s">
        <v>1110</v>
      </c>
      <c r="C75" s="675"/>
      <c r="D75" s="675"/>
      <c r="E75" s="676">
        <f>+$E$73/E74</f>
        <v>2.7038432753686985</v>
      </c>
      <c r="F75" s="675" t="s">
        <v>1042</v>
      </c>
      <c r="G75" s="675"/>
      <c r="H75" s="675" t="s">
        <v>1114</v>
      </c>
      <c r="I75" s="677"/>
      <c r="J75" s="665"/>
      <c r="K75" s="93"/>
    </row>
    <row r="76" spans="1:14" ht="44.25" customHeight="1">
      <c r="A76" s="678" t="s">
        <v>1111</v>
      </c>
      <c r="B76" s="652" t="s">
        <v>1115</v>
      </c>
      <c r="C76" s="96"/>
      <c r="D76" s="96"/>
      <c r="E76" s="656">
        <f>(1-EXP(-E75*(1-E74)))/(1-E74*EXP(-E75*(1-E74)))</f>
        <v>0.82629286185356077</v>
      </c>
      <c r="F76" s="96"/>
      <c r="G76" s="96"/>
      <c r="H76" s="96" t="s">
        <v>1116</v>
      </c>
      <c r="I76" s="679"/>
      <c r="J76" s="665"/>
      <c r="K76" s="93"/>
    </row>
    <row r="77" spans="1:14" ht="39" customHeight="1" thickBot="1">
      <c r="A77" s="680" t="s">
        <v>1117</v>
      </c>
      <c r="B77" s="681" t="s">
        <v>1118</v>
      </c>
      <c r="C77" s="681"/>
      <c r="D77" s="681"/>
      <c r="E77" s="682">
        <f>+($E$35-$E$17)/($E$35-$E$18-E76*($E$34-$E$18))</f>
        <v>0.70239164587031966</v>
      </c>
      <c r="F77" s="681"/>
      <c r="G77" s="681"/>
      <c r="H77" s="681"/>
      <c r="I77" s="683"/>
      <c r="J77" s="665"/>
      <c r="K77" s="93"/>
    </row>
    <row r="78" spans="1:14" ht="51.75" customHeight="1">
      <c r="A78" s="674" t="s">
        <v>1106</v>
      </c>
      <c r="B78" s="518" t="s">
        <v>1107</v>
      </c>
      <c r="C78" s="675"/>
      <c r="D78" s="675"/>
      <c r="E78" s="676">
        <f>+$E$73/E77</f>
        <v>2.3682489198707111</v>
      </c>
      <c r="F78" s="675" t="str">
        <f>+F75</f>
        <v>a</v>
      </c>
      <c r="G78" s="675"/>
      <c r="H78" s="675"/>
      <c r="I78" s="677"/>
      <c r="J78" s="665"/>
      <c r="K78" s="93"/>
    </row>
    <row r="79" spans="1:14" ht="44.25" customHeight="1">
      <c r="A79" s="684" t="s">
        <v>1119</v>
      </c>
      <c r="B79" s="572" t="s">
        <v>1120</v>
      </c>
      <c r="C79" s="94"/>
      <c r="D79" s="94"/>
      <c r="E79" s="662">
        <f>(1-EXP(-E78*(1-E77)))/(1-E77*EXP(-E78*(1-E77)))</f>
        <v>0.77472205931639171</v>
      </c>
      <c r="F79" s="94">
        <f t="shared" ref="F79:F89" si="3">+F76</f>
        <v>0</v>
      </c>
      <c r="G79" s="94"/>
      <c r="H79" s="94"/>
      <c r="I79" s="685"/>
      <c r="J79" s="665"/>
      <c r="K79" s="93"/>
    </row>
    <row r="80" spans="1:14" ht="40.5" customHeight="1" thickBot="1">
      <c r="A80" s="686" t="s">
        <v>1121</v>
      </c>
      <c r="B80" s="687" t="s">
        <v>1132</v>
      </c>
      <c r="C80" s="687"/>
      <c r="D80" s="687"/>
      <c r="E80" s="688">
        <f>+($E$35-$E$17)/($E$35-$E$18-E79*($E$34-$E$18))</f>
        <v>0.67783837365359378</v>
      </c>
      <c r="F80" s="687">
        <f t="shared" si="3"/>
        <v>0</v>
      </c>
      <c r="G80" s="687"/>
      <c r="H80" s="687"/>
      <c r="I80" s="689"/>
      <c r="J80" s="665"/>
      <c r="K80" s="93"/>
    </row>
    <row r="81" spans="1:11" ht="34.5" customHeight="1">
      <c r="A81" s="674" t="s">
        <v>1122</v>
      </c>
      <c r="B81" s="518" t="s">
        <v>1133</v>
      </c>
      <c r="C81" s="675"/>
      <c r="D81" s="675"/>
      <c r="E81" s="676">
        <f>+$E$73/E80</f>
        <v>2.4540337657376239</v>
      </c>
      <c r="F81" s="675" t="str">
        <f t="shared" si="3"/>
        <v>a</v>
      </c>
      <c r="G81" s="675"/>
      <c r="H81" s="675"/>
      <c r="I81" s="677"/>
      <c r="J81" s="665"/>
      <c r="K81" s="93"/>
    </row>
    <row r="82" spans="1:11" ht="34.5" customHeight="1">
      <c r="A82" s="684" t="s">
        <v>1124</v>
      </c>
      <c r="B82" s="572" t="s">
        <v>1134</v>
      </c>
      <c r="C82" s="94"/>
      <c r="D82" s="94"/>
      <c r="E82" s="664">
        <f>(1-EXP(-E81*(1-E80)))/(1-E80*EXP(-E81*(1-E80)))</f>
        <v>0.78900528354512822</v>
      </c>
      <c r="F82" s="94">
        <f t="shared" si="3"/>
        <v>0</v>
      </c>
      <c r="G82" s="94"/>
      <c r="H82" s="94"/>
      <c r="I82" s="685"/>
      <c r="J82" s="665"/>
      <c r="K82" s="93"/>
    </row>
    <row r="83" spans="1:11" ht="34.5" customHeight="1" thickBot="1">
      <c r="A83" s="680" t="s">
        <v>1123</v>
      </c>
      <c r="B83" s="681" t="s">
        <v>1135</v>
      </c>
      <c r="C83" s="681"/>
      <c r="D83" s="681"/>
      <c r="E83" s="682">
        <f>+($E$35-$E$17)/($E$35-$E$18-E82*($E$34-$E$18))</f>
        <v>0.68446517207571889</v>
      </c>
      <c r="F83" s="681">
        <f t="shared" si="3"/>
        <v>0</v>
      </c>
      <c r="G83" s="681"/>
      <c r="H83" s="681"/>
      <c r="I83" s="683"/>
      <c r="J83" s="665"/>
      <c r="K83" s="93"/>
    </row>
    <row r="84" spans="1:11" ht="34.5" customHeight="1">
      <c r="A84" s="674" t="s">
        <v>1125</v>
      </c>
      <c r="B84" s="518" t="s">
        <v>1136</v>
      </c>
      <c r="C84" s="675"/>
      <c r="D84" s="675"/>
      <c r="E84" s="676">
        <f>+$E$73/E83</f>
        <v>2.430274504127111</v>
      </c>
      <c r="F84" s="675" t="str">
        <f t="shared" si="3"/>
        <v>a</v>
      </c>
      <c r="G84" s="675"/>
      <c r="H84" s="675"/>
      <c r="I84" s="677"/>
      <c r="J84" s="665"/>
      <c r="K84" s="93"/>
    </row>
    <row r="85" spans="1:11" ht="34.5" customHeight="1">
      <c r="A85" s="684" t="s">
        <v>1126</v>
      </c>
      <c r="B85" s="572" t="s">
        <v>1137</v>
      </c>
      <c r="C85" s="94"/>
      <c r="D85" s="94"/>
      <c r="E85" s="664">
        <f>(1-EXP(-E84*(1-E83)))/(1-E83*EXP(-E84*(1-E83)))</f>
        <v>0.7851281178965146</v>
      </c>
      <c r="F85" s="94">
        <f t="shared" si="3"/>
        <v>0</v>
      </c>
      <c r="G85" s="94"/>
      <c r="H85" s="94"/>
      <c r="I85" s="685"/>
      <c r="J85" s="665"/>
      <c r="K85" s="93"/>
    </row>
    <row r="86" spans="1:11" ht="34.5" customHeight="1" thickBot="1">
      <c r="A86" s="680" t="s">
        <v>1127</v>
      </c>
      <c r="B86" s="681" t="s">
        <v>1138</v>
      </c>
      <c r="C86" s="681"/>
      <c r="D86" s="681"/>
      <c r="E86" s="690">
        <f>+($E$35-$E$17)/($E$35-$E$18-E85*($E$34-$E$18))</f>
        <v>0.68265355640798309</v>
      </c>
      <c r="F86" s="681">
        <f t="shared" si="3"/>
        <v>0</v>
      </c>
      <c r="G86" s="681"/>
      <c r="H86" s="681"/>
      <c r="I86" s="683"/>
      <c r="J86" s="665"/>
      <c r="K86" s="93"/>
    </row>
    <row r="87" spans="1:11" ht="34.5" customHeight="1">
      <c r="A87" s="674" t="s">
        <v>1128</v>
      </c>
      <c r="B87" s="518" t="s">
        <v>1139</v>
      </c>
      <c r="C87" s="675"/>
      <c r="D87" s="675"/>
      <c r="E87" s="676">
        <f>+$E$73/E86</f>
        <v>2.4367239297944172</v>
      </c>
      <c r="F87" s="675" t="str">
        <f t="shared" si="3"/>
        <v>a</v>
      </c>
      <c r="G87" s="675"/>
      <c r="H87" s="675"/>
      <c r="I87" s="677"/>
      <c r="J87" s="665"/>
      <c r="K87" s="93"/>
    </row>
    <row r="88" spans="1:11" ht="34.5" customHeight="1">
      <c r="A88" s="684" t="s">
        <v>1129</v>
      </c>
      <c r="B88" s="572" t="s">
        <v>1140</v>
      </c>
      <c r="C88" s="94"/>
      <c r="D88" s="94"/>
      <c r="E88" s="664">
        <f>(1-EXP(-E87*(1-E86)))/(1-E86*EXP(-E87*(1-E86)))</f>
        <v>0.78618647927855734</v>
      </c>
      <c r="F88" s="94">
        <f t="shared" si="3"/>
        <v>0</v>
      </c>
      <c r="G88" s="94"/>
      <c r="H88" s="94"/>
      <c r="I88" s="685"/>
      <c r="J88" s="665"/>
      <c r="K88" s="93"/>
    </row>
    <row r="89" spans="1:11" ht="29.25" customHeight="1" thickBot="1">
      <c r="A89" s="680" t="s">
        <v>1130</v>
      </c>
      <c r="B89" s="681" t="s">
        <v>1141</v>
      </c>
      <c r="C89" s="681"/>
      <c r="D89" s="681"/>
      <c r="E89" s="690">
        <f>+($E$35-$E$17)/($E$35-$E$18-E88*($E$34-$E$18))</f>
        <v>0.68314712621806395</v>
      </c>
      <c r="F89" s="681">
        <f t="shared" si="3"/>
        <v>0</v>
      </c>
      <c r="G89" s="681"/>
      <c r="H89" s="681"/>
      <c r="I89" s="683"/>
      <c r="J89" s="665"/>
      <c r="K89" s="93"/>
    </row>
    <row r="90" spans="1:11" ht="94.5" customHeight="1">
      <c r="A90" s="514" t="s">
        <v>1088</v>
      </c>
      <c r="B90" s="201" t="s">
        <v>1131</v>
      </c>
      <c r="C90" s="187"/>
      <c r="D90" s="659" t="s">
        <v>274</v>
      </c>
      <c r="E90" s="515">
        <f>+(E34-E18)/(E17-E18)*E89</f>
        <v>0.54651770097445118</v>
      </c>
      <c r="F90" s="515"/>
      <c r="G90"/>
      <c r="H90" s="85"/>
      <c r="I90" s="85"/>
      <c r="J90" s="577"/>
      <c r="K90" s="93"/>
    </row>
    <row r="91" spans="1:11">
      <c r="A91" s="667" t="s">
        <v>1152</v>
      </c>
      <c r="B91" s="94"/>
      <c r="C91" s="94"/>
      <c r="D91" s="94"/>
      <c r="E91" s="94"/>
      <c r="F91" s="94"/>
      <c r="G91" s="94"/>
      <c r="H91" s="94"/>
      <c r="I91" s="94"/>
      <c r="J91" s="577"/>
      <c r="K91" s="93"/>
    </row>
    <row r="92" spans="1:11">
      <c r="A92" s="733" t="s">
        <v>925</v>
      </c>
      <c r="B92" s="734" t="s">
        <v>1232</v>
      </c>
      <c r="C92" s="737"/>
      <c r="D92" s="735" t="s">
        <v>615</v>
      </c>
      <c r="E92" s="738">
        <f>+$E$45</f>
        <v>12</v>
      </c>
      <c r="F92" s="113"/>
      <c r="G92" s="113"/>
      <c r="H92" s="113"/>
      <c r="I92" s="112" t="str">
        <f>TEXT(E92,"0,0")&amp;" l/min"</f>
        <v>12,0 l/min</v>
      </c>
      <c r="J92" s="577"/>
      <c r="K92" s="93"/>
    </row>
    <row r="93" spans="1:11">
      <c r="A93" s="733" t="s">
        <v>924</v>
      </c>
      <c r="B93" s="734" t="s">
        <v>1233</v>
      </c>
      <c r="C93" s="735"/>
      <c r="D93" s="735" t="s">
        <v>615</v>
      </c>
      <c r="E93" s="758">
        <f>+IFERROR(E92*E89,5)</f>
        <v>8.1977655146167674</v>
      </c>
      <c r="F93" s="113"/>
      <c r="G93" s="113"/>
      <c r="H93" s="113"/>
      <c r="I93" s="112" t="str">
        <f>TEXT(E93,"0,0")&amp;" l/min"</f>
        <v>8,2 l/min</v>
      </c>
      <c r="J93" s="577"/>
      <c r="K93" s="93"/>
    </row>
    <row r="94" spans="1:11">
      <c r="A94" s="744" t="s">
        <v>922</v>
      </c>
      <c r="B94" s="734" t="s">
        <v>1234</v>
      </c>
      <c r="C94" s="737"/>
      <c r="D94" s="737" t="s">
        <v>207</v>
      </c>
      <c r="E94" s="738">
        <f>+$E$18</f>
        <v>15</v>
      </c>
      <c r="F94" s="113"/>
      <c r="G94" s="113"/>
      <c r="H94" s="113"/>
      <c r="I94" s="112" t="str">
        <f t="shared" ref="I94:I95" si="4">TEXT(E94,"0,0")&amp;" °C"</f>
        <v>15,0 °C</v>
      </c>
      <c r="J94" s="577"/>
      <c r="K94" s="93"/>
    </row>
    <row r="95" spans="1:11">
      <c r="A95" s="744" t="s">
        <v>923</v>
      </c>
      <c r="B95" s="734" t="s">
        <v>1235</v>
      </c>
      <c r="C95" s="737"/>
      <c r="D95" s="737" t="s">
        <v>207</v>
      </c>
      <c r="E95" s="738">
        <f>+$E$34</f>
        <v>35</v>
      </c>
      <c r="F95" s="113"/>
      <c r="G95" s="113"/>
      <c r="H95" s="113"/>
      <c r="I95" s="112" t="str">
        <f t="shared" si="4"/>
        <v>35,0 °C</v>
      </c>
      <c r="J95" s="577"/>
      <c r="K95" s="93"/>
    </row>
    <row r="96" spans="1:11">
      <c r="A96" s="744" t="s">
        <v>916</v>
      </c>
      <c r="B96" s="745"/>
      <c r="C96" s="737"/>
      <c r="D96" s="737" t="s">
        <v>915</v>
      </c>
      <c r="E96" s="738">
        <f>+MIN(E93:E93)*0.06*1.16*(E95-E94)</f>
        <v>11.411289596346538</v>
      </c>
      <c r="F96" s="113"/>
      <c r="G96" s="113"/>
      <c r="H96" s="113"/>
      <c r="I96" s="94"/>
      <c r="J96" s="577"/>
      <c r="K96" s="93"/>
    </row>
    <row r="97" spans="1:11">
      <c r="A97" s="733"/>
      <c r="B97" s="743"/>
      <c r="C97" s="737"/>
      <c r="D97" s="735"/>
      <c r="E97" s="747"/>
      <c r="F97" s="642"/>
      <c r="G97" s="642"/>
      <c r="H97" s="642"/>
      <c r="I97" s="112"/>
      <c r="J97" s="577"/>
      <c r="K97" s="93"/>
    </row>
    <row r="98" spans="1:11">
      <c r="A98" s="744" t="s">
        <v>931</v>
      </c>
      <c r="B98" s="737"/>
      <c r="C98" s="737"/>
      <c r="D98" s="737" t="s">
        <v>431</v>
      </c>
      <c r="E98" s="736">
        <f>+E88*100</f>
        <v>78.618647927855733</v>
      </c>
      <c r="F98" s="112"/>
      <c r="G98" s="112"/>
      <c r="H98" s="112"/>
      <c r="I98" s="94"/>
      <c r="J98" s="577"/>
      <c r="K98" s="93"/>
    </row>
    <row r="99" spans="1:11">
      <c r="A99" s="744" t="s">
        <v>932</v>
      </c>
      <c r="B99" s="737"/>
      <c r="C99" s="737"/>
      <c r="D99" s="737" t="s">
        <v>915</v>
      </c>
      <c r="E99" s="750">
        <f>+E98*E96/100</f>
        <v>8.9714015917797152</v>
      </c>
      <c r="F99" s="643"/>
      <c r="G99" s="643"/>
      <c r="H99" s="643"/>
      <c r="I99" s="94"/>
      <c r="J99" s="577"/>
      <c r="K99" s="93"/>
    </row>
    <row r="100" spans="1:11">
      <c r="A100" s="733" t="s">
        <v>930</v>
      </c>
      <c r="B100" s="743"/>
      <c r="C100" s="737"/>
      <c r="D100" s="735" t="s">
        <v>431</v>
      </c>
      <c r="E100" s="751">
        <f>+E99/$E$46</f>
        <v>0.42966482719251503</v>
      </c>
      <c r="F100" s="557"/>
      <c r="G100" s="557"/>
      <c r="H100" s="557"/>
      <c r="I100" s="94"/>
      <c r="J100" s="577"/>
      <c r="K100" s="93"/>
    </row>
    <row r="101" spans="1:11">
      <c r="A101" s="744" t="s">
        <v>929</v>
      </c>
      <c r="B101" s="737"/>
      <c r="C101" s="737"/>
      <c r="D101" s="737" t="s">
        <v>207</v>
      </c>
      <c r="E101" s="738">
        <f>+E94+(E34-E18)*E88</f>
        <v>30.723729585571146</v>
      </c>
      <c r="F101" s="113"/>
      <c r="G101" s="113">
        <f>+(E101*E104+E35*E103)/E92</f>
        <v>40</v>
      </c>
      <c r="H101" s="113"/>
      <c r="I101" s="112" t="str">
        <f t="shared" ref="I101" si="5">TEXT(E101,"0,0")&amp;" °C"</f>
        <v>30,7 °C</v>
      </c>
      <c r="J101" s="577"/>
      <c r="K101" s="93"/>
    </row>
    <row r="102" spans="1:11">
      <c r="A102" s="744" t="s">
        <v>926</v>
      </c>
      <c r="B102" s="759"/>
      <c r="C102" s="737"/>
      <c r="D102" s="737"/>
      <c r="E102" s="753">
        <f>1-E89</f>
        <v>0.31685287378193605</v>
      </c>
      <c r="F102" s="644"/>
      <c r="G102" s="644"/>
      <c r="H102" s="644"/>
      <c r="I102" s="94"/>
      <c r="J102" s="577"/>
      <c r="K102" s="93"/>
    </row>
    <row r="103" spans="1:11">
      <c r="A103" s="733" t="s">
        <v>927</v>
      </c>
      <c r="B103" s="754"/>
      <c r="C103" s="737"/>
      <c r="D103" s="735" t="s">
        <v>615</v>
      </c>
      <c r="E103" s="738">
        <f>+$E$148*E102</f>
        <v>3.8022344853832326</v>
      </c>
      <c r="F103" s="113"/>
      <c r="G103" s="113"/>
      <c r="H103" s="113"/>
      <c r="I103" s="112" t="str">
        <f>TEXT(E103,"0,0")&amp;" l/min"</f>
        <v>3,8 l/min</v>
      </c>
      <c r="J103" s="577"/>
      <c r="K103" s="93"/>
    </row>
    <row r="104" spans="1:11">
      <c r="A104" s="733" t="s">
        <v>928</v>
      </c>
      <c r="B104" s="743"/>
      <c r="C104" s="737"/>
      <c r="D104" s="735" t="s">
        <v>615</v>
      </c>
      <c r="E104" s="736">
        <f>+$E$148-E103</f>
        <v>8.1977655146167674</v>
      </c>
      <c r="F104" s="113"/>
      <c r="G104" s="113"/>
      <c r="H104" s="113"/>
      <c r="I104" s="112" t="str">
        <f>TEXT(E104,"0,0")&amp;" l/min"</f>
        <v>8,2 l/min</v>
      </c>
      <c r="J104" s="577"/>
      <c r="K104" s="93"/>
    </row>
    <row r="105" spans="1:11">
      <c r="A105" s="733"/>
      <c r="B105" s="743"/>
      <c r="C105" s="737"/>
      <c r="D105" s="735"/>
      <c r="E105" s="736"/>
      <c r="F105" s="113"/>
      <c r="G105" s="113"/>
      <c r="H105" s="113"/>
      <c r="I105" s="112"/>
      <c r="J105" s="577"/>
      <c r="K105" s="93"/>
    </row>
    <row r="106" spans="1:11">
      <c r="A106" s="733"/>
      <c r="B106" s="743"/>
      <c r="C106" s="737"/>
      <c r="D106" s="735"/>
      <c r="E106" s="736"/>
      <c r="F106" s="113"/>
      <c r="G106" s="113"/>
      <c r="H106" s="113"/>
      <c r="I106" s="112"/>
      <c r="J106" s="577"/>
      <c r="K106" s="93"/>
    </row>
    <row r="107" spans="1:11">
      <c r="A107" s="733" t="s">
        <v>960</v>
      </c>
      <c r="B107" s="743"/>
      <c r="C107" s="737"/>
      <c r="D107" s="735" t="s">
        <v>961</v>
      </c>
      <c r="E107" s="756">
        <v>3</v>
      </c>
      <c r="F107" s="113"/>
      <c r="G107" s="113"/>
      <c r="H107" s="113"/>
      <c r="I107" s="112"/>
      <c r="J107" s="577"/>
      <c r="K107" s="93"/>
    </row>
    <row r="108" spans="1:11">
      <c r="A108" s="733" t="s">
        <v>962</v>
      </c>
      <c r="B108" s="743"/>
      <c r="C108" s="737"/>
      <c r="D108" s="735" t="s">
        <v>961</v>
      </c>
      <c r="E108" s="757">
        <v>1.6E-2</v>
      </c>
      <c r="F108" s="113"/>
      <c r="G108" s="113"/>
      <c r="H108" s="113"/>
      <c r="I108" s="112"/>
      <c r="J108" s="577"/>
      <c r="K108" s="93"/>
    </row>
    <row r="109" spans="1:11">
      <c r="A109" s="733" t="s">
        <v>963</v>
      </c>
      <c r="B109" s="743"/>
      <c r="C109" s="737"/>
      <c r="D109" s="735" t="s">
        <v>69</v>
      </c>
      <c r="E109" s="736">
        <f>+E108*E108*3.1415*0.25*1000*E107</f>
        <v>0.60316799999999993</v>
      </c>
      <c r="F109" s="113"/>
      <c r="G109" s="113"/>
      <c r="H109" s="113"/>
      <c r="I109" s="112"/>
      <c r="J109" s="577"/>
      <c r="K109" s="93"/>
    </row>
    <row r="110" spans="1:11">
      <c r="A110" s="733" t="s">
        <v>964</v>
      </c>
      <c r="B110" s="743"/>
      <c r="C110" s="735"/>
      <c r="D110" s="735" t="s">
        <v>69</v>
      </c>
      <c r="E110" s="736">
        <f>+E109+$E$153/2+$E$152</f>
        <v>2.3531680000000001</v>
      </c>
      <c r="F110" s="75"/>
      <c r="G110" s="75"/>
      <c r="H110" s="75"/>
      <c r="J110" s="577"/>
      <c r="K110" s="93"/>
    </row>
    <row r="111" spans="1:11">
      <c r="A111" s="733" t="s">
        <v>903</v>
      </c>
      <c r="B111" s="743"/>
      <c r="C111" s="735"/>
      <c r="D111" s="735"/>
      <c r="E111" s="736">
        <f>+($E$150-E110)/$E$150</f>
        <v>0.96078053333333335</v>
      </c>
      <c r="F111" s="113"/>
      <c r="G111" s="113"/>
      <c r="H111" s="113"/>
      <c r="I111" s="112"/>
      <c r="J111" s="577"/>
      <c r="K111" s="93"/>
    </row>
    <row r="112" spans="1:11">
      <c r="A112" s="733" t="s">
        <v>1055</v>
      </c>
      <c r="B112" s="743"/>
      <c r="C112" s="735"/>
      <c r="D112" s="735" t="s">
        <v>207</v>
      </c>
      <c r="E112" s="736">
        <f>+E95-(E101-E94)*E104/E92</f>
        <v>24.258379320187125</v>
      </c>
      <c r="F112" s="113"/>
      <c r="G112" s="113"/>
      <c r="H112" s="113"/>
      <c r="I112" s="112" t="str">
        <f t="shared" ref="I112" si="6">TEXT(E112,"0,0")&amp;" °C"</f>
        <v>24,3 °C</v>
      </c>
      <c r="J112" s="577"/>
      <c r="K112" s="93"/>
    </row>
    <row r="113" spans="1:14" ht="26.25" thickBot="1">
      <c r="A113" s="522"/>
      <c r="B113" s="272"/>
      <c r="C113" s="275"/>
      <c r="D113" s="275"/>
      <c r="E113" s="274"/>
      <c r="F113" s="274"/>
      <c r="G113" s="274"/>
      <c r="H113" s="274"/>
      <c r="I113" s="275"/>
      <c r="J113" s="578"/>
      <c r="K113" s="273"/>
      <c r="M113" s="75" t="s">
        <v>1057</v>
      </c>
      <c r="N113" s="75" t="s">
        <v>1058</v>
      </c>
    </row>
    <row r="114" spans="1:14">
      <c r="A114" s="793" t="s">
        <v>1284</v>
      </c>
      <c r="B114" s="794"/>
      <c r="C114" s="266"/>
      <c r="D114" s="266"/>
      <c r="E114" s="795"/>
      <c r="F114" s="796"/>
      <c r="G114" s="795"/>
      <c r="H114" s="795"/>
      <c r="I114" s="797"/>
      <c r="J114" s="576"/>
      <c r="K114" s="521"/>
      <c r="L114" s="75" t="s">
        <v>685</v>
      </c>
      <c r="M114" s="613">
        <f>+$E$34</f>
        <v>35</v>
      </c>
      <c r="N114" s="612">
        <f>+E101</f>
        <v>30.723729585571146</v>
      </c>
    </row>
    <row r="115" spans="1:14" ht="36" customHeight="1">
      <c r="A115" s="514" t="s">
        <v>1142</v>
      </c>
      <c r="B115" s="201" t="s">
        <v>1103</v>
      </c>
      <c r="C115" s="187"/>
      <c r="D115" s="659" t="s">
        <v>274</v>
      </c>
      <c r="E115" s="515">
        <f>+E72/(1-E72)</f>
        <v>1.6634382566585955</v>
      </c>
      <c r="F115" s="515"/>
      <c r="G115" s="515"/>
      <c r="H115" s="515" t="s">
        <v>1104</v>
      </c>
      <c r="J115" s="577"/>
      <c r="K115" s="93"/>
    </row>
    <row r="116" spans="1:14" ht="33" customHeight="1">
      <c r="A116" s="514" t="s">
        <v>1088</v>
      </c>
      <c r="B116" s="111" t="s">
        <v>1146</v>
      </c>
      <c r="C116" s="112"/>
      <c r="D116" s="112" t="s">
        <v>20</v>
      </c>
      <c r="E116" s="113">
        <f>+(E17-E18)/(E35-E18)</f>
        <v>0.55555555555555558</v>
      </c>
      <c r="F116" s="113"/>
      <c r="G116" s="113"/>
      <c r="H116" s="113"/>
      <c r="I116" s="187"/>
      <c r="J116" s="577"/>
      <c r="K116" s="186"/>
      <c r="L116" s="75" t="s">
        <v>1056</v>
      </c>
      <c r="M116" s="613">
        <f>+E143</f>
        <v>25.418557863804125</v>
      </c>
      <c r="N116" s="612">
        <f>+$E$148</f>
        <v>12</v>
      </c>
    </row>
    <row r="117" spans="1:14" ht="33" customHeight="1">
      <c r="A117" s="663" t="s">
        <v>1147</v>
      </c>
      <c r="B117" s="94" t="s">
        <v>1148</v>
      </c>
      <c r="C117" s="112"/>
      <c r="D117" s="112"/>
      <c r="E117" s="113">
        <f>+E116</f>
        <v>0.55555555555555558</v>
      </c>
      <c r="F117" s="113"/>
      <c r="G117" s="113"/>
      <c r="H117" s="113"/>
      <c r="I117" s="262"/>
      <c r="J117" s="577"/>
      <c r="K117" s="186"/>
      <c r="M117" s="613"/>
      <c r="N117" s="612"/>
    </row>
    <row r="118" spans="1:14" ht="42.75" customHeight="1">
      <c r="A118" s="118" t="s">
        <v>1144</v>
      </c>
      <c r="B118" s="201" t="s">
        <v>1143</v>
      </c>
      <c r="C118" s="94"/>
      <c r="D118" s="94"/>
      <c r="E118" s="190">
        <f>+E115/E116</f>
        <v>2.9941888619854717</v>
      </c>
      <c r="F118" s="113"/>
      <c r="G118" s="113"/>
      <c r="H118" s="113" t="s">
        <v>1164</v>
      </c>
      <c r="J118" s="577"/>
      <c r="K118" s="93"/>
    </row>
    <row r="119" spans="1:14" ht="40.5" customHeight="1">
      <c r="A119" s="118" t="s">
        <v>1165</v>
      </c>
      <c r="B119" s="572" t="s">
        <v>1145</v>
      </c>
      <c r="C119" s="94"/>
      <c r="D119" s="94"/>
      <c r="E119" s="664">
        <f>(1-EXP(-E118*(1-E117)))/(1-E117*EXP(-E118*(1-E117)))</f>
        <v>0.86232979225762851</v>
      </c>
      <c r="F119" s="94"/>
      <c r="G119" s="113"/>
      <c r="H119" s="113"/>
      <c r="J119" s="577"/>
      <c r="K119" s="93"/>
    </row>
    <row r="120" spans="1:14">
      <c r="A120" s="94"/>
      <c r="B120" s="94"/>
      <c r="C120" s="94"/>
      <c r="D120" s="94"/>
      <c r="E120" s="94"/>
      <c r="F120" s="94"/>
      <c r="G120" s="113"/>
      <c r="H120" s="113"/>
      <c r="J120" s="577"/>
      <c r="K120" s="93"/>
    </row>
    <row r="121" spans="1:14">
      <c r="A121" s="94"/>
      <c r="B121" s="94"/>
      <c r="C121" s="94"/>
      <c r="D121" s="94"/>
      <c r="E121" s="94"/>
      <c r="F121" s="94"/>
      <c r="G121" s="113"/>
      <c r="H121" s="113"/>
      <c r="I121" s="94"/>
      <c r="J121" s="577"/>
      <c r="K121" s="93"/>
    </row>
    <row r="122" spans="1:14">
      <c r="A122" s="94"/>
      <c r="B122" s="94"/>
      <c r="C122" s="94"/>
      <c r="D122" s="94"/>
      <c r="E122" s="94"/>
      <c r="F122" s="94"/>
      <c r="G122" s="642"/>
      <c r="H122" s="642"/>
      <c r="I122" s="112"/>
      <c r="J122" s="577"/>
      <c r="K122" s="93"/>
    </row>
    <row r="123" spans="1:14">
      <c r="A123" s="94"/>
      <c r="B123" s="94"/>
      <c r="C123" s="94"/>
      <c r="D123" s="94"/>
      <c r="E123" s="94"/>
      <c r="F123" s="94"/>
      <c r="G123" s="112"/>
      <c r="H123" s="112"/>
      <c r="I123" s="112"/>
      <c r="J123" s="577"/>
      <c r="K123" s="93"/>
    </row>
    <row r="124" spans="1:14">
      <c r="A124" s="667" t="s">
        <v>1152</v>
      </c>
      <c r="B124" s="94"/>
      <c r="C124" s="94"/>
      <c r="D124" s="94"/>
      <c r="E124" s="94"/>
      <c r="F124" s="94"/>
      <c r="G124" s="94"/>
      <c r="H124" s="94"/>
      <c r="I124" s="94"/>
      <c r="J124" s="577"/>
      <c r="K124" s="93"/>
    </row>
    <row r="125" spans="1:14">
      <c r="A125" s="760" t="s">
        <v>925</v>
      </c>
      <c r="B125" s="761"/>
      <c r="C125" s="761"/>
      <c r="D125" s="762" t="s">
        <v>615</v>
      </c>
      <c r="E125" s="763">
        <f>+$E$45</f>
        <v>12</v>
      </c>
      <c r="F125" s="113"/>
      <c r="G125" s="113"/>
      <c r="H125" s="113"/>
      <c r="I125" s="112" t="str">
        <f>TEXT(E125,"0,0")&amp;" l/min"</f>
        <v>12,0 l/min</v>
      </c>
      <c r="J125" s="577"/>
      <c r="K125" s="93"/>
    </row>
    <row r="126" spans="1:14">
      <c r="A126" s="764" t="s">
        <v>924</v>
      </c>
      <c r="B126" s="740"/>
      <c r="C126" s="765"/>
      <c r="D126" s="765" t="s">
        <v>615</v>
      </c>
      <c r="E126" s="766">
        <f>+E125*E117</f>
        <v>6.666666666666667</v>
      </c>
      <c r="F126" s="75"/>
      <c r="G126" s="661"/>
      <c r="H126" s="661"/>
      <c r="I126" s="112" t="str">
        <f>TEXT(E126,"0,0")&amp;" l/min"</f>
        <v>6,7 l/min</v>
      </c>
      <c r="J126" s="577"/>
      <c r="K126" s="93"/>
    </row>
    <row r="127" spans="1:14">
      <c r="A127" s="767" t="s">
        <v>922</v>
      </c>
      <c r="B127" s="745"/>
      <c r="C127" s="761"/>
      <c r="D127" s="761" t="s">
        <v>207</v>
      </c>
      <c r="E127" s="763">
        <f>+$E$18</f>
        <v>15</v>
      </c>
      <c r="F127" s="113"/>
      <c r="G127" s="643"/>
      <c r="H127" s="643"/>
      <c r="I127" s="112" t="str">
        <f>TEXT(E127,"0,0")&amp;" °C"</f>
        <v>15,0 °C</v>
      </c>
      <c r="J127" s="577"/>
      <c r="K127" s="93"/>
    </row>
    <row r="128" spans="1:14">
      <c r="A128" s="767" t="s">
        <v>923</v>
      </c>
      <c r="B128" s="745"/>
      <c r="C128" s="761"/>
      <c r="D128" s="761" t="s">
        <v>207</v>
      </c>
      <c r="E128" s="763">
        <f>+$E$34</f>
        <v>35</v>
      </c>
      <c r="F128" s="113"/>
      <c r="G128" s="644"/>
      <c r="H128" s="644"/>
      <c r="I128" s="112" t="str">
        <f>TEXT(E128,"0,0")&amp;" °C"</f>
        <v>35,0 °C</v>
      </c>
      <c r="J128" s="577"/>
      <c r="K128" s="93"/>
    </row>
    <row r="129" spans="1:11">
      <c r="A129" s="767" t="s">
        <v>916</v>
      </c>
      <c r="B129" s="745"/>
      <c r="C129" s="761"/>
      <c r="D129" s="761" t="s">
        <v>915</v>
      </c>
      <c r="E129" s="763">
        <f>+MIN(E126:E126)*0.06*1.16*(E128-E127)</f>
        <v>9.2799999999999994</v>
      </c>
      <c r="F129" s="113"/>
      <c r="G129" s="113"/>
      <c r="H129" s="113"/>
      <c r="J129" s="577"/>
      <c r="K129" s="93"/>
    </row>
    <row r="130" spans="1:11">
      <c r="A130" s="767"/>
      <c r="B130" s="745"/>
      <c r="C130" s="761"/>
      <c r="D130" s="761"/>
      <c r="E130" s="747">
        <f>+E129/$E$46</f>
        <v>0.44444444444444436</v>
      </c>
      <c r="F130" s="642"/>
      <c r="G130" s="113"/>
      <c r="H130" s="113"/>
      <c r="J130" s="577"/>
      <c r="K130" s="93"/>
    </row>
    <row r="131" spans="1:11">
      <c r="A131" s="767" t="s">
        <v>931</v>
      </c>
      <c r="B131" s="761"/>
      <c r="C131" s="761"/>
      <c r="D131" s="761" t="s">
        <v>431</v>
      </c>
      <c r="E131" s="768">
        <f>+E119*100</f>
        <v>86.232979225762847</v>
      </c>
      <c r="F131" s="112"/>
      <c r="G131" s="113"/>
      <c r="H131" s="113"/>
      <c r="I131" s="112"/>
      <c r="J131" s="577"/>
      <c r="K131" s="93"/>
    </row>
    <row r="132" spans="1:11">
      <c r="A132" s="767" t="s">
        <v>932</v>
      </c>
      <c r="B132" s="761"/>
      <c r="C132" s="761"/>
      <c r="D132" s="761" t="s">
        <v>915</v>
      </c>
      <c r="E132" s="763">
        <f>+E131*E129/100</f>
        <v>8.0024204721507921</v>
      </c>
      <c r="F132" s="113">
        <f>+E125*1.16*(E128-E143)*60/1000</f>
        <v>8.0024204721507939</v>
      </c>
      <c r="G132" s="643"/>
      <c r="H132" s="643"/>
      <c r="I132" s="112"/>
      <c r="J132" s="577"/>
      <c r="K132" s="93"/>
    </row>
    <row r="133" spans="1:11">
      <c r="A133" s="760" t="s">
        <v>930</v>
      </c>
      <c r="B133" s="743"/>
      <c r="C133" s="762"/>
      <c r="D133" s="762" t="s">
        <v>431</v>
      </c>
      <c r="E133" s="769">
        <f>+E132/$E$46</f>
        <v>0.38325768544783484</v>
      </c>
      <c r="F133" s="557"/>
      <c r="G133" s="191"/>
      <c r="H133" s="191"/>
      <c r="I133" s="112"/>
      <c r="J133" s="577"/>
      <c r="K133" s="93"/>
    </row>
    <row r="134" spans="1:11">
      <c r="A134" s="767" t="s">
        <v>929</v>
      </c>
      <c r="B134" s="761"/>
      <c r="C134" s="761"/>
      <c r="D134" s="761" t="s">
        <v>207</v>
      </c>
      <c r="E134" s="770">
        <f>+E127+(E128-E127)*E119</f>
        <v>32.246595845152569</v>
      </c>
      <c r="F134" s="113"/>
      <c r="G134" s="113"/>
      <c r="H134" s="113"/>
      <c r="I134" s="112" t="str">
        <f>TEXT(E134,"0,0")&amp;" °C"</f>
        <v>32,2 °C</v>
      </c>
      <c r="J134" s="577"/>
      <c r="K134" s="93"/>
    </row>
    <row r="135" spans="1:11">
      <c r="A135" s="767" t="s">
        <v>926</v>
      </c>
      <c r="B135" s="745"/>
      <c r="C135" s="761"/>
      <c r="D135" s="761"/>
      <c r="E135" s="771">
        <f>+($E$17-$E$18)/($E$35-$E$18)</f>
        <v>0.55555555555555558</v>
      </c>
      <c r="F135" s="113"/>
      <c r="G135" s="113"/>
      <c r="H135" s="113"/>
      <c r="I135" s="112"/>
      <c r="J135" s="577"/>
      <c r="K135" s="93"/>
    </row>
    <row r="136" spans="1:11">
      <c r="A136" s="760" t="s">
        <v>927</v>
      </c>
      <c r="B136" s="754"/>
      <c r="C136" s="755"/>
      <c r="D136" s="762" t="s">
        <v>615</v>
      </c>
      <c r="E136" s="763">
        <f>+$E$148*E135</f>
        <v>6.666666666666667</v>
      </c>
      <c r="F136" s="75"/>
      <c r="G136" s="113"/>
      <c r="H136" s="113"/>
      <c r="I136" s="112" t="str">
        <f>TEXT(E136,"0,0")&amp;" l/min"</f>
        <v>6,7 l/min</v>
      </c>
      <c r="J136" s="577"/>
      <c r="K136" s="93"/>
    </row>
    <row r="137" spans="1:11">
      <c r="A137" s="760" t="s">
        <v>928</v>
      </c>
      <c r="B137" s="743"/>
      <c r="C137" s="762"/>
      <c r="D137" s="762" t="s">
        <v>615</v>
      </c>
      <c r="E137" s="772">
        <f>+$E$148-E136</f>
        <v>5.333333333333333</v>
      </c>
      <c r="F137" s="75"/>
      <c r="G137" s="113"/>
      <c r="H137" s="113"/>
      <c r="I137" s="112" t="str">
        <f>TEXT(E137,"0,0")&amp;" l/min"</f>
        <v>5,3 l/min</v>
      </c>
      <c r="J137" s="577"/>
      <c r="K137" s="93"/>
    </row>
    <row r="138" spans="1:11">
      <c r="A138" s="760" t="s">
        <v>960</v>
      </c>
      <c r="B138" s="743"/>
      <c r="C138" s="762"/>
      <c r="D138" s="762" t="s">
        <v>961</v>
      </c>
      <c r="E138" s="768">
        <v>12</v>
      </c>
      <c r="F138" s="113"/>
      <c r="G138" s="113"/>
      <c r="H138" s="113"/>
      <c r="I138" s="112"/>
      <c r="J138" s="577"/>
      <c r="K138" s="93"/>
    </row>
    <row r="139" spans="1:11">
      <c r="A139" s="760" t="s">
        <v>962</v>
      </c>
      <c r="B139" s="743"/>
      <c r="C139" s="762"/>
      <c r="D139" s="762" t="s">
        <v>961</v>
      </c>
      <c r="E139" s="773">
        <v>1.6E-2</v>
      </c>
      <c r="F139" s="75"/>
      <c r="G139" s="75"/>
      <c r="H139" s="75"/>
      <c r="J139" s="577"/>
      <c r="K139" s="93"/>
    </row>
    <row r="140" spans="1:11">
      <c r="A140" s="760" t="s">
        <v>963</v>
      </c>
      <c r="B140" s="743"/>
      <c r="C140" s="762"/>
      <c r="D140" s="762" t="s">
        <v>69</v>
      </c>
      <c r="E140" s="772">
        <f>+E139*E139*3.1415*0.25*1000*E138</f>
        <v>2.4126719999999997</v>
      </c>
      <c r="F140" s="113"/>
      <c r="G140" s="113"/>
      <c r="H140" s="113"/>
      <c r="I140" s="112"/>
      <c r="J140" s="577"/>
      <c r="K140" s="93"/>
    </row>
    <row r="141" spans="1:11">
      <c r="A141" s="760" t="s">
        <v>964</v>
      </c>
      <c r="B141" s="743"/>
      <c r="C141" s="762"/>
      <c r="D141" s="762" t="s">
        <v>69</v>
      </c>
      <c r="E141" s="772">
        <f>+E140+$E$153/2+$E$152</f>
        <v>4.1626719999999997</v>
      </c>
      <c r="F141" s="113"/>
      <c r="G141" s="113"/>
      <c r="H141" s="113"/>
      <c r="I141" s="112"/>
      <c r="J141" s="577"/>
      <c r="K141" s="93"/>
    </row>
    <row r="142" spans="1:11">
      <c r="A142" s="760" t="s">
        <v>903</v>
      </c>
      <c r="B142" s="743"/>
      <c r="C142" s="762"/>
      <c r="D142" s="762"/>
      <c r="E142" s="772">
        <f>+($E$150-E141)/$E$150</f>
        <v>0.93062213333333332</v>
      </c>
      <c r="F142" s="113"/>
      <c r="G142" s="113"/>
      <c r="H142" s="113"/>
      <c r="I142" s="112"/>
      <c r="J142" s="577"/>
      <c r="K142" s="93"/>
    </row>
    <row r="143" spans="1:11">
      <c r="A143" s="760" t="s">
        <v>1059</v>
      </c>
      <c r="B143" s="743"/>
      <c r="C143" s="762"/>
      <c r="D143" s="762" t="s">
        <v>207</v>
      </c>
      <c r="E143" s="772">
        <f>+E128-(E134-E127)*E136/E125</f>
        <v>25.418557863804125</v>
      </c>
      <c r="F143" s="113"/>
      <c r="G143" s="113"/>
      <c r="H143" s="113"/>
      <c r="I143" s="112" t="str">
        <f t="shared" ref="I143" si="7">TEXT(E143,"0,0")&amp;" °C"</f>
        <v>25,4 °C</v>
      </c>
      <c r="J143" s="577"/>
      <c r="K143" s="93"/>
    </row>
    <row r="144" spans="1:11" ht="13.5" thickBot="1">
      <c r="A144" s="522"/>
      <c r="B144" s="272"/>
      <c r="C144" s="275"/>
      <c r="D144" s="275"/>
      <c r="E144" s="274"/>
      <c r="F144" s="274"/>
      <c r="G144" s="274"/>
      <c r="H144" s="274"/>
      <c r="I144" s="275"/>
      <c r="J144" s="578"/>
      <c r="K144" s="273"/>
    </row>
    <row r="145" spans="1:11">
      <c r="A145" s="514"/>
      <c r="B145" s="201"/>
      <c r="C145" s="187"/>
      <c r="D145" s="187"/>
      <c r="E145" s="515"/>
      <c r="F145" s="515"/>
      <c r="G145" s="515"/>
      <c r="H145" s="515"/>
      <c r="I145" s="187"/>
      <c r="J145" s="516"/>
      <c r="K145" s="186"/>
    </row>
    <row r="146" spans="1:11" ht="15">
      <c r="A146" s="651" t="s">
        <v>1285</v>
      </c>
      <c r="B146" s="111"/>
      <c r="C146" s="112"/>
      <c r="D146" s="112"/>
      <c r="E146" s="113"/>
      <c r="F146" s="113"/>
      <c r="G146" s="113"/>
      <c r="H146" s="113"/>
      <c r="I146" s="112"/>
      <c r="J146" s="110"/>
      <c r="K146" s="93"/>
    </row>
    <row r="147" spans="1:11">
      <c r="A147" s="109"/>
      <c r="B147" s="111"/>
      <c r="C147" s="112"/>
      <c r="D147" s="112"/>
      <c r="E147" s="113"/>
      <c r="F147" s="113"/>
      <c r="G147" s="113"/>
      <c r="H147" s="113"/>
      <c r="I147" s="112"/>
      <c r="J147" s="110"/>
      <c r="K147" s="93"/>
    </row>
    <row r="148" spans="1:11" ht="15.75">
      <c r="A148" s="109" t="s">
        <v>1154</v>
      </c>
      <c r="B148" s="572" t="s">
        <v>1158</v>
      </c>
      <c r="C148" s="112"/>
      <c r="D148" s="112" t="s">
        <v>615</v>
      </c>
      <c r="E148" s="654">
        <f>+Method_input!E12</f>
        <v>12</v>
      </c>
      <c r="F148" s="113" t="s">
        <v>1074</v>
      </c>
      <c r="G148" s="113"/>
      <c r="H148" s="113"/>
      <c r="I148" s="112" t="str">
        <f>TEXT(E148,"0,0")&amp;" l/min"</f>
        <v>12,0 l/min</v>
      </c>
      <c r="J148" s="110"/>
      <c r="K148" s="93"/>
    </row>
    <row r="149" spans="1:11" ht="15.75">
      <c r="A149" s="193" t="s">
        <v>1155</v>
      </c>
      <c r="B149" s="483" t="s">
        <v>1157</v>
      </c>
      <c r="C149" s="185"/>
      <c r="D149" s="185" t="s">
        <v>627</v>
      </c>
      <c r="E149" s="668">
        <f>+Method_input!E13</f>
        <v>5</v>
      </c>
      <c r="F149" s="113" t="s">
        <v>1074</v>
      </c>
      <c r="G149" s="583"/>
      <c r="H149" s="583"/>
      <c r="I149" s="185"/>
      <c r="J149" s="512"/>
      <c r="K149" s="513"/>
    </row>
    <row r="150" spans="1:11" ht="28.5" customHeight="1">
      <c r="A150" s="193" t="s">
        <v>1156</v>
      </c>
      <c r="B150" s="572" t="s">
        <v>1159</v>
      </c>
      <c r="C150" s="185"/>
      <c r="D150" s="185" t="s">
        <v>69</v>
      </c>
      <c r="E150" s="583">
        <f>+E149*E148</f>
        <v>60</v>
      </c>
      <c r="F150" s="583"/>
      <c r="G150" s="583"/>
      <c r="H150" s="583"/>
      <c r="I150" s="185"/>
      <c r="J150" s="512"/>
      <c r="K150" s="513"/>
    </row>
    <row r="151" spans="1:11">
      <c r="A151" s="193"/>
      <c r="B151" s="652"/>
      <c r="C151" s="185"/>
      <c r="D151" s="185"/>
      <c r="E151" s="583"/>
      <c r="F151" s="194"/>
      <c r="G151" s="194"/>
      <c r="H151" s="194"/>
      <c r="I151" s="185"/>
      <c r="J151" s="512"/>
      <c r="K151" s="513"/>
    </row>
    <row r="152" spans="1:11" ht="15.75">
      <c r="A152" s="256" t="s">
        <v>1182</v>
      </c>
      <c r="B152" s="572" t="s">
        <v>1181</v>
      </c>
      <c r="C152" s="185"/>
      <c r="D152" s="185" t="s">
        <v>69</v>
      </c>
      <c r="E152" s="655">
        <f>+Method_input!E40</f>
        <v>1</v>
      </c>
      <c r="F152" s="194" t="s">
        <v>1166</v>
      </c>
      <c r="G152" s="194"/>
      <c r="H152" s="194"/>
      <c r="I152" s="185"/>
      <c r="J152" s="512"/>
      <c r="K152" s="513"/>
    </row>
    <row r="153" spans="1:11" ht="15.75">
      <c r="A153" s="256" t="s">
        <v>959</v>
      </c>
      <c r="B153" s="572" t="s">
        <v>1183</v>
      </c>
      <c r="C153" s="185"/>
      <c r="D153" s="185" t="s">
        <v>69</v>
      </c>
      <c r="E153" s="655">
        <f>+Method_input!E29</f>
        <v>1.5</v>
      </c>
      <c r="F153" s="194" t="s">
        <v>1166</v>
      </c>
      <c r="G153" s="194"/>
      <c r="H153" s="194"/>
      <c r="I153" s="185"/>
      <c r="J153" s="512"/>
      <c r="K153" s="513"/>
    </row>
    <row r="154" spans="1:11">
      <c r="A154" s="256"/>
      <c r="B154" s="483"/>
      <c r="C154" s="185"/>
      <c r="D154" s="185"/>
      <c r="E154" s="655"/>
      <c r="F154" s="194"/>
      <c r="G154" s="194"/>
      <c r="H154" s="194"/>
      <c r="I154" s="185"/>
      <c r="J154" s="512"/>
      <c r="K154" s="513"/>
    </row>
    <row r="155" spans="1:11" ht="15.75">
      <c r="A155" s="698" t="s">
        <v>1270</v>
      </c>
      <c r="B155" s="111" t="s">
        <v>1184</v>
      </c>
      <c r="C155" s="112"/>
      <c r="D155" s="112" t="s">
        <v>975</v>
      </c>
      <c r="E155" s="655">
        <f>+Method_input!E31</f>
        <v>15</v>
      </c>
      <c r="F155" s="194" t="s">
        <v>1166</v>
      </c>
      <c r="G155" s="113"/>
      <c r="H155" s="113"/>
      <c r="I155" s="112"/>
      <c r="J155" s="110"/>
      <c r="K155" s="93"/>
    </row>
    <row r="156" spans="1:11" ht="15.75">
      <c r="A156" s="698" t="s">
        <v>1167</v>
      </c>
      <c r="B156" s="111" t="s">
        <v>1185</v>
      </c>
      <c r="C156" s="112"/>
      <c r="D156" s="259" t="s">
        <v>435</v>
      </c>
      <c r="E156" s="695">
        <f>+Method_input!E32</f>
        <v>1.075E-4</v>
      </c>
      <c r="F156" s="194" t="s">
        <v>1166</v>
      </c>
      <c r="G156" s="113"/>
      <c r="H156" s="113"/>
      <c r="I156" s="112"/>
      <c r="J156" s="110"/>
      <c r="K156" s="93"/>
    </row>
    <row r="157" spans="1:11" ht="39" customHeight="1">
      <c r="A157" s="198" t="s">
        <v>1187</v>
      </c>
      <c r="B157" s="572" t="s">
        <v>1186</v>
      </c>
      <c r="C157" s="112"/>
      <c r="D157" s="112" t="s">
        <v>69</v>
      </c>
      <c r="E157" s="113">
        <f>+E155*E156/E13/E12*1000</f>
        <v>1.3900862068965518</v>
      </c>
      <c r="F157" s="113"/>
      <c r="G157" s="113"/>
      <c r="H157" s="113"/>
      <c r="I157" s="112"/>
      <c r="J157" s="110"/>
      <c r="K157" s="93"/>
    </row>
    <row r="158" spans="1:11" ht="15.75">
      <c r="A158" s="698" t="s">
        <v>960</v>
      </c>
      <c r="B158" s="111" t="s">
        <v>1188</v>
      </c>
      <c r="C158" s="112"/>
      <c r="D158" s="112" t="s">
        <v>961</v>
      </c>
      <c r="E158" s="696">
        <f>+Method_input!E41</f>
        <v>12</v>
      </c>
      <c r="F158" s="194" t="s">
        <v>1166</v>
      </c>
      <c r="G158" s="113"/>
      <c r="H158" s="113"/>
      <c r="I158" s="112"/>
      <c r="J158" s="110"/>
      <c r="K158" s="93"/>
    </row>
    <row r="159" spans="1:11" ht="15.75">
      <c r="A159" s="698" t="s">
        <v>962</v>
      </c>
      <c r="B159" s="111" t="s">
        <v>1190</v>
      </c>
      <c r="C159" s="112"/>
      <c r="D159" s="112" t="s">
        <v>961</v>
      </c>
      <c r="E159" s="777">
        <f>+Method_input!E42</f>
        <v>1.2E-2</v>
      </c>
      <c r="F159" s="194" t="s">
        <v>1166</v>
      </c>
      <c r="G159" s="113"/>
      <c r="H159" s="113"/>
      <c r="I159" s="112"/>
      <c r="J159" s="110"/>
      <c r="K159" s="93"/>
    </row>
    <row r="160" spans="1:11" ht="37.5" customHeight="1">
      <c r="A160" s="198" t="s">
        <v>963</v>
      </c>
      <c r="B160" s="111" t="s">
        <v>1189</v>
      </c>
      <c r="C160" s="112"/>
      <c r="D160" s="112" t="s">
        <v>69</v>
      </c>
      <c r="E160" s="113">
        <f>+E159*E159*3.1415*0.25*1000*E158</f>
        <v>1.3571280000000001</v>
      </c>
      <c r="F160" s="113"/>
      <c r="G160" s="113"/>
      <c r="H160" s="113"/>
      <c r="I160" s="112"/>
      <c r="J160" s="110"/>
      <c r="K160" s="93"/>
    </row>
    <row r="161" spans="1:11" ht="33.75" customHeight="1">
      <c r="A161" s="109" t="s">
        <v>1191</v>
      </c>
      <c r="B161" s="111" t="s">
        <v>1192</v>
      </c>
      <c r="C161" s="112"/>
      <c r="D161" s="112" t="s">
        <v>69</v>
      </c>
      <c r="E161" s="113">
        <f>+E152+E160+0.5*(E157+E153)</f>
        <v>3.8021711034482761</v>
      </c>
      <c r="F161" s="113"/>
      <c r="G161" s="113"/>
      <c r="H161" s="113"/>
      <c r="I161" s="112"/>
      <c r="J161" s="110"/>
      <c r="K161" s="93"/>
    </row>
    <row r="162" spans="1:11" ht="39" customHeight="1">
      <c r="A162" s="109" t="s">
        <v>1193</v>
      </c>
      <c r="B162" s="111" t="s">
        <v>1194</v>
      </c>
      <c r="C162" s="112"/>
      <c r="D162" s="112" t="s">
        <v>20</v>
      </c>
      <c r="E162" s="191">
        <f>1-E161/E150</f>
        <v>0.93663048160919538</v>
      </c>
      <c r="F162" s="113"/>
      <c r="G162" s="113"/>
      <c r="H162" s="113"/>
      <c r="I162" s="112"/>
      <c r="J162" s="110"/>
      <c r="K162" s="93"/>
    </row>
    <row r="163" spans="1:11" ht="15">
      <c r="A163" s="651" t="s">
        <v>1286</v>
      </c>
      <c r="B163" s="111"/>
      <c r="C163" s="112"/>
      <c r="D163" s="112"/>
      <c r="E163" s="113"/>
      <c r="F163" s="113"/>
      <c r="G163" s="113"/>
      <c r="H163" s="113"/>
      <c r="I163" s="112"/>
      <c r="J163" s="110"/>
      <c r="K163" s="93"/>
    </row>
    <row r="164" spans="1:11">
      <c r="A164" s="109"/>
      <c r="B164" s="111"/>
      <c r="C164" s="112"/>
      <c r="D164" s="112"/>
      <c r="E164" s="113"/>
      <c r="F164" s="113"/>
      <c r="G164" s="113"/>
      <c r="H164" s="113"/>
      <c r="I164" s="112"/>
      <c r="J164" s="110"/>
      <c r="K164" s="93"/>
    </row>
    <row r="165" spans="1:11">
      <c r="A165" s="109" t="s">
        <v>1195</v>
      </c>
      <c r="B165" s="111" t="s">
        <v>1064</v>
      </c>
      <c r="C165" s="112"/>
      <c r="D165" s="112"/>
      <c r="E165" s="715" t="str">
        <f>+Method_input!E39</f>
        <v>WWHR_CONN_B</v>
      </c>
      <c r="F165" s="113" t="s">
        <v>1074</v>
      </c>
      <c r="G165" s="113" t="s">
        <v>1196</v>
      </c>
      <c r="H165" s="113"/>
      <c r="I165" s="112"/>
      <c r="J165" s="110"/>
      <c r="K165" s="93"/>
    </row>
    <row r="166" spans="1:11">
      <c r="A166" s="109" t="s">
        <v>1200</v>
      </c>
      <c r="B166" s="111"/>
      <c r="C166" s="112"/>
      <c r="D166" s="112"/>
      <c r="E166" s="716">
        <f>+Data_tables!C12</f>
        <v>2</v>
      </c>
      <c r="F166" s="113" t="s">
        <v>1074</v>
      </c>
      <c r="G166" s="113"/>
      <c r="H166" s="113"/>
      <c r="I166" s="112"/>
      <c r="J166" s="110"/>
      <c r="K166" s="93"/>
    </row>
    <row r="167" spans="1:11" ht="25.5">
      <c r="A167" s="109" t="s">
        <v>1197</v>
      </c>
      <c r="B167" s="111" t="s">
        <v>1198</v>
      </c>
      <c r="C167" s="112"/>
      <c r="D167" s="112"/>
      <c r="E167" s="113">
        <f>CHOOSE(E166,E38,E90,E116)</f>
        <v>0.54651770097445118</v>
      </c>
      <c r="F167" s="113" t="s">
        <v>1201</v>
      </c>
      <c r="G167" s="113"/>
      <c r="H167" s="113"/>
      <c r="I167" s="112"/>
      <c r="J167" s="110"/>
      <c r="K167" s="93"/>
    </row>
    <row r="168" spans="1:11" ht="25.5">
      <c r="A168" s="109" t="s">
        <v>1202</v>
      </c>
      <c r="B168" s="572" t="s">
        <v>1102</v>
      </c>
      <c r="C168" s="112"/>
      <c r="D168" s="112"/>
      <c r="E168" s="113">
        <f>CHOOSE(E166,E39,E88,E119)</f>
        <v>0.78618647927855734</v>
      </c>
      <c r="F168" s="113" t="s">
        <v>1201</v>
      </c>
      <c r="G168" s="113"/>
      <c r="H168" s="113"/>
      <c r="I168" s="112"/>
      <c r="J168" s="110"/>
      <c r="K168" s="93"/>
    </row>
    <row r="169" spans="1:11" ht="25.5" customHeight="1">
      <c r="A169" s="109" t="s">
        <v>904</v>
      </c>
      <c r="B169" s="111" t="s">
        <v>1206</v>
      </c>
      <c r="C169" s="112"/>
      <c r="D169" s="112" t="s">
        <v>218</v>
      </c>
      <c r="E169" s="113">
        <f>+E22*E167*E168*E162</f>
        <v>0.80487434804771429</v>
      </c>
      <c r="F169" s="113"/>
      <c r="G169" s="113"/>
      <c r="H169" s="113"/>
      <c r="I169" s="112"/>
      <c r="J169" s="110"/>
      <c r="K169" s="93"/>
    </row>
    <row r="170" spans="1:11" ht="25.5" customHeight="1">
      <c r="A170" s="109" t="s">
        <v>1207</v>
      </c>
      <c r="B170" s="572" t="s">
        <v>1208</v>
      </c>
      <c r="C170" s="112"/>
      <c r="D170" s="112" t="s">
        <v>207</v>
      </c>
      <c r="E170" s="113">
        <f>+E18+E168*(E34-E18)</f>
        <v>30.723729585571146</v>
      </c>
      <c r="F170" s="113"/>
      <c r="G170" s="113"/>
      <c r="H170" s="113"/>
      <c r="I170" s="112"/>
      <c r="J170" s="110"/>
      <c r="K170" s="93"/>
    </row>
    <row r="171" spans="1:11" ht="43.5" customHeight="1">
      <c r="A171" s="198" t="s">
        <v>1205</v>
      </c>
      <c r="B171" s="111" t="s">
        <v>1213</v>
      </c>
      <c r="C171" s="112"/>
      <c r="D171" s="112" t="s">
        <v>218</v>
      </c>
      <c r="E171" s="113">
        <f>+E169*(E35-E17)/(E35-E170)</f>
        <v>0.5498475978354338</v>
      </c>
      <c r="F171" s="113"/>
      <c r="G171" s="113"/>
      <c r="H171" s="113"/>
      <c r="I171" s="112"/>
      <c r="J171" s="110"/>
      <c r="K171" s="93"/>
    </row>
    <row r="172" spans="1:11" ht="33" customHeight="1">
      <c r="A172" s="198" t="s">
        <v>1209</v>
      </c>
      <c r="B172" s="111" t="s">
        <v>1214</v>
      </c>
      <c r="C172" s="112"/>
      <c r="D172" s="112" t="s">
        <v>218</v>
      </c>
      <c r="E172" s="113">
        <f>+E169</f>
        <v>0.80487434804771429</v>
      </c>
      <c r="F172" s="113"/>
      <c r="G172" s="113"/>
      <c r="H172" s="113"/>
      <c r="I172" s="112"/>
      <c r="J172" s="110"/>
      <c r="K172" s="93"/>
    </row>
    <row r="173" spans="1:11" ht="25.5">
      <c r="A173" s="198" t="s">
        <v>1210</v>
      </c>
      <c r="B173" s="111" t="s">
        <v>1215</v>
      </c>
      <c r="C173" s="112"/>
      <c r="D173" s="112" t="s">
        <v>218</v>
      </c>
      <c r="E173" s="113">
        <v>0</v>
      </c>
      <c r="F173" s="113"/>
      <c r="G173" s="113"/>
      <c r="H173" s="113"/>
      <c r="I173" s="112"/>
      <c r="J173" s="110"/>
      <c r="K173" s="93"/>
    </row>
    <row r="174" spans="1:11" ht="25.5">
      <c r="A174" s="198" t="s">
        <v>1211</v>
      </c>
      <c r="B174" s="111" t="s">
        <v>1216</v>
      </c>
      <c r="C174" s="112"/>
      <c r="D174" s="112" t="s">
        <v>218</v>
      </c>
      <c r="E174" s="113">
        <f>CHOOSE(E166,E171,E172,E173)</f>
        <v>0.80487434804771429</v>
      </c>
      <c r="F174" s="113" t="s">
        <v>1201</v>
      </c>
      <c r="G174" s="113"/>
      <c r="H174" s="113"/>
      <c r="I174" s="112"/>
      <c r="J174" s="110"/>
      <c r="K174" s="93"/>
    </row>
    <row r="175" spans="1:11" ht="22.5" customHeight="1">
      <c r="A175" s="198" t="s">
        <v>1212</v>
      </c>
      <c r="B175" s="111" t="s">
        <v>1217</v>
      </c>
      <c r="C175" s="112"/>
      <c r="D175" s="112" t="s">
        <v>218</v>
      </c>
      <c r="E175" s="717">
        <f>+E169-E174</f>
        <v>0</v>
      </c>
      <c r="F175" s="113"/>
      <c r="G175" s="113"/>
      <c r="H175" s="113"/>
      <c r="I175" s="112"/>
      <c r="J175" s="110"/>
      <c r="K175" s="93"/>
    </row>
    <row r="176" spans="1:11" ht="15">
      <c r="A176" s="651" t="s">
        <v>1287</v>
      </c>
      <c r="B176" s="111"/>
      <c r="C176" s="112"/>
      <c r="D176" s="112"/>
      <c r="E176" s="113"/>
      <c r="F176" s="113"/>
      <c r="G176" s="113"/>
      <c r="H176" s="113"/>
      <c r="I176" s="112"/>
      <c r="J176" s="110"/>
      <c r="K176" s="93"/>
    </row>
    <row r="177" spans="1:11" ht="15.75">
      <c r="A177" s="109" t="s">
        <v>1219</v>
      </c>
      <c r="B177" s="111" t="s">
        <v>1220</v>
      </c>
      <c r="C177" s="112"/>
      <c r="D177" s="112" t="s">
        <v>915</v>
      </c>
      <c r="E177" s="697">
        <f>+Method_input!E34</f>
        <v>0.05</v>
      </c>
      <c r="F177" s="113" t="s">
        <v>1074</v>
      </c>
      <c r="G177" s="113"/>
      <c r="H177" s="113"/>
      <c r="I177" s="112"/>
      <c r="J177" s="110"/>
      <c r="K177" s="93"/>
    </row>
    <row r="178" spans="1:11" ht="39" customHeight="1">
      <c r="A178" s="109" t="s">
        <v>1221</v>
      </c>
      <c r="B178" s="111" t="s">
        <v>1222</v>
      </c>
      <c r="C178" s="112"/>
      <c r="D178" s="112" t="s">
        <v>81</v>
      </c>
      <c r="E178" s="191">
        <f>+E23/(E148*0.06)</f>
        <v>9.5785440613026837E-2</v>
      </c>
      <c r="F178" s="113"/>
      <c r="G178" s="113"/>
      <c r="H178" s="113"/>
      <c r="I178" s="112"/>
      <c r="J178" s="110"/>
      <c r="K178" s="93"/>
    </row>
    <row r="179" spans="1:11" ht="22.5" customHeight="1">
      <c r="A179" s="109"/>
      <c r="B179" s="111"/>
      <c r="C179" s="112"/>
      <c r="D179" s="112" t="s">
        <v>627</v>
      </c>
      <c r="E179" s="113">
        <f>+E178*60</f>
        <v>5.7471264367816106</v>
      </c>
      <c r="F179" s="113"/>
      <c r="G179" s="113"/>
      <c r="H179" s="113" t="s">
        <v>1224</v>
      </c>
      <c r="I179" s="112"/>
      <c r="J179" s="110"/>
      <c r="K179" s="93"/>
    </row>
    <row r="180" spans="1:11" ht="22.5" customHeight="1">
      <c r="A180" s="109" t="s">
        <v>1223</v>
      </c>
      <c r="B180" s="111" t="s">
        <v>1225</v>
      </c>
      <c r="C180" s="112"/>
      <c r="D180" s="112" t="s">
        <v>218</v>
      </c>
      <c r="E180" s="191">
        <f>+E177*E178</f>
        <v>4.7892720306513424E-3</v>
      </c>
      <c r="F180" s="113"/>
      <c r="G180" s="113"/>
      <c r="H180" s="113"/>
      <c r="I180" s="112"/>
      <c r="J180" s="110"/>
      <c r="K180" s="93"/>
    </row>
    <row r="181" spans="1:11">
      <c r="A181" s="109"/>
      <c r="B181" s="111"/>
      <c r="C181" s="112"/>
      <c r="D181" s="112"/>
      <c r="E181" s="113"/>
      <c r="F181" s="113"/>
      <c r="G181" s="113"/>
      <c r="H181" s="113"/>
      <c r="I181" s="112"/>
      <c r="J181" s="110"/>
      <c r="K181" s="93"/>
    </row>
    <row r="182" spans="1:11">
      <c r="A182" s="109"/>
      <c r="B182" s="111"/>
      <c r="C182" s="112"/>
      <c r="D182" s="112"/>
      <c r="E182" s="113"/>
      <c r="F182" s="113"/>
      <c r="G182" s="113"/>
      <c r="H182" s="113"/>
      <c r="I182" s="112"/>
      <c r="J182" s="110"/>
      <c r="K182" s="93"/>
    </row>
    <row r="183" spans="1:11">
      <c r="A183" s="109"/>
      <c r="B183" s="111"/>
      <c r="C183" s="112"/>
      <c r="D183" s="112"/>
      <c r="E183" s="113"/>
      <c r="F183" s="113"/>
      <c r="G183" s="113"/>
      <c r="H183" s="113"/>
      <c r="I183" s="112"/>
      <c r="J183" s="110"/>
      <c r="K183" s="93"/>
    </row>
    <row r="184" spans="1:11">
      <c r="A184" s="109"/>
      <c r="B184" s="111"/>
      <c r="C184" s="112"/>
      <c r="D184" s="112"/>
      <c r="E184" s="113"/>
      <c r="F184" s="113"/>
      <c r="G184" s="113"/>
      <c r="H184" s="113"/>
      <c r="I184" s="112"/>
      <c r="J184" s="110"/>
      <c r="K184" s="93"/>
    </row>
    <row r="185" spans="1:11">
      <c r="A185" s="109"/>
      <c r="B185" s="111"/>
      <c r="C185" s="112"/>
      <c r="D185" s="112"/>
      <c r="E185" s="113"/>
      <c r="F185" s="113"/>
      <c r="G185" s="113"/>
      <c r="H185" s="113"/>
      <c r="I185" s="112"/>
      <c r="J185" s="110"/>
      <c r="K185" s="93"/>
    </row>
    <row r="186" spans="1:11">
      <c r="A186" s="109"/>
      <c r="B186" s="111"/>
      <c r="C186" s="112"/>
      <c r="D186" s="112"/>
      <c r="E186" s="113"/>
      <c r="F186" s="113"/>
      <c r="G186" s="113"/>
      <c r="H186" s="113"/>
      <c r="I186" s="112"/>
      <c r="J186" s="110"/>
      <c r="K186" s="93"/>
    </row>
  </sheetData>
  <pageMargins left="0.75" right="0.75" top="1" bottom="1" header="0.5" footer="0.5"/>
  <pageSetup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DAC9A-4EB7-4C0E-BFE7-195EC8302E43}">
  <sheetPr codeName="Foglio4">
    <tabColor rgb="FF009900"/>
  </sheetPr>
  <dimension ref="A1:I13"/>
  <sheetViews>
    <sheetView zoomScale="130" zoomScaleNormal="130" workbookViewId="0">
      <selection activeCell="B16" sqref="B16"/>
    </sheetView>
  </sheetViews>
  <sheetFormatPr defaultColWidth="9.140625" defaultRowHeight="12.75"/>
  <cols>
    <col min="1" max="1" width="28.7109375" style="75" customWidth="1"/>
    <col min="2" max="2" width="14.7109375" style="75" customWidth="1"/>
    <col min="3" max="3" width="17" style="75" customWidth="1"/>
    <col min="4" max="4" width="8" style="75" customWidth="1"/>
    <col min="5" max="5" width="9" style="75" customWidth="1"/>
    <col min="6" max="6" width="9.140625" style="75" customWidth="1"/>
    <col min="7" max="7" width="9.7109375" style="75" customWidth="1"/>
    <col min="8" max="8" width="10" style="75" customWidth="1"/>
    <col min="9" max="9" width="33.28515625" style="75" customWidth="1"/>
    <col min="10" max="10" width="9.140625" style="75"/>
    <col min="11" max="11" width="9.5703125" style="75" bestFit="1" customWidth="1"/>
    <col min="12" max="16384" width="9.140625" style="75"/>
  </cols>
  <sheetData>
    <row r="1" spans="1:9" ht="62.25" customHeight="1">
      <c r="A1" s="802" t="s">
        <v>219</v>
      </c>
      <c r="B1" s="803"/>
      <c r="C1" s="803"/>
      <c r="D1" s="803"/>
      <c r="E1" s="803"/>
      <c r="F1" s="803"/>
      <c r="G1" s="803"/>
      <c r="H1" s="803"/>
      <c r="I1" s="803"/>
    </row>
    <row r="2" spans="1:9">
      <c r="B2" s="262"/>
      <c r="C2" s="262"/>
      <c r="D2" s="262"/>
      <c r="E2" s="262"/>
      <c r="F2" s="262"/>
      <c r="G2" s="262"/>
      <c r="H2" s="262"/>
      <c r="I2" s="262"/>
    </row>
    <row r="3" spans="1:9">
      <c r="B3" s="262"/>
      <c r="C3" s="262"/>
      <c r="D3" s="262"/>
      <c r="E3" s="262"/>
      <c r="F3" s="262"/>
      <c r="G3" s="262"/>
      <c r="H3" s="262"/>
      <c r="I3" s="262"/>
    </row>
    <row r="4" spans="1:9" ht="13.5" thickBot="1">
      <c r="B4" s="262"/>
      <c r="C4" s="262"/>
      <c r="D4" s="262"/>
      <c r="E4" s="262"/>
      <c r="F4" s="262"/>
      <c r="G4" s="262"/>
      <c r="H4" s="262"/>
      <c r="I4" s="262"/>
    </row>
    <row r="5" spans="1:9" ht="39" thickBot="1">
      <c r="A5" s="115" t="s">
        <v>197</v>
      </c>
      <c r="B5" s="263" t="s">
        <v>198</v>
      </c>
      <c r="C5" s="264" t="s">
        <v>199</v>
      </c>
      <c r="D5" s="263" t="s">
        <v>200</v>
      </c>
      <c r="E5" s="263" t="s">
        <v>201</v>
      </c>
      <c r="F5" s="264" t="s">
        <v>202</v>
      </c>
      <c r="G5" s="263" t="s">
        <v>220</v>
      </c>
      <c r="H5" s="264" t="s">
        <v>204</v>
      </c>
      <c r="I5" s="265" t="s">
        <v>97</v>
      </c>
    </row>
    <row r="6" spans="1:9">
      <c r="A6" s="116" t="s">
        <v>221</v>
      </c>
      <c r="B6" s="266"/>
      <c r="C6" s="262"/>
      <c r="D6" s="267"/>
      <c r="E6" s="267"/>
      <c r="F6" s="262"/>
      <c r="G6" s="267"/>
      <c r="H6" s="262"/>
      <c r="I6" s="268"/>
    </row>
    <row r="7" spans="1:9">
      <c r="A7" s="117"/>
      <c r="B7" s="111"/>
      <c r="C7" s="269"/>
      <c r="D7" s="269"/>
      <c r="E7" s="376"/>
      <c r="F7" s="93"/>
      <c r="G7" s="112"/>
      <c r="H7" s="93"/>
      <c r="I7" s="270"/>
    </row>
    <row r="8" spans="1:9" ht="15.75">
      <c r="A8" s="718" t="s">
        <v>1218</v>
      </c>
      <c r="B8" s="111" t="s">
        <v>1206</v>
      </c>
      <c r="C8" s="112"/>
      <c r="D8" s="112" t="s">
        <v>218</v>
      </c>
      <c r="E8" s="191">
        <f>+Method_calculation!E169</f>
        <v>0.80487434804771429</v>
      </c>
      <c r="F8" s="93"/>
      <c r="G8" s="112"/>
      <c r="H8" s="93"/>
      <c r="I8" s="270"/>
    </row>
    <row r="9" spans="1:9" ht="25.5">
      <c r="A9" s="719" t="s">
        <v>1204</v>
      </c>
      <c r="B9" s="111" t="s">
        <v>1216</v>
      </c>
      <c r="C9" s="112"/>
      <c r="D9" s="112" t="s">
        <v>218</v>
      </c>
      <c r="E9" s="191">
        <f>+Method_calculation!E174</f>
        <v>0.80487434804771429</v>
      </c>
      <c r="F9" s="93"/>
      <c r="G9" s="112"/>
      <c r="H9" s="93"/>
      <c r="I9" s="270"/>
    </row>
    <row r="10" spans="1:9" ht="25.5">
      <c r="A10" s="719" t="s">
        <v>1212</v>
      </c>
      <c r="B10" s="111" t="s">
        <v>1217</v>
      </c>
      <c r="C10" s="112"/>
      <c r="D10" s="112" t="s">
        <v>218</v>
      </c>
      <c r="E10" s="191">
        <f>+Method_calculation!E175</f>
        <v>0</v>
      </c>
      <c r="F10" s="93"/>
      <c r="G10" s="112"/>
      <c r="H10" s="93"/>
      <c r="I10" s="270" t="s">
        <v>1241</v>
      </c>
    </row>
    <row r="11" spans="1:9" ht="15.75">
      <c r="A11" s="718" t="s">
        <v>1207</v>
      </c>
      <c r="B11" s="572" t="s">
        <v>1208</v>
      </c>
      <c r="C11" s="112"/>
      <c r="D11" s="112" t="s">
        <v>207</v>
      </c>
      <c r="E11" s="643">
        <f>+Method_calculation!E170</f>
        <v>30.723729585571146</v>
      </c>
      <c r="F11" s="93"/>
      <c r="G11" s="112"/>
      <c r="H11" s="93"/>
      <c r="I11" s="270"/>
    </row>
    <row r="12" spans="1:9" ht="15.75">
      <c r="A12" s="109" t="s">
        <v>1242</v>
      </c>
      <c r="B12" s="111" t="s">
        <v>1225</v>
      </c>
      <c r="C12" s="112"/>
      <c r="D12" s="112" t="s">
        <v>218</v>
      </c>
      <c r="E12" s="191">
        <f>+Method_calculation!E180</f>
        <v>4.7892720306513424E-3</v>
      </c>
      <c r="F12" s="513"/>
      <c r="G12" s="185"/>
      <c r="H12" s="513"/>
      <c r="I12" s="722"/>
    </row>
    <row r="13" spans="1:9" ht="13.5" thickBot="1">
      <c r="A13" s="723"/>
      <c r="B13" s="272"/>
      <c r="C13" s="720"/>
      <c r="D13" s="720"/>
      <c r="E13" s="721"/>
      <c r="F13" s="273"/>
      <c r="G13" s="275"/>
      <c r="H13" s="273"/>
      <c r="I13" s="276"/>
    </row>
  </sheetData>
  <mergeCells count="1">
    <mergeCell ref="A1:I1"/>
  </mergeCells>
  <pageMargins left="0.75" right="0.75" top="1" bottom="1" header="0.5" footer="0.5"/>
  <pageSetup paperSize="9" orientation="portrait" horizontalDpi="0"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D739B-72A5-436D-BF9B-41DD5C2A5AAB}">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E66FC-33D1-4B26-A7ED-126F6FBA629B}">
  <sheetPr>
    <tabColor rgb="FF92D050"/>
  </sheetPr>
  <dimension ref="A2:AW176"/>
  <sheetViews>
    <sheetView workbookViewId="0"/>
  </sheetViews>
  <sheetFormatPr defaultColWidth="9.140625" defaultRowHeight="12.75"/>
  <cols>
    <col min="1" max="1" width="41.85546875" style="75" customWidth="1"/>
    <col min="2" max="2" width="17.42578125" style="75" customWidth="1"/>
    <col min="3" max="3" width="20.42578125" style="75" bestFit="1" customWidth="1"/>
    <col min="4" max="4" width="11.85546875" style="75" customWidth="1"/>
    <col min="5" max="5" width="11" style="75" customWidth="1"/>
    <col min="6" max="6" width="14" style="75" customWidth="1"/>
    <col min="7" max="7" width="83.5703125" style="75" customWidth="1"/>
    <col min="8" max="8" width="29.42578125" style="75" customWidth="1"/>
    <col min="9" max="9" width="9.140625" style="75"/>
    <col min="10" max="49" width="10" style="75" customWidth="1"/>
    <col min="50" max="57" width="9.140625" style="75"/>
    <col min="58" max="59" width="9.140625" style="75" customWidth="1"/>
    <col min="60" max="60" width="19" style="75" customWidth="1"/>
    <col min="61" max="64" width="9.140625" style="75" customWidth="1"/>
    <col min="65" max="16384" width="9.140625" style="75"/>
  </cols>
  <sheetData>
    <row r="2" spans="1:49" ht="15">
      <c r="A2" s="107" t="s">
        <v>73</v>
      </c>
      <c r="B2" s="107" t="s">
        <v>198</v>
      </c>
      <c r="C2" s="108" t="s">
        <v>199</v>
      </c>
      <c r="D2" s="107" t="s">
        <v>200</v>
      </c>
      <c r="E2" s="107" t="s">
        <v>201</v>
      </c>
      <c r="F2" s="107" t="s">
        <v>215</v>
      </c>
      <c r="G2" s="107" t="s">
        <v>216</v>
      </c>
      <c r="H2" s="107"/>
      <c r="J2" s="81" t="s">
        <v>217</v>
      </c>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c r="AR2" s="82"/>
      <c r="AS2" s="82"/>
      <c r="AT2" s="82"/>
      <c r="AU2" s="82"/>
      <c r="AV2" s="82"/>
      <c r="AW2" s="83"/>
    </row>
    <row r="3" spans="1:49">
      <c r="A3" s="94"/>
      <c r="B3" s="94"/>
      <c r="C3" s="85"/>
      <c r="D3" s="94"/>
      <c r="E3" s="94"/>
      <c r="F3" s="94"/>
      <c r="G3" s="94"/>
      <c r="H3" s="94"/>
      <c r="J3" s="87">
        <v>1</v>
      </c>
      <c r="K3" s="88">
        <v>2</v>
      </c>
      <c r="L3" s="88">
        <v>3</v>
      </c>
      <c r="M3" s="88">
        <v>4</v>
      </c>
      <c r="N3" s="88">
        <v>5</v>
      </c>
      <c r="O3" s="88">
        <v>6</v>
      </c>
      <c r="P3" s="88">
        <v>7</v>
      </c>
      <c r="Q3" s="88">
        <v>8</v>
      </c>
      <c r="R3" s="88">
        <v>9</v>
      </c>
      <c r="S3" s="88">
        <v>10</v>
      </c>
      <c r="T3" s="88">
        <v>11</v>
      </c>
      <c r="U3" s="88">
        <v>12</v>
      </c>
      <c r="V3" s="88">
        <v>13</v>
      </c>
      <c r="W3" s="88">
        <v>14</v>
      </c>
      <c r="X3" s="88">
        <v>15</v>
      </c>
      <c r="Y3" s="88">
        <v>16</v>
      </c>
      <c r="Z3" s="88">
        <v>17</v>
      </c>
      <c r="AA3" s="88">
        <v>18</v>
      </c>
      <c r="AB3" s="88">
        <v>19</v>
      </c>
      <c r="AC3" s="88">
        <v>20</v>
      </c>
      <c r="AD3" s="88">
        <v>21</v>
      </c>
      <c r="AE3" s="88">
        <v>22</v>
      </c>
      <c r="AF3" s="88">
        <v>23</v>
      </c>
      <c r="AG3" s="88">
        <v>24</v>
      </c>
      <c r="AH3" s="88">
        <v>25</v>
      </c>
      <c r="AI3" s="88">
        <v>26</v>
      </c>
      <c r="AJ3" s="88">
        <v>27</v>
      </c>
      <c r="AK3" s="88">
        <v>28</v>
      </c>
      <c r="AL3" s="88">
        <v>29</v>
      </c>
      <c r="AM3" s="88">
        <v>30</v>
      </c>
      <c r="AN3" s="88">
        <v>31</v>
      </c>
      <c r="AO3" s="88">
        <v>32</v>
      </c>
      <c r="AP3" s="88">
        <v>33</v>
      </c>
      <c r="AQ3" s="88">
        <v>34</v>
      </c>
      <c r="AR3" s="88">
        <v>35</v>
      </c>
      <c r="AS3" s="88">
        <v>36</v>
      </c>
      <c r="AT3" s="88">
        <v>37</v>
      </c>
      <c r="AU3" s="88">
        <v>38</v>
      </c>
      <c r="AV3" s="88">
        <v>39</v>
      </c>
      <c r="AW3" s="89">
        <v>40</v>
      </c>
    </row>
    <row r="4" spans="1:49">
      <c r="A4" s="109"/>
      <c r="B4" s="111"/>
      <c r="C4" s="112"/>
      <c r="D4" s="112"/>
      <c r="E4" s="113"/>
      <c r="F4" s="112"/>
      <c r="G4" s="110"/>
      <c r="H4" s="93"/>
      <c r="J4" s="101"/>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3"/>
    </row>
    <row r="5" spans="1:49">
      <c r="A5" s="804" t="s">
        <v>360</v>
      </c>
      <c r="B5" s="805"/>
      <c r="C5" s="805"/>
      <c r="D5" s="805"/>
      <c r="E5" s="805"/>
      <c r="F5" s="805"/>
      <c r="G5" s="806"/>
      <c r="H5" s="112"/>
      <c r="J5" s="87"/>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9"/>
    </row>
    <row r="6" spans="1:49">
      <c r="A6" s="109" t="s">
        <v>618</v>
      </c>
      <c r="B6" s="111" t="s">
        <v>619</v>
      </c>
      <c r="C6" s="112"/>
      <c r="D6" s="112" t="s">
        <v>214</v>
      </c>
      <c r="E6" s="480">
        <v>120</v>
      </c>
      <c r="F6" s="112"/>
      <c r="G6" s="478"/>
      <c r="H6" s="112"/>
      <c r="J6" s="87"/>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9"/>
    </row>
    <row r="7" spans="1:49">
      <c r="A7" s="109" t="s">
        <v>653</v>
      </c>
      <c r="B7" s="111" t="s">
        <v>634</v>
      </c>
      <c r="C7" s="112"/>
      <c r="D7" s="112"/>
      <c r="E7" s="480">
        <v>41</v>
      </c>
      <c r="F7" s="112"/>
      <c r="G7" s="478"/>
      <c r="H7" s="112"/>
      <c r="J7" s="87"/>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9"/>
    </row>
    <row r="8" spans="1:49">
      <c r="A8" s="109" t="s">
        <v>654</v>
      </c>
      <c r="B8" s="111"/>
      <c r="C8" s="112"/>
      <c r="D8" s="112"/>
      <c r="E8" s="480">
        <v>42</v>
      </c>
      <c r="F8" s="112"/>
      <c r="G8" s="478"/>
      <c r="H8" s="112"/>
      <c r="J8" s="490"/>
      <c r="K8" s="491"/>
      <c r="L8" s="491"/>
      <c r="M8" s="491"/>
      <c r="N8" s="491"/>
      <c r="O8" s="491"/>
      <c r="P8" s="491"/>
      <c r="Q8" s="491"/>
      <c r="R8" s="491"/>
      <c r="S8" s="491"/>
      <c r="T8" s="491"/>
      <c r="U8" s="491"/>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9"/>
    </row>
    <row r="9" spans="1:49">
      <c r="A9" s="109" t="s">
        <v>633</v>
      </c>
      <c r="B9" s="111" t="s">
        <v>635</v>
      </c>
      <c r="C9" s="112"/>
      <c r="D9" s="112"/>
      <c r="E9" s="480">
        <v>52</v>
      </c>
      <c r="F9" s="112"/>
      <c r="G9" s="478"/>
      <c r="H9" s="112"/>
      <c r="J9" s="490"/>
      <c r="K9" s="491"/>
      <c r="L9" s="491"/>
      <c r="M9" s="491"/>
      <c r="N9" s="491"/>
      <c r="O9" s="491"/>
      <c r="P9" s="491"/>
      <c r="Q9" s="491"/>
      <c r="R9" s="491"/>
      <c r="S9" s="491"/>
      <c r="T9" s="491"/>
      <c r="U9" s="491"/>
      <c r="V9" s="488" t="s">
        <v>640</v>
      </c>
      <c r="W9" s="496" t="s">
        <v>656</v>
      </c>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9"/>
    </row>
    <row r="10" spans="1:49">
      <c r="A10" s="193" t="s">
        <v>319</v>
      </c>
      <c r="B10" s="483"/>
      <c r="C10" s="112"/>
      <c r="D10" s="112"/>
      <c r="E10" s="480" t="s">
        <v>638</v>
      </c>
      <c r="F10" s="112"/>
      <c r="G10" s="478"/>
      <c r="H10" s="112"/>
      <c r="J10" s="207">
        <v>11.1</v>
      </c>
      <c r="K10" s="208">
        <v>11.3</v>
      </c>
      <c r="L10" s="208">
        <v>12.3</v>
      </c>
      <c r="M10" s="208">
        <v>14.5</v>
      </c>
      <c r="N10" s="208">
        <v>16.2</v>
      </c>
      <c r="O10" s="208">
        <v>18.8</v>
      </c>
      <c r="P10" s="208">
        <v>21.3</v>
      </c>
      <c r="Q10" s="208">
        <v>19.3</v>
      </c>
      <c r="R10" s="208">
        <v>18.7</v>
      </c>
      <c r="S10" s="208">
        <v>16.2</v>
      </c>
      <c r="T10" s="208">
        <v>13.2</v>
      </c>
      <c r="U10" s="209">
        <v>11.2</v>
      </c>
      <c r="V10" s="489">
        <f>AVERAGE(J10:U10)</f>
        <v>15.341666666666663</v>
      </c>
      <c r="W10" s="496"/>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9"/>
    </row>
    <row r="11" spans="1:49">
      <c r="A11" s="484"/>
      <c r="B11" s="485"/>
      <c r="C11" s="112"/>
      <c r="D11" s="112"/>
      <c r="E11" s="480" t="s">
        <v>639</v>
      </c>
      <c r="F11" s="112"/>
      <c r="G11" s="478"/>
      <c r="H11" s="112"/>
      <c r="J11" s="104">
        <v>8</v>
      </c>
      <c r="K11" s="105">
        <v>8.1999999999999993</v>
      </c>
      <c r="L11" s="105">
        <v>9.3000000000000007</v>
      </c>
      <c r="M11" s="105">
        <v>12.7</v>
      </c>
      <c r="N11" s="105">
        <v>14.6</v>
      </c>
      <c r="O11" s="105">
        <v>16.7</v>
      </c>
      <c r="P11" s="105">
        <v>18.399999999999999</v>
      </c>
      <c r="Q11" s="105">
        <v>17.600000000000001</v>
      </c>
      <c r="R11" s="105">
        <v>16.600000000000001</v>
      </c>
      <c r="S11" s="105">
        <v>14.3</v>
      </c>
      <c r="T11" s="105">
        <v>11.1</v>
      </c>
      <c r="U11" s="106">
        <v>8.5</v>
      </c>
      <c r="V11" s="489">
        <f>AVERAGE(J11:U11)</f>
        <v>13</v>
      </c>
      <c r="W11" s="496"/>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9"/>
    </row>
    <row r="12" spans="1:49">
      <c r="A12" s="486"/>
      <c r="B12" s="201" t="s">
        <v>636</v>
      </c>
      <c r="C12" s="112"/>
      <c r="D12" s="112"/>
      <c r="E12" s="480" t="s">
        <v>638</v>
      </c>
      <c r="F12" s="112"/>
      <c r="G12" s="482" t="s">
        <v>637</v>
      </c>
      <c r="H12" s="112"/>
      <c r="J12" s="492">
        <f>IF($E$12=$E$10,J10,J11)</f>
        <v>11.1</v>
      </c>
      <c r="K12" s="493">
        <f t="shared" ref="K12:U12" si="0">IF($E$12=$E$10,K10,K11)</f>
        <v>11.3</v>
      </c>
      <c r="L12" s="493">
        <f t="shared" si="0"/>
        <v>12.3</v>
      </c>
      <c r="M12" s="493">
        <f t="shared" si="0"/>
        <v>14.5</v>
      </c>
      <c r="N12" s="493">
        <f t="shared" si="0"/>
        <v>16.2</v>
      </c>
      <c r="O12" s="493">
        <f t="shared" si="0"/>
        <v>18.8</v>
      </c>
      <c r="P12" s="493">
        <f t="shared" si="0"/>
        <v>21.3</v>
      </c>
      <c r="Q12" s="493">
        <f t="shared" si="0"/>
        <v>19.3</v>
      </c>
      <c r="R12" s="493">
        <f t="shared" si="0"/>
        <v>18.7</v>
      </c>
      <c r="S12" s="493">
        <f t="shared" si="0"/>
        <v>16.2</v>
      </c>
      <c r="T12" s="493">
        <f t="shared" si="0"/>
        <v>13.2</v>
      </c>
      <c r="U12" s="493">
        <f t="shared" si="0"/>
        <v>11.2</v>
      </c>
      <c r="V12" s="88"/>
      <c r="W12" s="496"/>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9"/>
    </row>
    <row r="13" spans="1:49">
      <c r="A13" s="109" t="s">
        <v>620</v>
      </c>
      <c r="B13" s="111" t="s">
        <v>621</v>
      </c>
      <c r="C13" s="112"/>
      <c r="D13" s="112" t="s">
        <v>17</v>
      </c>
      <c r="E13" s="113">
        <f>1+1.76*(1-EXP(-0.000349*(E6-13.9)*(E6-13.9)))+0.0013*(E6-13.9)</f>
        <v>2.8633144570974673</v>
      </c>
      <c r="F13" s="112"/>
      <c r="G13" s="478"/>
      <c r="H13" s="112"/>
      <c r="J13" s="87"/>
      <c r="K13" s="88"/>
      <c r="L13" s="88"/>
      <c r="M13" s="88"/>
      <c r="N13" s="88"/>
      <c r="O13" s="88"/>
      <c r="P13" s="88"/>
      <c r="Q13" s="88"/>
      <c r="R13" s="88"/>
      <c r="S13" s="88"/>
      <c r="T13" s="88"/>
      <c r="U13" s="88"/>
      <c r="V13" s="88"/>
      <c r="W13" s="496"/>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9"/>
    </row>
    <row r="14" spans="1:49" ht="25.5">
      <c r="A14" s="109" t="s">
        <v>612</v>
      </c>
      <c r="B14" s="111" t="s">
        <v>613</v>
      </c>
      <c r="C14" s="112"/>
      <c r="D14" s="112" t="s">
        <v>17</v>
      </c>
      <c r="E14" s="480">
        <v>2</v>
      </c>
      <c r="F14" s="112"/>
      <c r="G14" s="481" t="s">
        <v>630</v>
      </c>
      <c r="H14" s="93"/>
      <c r="J14" s="87"/>
      <c r="K14" s="88"/>
      <c r="L14" s="88"/>
      <c r="M14" s="88"/>
      <c r="N14" s="88"/>
      <c r="O14" s="88"/>
      <c r="P14" s="88"/>
      <c r="Q14" s="88"/>
      <c r="R14" s="88"/>
      <c r="S14" s="88"/>
      <c r="T14" s="88"/>
      <c r="U14" s="88"/>
      <c r="V14" s="88"/>
      <c r="W14" s="496"/>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9"/>
    </row>
    <row r="15" spans="1:49">
      <c r="A15" s="109" t="s">
        <v>614</v>
      </c>
      <c r="B15" s="111"/>
      <c r="C15" s="112"/>
      <c r="D15" s="112" t="s">
        <v>615</v>
      </c>
      <c r="E15" s="480">
        <v>11</v>
      </c>
      <c r="F15" s="112"/>
      <c r="G15" s="110"/>
      <c r="H15" s="93"/>
      <c r="J15" s="87"/>
      <c r="K15" s="88"/>
      <c r="L15" s="88"/>
      <c r="M15" s="88"/>
      <c r="N15" s="88"/>
      <c r="O15" s="88"/>
      <c r="P15" s="88"/>
      <c r="Q15" s="88"/>
      <c r="R15" s="88"/>
      <c r="S15" s="88"/>
      <c r="T15" s="88"/>
      <c r="U15" s="88"/>
      <c r="V15" s="88"/>
      <c r="W15" s="496"/>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9"/>
    </row>
    <row r="16" spans="1:49">
      <c r="A16" s="109"/>
      <c r="B16" s="111"/>
      <c r="C16" s="112"/>
      <c r="D16" s="112"/>
      <c r="E16" s="113"/>
      <c r="F16" s="112"/>
      <c r="G16" s="110"/>
      <c r="H16" s="93"/>
      <c r="J16" s="87"/>
      <c r="K16" s="88"/>
      <c r="L16" s="88"/>
      <c r="M16" s="88"/>
      <c r="N16" s="88"/>
      <c r="O16" s="88"/>
      <c r="P16" s="88"/>
      <c r="Q16" s="88"/>
      <c r="R16" s="88"/>
      <c r="S16" s="88"/>
      <c r="T16" s="88"/>
      <c r="U16" s="88"/>
      <c r="V16" s="88"/>
      <c r="W16" s="496"/>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9"/>
    </row>
    <row r="17" spans="1:49">
      <c r="A17" s="109" t="s">
        <v>622</v>
      </c>
      <c r="B17" s="111"/>
      <c r="C17" s="112"/>
      <c r="D17" s="112"/>
      <c r="E17" s="113" t="b">
        <f>E28&gt;0</f>
        <v>1</v>
      </c>
      <c r="F17" s="112"/>
      <c r="G17" s="110"/>
      <c r="H17" s="93"/>
      <c r="J17" s="87"/>
      <c r="K17" s="88"/>
      <c r="L17" s="88"/>
      <c r="M17" s="88"/>
      <c r="N17" s="88"/>
      <c r="O17" s="88"/>
      <c r="P17" s="88"/>
      <c r="Q17" s="88"/>
      <c r="R17" s="88"/>
      <c r="S17" s="88"/>
      <c r="T17" s="88"/>
      <c r="U17" s="88"/>
      <c r="V17" s="88"/>
      <c r="W17" s="496"/>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9"/>
    </row>
    <row r="18" spans="1:49">
      <c r="A18" s="109"/>
      <c r="B18" s="111"/>
      <c r="C18" s="112"/>
      <c r="D18" s="112"/>
      <c r="E18" s="113"/>
      <c r="F18" s="112"/>
      <c r="G18" s="110"/>
      <c r="H18" s="93"/>
      <c r="J18" s="87"/>
      <c r="K18" s="88"/>
      <c r="L18" s="88"/>
      <c r="M18" s="88"/>
      <c r="N18" s="88"/>
      <c r="O18" s="88"/>
      <c r="P18" s="88"/>
      <c r="Q18" s="88"/>
      <c r="R18" s="88"/>
      <c r="S18" s="88"/>
      <c r="T18" s="88"/>
      <c r="U18" s="88"/>
      <c r="V18" s="88"/>
      <c r="W18" s="496"/>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9"/>
    </row>
    <row r="19" spans="1:49">
      <c r="A19" s="109" t="s">
        <v>623</v>
      </c>
      <c r="B19" s="111"/>
      <c r="C19" s="112"/>
      <c r="D19" s="112"/>
      <c r="E19" s="113">
        <f>IF(E14&gt;0,IF(E17,0.45*E13+0.65,0.58+0.83*E13),0)</f>
        <v>1.9384915056938605</v>
      </c>
      <c r="F19" s="112" t="s">
        <v>628</v>
      </c>
      <c r="G19" s="110"/>
      <c r="H19" s="93"/>
      <c r="J19" s="87"/>
      <c r="K19" s="88"/>
      <c r="L19" s="88"/>
      <c r="M19" s="88"/>
      <c r="N19" s="88"/>
      <c r="O19" s="88"/>
      <c r="P19" s="88"/>
      <c r="Q19" s="88"/>
      <c r="R19" s="88"/>
      <c r="S19" s="88"/>
      <c r="T19" s="88"/>
      <c r="U19" s="88"/>
      <c r="V19" s="88"/>
      <c r="W19" s="496"/>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9"/>
    </row>
    <row r="20" spans="1:49">
      <c r="A20" s="109" t="s">
        <v>624</v>
      </c>
      <c r="B20" s="111"/>
      <c r="C20" s="112"/>
      <c r="D20" s="112"/>
      <c r="E20" s="480">
        <v>1</v>
      </c>
      <c r="F20" s="112"/>
      <c r="G20" s="110" t="s">
        <v>626</v>
      </c>
      <c r="H20" s="93"/>
      <c r="J20" s="87">
        <v>1.0349999999999999</v>
      </c>
      <c r="K20" s="88">
        <v>1.0209999999999999</v>
      </c>
      <c r="L20" s="88">
        <v>1.0069999999999999</v>
      </c>
      <c r="M20" s="88">
        <v>0.99299999999999999</v>
      </c>
      <c r="N20" s="88">
        <v>0.97899999999999998</v>
      </c>
      <c r="O20" s="88">
        <v>0.96499999999999997</v>
      </c>
      <c r="P20" s="75">
        <v>0.96499999999999997</v>
      </c>
      <c r="Q20" s="88">
        <v>0.97899999999999998</v>
      </c>
      <c r="R20" s="88">
        <v>0.99299999999999999</v>
      </c>
      <c r="S20" s="88">
        <v>1.0069999999999999</v>
      </c>
      <c r="T20" s="88">
        <v>1.0209999999999999</v>
      </c>
      <c r="U20" s="88">
        <v>1.0349999999999999</v>
      </c>
      <c r="V20" s="489">
        <f>AVERAGE(J20:U20)</f>
        <v>1</v>
      </c>
      <c r="W20" s="496"/>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9"/>
    </row>
    <row r="21" spans="1:49">
      <c r="A21" s="109" t="s">
        <v>625</v>
      </c>
      <c r="B21" s="111"/>
      <c r="C21" s="112"/>
      <c r="D21" s="112" t="s">
        <v>627</v>
      </c>
      <c r="E21" s="480">
        <v>6</v>
      </c>
      <c r="F21" s="112" t="s">
        <v>629</v>
      </c>
      <c r="G21" s="110"/>
      <c r="H21" s="93"/>
      <c r="J21" s="87"/>
      <c r="K21" s="88"/>
      <c r="L21" s="88"/>
      <c r="M21" s="88"/>
      <c r="N21" s="88"/>
      <c r="O21" s="88"/>
      <c r="P21" s="88"/>
      <c r="Q21" s="88"/>
      <c r="R21" s="88"/>
      <c r="S21" s="88"/>
      <c r="T21" s="88"/>
      <c r="U21" s="88"/>
      <c r="V21" s="88"/>
      <c r="W21" s="496"/>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9"/>
    </row>
    <row r="22" spans="1:49">
      <c r="A22" s="109" t="s">
        <v>631</v>
      </c>
      <c r="B22" s="111"/>
      <c r="C22" s="112"/>
      <c r="D22" s="112" t="s">
        <v>643</v>
      </c>
      <c r="E22" s="113">
        <f>+E15*E21*E20*E19</f>
        <v>127.9404393757948</v>
      </c>
      <c r="F22" s="112" t="s">
        <v>696</v>
      </c>
      <c r="G22" s="110" t="s">
        <v>632</v>
      </c>
      <c r="H22" s="93"/>
      <c r="J22" s="494">
        <f>+$E$22*J20</f>
        <v>132.4183547539476</v>
      </c>
      <c r="K22" s="487">
        <f t="shared" ref="K22:U22" si="1">+$E$22*K20</f>
        <v>130.62718860268649</v>
      </c>
      <c r="L22" s="487">
        <f t="shared" si="1"/>
        <v>128.83602245142535</v>
      </c>
      <c r="M22" s="487">
        <f t="shared" si="1"/>
        <v>127.04485630016423</v>
      </c>
      <c r="N22" s="487">
        <f t="shared" si="1"/>
        <v>125.2536901489031</v>
      </c>
      <c r="O22" s="487">
        <f t="shared" si="1"/>
        <v>123.46252399764198</v>
      </c>
      <c r="P22" s="487">
        <f t="shared" si="1"/>
        <v>123.46252399764198</v>
      </c>
      <c r="Q22" s="487">
        <f t="shared" si="1"/>
        <v>125.2536901489031</v>
      </c>
      <c r="R22" s="487">
        <f t="shared" si="1"/>
        <v>127.04485630016423</v>
      </c>
      <c r="S22" s="487">
        <f t="shared" si="1"/>
        <v>128.83602245142535</v>
      </c>
      <c r="T22" s="487">
        <f t="shared" si="1"/>
        <v>130.62718860268649</v>
      </c>
      <c r="U22" s="487">
        <f t="shared" si="1"/>
        <v>132.4183547539476</v>
      </c>
      <c r="V22" s="489">
        <f>AVERAGE(J22:U22)</f>
        <v>127.94043937579478</v>
      </c>
      <c r="W22" s="496"/>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9"/>
    </row>
    <row r="23" spans="1:49">
      <c r="A23" s="257" t="s">
        <v>641</v>
      </c>
      <c r="B23" s="498" t="s">
        <v>668</v>
      </c>
      <c r="C23" s="499"/>
      <c r="D23" s="499" t="s">
        <v>643</v>
      </c>
      <c r="E23" s="500" t="s">
        <v>429</v>
      </c>
      <c r="F23" s="499" t="s">
        <v>642</v>
      </c>
      <c r="G23" s="501" t="s">
        <v>697</v>
      </c>
      <c r="H23" s="499"/>
      <c r="I23" s="502"/>
      <c r="J23" s="503">
        <f>+J22*($E$7-J12)/($E$9-J12)</f>
        <v>96.804616311565596</v>
      </c>
      <c r="K23" s="504">
        <f t="shared" ref="K23:U23" si="2">+K22*($E$7-K12)/($E$9-K12)</f>
        <v>95.322543034392837</v>
      </c>
      <c r="L23" s="504">
        <f t="shared" si="2"/>
        <v>93.138383988813786</v>
      </c>
      <c r="M23" s="504">
        <f t="shared" si="2"/>
        <v>89.77836511878273</v>
      </c>
      <c r="N23" s="504">
        <f t="shared" si="2"/>
        <v>86.767919432759697</v>
      </c>
      <c r="O23" s="504">
        <f t="shared" si="2"/>
        <v>82.556266046616017</v>
      </c>
      <c r="P23" s="504">
        <f t="shared" si="2"/>
        <v>79.225137548975468</v>
      </c>
      <c r="Q23" s="504">
        <f t="shared" si="2"/>
        <v>83.119421291473913</v>
      </c>
      <c r="R23" s="504">
        <f t="shared" si="2"/>
        <v>85.078086951761648</v>
      </c>
      <c r="S23" s="504">
        <f t="shared" si="2"/>
        <v>89.249535106015344</v>
      </c>
      <c r="T23" s="504">
        <f t="shared" si="2"/>
        <v>93.593707297801146</v>
      </c>
      <c r="U23" s="504">
        <f t="shared" si="2"/>
        <v>96.71732773695193</v>
      </c>
      <c r="V23" s="505">
        <f>AVERAGE(J23:U23)</f>
        <v>89.279275822159192</v>
      </c>
      <c r="W23" s="496"/>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9"/>
    </row>
    <row r="24" spans="1:49">
      <c r="A24" s="109" t="s">
        <v>644</v>
      </c>
      <c r="B24" s="498" t="s">
        <v>669</v>
      </c>
      <c r="C24" s="112"/>
      <c r="D24" s="112" t="s">
        <v>643</v>
      </c>
      <c r="E24" s="113">
        <f>SUMPRODUCT(J23:U23,J25:U25)/SUM(J25:U25)</f>
        <v>89.246346715959106</v>
      </c>
      <c r="F24" s="112" t="s">
        <v>661</v>
      </c>
      <c r="G24" s="110" t="s">
        <v>698</v>
      </c>
      <c r="H24" s="93"/>
      <c r="J24" s="87"/>
      <c r="K24" s="88"/>
      <c r="L24" s="88"/>
      <c r="M24" s="88"/>
      <c r="N24" s="88"/>
      <c r="O24" s="88"/>
      <c r="P24" s="88"/>
      <c r="Q24" s="88"/>
      <c r="R24" s="88"/>
      <c r="S24" s="88"/>
      <c r="T24" s="88"/>
      <c r="U24" s="88"/>
      <c r="V24" s="88"/>
      <c r="W24" s="496"/>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9"/>
    </row>
    <row r="25" spans="1:49">
      <c r="A25" s="109" t="s">
        <v>645</v>
      </c>
      <c r="B25" s="111"/>
      <c r="C25" s="112"/>
      <c r="D25" s="112" t="s">
        <v>17</v>
      </c>
      <c r="E25" s="113"/>
      <c r="F25" s="112"/>
      <c r="G25" s="110"/>
      <c r="H25" s="93"/>
      <c r="J25" s="87">
        <v>31</v>
      </c>
      <c r="K25" s="88">
        <v>28</v>
      </c>
      <c r="L25" s="88">
        <v>31</v>
      </c>
      <c r="M25" s="88">
        <v>30</v>
      </c>
      <c r="N25" s="88">
        <v>31</v>
      </c>
      <c r="O25" s="88">
        <v>30</v>
      </c>
      <c r="P25" s="88">
        <v>31</v>
      </c>
      <c r="Q25" s="88">
        <v>31</v>
      </c>
      <c r="R25" s="88">
        <v>30</v>
      </c>
      <c r="S25" s="88">
        <v>31</v>
      </c>
      <c r="T25" s="88">
        <v>30</v>
      </c>
      <c r="U25" s="88">
        <v>31</v>
      </c>
      <c r="V25" s="88">
        <f>SUM(J25:U25)</f>
        <v>365</v>
      </c>
      <c r="W25" s="496"/>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9"/>
    </row>
    <row r="26" spans="1:49">
      <c r="A26" s="109" t="s">
        <v>699</v>
      </c>
      <c r="B26" s="111"/>
      <c r="C26" s="112"/>
      <c r="D26" s="112" t="s">
        <v>646</v>
      </c>
      <c r="E26" s="113"/>
      <c r="F26" s="112" t="s">
        <v>660</v>
      </c>
      <c r="G26" s="110" t="s">
        <v>700</v>
      </c>
      <c r="H26" s="93"/>
      <c r="J26" s="199">
        <f>+J25*J22</f>
        <v>4104.9689973723753</v>
      </c>
      <c r="K26" s="200">
        <f t="shared" ref="K26:U26" si="3">+K25*K22</f>
        <v>3657.5612808752217</v>
      </c>
      <c r="L26" s="200">
        <f t="shared" si="3"/>
        <v>3993.9166959941858</v>
      </c>
      <c r="M26" s="200">
        <f t="shared" si="3"/>
        <v>3811.345689004927</v>
      </c>
      <c r="N26" s="200">
        <f t="shared" si="3"/>
        <v>3882.8643946159964</v>
      </c>
      <c r="O26" s="200">
        <f t="shared" si="3"/>
        <v>3703.8757199292595</v>
      </c>
      <c r="P26" s="200">
        <f t="shared" si="3"/>
        <v>3827.3382439269012</v>
      </c>
      <c r="Q26" s="200">
        <f t="shared" si="3"/>
        <v>3882.8643946159964</v>
      </c>
      <c r="R26" s="200">
        <f t="shared" si="3"/>
        <v>3811.345689004927</v>
      </c>
      <c r="S26" s="200">
        <f t="shared" si="3"/>
        <v>3993.9166959941858</v>
      </c>
      <c r="T26" s="200">
        <f t="shared" si="3"/>
        <v>3918.8156580805944</v>
      </c>
      <c r="U26" s="200">
        <f t="shared" si="3"/>
        <v>4104.9689973723753</v>
      </c>
      <c r="V26" s="88"/>
      <c r="W26" s="497">
        <f>SUM(J26:U26)</f>
        <v>46693.782456786947</v>
      </c>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9"/>
    </row>
    <row r="27" spans="1:49">
      <c r="A27" s="109"/>
      <c r="B27" s="111"/>
      <c r="C27" s="112"/>
      <c r="D27" s="112"/>
      <c r="E27" s="113"/>
      <c r="F27" s="112"/>
      <c r="G27" s="110"/>
      <c r="H27" s="93"/>
      <c r="J27" s="87"/>
      <c r="K27" s="88"/>
      <c r="L27" s="88"/>
      <c r="M27" s="88"/>
      <c r="N27" s="88"/>
      <c r="O27" s="88"/>
      <c r="P27" s="88"/>
      <c r="Q27" s="88"/>
      <c r="R27" s="88"/>
      <c r="S27" s="88"/>
      <c r="T27" s="88"/>
      <c r="U27" s="88"/>
      <c r="V27" s="88"/>
      <c r="W27" s="496"/>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9"/>
    </row>
    <row r="28" spans="1:49">
      <c r="A28" s="109" t="s">
        <v>616</v>
      </c>
      <c r="B28" s="111" t="s">
        <v>617</v>
      </c>
      <c r="C28" s="112"/>
      <c r="D28" s="112" t="s">
        <v>17</v>
      </c>
      <c r="E28" s="563">
        <v>1</v>
      </c>
      <c r="F28" s="112"/>
      <c r="G28" s="110"/>
      <c r="H28" s="93"/>
      <c r="J28" s="87"/>
      <c r="K28" s="88"/>
      <c r="L28" s="88"/>
      <c r="M28" s="88"/>
      <c r="N28" s="88"/>
      <c r="O28" s="88"/>
      <c r="P28" s="88"/>
      <c r="Q28" s="88"/>
      <c r="R28" s="88"/>
      <c r="S28" s="88"/>
      <c r="T28" s="88"/>
      <c r="U28" s="88"/>
      <c r="V28" s="88"/>
      <c r="W28" s="496"/>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9"/>
    </row>
    <row r="29" spans="1:49">
      <c r="A29" s="109" t="s">
        <v>647</v>
      </c>
      <c r="B29" s="111"/>
      <c r="C29" s="112"/>
      <c r="D29" s="112"/>
      <c r="E29" s="113" t="b">
        <f>E14&gt;0</f>
        <v>1</v>
      </c>
      <c r="F29" s="112"/>
      <c r="G29" s="110"/>
      <c r="H29" s="93"/>
      <c r="J29" s="87"/>
      <c r="K29" s="88"/>
      <c r="L29" s="88"/>
      <c r="M29" s="88"/>
      <c r="N29" s="88"/>
      <c r="O29" s="88"/>
      <c r="P29" s="88"/>
      <c r="Q29" s="88"/>
      <c r="R29" s="88"/>
      <c r="S29" s="88"/>
      <c r="T29" s="88"/>
      <c r="U29" s="88"/>
      <c r="V29" s="88"/>
      <c r="W29" s="496"/>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9"/>
    </row>
    <row r="30" spans="1:49">
      <c r="A30" s="109" t="s">
        <v>648</v>
      </c>
      <c r="B30" s="111"/>
      <c r="C30" s="112"/>
      <c r="D30" s="112" t="s">
        <v>17</v>
      </c>
      <c r="E30" s="113">
        <f>IF(E28=0,0,IF(E29,0.13*E13+0.19,0.35*E13+0.5))</f>
        <v>0.56223087942267069</v>
      </c>
      <c r="F30" s="112"/>
      <c r="G30" s="110"/>
      <c r="H30" s="93"/>
      <c r="J30" s="87"/>
      <c r="K30" s="88"/>
      <c r="L30" s="88"/>
      <c r="M30" s="88"/>
      <c r="N30" s="88"/>
      <c r="O30" s="88"/>
      <c r="P30" s="88"/>
      <c r="Q30" s="88"/>
      <c r="R30" s="88"/>
      <c r="S30" s="88"/>
      <c r="T30" s="88"/>
      <c r="U30" s="88"/>
      <c r="V30" s="88"/>
      <c r="W30" s="496"/>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9"/>
    </row>
    <row r="31" spans="1:49">
      <c r="A31" s="109" t="s">
        <v>649</v>
      </c>
      <c r="B31" s="111"/>
      <c r="C31" s="112"/>
      <c r="D31" s="112" t="s">
        <v>69</v>
      </c>
      <c r="E31" s="480">
        <v>73</v>
      </c>
      <c r="F31" s="112"/>
      <c r="G31" s="110"/>
      <c r="H31" s="93"/>
      <c r="J31" s="87"/>
      <c r="K31" s="88"/>
      <c r="L31" s="88"/>
      <c r="M31" s="88"/>
      <c r="N31" s="88"/>
      <c r="O31" s="88"/>
      <c r="P31" s="88"/>
      <c r="Q31" s="88"/>
      <c r="R31" s="88"/>
      <c r="S31" s="88"/>
      <c r="T31" s="88"/>
      <c r="U31" s="88"/>
      <c r="V31" s="88"/>
      <c r="W31" s="496"/>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9"/>
    </row>
    <row r="32" spans="1:49">
      <c r="A32" s="109" t="s">
        <v>631</v>
      </c>
      <c r="B32" s="111"/>
      <c r="C32" s="112"/>
      <c r="D32" s="112"/>
      <c r="E32" s="113"/>
      <c r="F32" s="112"/>
      <c r="G32" s="110"/>
      <c r="H32" s="93"/>
      <c r="J32" s="188">
        <f t="shared" ref="J32:U32" si="4">+$E$31*J20*$E$30</f>
        <v>42.479354094779879</v>
      </c>
      <c r="K32" s="189">
        <f t="shared" si="4"/>
        <v>41.904754136009906</v>
      </c>
      <c r="L32" s="189">
        <f t="shared" si="4"/>
        <v>41.33015417723994</v>
      </c>
      <c r="M32" s="189">
        <f t="shared" si="4"/>
        <v>40.755554218469982</v>
      </c>
      <c r="N32" s="189">
        <f t="shared" si="4"/>
        <v>40.180954259700009</v>
      </c>
      <c r="O32" s="189">
        <f t="shared" si="4"/>
        <v>39.606354300930036</v>
      </c>
      <c r="P32" s="189">
        <f t="shared" si="4"/>
        <v>39.606354300930036</v>
      </c>
      <c r="Q32" s="189">
        <f t="shared" si="4"/>
        <v>40.180954259700009</v>
      </c>
      <c r="R32" s="189">
        <f t="shared" si="4"/>
        <v>40.755554218469982</v>
      </c>
      <c r="S32" s="189">
        <f t="shared" si="4"/>
        <v>41.33015417723994</v>
      </c>
      <c r="T32" s="189">
        <f t="shared" si="4"/>
        <v>41.904754136009906</v>
      </c>
      <c r="U32" s="189">
        <f t="shared" si="4"/>
        <v>42.479354094779879</v>
      </c>
      <c r="V32" s="489">
        <f>AVERAGE(J32:U32)</f>
        <v>41.042854197854957</v>
      </c>
      <c r="W32" s="496"/>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9"/>
    </row>
    <row r="33" spans="1:49">
      <c r="A33" s="109" t="s">
        <v>650</v>
      </c>
      <c r="B33" s="111"/>
      <c r="C33" s="112"/>
      <c r="D33" s="112"/>
      <c r="E33" s="480" t="s">
        <v>510</v>
      </c>
      <c r="F33" s="112"/>
      <c r="G33" s="110"/>
      <c r="H33" s="93"/>
      <c r="J33" s="188" t="s">
        <v>652</v>
      </c>
      <c r="K33" s="189" t="s">
        <v>510</v>
      </c>
      <c r="L33" s="189"/>
      <c r="M33" s="189"/>
      <c r="N33" s="189"/>
      <c r="O33" s="189"/>
      <c r="P33" s="189"/>
      <c r="Q33" s="189"/>
      <c r="R33" s="189"/>
      <c r="S33" s="189"/>
      <c r="T33" s="189"/>
      <c r="U33" s="189"/>
      <c r="V33" s="489"/>
      <c r="W33" s="496"/>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9"/>
    </row>
    <row r="34" spans="1:49">
      <c r="A34" s="109" t="s">
        <v>651</v>
      </c>
      <c r="B34" s="111"/>
      <c r="C34" s="112"/>
      <c r="D34" s="112"/>
      <c r="E34" s="113">
        <f>IF(E33=J33,0.95,1)</f>
        <v>1</v>
      </c>
      <c r="F34" s="112"/>
      <c r="G34" s="110"/>
      <c r="H34" s="93"/>
      <c r="J34" s="188">
        <f>+J32*$E$34</f>
        <v>42.479354094779879</v>
      </c>
      <c r="K34" s="189">
        <f t="shared" ref="K34:U34" si="5">+K32*$E$34</f>
        <v>41.904754136009906</v>
      </c>
      <c r="L34" s="189">
        <f t="shared" si="5"/>
        <v>41.33015417723994</v>
      </c>
      <c r="M34" s="189">
        <f t="shared" si="5"/>
        <v>40.755554218469982</v>
      </c>
      <c r="N34" s="189">
        <f t="shared" si="5"/>
        <v>40.180954259700009</v>
      </c>
      <c r="O34" s="189">
        <f t="shared" si="5"/>
        <v>39.606354300930036</v>
      </c>
      <c r="P34" s="189">
        <f t="shared" si="5"/>
        <v>39.606354300930036</v>
      </c>
      <c r="Q34" s="189">
        <f t="shared" si="5"/>
        <v>40.180954259700009</v>
      </c>
      <c r="R34" s="189">
        <f t="shared" si="5"/>
        <v>40.755554218469982</v>
      </c>
      <c r="S34" s="189">
        <f t="shared" si="5"/>
        <v>41.33015417723994</v>
      </c>
      <c r="T34" s="189">
        <f t="shared" si="5"/>
        <v>41.904754136009906</v>
      </c>
      <c r="U34" s="189">
        <f t="shared" si="5"/>
        <v>42.479354094779879</v>
      </c>
      <c r="V34" s="489">
        <f>AVERAGE(J34:U34)</f>
        <v>41.042854197854957</v>
      </c>
      <c r="W34" s="496"/>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9"/>
    </row>
    <row r="35" spans="1:49">
      <c r="A35" s="257" t="s">
        <v>641</v>
      </c>
      <c r="B35" s="498" t="s">
        <v>670</v>
      </c>
      <c r="C35" s="499"/>
      <c r="D35" s="499"/>
      <c r="E35" s="500" t="s">
        <v>429</v>
      </c>
      <c r="F35" s="499" t="s">
        <v>659</v>
      </c>
      <c r="G35" s="501"/>
      <c r="H35" s="499"/>
      <c r="I35" s="502"/>
      <c r="J35" s="503">
        <f>+J34*($E$8-J24)/($E$9-J24)</f>
        <v>34.310247538091446</v>
      </c>
      <c r="K35" s="504">
        <f t="shared" ref="K35:U35" si="6">+K34*($E$8-K24)/($E$9-K24)</f>
        <v>33.846147571392621</v>
      </c>
      <c r="L35" s="504">
        <f t="shared" si="6"/>
        <v>33.382047604693796</v>
      </c>
      <c r="M35" s="504">
        <f t="shared" si="6"/>
        <v>32.917947637994985</v>
      </c>
      <c r="N35" s="504">
        <f t="shared" si="6"/>
        <v>32.45384767129616</v>
      </c>
      <c r="O35" s="504">
        <f t="shared" si="6"/>
        <v>31.989747704597335</v>
      </c>
      <c r="P35" s="504">
        <f t="shared" si="6"/>
        <v>31.989747704597335</v>
      </c>
      <c r="Q35" s="504">
        <f t="shared" si="6"/>
        <v>32.45384767129616</v>
      </c>
      <c r="R35" s="504">
        <f t="shared" si="6"/>
        <v>32.917947637994985</v>
      </c>
      <c r="S35" s="504">
        <f t="shared" si="6"/>
        <v>33.382047604693796</v>
      </c>
      <c r="T35" s="504">
        <f t="shared" si="6"/>
        <v>33.846147571392621</v>
      </c>
      <c r="U35" s="504">
        <f t="shared" si="6"/>
        <v>34.310247538091446</v>
      </c>
      <c r="V35" s="489">
        <f>AVERAGE(J35:U35)</f>
        <v>33.14999762134439</v>
      </c>
      <c r="W35" s="496"/>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9"/>
    </row>
    <row r="36" spans="1:49">
      <c r="A36" s="109" t="s">
        <v>644</v>
      </c>
      <c r="B36" s="498" t="s">
        <v>671</v>
      </c>
      <c r="C36" s="112"/>
      <c r="D36" s="112"/>
      <c r="E36" s="113">
        <f>SUMPRODUCT(J35:U35,J25:U25)/SUM(J25:U25)</f>
        <v>33.146818854449194</v>
      </c>
      <c r="F36" s="112" t="s">
        <v>658</v>
      </c>
      <c r="G36" s="110"/>
      <c r="H36" s="93"/>
      <c r="J36" s="87"/>
      <c r="K36" s="88"/>
      <c r="L36" s="88"/>
      <c r="M36" s="88"/>
      <c r="N36" s="88"/>
      <c r="O36" s="88"/>
      <c r="P36" s="88"/>
      <c r="Q36" s="88"/>
      <c r="R36" s="88"/>
      <c r="S36" s="88"/>
      <c r="T36" s="88"/>
      <c r="U36" s="88"/>
      <c r="V36" s="88"/>
      <c r="W36" s="496"/>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9"/>
    </row>
    <row r="37" spans="1:49">
      <c r="A37" s="109" t="s">
        <v>655</v>
      </c>
      <c r="B37" s="111"/>
      <c r="C37" s="112"/>
      <c r="D37" s="112"/>
      <c r="E37" s="113"/>
      <c r="F37" s="112" t="s">
        <v>657</v>
      </c>
      <c r="G37" s="110"/>
      <c r="H37" s="93"/>
      <c r="J37" s="199">
        <f>+J25*$E$36</f>
        <v>1027.5513844879249</v>
      </c>
      <c r="K37" s="200">
        <f t="shared" ref="K37:U37" si="7">+K25*$E$36</f>
        <v>928.11092792457748</v>
      </c>
      <c r="L37" s="200">
        <f t="shared" si="7"/>
        <v>1027.5513844879249</v>
      </c>
      <c r="M37" s="200">
        <f t="shared" si="7"/>
        <v>994.40456563347584</v>
      </c>
      <c r="N37" s="200">
        <f t="shared" si="7"/>
        <v>1027.5513844879249</v>
      </c>
      <c r="O37" s="200">
        <f t="shared" si="7"/>
        <v>994.40456563347584</v>
      </c>
      <c r="P37" s="200">
        <f t="shared" si="7"/>
        <v>1027.5513844879249</v>
      </c>
      <c r="Q37" s="200">
        <f t="shared" si="7"/>
        <v>1027.5513844879249</v>
      </c>
      <c r="R37" s="200">
        <f t="shared" si="7"/>
        <v>994.40456563347584</v>
      </c>
      <c r="S37" s="200">
        <f t="shared" si="7"/>
        <v>1027.5513844879249</v>
      </c>
      <c r="T37" s="200">
        <f t="shared" si="7"/>
        <v>994.40456563347584</v>
      </c>
      <c r="U37" s="200">
        <f t="shared" si="7"/>
        <v>1027.5513844879249</v>
      </c>
      <c r="V37" s="88"/>
      <c r="W37" s="497">
        <f>SUM(J37:U37)</f>
        <v>12098.588881873955</v>
      </c>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9"/>
    </row>
    <row r="38" spans="1:49">
      <c r="A38" s="109"/>
      <c r="B38" s="111"/>
      <c r="C38" s="112"/>
      <c r="D38" s="112"/>
      <c r="E38" s="113"/>
      <c r="F38" s="112"/>
      <c r="G38" s="110"/>
      <c r="H38" s="93"/>
      <c r="J38" s="87"/>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9"/>
    </row>
    <row r="39" spans="1:49">
      <c r="A39" s="109" t="s">
        <v>662</v>
      </c>
      <c r="B39" s="111"/>
      <c r="C39" s="112"/>
      <c r="D39" s="112"/>
      <c r="E39" s="113"/>
      <c r="F39" s="112"/>
      <c r="G39" s="110"/>
      <c r="H39" s="93"/>
      <c r="J39" s="87"/>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9"/>
    </row>
    <row r="40" spans="1:49">
      <c r="A40" s="109" t="s">
        <v>663</v>
      </c>
      <c r="B40" s="111"/>
      <c r="C40" s="112"/>
      <c r="D40" s="112" t="s">
        <v>643</v>
      </c>
      <c r="E40" s="113">
        <f>14+9.8*E13</f>
        <v>42.060481679555181</v>
      </c>
      <c r="F40" s="112" t="s">
        <v>664</v>
      </c>
      <c r="G40" s="110"/>
      <c r="H40" s="93"/>
      <c r="J40" s="87"/>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9"/>
    </row>
    <row r="41" spans="1:49">
      <c r="A41" s="109" t="s">
        <v>665</v>
      </c>
      <c r="B41" s="498" t="s">
        <v>672</v>
      </c>
      <c r="C41" s="499"/>
      <c r="D41" s="499" t="s">
        <v>643</v>
      </c>
      <c r="E41" s="500">
        <f>+E40*E34</f>
        <v>42.060481679555181</v>
      </c>
      <c r="F41" s="112"/>
      <c r="G41" s="110"/>
      <c r="H41" s="93"/>
      <c r="J41" s="87"/>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9"/>
    </row>
    <row r="42" spans="1:49">
      <c r="A42" s="109" t="s">
        <v>666</v>
      </c>
      <c r="C42" s="112"/>
      <c r="D42" s="112"/>
      <c r="E42" s="113"/>
      <c r="F42" s="112"/>
      <c r="G42" s="110"/>
      <c r="H42" s="93"/>
      <c r="J42" s="87">
        <v>1.1000000000000001</v>
      </c>
      <c r="K42" s="88">
        <v>1.06</v>
      </c>
      <c r="L42" s="88">
        <v>1.02</v>
      </c>
      <c r="M42" s="88">
        <v>0.98</v>
      </c>
      <c r="N42" s="88">
        <v>0.94</v>
      </c>
      <c r="O42" s="88">
        <v>0.9</v>
      </c>
      <c r="P42" s="88">
        <v>0.9</v>
      </c>
      <c r="Q42" s="88">
        <v>0.94</v>
      </c>
      <c r="R42" s="88">
        <v>0.98</v>
      </c>
      <c r="S42" s="88">
        <v>1.02</v>
      </c>
      <c r="T42" s="88">
        <v>1.06</v>
      </c>
      <c r="U42" s="88">
        <v>1.1000000000000001</v>
      </c>
      <c r="V42" s="489">
        <f>AVERAGE(J42:U42)</f>
        <v>1</v>
      </c>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9"/>
    </row>
    <row r="43" spans="1:49">
      <c r="A43" s="257" t="s">
        <v>667</v>
      </c>
      <c r="B43" s="498" t="s">
        <v>673</v>
      </c>
      <c r="C43" s="499"/>
      <c r="D43" s="499" t="s">
        <v>643</v>
      </c>
      <c r="E43" s="500"/>
      <c r="F43" s="499"/>
      <c r="G43" s="501"/>
      <c r="H43" s="499"/>
      <c r="I43" s="502"/>
      <c r="J43" s="506">
        <f>+J42*$E$41</f>
        <v>46.266529847510704</v>
      </c>
      <c r="K43" s="507">
        <f t="shared" ref="K43:U43" si="8">+K42*$E$41</f>
        <v>44.584110580328492</v>
      </c>
      <c r="L43" s="507">
        <f t="shared" si="8"/>
        <v>42.901691313146287</v>
      </c>
      <c r="M43" s="507">
        <f t="shared" si="8"/>
        <v>41.219272045964075</v>
      </c>
      <c r="N43" s="507">
        <f t="shared" si="8"/>
        <v>39.536852778781871</v>
      </c>
      <c r="O43" s="507">
        <f t="shared" si="8"/>
        <v>37.854433511599666</v>
      </c>
      <c r="P43" s="507">
        <f t="shared" si="8"/>
        <v>37.854433511599666</v>
      </c>
      <c r="Q43" s="507">
        <f t="shared" si="8"/>
        <v>39.536852778781871</v>
      </c>
      <c r="R43" s="507">
        <f t="shared" si="8"/>
        <v>41.219272045964075</v>
      </c>
      <c r="S43" s="507">
        <f t="shared" si="8"/>
        <v>42.901691313146287</v>
      </c>
      <c r="T43" s="507">
        <f t="shared" si="8"/>
        <v>44.584110580328492</v>
      </c>
      <c r="U43" s="507">
        <f t="shared" si="8"/>
        <v>46.266529847510704</v>
      </c>
      <c r="V43" s="489">
        <f>AVERAGE(J43:U43)</f>
        <v>42.060481679555181</v>
      </c>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9"/>
    </row>
    <row r="44" spans="1:49">
      <c r="A44" s="109" t="s">
        <v>674</v>
      </c>
      <c r="B44" s="111"/>
      <c r="C44" s="112"/>
      <c r="D44" s="112" t="s">
        <v>646</v>
      </c>
      <c r="E44" s="113"/>
      <c r="F44" s="112"/>
      <c r="G44" s="110"/>
      <c r="H44" s="93"/>
      <c r="J44" s="199">
        <f>+J43*J25</f>
        <v>1434.2624252728317</v>
      </c>
      <c r="K44" s="200">
        <f t="shared" ref="K44:U44" si="9">+K43*K25</f>
        <v>1248.3550962491977</v>
      </c>
      <c r="L44" s="200">
        <f t="shared" si="9"/>
        <v>1329.9524307075349</v>
      </c>
      <c r="M44" s="200">
        <f t="shared" si="9"/>
        <v>1236.5781613789222</v>
      </c>
      <c r="N44" s="200">
        <f t="shared" si="9"/>
        <v>1225.642436142238</v>
      </c>
      <c r="O44" s="200">
        <f t="shared" si="9"/>
        <v>1135.6330053479901</v>
      </c>
      <c r="P44" s="200">
        <f t="shared" si="9"/>
        <v>1173.4874388595897</v>
      </c>
      <c r="Q44" s="200">
        <f t="shared" si="9"/>
        <v>1225.642436142238</v>
      </c>
      <c r="R44" s="200">
        <f t="shared" si="9"/>
        <v>1236.5781613789222</v>
      </c>
      <c r="S44" s="200">
        <f t="shared" si="9"/>
        <v>1329.9524307075349</v>
      </c>
      <c r="T44" s="200">
        <f t="shared" si="9"/>
        <v>1337.5233174098548</v>
      </c>
      <c r="U44" s="200">
        <f t="shared" si="9"/>
        <v>1434.2624252728317</v>
      </c>
      <c r="V44" s="88"/>
      <c r="W44" s="497">
        <f>SUM(J44:U44)</f>
        <v>15347.869764869683</v>
      </c>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9"/>
    </row>
    <row r="45" spans="1:49">
      <c r="A45" s="109"/>
      <c r="B45" s="111"/>
      <c r="C45" s="112"/>
      <c r="D45" s="112"/>
      <c r="E45" s="113"/>
      <c r="F45" s="112"/>
      <c r="G45" s="110"/>
      <c r="H45" s="93"/>
      <c r="J45" s="87"/>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9"/>
    </row>
    <row r="46" spans="1:49">
      <c r="A46" s="109"/>
      <c r="B46" s="111"/>
      <c r="C46" s="112"/>
      <c r="D46" s="112"/>
      <c r="E46" s="113"/>
      <c r="F46" s="112"/>
      <c r="G46" s="110"/>
      <c r="H46" s="93"/>
      <c r="J46" s="87"/>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9"/>
    </row>
    <row r="47" spans="1:49">
      <c r="A47" s="257" t="s">
        <v>675</v>
      </c>
      <c r="B47" s="498" t="s">
        <v>676</v>
      </c>
      <c r="C47" s="499"/>
      <c r="D47" s="499" t="s">
        <v>643</v>
      </c>
      <c r="E47" s="500">
        <f>+E41+E36+E24</f>
        <v>164.45364724996347</v>
      </c>
      <c r="F47" s="112"/>
      <c r="G47" s="501" t="s">
        <v>677</v>
      </c>
      <c r="H47" s="93"/>
      <c r="J47" s="87"/>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9"/>
    </row>
    <row r="48" spans="1:49">
      <c r="A48" s="109" t="s">
        <v>678</v>
      </c>
      <c r="B48" s="111" t="s">
        <v>679</v>
      </c>
      <c r="C48" s="112"/>
      <c r="D48" s="112" t="s">
        <v>643</v>
      </c>
      <c r="E48" s="113" t="s">
        <v>429</v>
      </c>
      <c r="F48" s="112"/>
      <c r="G48" s="110"/>
      <c r="H48" s="93"/>
      <c r="J48" s="494">
        <f>+J43+J35+J23</f>
        <v>177.38139369716777</v>
      </c>
      <c r="K48" s="487">
        <f t="shared" ref="K48:U48" si="10">+K43+K35+K23</f>
        <v>173.75280118611397</v>
      </c>
      <c r="L48" s="487">
        <f t="shared" si="10"/>
        <v>169.42212290665387</v>
      </c>
      <c r="M48" s="487">
        <f t="shared" si="10"/>
        <v>163.91558480274179</v>
      </c>
      <c r="N48" s="487">
        <f t="shared" si="10"/>
        <v>158.75861988283773</v>
      </c>
      <c r="O48" s="487">
        <f t="shared" si="10"/>
        <v>152.40044726281303</v>
      </c>
      <c r="P48" s="487">
        <f t="shared" si="10"/>
        <v>149.06931876517245</v>
      </c>
      <c r="Q48" s="487">
        <f t="shared" si="10"/>
        <v>155.11012174155195</v>
      </c>
      <c r="R48" s="487">
        <f t="shared" si="10"/>
        <v>159.21530663572071</v>
      </c>
      <c r="S48" s="487">
        <f t="shared" si="10"/>
        <v>165.53327402385543</v>
      </c>
      <c r="T48" s="487">
        <f t="shared" si="10"/>
        <v>172.02396544952228</v>
      </c>
      <c r="U48" s="487">
        <f t="shared" si="10"/>
        <v>177.29410512255407</v>
      </c>
      <c r="V48" s="489">
        <f>AVERAGE(J48:U48)</f>
        <v>164.48975512305876</v>
      </c>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9"/>
    </row>
    <row r="49" spans="1:49">
      <c r="A49" s="109"/>
      <c r="B49" s="111"/>
      <c r="C49" s="112"/>
      <c r="D49" s="112"/>
      <c r="E49" s="113"/>
      <c r="F49" s="112"/>
      <c r="G49" s="110"/>
      <c r="H49" s="93"/>
      <c r="J49" s="87"/>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9"/>
    </row>
    <row r="50" spans="1:49">
      <c r="A50" s="109" t="s">
        <v>446</v>
      </c>
      <c r="B50" s="111" t="s">
        <v>680</v>
      </c>
      <c r="C50" s="112"/>
      <c r="D50" s="112" t="s">
        <v>681</v>
      </c>
      <c r="E50" s="113"/>
      <c r="F50" s="112"/>
      <c r="G50" s="110"/>
      <c r="H50" s="93"/>
      <c r="J50" s="495">
        <f>+J48*J25*($E$9-J12)*4.18/3600</f>
        <v>261.13605908525307</v>
      </c>
      <c r="K50" s="508">
        <f t="shared" ref="K50:U50" si="11">+K48*K25*($E$9-K12)*4.18/3600</f>
        <v>229.91009264680198</v>
      </c>
      <c r="L50" s="508">
        <f t="shared" si="11"/>
        <v>242.1007310677486</v>
      </c>
      <c r="M50" s="508">
        <f t="shared" si="11"/>
        <v>214.11473264858145</v>
      </c>
      <c r="N50" s="508">
        <f t="shared" si="11"/>
        <v>204.57653397949122</v>
      </c>
      <c r="O50" s="508">
        <f t="shared" si="11"/>
        <v>176.24603724453451</v>
      </c>
      <c r="P50" s="508">
        <f t="shared" si="11"/>
        <v>164.72598649879032</v>
      </c>
      <c r="Q50" s="508">
        <f t="shared" si="11"/>
        <v>182.56745697537195</v>
      </c>
      <c r="R50" s="508">
        <f t="shared" si="11"/>
        <v>184.68179493210425</v>
      </c>
      <c r="S50" s="508">
        <f t="shared" si="11"/>
        <v>213.3063608330001</v>
      </c>
      <c r="T50" s="508">
        <f t="shared" si="11"/>
        <v>232.49612343721097</v>
      </c>
      <c r="U50" s="508">
        <f t="shared" si="11"/>
        <v>260.36939494017957</v>
      </c>
      <c r="V50" s="489"/>
      <c r="W50" s="497">
        <f>SUM(J50:U50)</f>
        <v>2566.2313042890678</v>
      </c>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c r="AV50" s="88"/>
      <c r="AW50" s="89"/>
    </row>
    <row r="51" spans="1:49">
      <c r="A51" s="109" t="s">
        <v>906</v>
      </c>
      <c r="B51" s="111" t="s">
        <v>680</v>
      </c>
      <c r="C51" s="112"/>
      <c r="D51" s="112" t="s">
        <v>905</v>
      </c>
      <c r="E51" s="271">
        <f>+W50</f>
        <v>2566.2313042890678</v>
      </c>
      <c r="F51" s="112"/>
      <c r="G51" s="110"/>
      <c r="H51" s="93"/>
      <c r="J51" s="87"/>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9"/>
    </row>
    <row r="52" spans="1:49">
      <c r="A52" s="109"/>
      <c r="B52" s="111"/>
      <c r="C52" s="112"/>
      <c r="D52" s="112"/>
      <c r="E52" s="113"/>
      <c r="F52" s="112"/>
      <c r="G52" s="110"/>
      <c r="H52" s="93"/>
      <c r="J52" s="87"/>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9"/>
    </row>
    <row r="53" spans="1:49">
      <c r="A53" s="109" t="s">
        <v>682</v>
      </c>
      <c r="B53" s="111"/>
      <c r="C53" s="112"/>
      <c r="D53" s="112" t="s">
        <v>683</v>
      </c>
      <c r="E53" s="480">
        <v>0.15</v>
      </c>
      <c r="F53" s="112"/>
      <c r="G53" s="110"/>
      <c r="H53" s="93"/>
      <c r="J53" s="87"/>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9"/>
    </row>
    <row r="54" spans="1:49">
      <c r="A54" s="109"/>
      <c r="B54" s="111"/>
      <c r="C54" s="112"/>
      <c r="D54" s="112" t="s">
        <v>681</v>
      </c>
      <c r="E54" s="113"/>
      <c r="F54" s="112"/>
      <c r="G54" s="110"/>
      <c r="H54" s="93"/>
      <c r="J54" s="494">
        <f>+$E$53*J50</f>
        <v>39.170408862787959</v>
      </c>
      <c r="K54" s="487">
        <f t="shared" ref="K54:U54" si="12">+$E$53*K50</f>
        <v>34.486513897020295</v>
      </c>
      <c r="L54" s="487">
        <f t="shared" si="12"/>
        <v>36.315109660162285</v>
      </c>
      <c r="M54" s="487">
        <f t="shared" si="12"/>
        <v>32.117209897287218</v>
      </c>
      <c r="N54" s="487">
        <f t="shared" si="12"/>
        <v>30.686480096923681</v>
      </c>
      <c r="O54" s="487">
        <f t="shared" si="12"/>
        <v>26.436905586680176</v>
      </c>
      <c r="P54" s="487">
        <f t="shared" si="12"/>
        <v>24.708897974818548</v>
      </c>
      <c r="Q54" s="487">
        <f t="shared" si="12"/>
        <v>27.385118546305794</v>
      </c>
      <c r="R54" s="487">
        <f t="shared" si="12"/>
        <v>27.702269239815639</v>
      </c>
      <c r="S54" s="487">
        <f t="shared" si="12"/>
        <v>31.995954124950014</v>
      </c>
      <c r="T54" s="487">
        <f t="shared" si="12"/>
        <v>34.874418515581645</v>
      </c>
      <c r="U54" s="487">
        <f t="shared" si="12"/>
        <v>39.055409241026936</v>
      </c>
      <c r="V54" s="489"/>
      <c r="W54" s="497">
        <f>SUM(J54:U54)</f>
        <v>384.93469564336016</v>
      </c>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9"/>
    </row>
    <row r="55" spans="1:49">
      <c r="A55" s="109"/>
      <c r="B55" s="111"/>
      <c r="C55" s="112"/>
      <c r="D55" s="112"/>
      <c r="E55" s="113"/>
      <c r="F55" s="112"/>
      <c r="G55" s="110"/>
      <c r="H55" s="93"/>
      <c r="J55" s="87"/>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9"/>
    </row>
    <row r="56" spans="1:49">
      <c r="A56" s="109" t="s">
        <v>684</v>
      </c>
      <c r="B56" s="111"/>
      <c r="C56" s="112"/>
      <c r="D56" s="112"/>
      <c r="E56" s="113"/>
      <c r="F56" s="112"/>
      <c r="G56" s="110"/>
      <c r="H56" s="93"/>
      <c r="J56" s="87"/>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c r="AU56" s="88"/>
      <c r="AV56" s="88"/>
      <c r="AW56" s="89"/>
    </row>
    <row r="57" spans="1:49">
      <c r="A57" s="198" t="s">
        <v>685</v>
      </c>
      <c r="B57" s="111"/>
      <c r="C57" s="112"/>
      <c r="D57" s="112" t="s">
        <v>643</v>
      </c>
      <c r="E57" s="113">
        <f>+E24</f>
        <v>89.246346715959106</v>
      </c>
      <c r="F57" s="198" t="s">
        <v>685</v>
      </c>
      <c r="G57" s="509">
        <f>+E57/$E$47</f>
        <v>0.54268390034736025</v>
      </c>
      <c r="H57" s="93"/>
      <c r="J57" s="87"/>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c r="AV57" s="88"/>
      <c r="AW57" s="89"/>
    </row>
    <row r="58" spans="1:49">
      <c r="A58" s="198" t="s">
        <v>686</v>
      </c>
      <c r="B58" s="111"/>
      <c r="C58" s="112"/>
      <c r="D58" s="112" t="s">
        <v>643</v>
      </c>
      <c r="E58" s="113">
        <f>+E36</f>
        <v>33.146818854449194</v>
      </c>
      <c r="F58" s="198" t="s">
        <v>686</v>
      </c>
      <c r="G58" s="509">
        <f t="shared" ref="G58:G59" si="13">+E58/$E$47</f>
        <v>0.20155721328616844</v>
      </c>
      <c r="H58" s="93"/>
      <c r="J58" s="87"/>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88"/>
      <c r="AO58" s="88"/>
      <c r="AP58" s="88"/>
      <c r="AQ58" s="88"/>
      <c r="AR58" s="88"/>
      <c r="AS58" s="88"/>
      <c r="AT58" s="88"/>
      <c r="AU58" s="88"/>
      <c r="AV58" s="88"/>
      <c r="AW58" s="89"/>
    </row>
    <row r="59" spans="1:49">
      <c r="A59" s="198" t="s">
        <v>687</v>
      </c>
      <c r="B59" s="111"/>
      <c r="C59" s="112"/>
      <c r="D59" s="112" t="s">
        <v>643</v>
      </c>
      <c r="E59" s="113">
        <f>+E41</f>
        <v>42.060481679555181</v>
      </c>
      <c r="F59" s="198" t="s">
        <v>687</v>
      </c>
      <c r="G59" s="509">
        <f t="shared" si="13"/>
        <v>0.25575888636647143</v>
      </c>
      <c r="H59" s="93"/>
      <c r="J59" s="87"/>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8"/>
      <c r="AV59" s="88"/>
      <c r="AW59" s="89"/>
    </row>
    <row r="60" spans="1:49">
      <c r="A60" s="109"/>
      <c r="B60" s="111"/>
      <c r="C60" s="112"/>
      <c r="D60" s="112"/>
      <c r="E60" s="113"/>
      <c r="F60" s="112"/>
      <c r="G60" s="110"/>
      <c r="H60" s="93"/>
      <c r="J60" s="87"/>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c r="AU60" s="88"/>
      <c r="AV60" s="88"/>
      <c r="AW60" s="89"/>
    </row>
    <row r="61" spans="1:49">
      <c r="A61" s="109" t="s">
        <v>688</v>
      </c>
      <c r="B61" s="111"/>
      <c r="C61" s="112"/>
      <c r="D61" s="112" t="s">
        <v>689</v>
      </c>
      <c r="E61" s="480">
        <v>1.2</v>
      </c>
      <c r="F61" s="112"/>
      <c r="G61" s="110"/>
      <c r="H61" s="93"/>
      <c r="J61" s="87"/>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9"/>
    </row>
    <row r="62" spans="1:49">
      <c r="A62" s="109" t="s">
        <v>690</v>
      </c>
      <c r="B62" s="111"/>
      <c r="C62" s="112"/>
      <c r="D62" s="112"/>
      <c r="E62" s="480">
        <v>0.6</v>
      </c>
      <c r="F62" s="112"/>
      <c r="G62" s="110" t="s">
        <v>691</v>
      </c>
      <c r="H62" s="93"/>
      <c r="J62" s="87"/>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9"/>
    </row>
    <row r="63" spans="1:49">
      <c r="A63" s="109" t="s">
        <v>692</v>
      </c>
      <c r="B63" s="111"/>
      <c r="C63" s="112"/>
      <c r="D63" s="112" t="s">
        <v>689</v>
      </c>
      <c r="E63" s="112">
        <f>+E61*E62</f>
        <v>0.72</v>
      </c>
      <c r="F63" s="112"/>
      <c r="G63" s="110"/>
      <c r="H63" s="93"/>
      <c r="J63" s="87"/>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9"/>
    </row>
    <row r="64" spans="1:49">
      <c r="A64" s="109" t="s">
        <v>692</v>
      </c>
      <c r="B64" s="111"/>
      <c r="C64" s="112"/>
      <c r="D64" s="112" t="s">
        <v>681</v>
      </c>
      <c r="E64" s="113"/>
      <c r="F64" s="112"/>
      <c r="G64" s="110"/>
      <c r="H64" s="93"/>
      <c r="J64" s="494">
        <f>+$E$63*J25</f>
        <v>22.32</v>
      </c>
      <c r="K64" s="487">
        <f t="shared" ref="K64:U64" si="14">+$E$63*K25</f>
        <v>20.16</v>
      </c>
      <c r="L64" s="487">
        <f t="shared" si="14"/>
        <v>22.32</v>
      </c>
      <c r="M64" s="487">
        <f t="shared" si="14"/>
        <v>21.599999999999998</v>
      </c>
      <c r="N64" s="487">
        <f t="shared" si="14"/>
        <v>22.32</v>
      </c>
      <c r="O64" s="487">
        <f t="shared" si="14"/>
        <v>21.599999999999998</v>
      </c>
      <c r="P64" s="487">
        <f t="shared" si="14"/>
        <v>22.32</v>
      </c>
      <c r="Q64" s="487">
        <f t="shared" si="14"/>
        <v>22.32</v>
      </c>
      <c r="R64" s="487">
        <f t="shared" si="14"/>
        <v>21.599999999999998</v>
      </c>
      <c r="S64" s="487">
        <f t="shared" si="14"/>
        <v>22.32</v>
      </c>
      <c r="T64" s="487">
        <f t="shared" si="14"/>
        <v>21.599999999999998</v>
      </c>
      <c r="U64" s="487">
        <f t="shared" si="14"/>
        <v>22.32</v>
      </c>
      <c r="V64" s="88"/>
      <c r="W64" s="497">
        <f>SUM(J64:U64)</f>
        <v>262.79999999999995</v>
      </c>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8"/>
      <c r="AV64" s="88"/>
      <c r="AW64" s="89"/>
    </row>
    <row r="65" spans="1:49">
      <c r="A65" s="109"/>
      <c r="B65" s="111"/>
      <c r="C65" s="112"/>
      <c r="D65" s="112"/>
      <c r="E65" s="113"/>
      <c r="F65" s="112"/>
      <c r="G65" s="110"/>
      <c r="H65" s="93"/>
      <c r="J65" s="87"/>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8"/>
      <c r="AV65" s="88"/>
      <c r="AW65" s="89"/>
    </row>
    <row r="66" spans="1:49">
      <c r="A66" s="109" t="s">
        <v>693</v>
      </c>
      <c r="B66" s="111"/>
      <c r="C66" s="112"/>
      <c r="D66" s="112" t="s">
        <v>681</v>
      </c>
      <c r="E66" s="113"/>
      <c r="F66" s="112"/>
      <c r="G66" s="110"/>
      <c r="H66" s="93"/>
      <c r="J66" s="510">
        <v>0</v>
      </c>
      <c r="K66" s="511">
        <v>0</v>
      </c>
      <c r="L66" s="511">
        <v>0</v>
      </c>
      <c r="M66" s="511">
        <v>0</v>
      </c>
      <c r="N66" s="511">
        <v>0</v>
      </c>
      <c r="O66" s="511">
        <v>0</v>
      </c>
      <c r="P66" s="511">
        <v>0</v>
      </c>
      <c r="Q66" s="511">
        <v>0</v>
      </c>
      <c r="R66" s="511">
        <v>0</v>
      </c>
      <c r="S66" s="511">
        <v>0</v>
      </c>
      <c r="T66" s="511">
        <v>0</v>
      </c>
      <c r="U66" s="511">
        <v>0</v>
      </c>
      <c r="V66" s="88"/>
      <c r="W66" s="497">
        <f>SUM(J66:U66)</f>
        <v>0</v>
      </c>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c r="AV66" s="88"/>
      <c r="AW66" s="89"/>
    </row>
    <row r="67" spans="1:49">
      <c r="A67" s="109"/>
      <c r="B67" s="111"/>
      <c r="C67" s="112"/>
      <c r="D67" s="112"/>
      <c r="E67" s="113"/>
      <c r="F67" s="112"/>
      <c r="G67" s="110"/>
      <c r="H67" s="93"/>
      <c r="J67" s="87"/>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8"/>
      <c r="AW67" s="89"/>
    </row>
    <row r="68" spans="1:49">
      <c r="A68" s="109" t="s">
        <v>694</v>
      </c>
      <c r="B68" s="111"/>
      <c r="C68" s="112"/>
      <c r="D68" s="112" t="s">
        <v>681</v>
      </c>
      <c r="E68" s="113"/>
      <c r="F68" s="112"/>
      <c r="G68" s="110"/>
      <c r="H68" s="93"/>
      <c r="J68" s="510">
        <v>0</v>
      </c>
      <c r="K68" s="511">
        <v>0</v>
      </c>
      <c r="L68" s="511">
        <v>0</v>
      </c>
      <c r="M68" s="511">
        <v>0</v>
      </c>
      <c r="N68" s="511">
        <v>0</v>
      </c>
      <c r="O68" s="511">
        <v>0</v>
      </c>
      <c r="P68" s="511">
        <v>0</v>
      </c>
      <c r="Q68" s="511">
        <v>0</v>
      </c>
      <c r="R68" s="511">
        <v>0</v>
      </c>
      <c r="S68" s="511">
        <v>0</v>
      </c>
      <c r="T68" s="511">
        <v>0</v>
      </c>
      <c r="U68" s="511">
        <v>0</v>
      </c>
      <c r="V68" s="88"/>
      <c r="W68" s="497">
        <f>SUM(J68:U68)</f>
        <v>0</v>
      </c>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c r="AV68" s="88"/>
      <c r="AW68" s="89"/>
    </row>
    <row r="69" spans="1:49">
      <c r="A69" s="109"/>
      <c r="B69" s="111"/>
      <c r="C69" s="112"/>
      <c r="D69" s="112"/>
      <c r="E69" s="113"/>
      <c r="F69" s="112"/>
      <c r="G69" s="110"/>
      <c r="H69" s="93"/>
      <c r="J69" s="87"/>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8"/>
      <c r="AQ69" s="88"/>
      <c r="AR69" s="88"/>
      <c r="AS69" s="88"/>
      <c r="AT69" s="88"/>
      <c r="AU69" s="88"/>
      <c r="AV69" s="88"/>
      <c r="AW69" s="89"/>
    </row>
    <row r="70" spans="1:49">
      <c r="A70" s="193"/>
      <c r="B70" s="483"/>
      <c r="C70" s="185"/>
      <c r="D70" s="185"/>
      <c r="E70" s="194"/>
      <c r="F70" s="185"/>
      <c r="G70" s="512"/>
      <c r="H70" s="513"/>
      <c r="J70" s="87"/>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c r="AV70" s="88"/>
      <c r="AW70" s="89"/>
    </row>
    <row r="71" spans="1:49">
      <c r="A71" s="193" t="s">
        <v>695</v>
      </c>
      <c r="B71" s="483"/>
      <c r="C71" s="185"/>
      <c r="D71" s="185"/>
      <c r="E71" s="194"/>
      <c r="F71" s="185"/>
      <c r="G71" s="512"/>
      <c r="H71" s="513"/>
      <c r="J71" s="87"/>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c r="AV71" s="88"/>
      <c r="AW71" s="89"/>
    </row>
    <row r="72" spans="1:49">
      <c r="A72" s="193"/>
      <c r="B72" s="483"/>
      <c r="C72" s="185"/>
      <c r="D72" s="185"/>
      <c r="E72" s="194"/>
      <c r="F72" s="185"/>
      <c r="G72" s="512"/>
      <c r="H72" s="513"/>
      <c r="J72" s="87"/>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88"/>
      <c r="AO72" s="88"/>
      <c r="AP72" s="88"/>
      <c r="AQ72" s="88"/>
      <c r="AR72" s="88"/>
      <c r="AS72" s="88"/>
      <c r="AT72" s="88"/>
      <c r="AU72" s="88"/>
      <c r="AV72" s="88"/>
      <c r="AW72" s="89"/>
    </row>
    <row r="73" spans="1:49">
      <c r="A73" s="193"/>
      <c r="B73" s="483"/>
      <c r="C73" s="185"/>
      <c r="D73" s="185"/>
      <c r="E73" s="194"/>
      <c r="F73" s="185"/>
      <c r="G73" s="512"/>
      <c r="H73" s="513"/>
      <c r="J73" s="87"/>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8"/>
      <c r="AM73" s="88"/>
      <c r="AN73" s="88"/>
      <c r="AO73" s="88"/>
      <c r="AP73" s="88"/>
      <c r="AQ73" s="88"/>
      <c r="AR73" s="88"/>
      <c r="AS73" s="88"/>
      <c r="AT73" s="88"/>
      <c r="AU73" s="88"/>
      <c r="AV73" s="88"/>
      <c r="AW73" s="89"/>
    </row>
    <row r="74" spans="1:49">
      <c r="A74" s="193"/>
      <c r="B74" s="483"/>
      <c r="C74" s="185"/>
      <c r="D74" s="185"/>
      <c r="E74" s="194"/>
      <c r="F74" s="185"/>
      <c r="G74" s="512"/>
      <c r="H74" s="513"/>
      <c r="J74" s="87"/>
      <c r="K74" s="88"/>
      <c r="L74" s="88"/>
      <c r="M74" s="88"/>
      <c r="N74" s="88"/>
      <c r="O74" s="88"/>
      <c r="P74" s="88"/>
      <c r="Q74" s="88"/>
      <c r="R74" s="88"/>
      <c r="S74" s="88"/>
      <c r="T74" s="88"/>
      <c r="U74" s="88"/>
      <c r="V74" s="88"/>
      <c r="W74" s="88"/>
      <c r="X74" s="88"/>
      <c r="Y74" s="88"/>
      <c r="Z74" s="88"/>
      <c r="AA74" s="88"/>
      <c r="AB74" s="88"/>
      <c r="AC74" s="88"/>
      <c r="AD74" s="88"/>
      <c r="AE74" s="88"/>
      <c r="AF74" s="88"/>
      <c r="AG74" s="88"/>
      <c r="AH74" s="88"/>
      <c r="AI74" s="88"/>
      <c r="AJ74" s="88"/>
      <c r="AK74" s="88"/>
      <c r="AL74" s="88"/>
      <c r="AM74" s="88"/>
      <c r="AN74" s="88"/>
      <c r="AO74" s="88"/>
      <c r="AP74" s="88"/>
      <c r="AQ74" s="88"/>
      <c r="AR74" s="88"/>
      <c r="AS74" s="88"/>
      <c r="AT74" s="88"/>
      <c r="AU74" s="88"/>
      <c r="AV74" s="88"/>
      <c r="AW74" s="89"/>
    </row>
    <row r="75" spans="1:49">
      <c r="A75" s="193"/>
      <c r="B75" s="483"/>
      <c r="C75" s="185"/>
      <c r="D75" s="185"/>
      <c r="E75" s="194"/>
      <c r="F75" s="185"/>
      <c r="G75" s="512"/>
      <c r="H75" s="513"/>
      <c r="J75" s="87"/>
      <c r="K75" s="88"/>
      <c r="L75" s="88"/>
      <c r="M75" s="88"/>
      <c r="N75" s="88"/>
      <c r="O75" s="88"/>
      <c r="P75" s="88"/>
      <c r="Q75" s="88"/>
      <c r="R75" s="88"/>
      <c r="S75" s="88"/>
      <c r="T75" s="88"/>
      <c r="U75" s="88"/>
      <c r="V75" s="88"/>
      <c r="W75" s="88"/>
      <c r="X75" s="88"/>
      <c r="Y75" s="88"/>
      <c r="Z75" s="88"/>
      <c r="AA75" s="88"/>
      <c r="AB75" s="88"/>
      <c r="AC75" s="88"/>
      <c r="AD75" s="88"/>
      <c r="AE75" s="88"/>
      <c r="AF75" s="88"/>
      <c r="AG75" s="88"/>
      <c r="AH75" s="88"/>
      <c r="AI75" s="88"/>
      <c r="AJ75" s="88"/>
      <c r="AK75" s="88"/>
      <c r="AL75" s="88"/>
      <c r="AM75" s="88"/>
      <c r="AN75" s="88"/>
      <c r="AO75" s="88"/>
      <c r="AP75" s="88"/>
      <c r="AQ75" s="88"/>
      <c r="AR75" s="88"/>
      <c r="AS75" s="88"/>
      <c r="AT75" s="88"/>
      <c r="AU75" s="88"/>
      <c r="AV75" s="88"/>
      <c r="AW75" s="89"/>
    </row>
    <row r="76" spans="1:49">
      <c r="A76" s="193"/>
      <c r="B76" s="483"/>
      <c r="C76" s="185"/>
      <c r="D76" s="185"/>
      <c r="E76" s="194"/>
      <c r="F76" s="185"/>
      <c r="G76" s="512"/>
      <c r="H76" s="513"/>
      <c r="J76" s="87"/>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c r="AK76" s="88"/>
      <c r="AL76" s="88"/>
      <c r="AM76" s="88"/>
      <c r="AN76" s="88"/>
      <c r="AO76" s="88"/>
      <c r="AP76" s="88"/>
      <c r="AQ76" s="88"/>
      <c r="AR76" s="88"/>
      <c r="AS76" s="88"/>
      <c r="AT76" s="88"/>
      <c r="AU76" s="88"/>
      <c r="AV76" s="88"/>
      <c r="AW76" s="89"/>
    </row>
    <row r="77" spans="1:49">
      <c r="A77" s="193"/>
      <c r="B77" s="483"/>
      <c r="C77" s="185"/>
      <c r="D77" s="185"/>
      <c r="E77" s="194"/>
      <c r="F77" s="185"/>
      <c r="G77" s="512"/>
      <c r="H77" s="513"/>
      <c r="J77" s="87"/>
      <c r="K77" s="88"/>
      <c r="L77" s="88"/>
      <c r="M77" s="88"/>
      <c r="N77" s="88"/>
      <c r="O77" s="88"/>
      <c r="P77" s="88"/>
      <c r="Q77" s="88"/>
      <c r="R77" s="88"/>
      <c r="S77" s="88"/>
      <c r="T77" s="88"/>
      <c r="U77" s="88"/>
      <c r="V77" s="88"/>
      <c r="W77" s="88"/>
      <c r="X77" s="88"/>
      <c r="Y77" s="88"/>
      <c r="Z77" s="88"/>
      <c r="AA77" s="88"/>
      <c r="AB77" s="88"/>
      <c r="AC77" s="88"/>
      <c r="AD77" s="88"/>
      <c r="AE77" s="88"/>
      <c r="AF77" s="88"/>
      <c r="AG77" s="88"/>
      <c r="AH77" s="88"/>
      <c r="AI77" s="88"/>
      <c r="AJ77" s="88"/>
      <c r="AK77" s="88"/>
      <c r="AL77" s="88"/>
      <c r="AM77" s="88"/>
      <c r="AN77" s="88"/>
      <c r="AO77" s="88"/>
      <c r="AP77" s="88"/>
      <c r="AQ77" s="88"/>
      <c r="AR77" s="88"/>
      <c r="AS77" s="88"/>
      <c r="AT77" s="88"/>
      <c r="AU77" s="88"/>
      <c r="AV77" s="88"/>
      <c r="AW77" s="89"/>
    </row>
    <row r="78" spans="1:49" ht="13.5" thickBot="1">
      <c r="A78" s="193"/>
      <c r="B78" s="483"/>
      <c r="C78" s="185"/>
      <c r="D78" s="185"/>
      <c r="E78" s="194"/>
      <c r="F78" s="185"/>
      <c r="G78" s="512"/>
      <c r="H78" s="513"/>
      <c r="J78" s="87"/>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88"/>
      <c r="AT78" s="88"/>
      <c r="AU78" s="88"/>
      <c r="AV78" s="88"/>
      <c r="AW78" s="89"/>
    </row>
    <row r="79" spans="1:49">
      <c r="A79" s="517" t="s">
        <v>907</v>
      </c>
      <c r="B79" s="518"/>
      <c r="C79" s="519"/>
      <c r="D79" s="519"/>
      <c r="E79" s="520"/>
      <c r="F79" s="519"/>
      <c r="G79" s="523"/>
      <c r="H79" s="521"/>
      <c r="J79" s="87"/>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9"/>
    </row>
    <row r="80" spans="1:49">
      <c r="A80" s="514"/>
      <c r="B80" s="201"/>
      <c r="C80" s="187"/>
      <c r="D80" s="187"/>
      <c r="E80" s="515"/>
      <c r="F80" s="187"/>
      <c r="G80" s="524"/>
      <c r="H80" s="186"/>
      <c r="J80" s="87"/>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88"/>
      <c r="AQ80" s="88"/>
      <c r="AR80" s="88"/>
      <c r="AS80" s="88"/>
      <c r="AT80" s="88"/>
      <c r="AU80" s="88"/>
      <c r="AV80" s="88"/>
      <c r="AW80" s="89"/>
    </row>
    <row r="81" spans="1:49">
      <c r="A81" s="109" t="s">
        <v>701</v>
      </c>
      <c r="B81" s="111" t="s">
        <v>702</v>
      </c>
      <c r="C81" s="112"/>
      <c r="D81" s="112" t="s">
        <v>646</v>
      </c>
      <c r="E81" s="113"/>
      <c r="F81" s="112"/>
      <c r="G81" s="524"/>
      <c r="H81" s="93"/>
      <c r="J81" s="199">
        <f>+J$26</f>
        <v>4104.9689973723753</v>
      </c>
      <c r="K81" s="200">
        <f t="shared" ref="K81:U81" si="15">+K$26</f>
        <v>3657.5612808752217</v>
      </c>
      <c r="L81" s="200">
        <f t="shared" si="15"/>
        <v>3993.9166959941858</v>
      </c>
      <c r="M81" s="200">
        <f t="shared" si="15"/>
        <v>3811.345689004927</v>
      </c>
      <c r="N81" s="200">
        <f t="shared" si="15"/>
        <v>3882.8643946159964</v>
      </c>
      <c r="O81" s="200">
        <f t="shared" si="15"/>
        <v>3703.8757199292595</v>
      </c>
      <c r="P81" s="200">
        <f t="shared" si="15"/>
        <v>3827.3382439269012</v>
      </c>
      <c r="Q81" s="200">
        <f t="shared" si="15"/>
        <v>3882.8643946159964</v>
      </c>
      <c r="R81" s="200">
        <f t="shared" si="15"/>
        <v>3811.345689004927</v>
      </c>
      <c r="S81" s="200">
        <f t="shared" si="15"/>
        <v>3993.9166959941858</v>
      </c>
      <c r="T81" s="200">
        <f t="shared" si="15"/>
        <v>3918.8156580805944</v>
      </c>
      <c r="U81" s="200">
        <f t="shared" si="15"/>
        <v>4104.9689973723753</v>
      </c>
      <c r="V81" s="88"/>
      <c r="W81" s="497">
        <f>SUM(J81:U81)</f>
        <v>46693.782456786947</v>
      </c>
      <c r="X81" s="88"/>
      <c r="Y81" s="88"/>
      <c r="Z81" s="88"/>
      <c r="AA81" s="88"/>
      <c r="AB81" s="88"/>
      <c r="AC81" s="88"/>
      <c r="AD81" s="88"/>
      <c r="AE81" s="88"/>
      <c r="AF81" s="88"/>
      <c r="AG81" s="88"/>
      <c r="AH81" s="88"/>
      <c r="AI81" s="88"/>
      <c r="AJ81" s="88"/>
      <c r="AK81" s="88"/>
      <c r="AL81" s="88"/>
      <c r="AM81" s="88"/>
      <c r="AN81" s="88"/>
      <c r="AO81" s="88"/>
      <c r="AP81" s="88"/>
      <c r="AQ81" s="88"/>
      <c r="AR81" s="88"/>
      <c r="AS81" s="88"/>
      <c r="AT81" s="88"/>
      <c r="AU81" s="88"/>
      <c r="AV81" s="88"/>
      <c r="AW81" s="89"/>
    </row>
    <row r="82" spans="1:49">
      <c r="A82" s="109" t="s">
        <v>901</v>
      </c>
      <c r="B82" s="111"/>
      <c r="C82" s="112"/>
      <c r="D82" s="112" t="s">
        <v>207</v>
      </c>
      <c r="E82" s="480">
        <v>35</v>
      </c>
      <c r="F82" s="112"/>
      <c r="G82" s="524"/>
      <c r="H82" s="93"/>
      <c r="J82" s="87"/>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88"/>
      <c r="AO82" s="88"/>
      <c r="AP82" s="88"/>
      <c r="AQ82" s="88"/>
      <c r="AR82" s="88"/>
      <c r="AS82" s="88"/>
      <c r="AT82" s="88"/>
      <c r="AU82" s="88"/>
      <c r="AV82" s="88"/>
      <c r="AW82" s="89"/>
    </row>
    <row r="83" spans="1:49">
      <c r="A83" s="109" t="s">
        <v>902</v>
      </c>
      <c r="B83" s="111"/>
      <c r="C83" s="112"/>
      <c r="D83" s="112" t="s">
        <v>218</v>
      </c>
      <c r="E83" s="113">
        <f>+W83</f>
        <v>1068.5968098285653</v>
      </c>
      <c r="F83" s="112"/>
      <c r="G83" s="524"/>
      <c r="H83" s="93"/>
      <c r="J83" s="495">
        <f>+J81*($E82-J$12)*4.18/3600</f>
        <v>113.91517021541527</v>
      </c>
      <c r="K83" s="508">
        <f t="shared" ref="K83:U83" si="16">+K81*($E82-K$12)*4.18/3600</f>
        <v>100.64999051421796</v>
      </c>
      <c r="L83" s="508">
        <f t="shared" si="16"/>
        <v>105.26854989336231</v>
      </c>
      <c r="M83" s="508">
        <f t="shared" si="16"/>
        <v>90.720614469675596</v>
      </c>
      <c r="N83" s="508">
        <f t="shared" si="16"/>
        <v>84.758615440695394</v>
      </c>
      <c r="O83" s="508">
        <f t="shared" si="16"/>
        <v>69.669902291869363</v>
      </c>
      <c r="P83" s="508">
        <f t="shared" si="16"/>
        <v>60.882319965754974</v>
      </c>
      <c r="Q83" s="508">
        <f t="shared" si="16"/>
        <v>70.782460766963709</v>
      </c>
      <c r="R83" s="508">
        <f t="shared" si="16"/>
        <v>72.13395199296157</v>
      </c>
      <c r="S83" s="508">
        <f t="shared" si="16"/>
        <v>87.182763788335308</v>
      </c>
      <c r="T83" s="508">
        <f t="shared" si="16"/>
        <v>99.193932785260017</v>
      </c>
      <c r="U83" s="508">
        <f t="shared" si="16"/>
        <v>113.43853770405372</v>
      </c>
      <c r="V83" s="88"/>
      <c r="W83" s="497">
        <f>SUM(J83:U83)</f>
        <v>1068.5968098285653</v>
      </c>
      <c r="X83" s="88"/>
      <c r="Y83" s="88"/>
      <c r="Z83" s="88"/>
      <c r="AA83" s="88"/>
      <c r="AB83" s="88"/>
      <c r="AC83" s="88"/>
      <c r="AD83" s="88"/>
      <c r="AE83" s="88"/>
      <c r="AF83" s="88"/>
      <c r="AG83" s="88"/>
      <c r="AH83" s="88"/>
      <c r="AI83" s="88"/>
      <c r="AJ83" s="88"/>
      <c r="AK83" s="88"/>
      <c r="AL83" s="88"/>
      <c r="AM83" s="88"/>
      <c r="AN83" s="88"/>
      <c r="AO83" s="88"/>
      <c r="AP83" s="88"/>
      <c r="AQ83" s="88"/>
      <c r="AR83" s="88"/>
      <c r="AS83" s="88"/>
      <c r="AT83" s="88"/>
      <c r="AU83" s="88"/>
      <c r="AV83" s="88"/>
      <c r="AW83" s="89"/>
    </row>
    <row r="84" spans="1:49">
      <c r="A84" s="109" t="s">
        <v>897</v>
      </c>
      <c r="B84" s="111"/>
      <c r="C84" s="112"/>
      <c r="D84" s="112" t="s">
        <v>615</v>
      </c>
      <c r="E84" s="113">
        <f>+E$15</f>
        <v>11</v>
      </c>
      <c r="F84" s="112"/>
      <c r="G84" s="524"/>
      <c r="H84" s="93"/>
      <c r="J84" s="495"/>
      <c r="K84" s="508"/>
      <c r="L84" s="508"/>
      <c r="M84" s="508"/>
      <c r="N84" s="508"/>
      <c r="O84" s="508"/>
      <c r="P84" s="508"/>
      <c r="Q84" s="508"/>
      <c r="R84" s="508"/>
      <c r="S84" s="508"/>
      <c r="T84" s="508"/>
      <c r="U84" s="508"/>
      <c r="V84" s="88"/>
      <c r="W84" s="497"/>
      <c r="X84" s="88"/>
      <c r="Y84" s="88"/>
      <c r="Z84" s="88"/>
      <c r="AA84" s="88"/>
      <c r="AB84" s="88"/>
      <c r="AC84" s="88"/>
      <c r="AD84" s="88"/>
      <c r="AE84" s="88"/>
      <c r="AF84" s="88"/>
      <c r="AG84" s="88"/>
      <c r="AH84" s="88"/>
      <c r="AI84" s="88"/>
      <c r="AJ84" s="88"/>
      <c r="AK84" s="88"/>
      <c r="AL84" s="88"/>
      <c r="AM84" s="88"/>
      <c r="AN84" s="88"/>
      <c r="AO84" s="88"/>
      <c r="AP84" s="88"/>
      <c r="AQ84" s="88"/>
      <c r="AR84" s="88"/>
      <c r="AS84" s="88"/>
      <c r="AT84" s="88"/>
      <c r="AU84" s="88"/>
      <c r="AV84" s="88"/>
      <c r="AW84" s="89"/>
    </row>
    <row r="85" spans="1:49">
      <c r="A85" s="109" t="s">
        <v>900</v>
      </c>
      <c r="B85" s="111"/>
      <c r="C85" s="112"/>
      <c r="D85" s="112"/>
      <c r="E85" s="94"/>
      <c r="F85" s="112"/>
      <c r="G85" s="524"/>
      <c r="H85" s="93"/>
      <c r="J85" s="87"/>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c r="AU85" s="88"/>
      <c r="AV85" s="88"/>
      <c r="AW85" s="89"/>
    </row>
    <row r="86" spans="1:49">
      <c r="A86" s="530" t="s">
        <v>863</v>
      </c>
      <c r="B86" s="111">
        <f>MATCH(A86,SAP_Database!$B$4:$B$7,0)</f>
        <v>4</v>
      </c>
      <c r="C86" s="112"/>
      <c r="D86" s="112"/>
      <c r="E86" s="113"/>
      <c r="F86" s="112"/>
      <c r="G86" s="524"/>
      <c r="H86" s="93"/>
      <c r="J86" s="87"/>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c r="AV86" s="88"/>
      <c r="AW86" s="89"/>
    </row>
    <row r="87" spans="1:49">
      <c r="A87" s="109" t="s">
        <v>898</v>
      </c>
      <c r="B87" s="111"/>
      <c r="C87" s="112"/>
      <c r="D87" s="112" t="s">
        <v>431</v>
      </c>
      <c r="E87" s="113">
        <f>INDEX(SAP_Database!$M$4:$M$7,B86,1)</f>
        <v>59.7</v>
      </c>
      <c r="F87" s="112"/>
      <c r="G87" s="524"/>
      <c r="H87" s="93"/>
      <c r="J87" s="87"/>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9"/>
    </row>
    <row r="88" spans="1:49">
      <c r="A88" s="109" t="s">
        <v>903</v>
      </c>
      <c r="B88" s="111"/>
      <c r="C88" s="112"/>
      <c r="D88" s="112" t="s">
        <v>20</v>
      </c>
      <c r="E88" s="113">
        <f>INDEX(SAP_Database!$D$4:$D$7,B86,1)</f>
        <v>0.95799999999999996</v>
      </c>
      <c r="F88" s="112"/>
      <c r="G88" s="524"/>
      <c r="H88" s="93"/>
      <c r="J88" s="87"/>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c r="AU88" s="88"/>
      <c r="AV88" s="88"/>
      <c r="AW88" s="89"/>
    </row>
    <row r="89" spans="1:49">
      <c r="A89" s="109"/>
      <c r="B89" s="111"/>
      <c r="C89" s="112"/>
      <c r="D89" s="112"/>
      <c r="E89" s="113"/>
      <c r="F89" s="112"/>
      <c r="G89" s="524"/>
      <c r="H89" s="93"/>
      <c r="J89" s="87"/>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9"/>
    </row>
    <row r="90" spans="1:49">
      <c r="A90" s="109" t="s">
        <v>904</v>
      </c>
      <c r="B90" s="111"/>
      <c r="C90" s="112"/>
      <c r="D90" s="112" t="s">
        <v>218</v>
      </c>
      <c r="E90" s="113">
        <f>+W90</f>
        <v>611.15829905801195</v>
      </c>
      <c r="F90" s="112"/>
      <c r="G90" s="524"/>
      <c r="H90" s="93"/>
      <c r="J90" s="494">
        <f>+J83*$E87/100*$E88</f>
        <v>65.151047640621599</v>
      </c>
      <c r="K90" s="487">
        <f t="shared" ref="K90:U90" si="17">+K83*$E87/100*$E88</f>
        <v>57.564346474834622</v>
      </c>
      <c r="L90" s="487">
        <f t="shared" si="17"/>
        <v>60.205820666311133</v>
      </c>
      <c r="M90" s="487">
        <f t="shared" si="17"/>
        <v>51.885478151183683</v>
      </c>
      <c r="N90" s="487">
        <f t="shared" si="17"/>
        <v>48.475655894535159</v>
      </c>
      <c r="O90" s="487">
        <f t="shared" si="17"/>
        <v>39.846028538179674</v>
      </c>
      <c r="P90" s="487">
        <f t="shared" si="17"/>
        <v>34.820181728734376</v>
      </c>
      <c r="Q90" s="487">
        <f t="shared" si="17"/>
        <v>40.482329656606488</v>
      </c>
      <c r="R90" s="487">
        <f t="shared" si="17"/>
        <v>41.255282627526533</v>
      </c>
      <c r="S90" s="487">
        <f t="shared" si="17"/>
        <v>49.86208936240746</v>
      </c>
      <c r="T90" s="487">
        <f t="shared" si="17"/>
        <v>56.731589202142622</v>
      </c>
      <c r="U90" s="487">
        <f t="shared" si="17"/>
        <v>64.878449114928614</v>
      </c>
      <c r="V90" s="88"/>
      <c r="W90" s="497">
        <f>SUM(J90:U90)</f>
        <v>611.15829905801195</v>
      </c>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c r="AV90" s="88"/>
      <c r="AW90" s="89"/>
    </row>
    <row r="91" spans="1:49">
      <c r="A91" s="109"/>
      <c r="B91" s="111"/>
      <c r="C91" s="112"/>
      <c r="D91" s="112" t="s">
        <v>431</v>
      </c>
      <c r="E91" s="557">
        <f>+E90/E$51</f>
        <v>0.23815401910052036</v>
      </c>
      <c r="F91" s="112"/>
      <c r="G91" s="524"/>
      <c r="H91" s="93"/>
      <c r="J91" s="188">
        <f>+J90/J$50</f>
        <v>0.24949081283083827</v>
      </c>
      <c r="K91" s="202">
        <f t="shared" ref="K91:U91" si="18">+K90/K$50</f>
        <v>0.25037764028596826</v>
      </c>
      <c r="L91" s="202">
        <f t="shared" si="18"/>
        <v>0.24868087097788794</v>
      </c>
      <c r="M91" s="202">
        <f t="shared" si="18"/>
        <v>0.24232558642445864</v>
      </c>
      <c r="N91" s="202">
        <f t="shared" si="18"/>
        <v>0.236956091451793</v>
      </c>
      <c r="O91" s="202">
        <f t="shared" si="18"/>
        <v>0.22608184082400026</v>
      </c>
      <c r="P91" s="202">
        <f t="shared" si="18"/>
        <v>0.21138244468179332</v>
      </c>
      <c r="Q91" s="202">
        <f t="shared" si="18"/>
        <v>0.22173902363150891</v>
      </c>
      <c r="R91" s="202">
        <f t="shared" si="18"/>
        <v>0.22338575733841809</v>
      </c>
      <c r="S91" s="202">
        <f t="shared" si="18"/>
        <v>0.23375809876314491</v>
      </c>
      <c r="T91" s="202">
        <f t="shared" si="18"/>
        <v>0.24401090376659046</v>
      </c>
      <c r="U91" s="202">
        <f t="shared" si="18"/>
        <v>0.24917847633295986</v>
      </c>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88"/>
      <c r="AW91" s="89"/>
    </row>
    <row r="92" spans="1:49">
      <c r="A92" s="559" t="s">
        <v>910</v>
      </c>
      <c r="B92" s="560"/>
      <c r="C92" s="561"/>
      <c r="D92" s="561"/>
      <c r="E92" s="562">
        <f>+E91*100/E87</f>
        <v>0.39891795494224513</v>
      </c>
      <c r="F92" s="112"/>
      <c r="G92" s="524"/>
      <c r="H92" s="93"/>
      <c r="J92" s="87"/>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88"/>
      <c r="AW92" s="89"/>
    </row>
    <row r="93" spans="1:49">
      <c r="A93" s="109"/>
      <c r="B93" s="111"/>
      <c r="C93" s="112"/>
      <c r="D93" s="112"/>
      <c r="E93" s="113"/>
      <c r="F93" s="112"/>
      <c r="G93" s="524"/>
      <c r="H93" s="93"/>
      <c r="J93" s="87"/>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9"/>
    </row>
    <row r="94" spans="1:49">
      <c r="A94" s="109"/>
      <c r="B94" s="111"/>
      <c r="C94" s="112"/>
      <c r="D94" s="112"/>
      <c r="E94" s="113"/>
      <c r="F94" s="112"/>
      <c r="G94" s="524"/>
      <c r="H94" s="93"/>
      <c r="J94" s="87"/>
      <c r="K94" s="88"/>
      <c r="L94" s="88"/>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88"/>
      <c r="AO94" s="88"/>
      <c r="AP94" s="88"/>
      <c r="AQ94" s="88"/>
      <c r="AR94" s="88"/>
      <c r="AS94" s="88"/>
      <c r="AT94" s="88"/>
      <c r="AU94" s="88"/>
      <c r="AV94" s="88"/>
      <c r="AW94" s="89"/>
    </row>
    <row r="95" spans="1:49">
      <c r="A95" s="109"/>
      <c r="B95" s="111"/>
      <c r="C95" s="112"/>
      <c r="D95" s="112"/>
      <c r="E95" s="113"/>
      <c r="F95" s="112"/>
      <c r="G95" s="524"/>
      <c r="H95" s="93"/>
      <c r="J95" s="87"/>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c r="AU95" s="88"/>
      <c r="AV95" s="88"/>
      <c r="AW95" s="89"/>
    </row>
    <row r="96" spans="1:49">
      <c r="A96" s="109"/>
      <c r="B96" s="111"/>
      <c r="C96" s="112"/>
      <c r="D96" s="112"/>
      <c r="E96" s="113"/>
      <c r="F96" s="112"/>
      <c r="G96" s="524"/>
      <c r="H96" s="93"/>
      <c r="J96" s="87"/>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c r="AV96" s="88"/>
      <c r="AW96" s="89"/>
    </row>
    <row r="97" spans="1:49">
      <c r="A97" s="109"/>
      <c r="B97" s="111"/>
      <c r="C97" s="112"/>
      <c r="D97" s="112"/>
      <c r="E97" s="113"/>
      <c r="F97" s="112"/>
      <c r="G97" s="524"/>
      <c r="H97" s="93"/>
      <c r="J97" s="87"/>
      <c r="K97" s="88"/>
      <c r="L97" s="88"/>
      <c r="M97" s="88"/>
      <c r="N97" s="88"/>
      <c r="O97" s="88"/>
      <c r="P97" s="88"/>
      <c r="Q97" s="88"/>
      <c r="R97" s="88"/>
      <c r="S97" s="88"/>
      <c r="T97" s="88"/>
      <c r="U97" s="88"/>
      <c r="V97" s="88"/>
      <c r="W97" s="88"/>
      <c r="X97" s="88"/>
      <c r="Y97" s="88"/>
      <c r="Z97" s="88"/>
      <c r="AA97" s="88"/>
      <c r="AB97" s="88"/>
      <c r="AC97" s="88"/>
      <c r="AD97" s="88"/>
      <c r="AE97" s="88"/>
      <c r="AF97" s="88"/>
      <c r="AG97" s="88"/>
      <c r="AH97" s="88"/>
      <c r="AI97" s="88"/>
      <c r="AJ97" s="88"/>
      <c r="AK97" s="88"/>
      <c r="AL97" s="88"/>
      <c r="AM97" s="88"/>
      <c r="AN97" s="88"/>
      <c r="AO97" s="88"/>
      <c r="AP97" s="88"/>
      <c r="AQ97" s="88"/>
      <c r="AR97" s="88"/>
      <c r="AS97" s="88"/>
      <c r="AT97" s="88"/>
      <c r="AU97" s="88"/>
      <c r="AV97" s="88"/>
      <c r="AW97" s="89"/>
    </row>
    <row r="98" spans="1:49">
      <c r="A98" s="109"/>
      <c r="B98" s="111"/>
      <c r="C98" s="112"/>
      <c r="D98" s="112"/>
      <c r="E98" s="113"/>
      <c r="F98" s="112"/>
      <c r="G98" s="524"/>
      <c r="H98" s="93"/>
      <c r="J98" s="87"/>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8"/>
      <c r="AW98" s="89"/>
    </row>
    <row r="99" spans="1:49">
      <c r="A99" s="109"/>
      <c r="B99" s="111"/>
      <c r="C99" s="112"/>
      <c r="D99" s="112"/>
      <c r="E99" s="113"/>
      <c r="F99" s="112"/>
      <c r="G99" s="524"/>
      <c r="H99" s="93"/>
      <c r="J99" s="87"/>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8"/>
      <c r="AL99" s="88"/>
      <c r="AM99" s="88"/>
      <c r="AN99" s="88"/>
      <c r="AO99" s="88"/>
      <c r="AP99" s="88"/>
      <c r="AQ99" s="88"/>
      <c r="AR99" s="88"/>
      <c r="AS99" s="88"/>
      <c r="AT99" s="88"/>
      <c r="AU99" s="88"/>
      <c r="AV99" s="88"/>
      <c r="AW99" s="89"/>
    </row>
    <row r="100" spans="1:49">
      <c r="A100" s="109"/>
      <c r="B100" s="111"/>
      <c r="C100" s="112"/>
      <c r="D100" s="112"/>
      <c r="E100" s="113"/>
      <c r="F100" s="112"/>
      <c r="G100" s="524"/>
      <c r="H100" s="93"/>
      <c r="J100" s="87"/>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c r="AK100" s="88"/>
      <c r="AL100" s="88"/>
      <c r="AM100" s="88"/>
      <c r="AN100" s="88"/>
      <c r="AO100" s="88"/>
      <c r="AP100" s="88"/>
      <c r="AQ100" s="88"/>
      <c r="AR100" s="88"/>
      <c r="AS100" s="88"/>
      <c r="AT100" s="88"/>
      <c r="AU100" s="88"/>
      <c r="AV100" s="88"/>
      <c r="AW100" s="89"/>
    </row>
    <row r="101" spans="1:49">
      <c r="A101" s="109"/>
      <c r="B101" s="111"/>
      <c r="C101" s="112"/>
      <c r="D101" s="112"/>
      <c r="E101" s="113"/>
      <c r="F101" s="112"/>
      <c r="G101" s="524"/>
      <c r="H101" s="93"/>
      <c r="J101" s="87"/>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c r="AI101" s="88"/>
      <c r="AJ101" s="88"/>
      <c r="AK101" s="88"/>
      <c r="AL101" s="88"/>
      <c r="AM101" s="88"/>
      <c r="AN101" s="88"/>
      <c r="AO101" s="88"/>
      <c r="AP101" s="88"/>
      <c r="AQ101" s="88"/>
      <c r="AR101" s="88"/>
      <c r="AS101" s="88"/>
      <c r="AT101" s="88"/>
      <c r="AU101" s="88"/>
      <c r="AV101" s="88"/>
      <c r="AW101" s="89"/>
    </row>
    <row r="102" spans="1:49">
      <c r="A102" s="109"/>
      <c r="B102" s="111"/>
      <c r="C102" s="112"/>
      <c r="D102" s="112"/>
      <c r="E102" s="113"/>
      <c r="F102" s="112"/>
      <c r="G102" s="524"/>
      <c r="H102" s="93"/>
      <c r="J102" s="87"/>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88"/>
      <c r="AJ102" s="88"/>
      <c r="AK102" s="88"/>
      <c r="AL102" s="88"/>
      <c r="AM102" s="88"/>
      <c r="AN102" s="88"/>
      <c r="AO102" s="88"/>
      <c r="AP102" s="88"/>
      <c r="AQ102" s="88"/>
      <c r="AR102" s="88"/>
      <c r="AS102" s="88"/>
      <c r="AT102" s="88"/>
      <c r="AU102" s="88"/>
      <c r="AV102" s="88"/>
      <c r="AW102" s="89"/>
    </row>
    <row r="103" spans="1:49">
      <c r="A103" s="109"/>
      <c r="B103" s="111"/>
      <c r="C103" s="112"/>
      <c r="D103" s="112"/>
      <c r="E103" s="113"/>
      <c r="F103" s="112"/>
      <c r="G103" s="524"/>
      <c r="H103" s="93"/>
      <c r="J103" s="87"/>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c r="AK103" s="88"/>
      <c r="AL103" s="88"/>
      <c r="AM103" s="88"/>
      <c r="AN103" s="88"/>
      <c r="AO103" s="88"/>
      <c r="AP103" s="88"/>
      <c r="AQ103" s="88"/>
      <c r="AR103" s="88"/>
      <c r="AS103" s="88"/>
      <c r="AT103" s="88"/>
      <c r="AU103" s="88"/>
      <c r="AV103" s="88"/>
      <c r="AW103" s="89"/>
    </row>
    <row r="104" spans="1:49">
      <c r="A104" s="109"/>
      <c r="B104" s="111"/>
      <c r="C104" s="112"/>
      <c r="D104" s="112"/>
      <c r="E104" s="113"/>
      <c r="F104" s="112"/>
      <c r="G104" s="524"/>
      <c r="H104" s="93"/>
      <c r="J104" s="87"/>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88"/>
      <c r="AJ104" s="88"/>
      <c r="AK104" s="88"/>
      <c r="AL104" s="88"/>
      <c r="AM104" s="88"/>
      <c r="AN104" s="88"/>
      <c r="AO104" s="88"/>
      <c r="AP104" s="88"/>
      <c r="AQ104" s="88"/>
      <c r="AR104" s="88"/>
      <c r="AS104" s="88"/>
      <c r="AT104" s="88"/>
      <c r="AU104" s="88"/>
      <c r="AV104" s="88"/>
      <c r="AW104" s="89"/>
    </row>
    <row r="105" spans="1:49">
      <c r="A105" s="109"/>
      <c r="B105" s="111"/>
      <c r="C105" s="112"/>
      <c r="D105" s="112"/>
      <c r="E105" s="113"/>
      <c r="F105" s="112"/>
      <c r="G105" s="524"/>
      <c r="H105" s="93"/>
      <c r="J105" s="87"/>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8"/>
      <c r="AV105" s="88"/>
      <c r="AW105" s="89"/>
    </row>
    <row r="106" spans="1:49">
      <c r="A106" s="109"/>
      <c r="B106" s="111"/>
      <c r="C106" s="112"/>
      <c r="D106" s="112"/>
      <c r="E106" s="113"/>
      <c r="F106" s="112"/>
      <c r="G106" s="524"/>
      <c r="H106" s="93"/>
      <c r="J106" s="87"/>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c r="AI106" s="88"/>
      <c r="AJ106" s="88"/>
      <c r="AK106" s="88"/>
      <c r="AL106" s="88"/>
      <c r="AM106" s="88"/>
      <c r="AN106" s="88"/>
      <c r="AO106" s="88"/>
      <c r="AP106" s="88"/>
      <c r="AQ106" s="88"/>
      <c r="AR106" s="88"/>
      <c r="AS106" s="88"/>
      <c r="AT106" s="88"/>
      <c r="AU106" s="88"/>
      <c r="AV106" s="88"/>
      <c r="AW106" s="89"/>
    </row>
    <row r="107" spans="1:49" ht="13.5" thickBot="1">
      <c r="A107" s="522"/>
      <c r="B107" s="272"/>
      <c r="C107" s="275"/>
      <c r="D107" s="275"/>
      <c r="E107" s="274"/>
      <c r="F107" s="275"/>
      <c r="G107" s="525"/>
      <c r="H107" s="273"/>
      <c r="J107" s="87"/>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c r="AK107" s="88"/>
      <c r="AL107" s="88"/>
      <c r="AM107" s="88"/>
      <c r="AN107" s="88"/>
      <c r="AO107" s="88"/>
      <c r="AP107" s="88"/>
      <c r="AQ107" s="88"/>
      <c r="AR107" s="88"/>
      <c r="AS107" s="88"/>
      <c r="AT107" s="88"/>
      <c r="AU107" s="88"/>
      <c r="AV107" s="88"/>
      <c r="AW107" s="89"/>
    </row>
    <row r="108" spans="1:49">
      <c r="A108" s="517" t="s">
        <v>908</v>
      </c>
      <c r="B108" s="518"/>
      <c r="C108" s="519"/>
      <c r="D108" s="519"/>
      <c r="E108" s="520"/>
      <c r="F108" s="519"/>
      <c r="G108" s="523"/>
      <c r="H108" s="521"/>
      <c r="J108" s="87"/>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9"/>
    </row>
    <row r="109" spans="1:49">
      <c r="A109" s="514"/>
      <c r="B109" s="201"/>
      <c r="C109" s="187"/>
      <c r="D109" s="187"/>
      <c r="E109" s="515"/>
      <c r="F109" s="187"/>
      <c r="G109" s="524"/>
      <c r="H109" s="186"/>
      <c r="J109" s="87"/>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8"/>
      <c r="AV109" s="88"/>
      <c r="AW109" s="89"/>
    </row>
    <row r="110" spans="1:49">
      <c r="A110" s="109" t="s">
        <v>701</v>
      </c>
      <c r="B110" s="111" t="s">
        <v>702</v>
      </c>
      <c r="C110" s="112"/>
      <c r="D110" s="112" t="s">
        <v>646</v>
      </c>
      <c r="E110" s="113"/>
      <c r="F110" s="112"/>
      <c r="G110" s="524"/>
      <c r="H110" s="93"/>
      <c r="J110" s="199">
        <f>+J$26</f>
        <v>4104.9689973723753</v>
      </c>
      <c r="K110" s="200">
        <f t="shared" ref="K110:U110" si="19">+K$26</f>
        <v>3657.5612808752217</v>
      </c>
      <c r="L110" s="200">
        <f t="shared" si="19"/>
        <v>3993.9166959941858</v>
      </c>
      <c r="M110" s="200">
        <f t="shared" si="19"/>
        <v>3811.345689004927</v>
      </c>
      <c r="N110" s="200">
        <f t="shared" si="19"/>
        <v>3882.8643946159964</v>
      </c>
      <c r="O110" s="200">
        <f t="shared" si="19"/>
        <v>3703.8757199292595</v>
      </c>
      <c r="P110" s="200">
        <f t="shared" si="19"/>
        <v>3827.3382439269012</v>
      </c>
      <c r="Q110" s="200">
        <f t="shared" si="19"/>
        <v>3882.8643946159964</v>
      </c>
      <c r="R110" s="200">
        <f t="shared" si="19"/>
        <v>3811.345689004927</v>
      </c>
      <c r="S110" s="200">
        <f t="shared" si="19"/>
        <v>3993.9166959941858</v>
      </c>
      <c r="T110" s="200">
        <f t="shared" si="19"/>
        <v>3918.8156580805944</v>
      </c>
      <c r="U110" s="200">
        <f t="shared" si="19"/>
        <v>4104.9689973723753</v>
      </c>
      <c r="V110" s="88"/>
      <c r="W110" s="497">
        <f>SUM(J110:U110)</f>
        <v>46693.782456786947</v>
      </c>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8"/>
      <c r="AV110" s="88"/>
      <c r="AW110" s="89"/>
    </row>
    <row r="111" spans="1:49">
      <c r="A111" s="109" t="s">
        <v>901</v>
      </c>
      <c r="B111" s="111"/>
      <c r="C111" s="112"/>
      <c r="D111" s="112" t="s">
        <v>207</v>
      </c>
      <c r="E111" s="558">
        <f>+$E$82</f>
        <v>35</v>
      </c>
      <c r="F111" s="112"/>
      <c r="G111" s="524"/>
      <c r="H111" s="93"/>
      <c r="J111" s="87"/>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c r="AV111" s="88"/>
      <c r="AW111" s="89"/>
    </row>
    <row r="112" spans="1:49">
      <c r="A112" s="109" t="s">
        <v>902</v>
      </c>
      <c r="B112" s="111"/>
      <c r="C112" s="112"/>
      <c r="D112" s="112" t="s">
        <v>218</v>
      </c>
      <c r="E112" s="113">
        <f>+W112</f>
        <v>1068.5968098285653</v>
      </c>
      <c r="F112" s="112"/>
      <c r="G112" s="524"/>
      <c r="H112" s="93"/>
      <c r="J112" s="495">
        <f>+J110*($E111-J$12)*4.18/3600</f>
        <v>113.91517021541527</v>
      </c>
      <c r="K112" s="508">
        <f t="shared" ref="K112:U112" si="20">+K110*($E111-K$12)*4.18/3600</f>
        <v>100.64999051421796</v>
      </c>
      <c r="L112" s="508">
        <f t="shared" si="20"/>
        <v>105.26854989336231</v>
      </c>
      <c r="M112" s="508">
        <f t="shared" si="20"/>
        <v>90.720614469675596</v>
      </c>
      <c r="N112" s="508">
        <f t="shared" si="20"/>
        <v>84.758615440695394</v>
      </c>
      <c r="O112" s="508">
        <f t="shared" si="20"/>
        <v>69.669902291869363</v>
      </c>
      <c r="P112" s="508">
        <f t="shared" si="20"/>
        <v>60.882319965754974</v>
      </c>
      <c r="Q112" s="508">
        <f t="shared" si="20"/>
        <v>70.782460766963709</v>
      </c>
      <c r="R112" s="508">
        <f t="shared" si="20"/>
        <v>72.13395199296157</v>
      </c>
      <c r="S112" s="508">
        <f t="shared" si="20"/>
        <v>87.182763788335308</v>
      </c>
      <c r="T112" s="508">
        <f t="shared" si="20"/>
        <v>99.193932785260017</v>
      </c>
      <c r="U112" s="508">
        <f t="shared" si="20"/>
        <v>113.43853770405372</v>
      </c>
      <c r="V112" s="88"/>
      <c r="W112" s="497">
        <f>SUM(J112:U112)</f>
        <v>1068.5968098285653</v>
      </c>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9"/>
    </row>
    <row r="113" spans="1:49">
      <c r="A113" s="109" t="s">
        <v>897</v>
      </c>
      <c r="B113" s="111"/>
      <c r="C113" s="112"/>
      <c r="D113" s="112" t="s">
        <v>615</v>
      </c>
      <c r="E113" s="113">
        <f>+E$15</f>
        <v>11</v>
      </c>
      <c r="F113" s="112"/>
      <c r="G113" s="524"/>
      <c r="H113" s="93"/>
      <c r="J113" s="495"/>
      <c r="K113" s="508"/>
      <c r="L113" s="508"/>
      <c r="M113" s="508"/>
      <c r="N113" s="508"/>
      <c r="O113" s="508"/>
      <c r="P113" s="508"/>
      <c r="Q113" s="508"/>
      <c r="R113" s="508"/>
      <c r="S113" s="508"/>
      <c r="T113" s="508"/>
      <c r="U113" s="508"/>
      <c r="V113" s="88"/>
      <c r="W113" s="497"/>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88"/>
      <c r="AW113" s="89"/>
    </row>
    <row r="114" spans="1:49">
      <c r="A114" s="109" t="s">
        <v>900</v>
      </c>
      <c r="B114" s="111"/>
      <c r="C114" s="112"/>
      <c r="D114" s="112"/>
      <c r="E114" s="94"/>
      <c r="F114" s="112"/>
      <c r="G114" s="524"/>
      <c r="H114" s="93"/>
      <c r="J114" s="87"/>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c r="AV114" s="88"/>
      <c r="AW114" s="89"/>
    </row>
    <row r="115" spans="1:49">
      <c r="A115" s="533" t="str">
        <f>+$A$86</f>
        <v>Zypho, PiPe 65 , System A</v>
      </c>
      <c r="B115" s="111">
        <f>+$B$86</f>
        <v>4</v>
      </c>
      <c r="C115" s="112"/>
      <c r="D115" s="112"/>
      <c r="E115" s="113"/>
      <c r="F115" s="112"/>
      <c r="G115" s="524"/>
      <c r="H115" s="93"/>
      <c r="J115" s="87"/>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88"/>
      <c r="AW115" s="89"/>
    </row>
    <row r="116" spans="1:49">
      <c r="A116" s="109" t="s">
        <v>898</v>
      </c>
      <c r="B116" s="111"/>
      <c r="C116" s="112"/>
      <c r="D116" s="112" t="s">
        <v>431</v>
      </c>
      <c r="E116" s="113">
        <f>INDEX(SAP_Database!$M$8:$M$11,B115,1)</f>
        <v>44.7</v>
      </c>
      <c r="F116" s="112"/>
      <c r="G116" s="524"/>
      <c r="H116" s="93"/>
      <c r="J116" s="87"/>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9"/>
    </row>
    <row r="117" spans="1:49">
      <c r="A117" s="109" t="s">
        <v>903</v>
      </c>
      <c r="B117" s="111"/>
      <c r="C117" s="112"/>
      <c r="D117" s="112" t="s">
        <v>20</v>
      </c>
      <c r="E117" s="113">
        <f>INDEX(SAP_Database!$D$8:$D$11,B115,1)</f>
        <v>0.93700000000000006</v>
      </c>
      <c r="F117" s="112"/>
      <c r="G117" s="524"/>
      <c r="H117" s="93"/>
      <c r="J117" s="87"/>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c r="AV117" s="88"/>
      <c r="AW117" s="89"/>
    </row>
    <row r="118" spans="1:49">
      <c r="A118" s="109"/>
      <c r="B118" s="111"/>
      <c r="C118" s="112"/>
      <c r="D118" s="112"/>
      <c r="E118" s="113"/>
      <c r="F118" s="112"/>
      <c r="G118" s="524"/>
      <c r="H118" s="93"/>
      <c r="J118" s="87"/>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88"/>
      <c r="AW118" s="89"/>
    </row>
    <row r="119" spans="1:49">
      <c r="A119" s="109" t="s">
        <v>904</v>
      </c>
      <c r="B119" s="111"/>
      <c r="C119" s="112"/>
      <c r="D119" s="112" t="s">
        <v>218</v>
      </c>
      <c r="E119" s="113">
        <f>+W119</f>
        <v>447.57001923178643</v>
      </c>
      <c r="F119" s="112"/>
      <c r="G119" s="524"/>
      <c r="H119" s="93"/>
      <c r="J119" s="494">
        <f>+J112*$E116/100*$E117</f>
        <v>47.712115977854324</v>
      </c>
      <c r="K119" s="487">
        <f t="shared" ref="K119:U119" si="21">+K112*$E116/100*$E117</f>
        <v>42.156141376984543</v>
      </c>
      <c r="L119" s="487">
        <f t="shared" si="21"/>
        <v>44.090574168785977</v>
      </c>
      <c r="M119" s="487">
        <f t="shared" si="21"/>
        <v>37.997331443864461</v>
      </c>
      <c r="N119" s="487">
        <f t="shared" si="21"/>
        <v>35.50021373256542</v>
      </c>
      <c r="O119" s="487">
        <f t="shared" si="21"/>
        <v>29.180472206024277</v>
      </c>
      <c r="P119" s="487">
        <f t="shared" si="21"/>
        <v>25.499890012136849</v>
      </c>
      <c r="Q119" s="487">
        <f t="shared" si="21"/>
        <v>29.646455085174317</v>
      </c>
      <c r="R119" s="487">
        <f t="shared" si="21"/>
        <v>30.212512318780036</v>
      </c>
      <c r="S119" s="487">
        <f t="shared" si="21"/>
        <v>36.515541602342573</v>
      </c>
      <c r="T119" s="487">
        <f t="shared" si="21"/>
        <v>41.546287613845521</v>
      </c>
      <c r="U119" s="487">
        <f t="shared" si="21"/>
        <v>47.512483693428166</v>
      </c>
      <c r="V119" s="88"/>
      <c r="W119" s="497">
        <f>SUM(J119:U119)</f>
        <v>447.57001923178643</v>
      </c>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9"/>
    </row>
    <row r="120" spans="1:49">
      <c r="A120" s="109"/>
      <c r="B120" s="111"/>
      <c r="C120" s="112"/>
      <c r="D120" s="112" t="s">
        <v>431</v>
      </c>
      <c r="E120" s="557">
        <f>+E119/E$51</f>
        <v>0.17440751287062112</v>
      </c>
      <c r="F120" s="112"/>
      <c r="G120" s="524"/>
      <c r="H120" s="93"/>
      <c r="J120" s="188">
        <f>+J119/J$50</f>
        <v>0.18270979559463196</v>
      </c>
      <c r="K120" s="202">
        <f t="shared" ref="K120:U120" si="22">+K119/K$50</f>
        <v>0.18335924661535702</v>
      </c>
      <c r="L120" s="202">
        <f t="shared" si="22"/>
        <v>0.18211665026508256</v>
      </c>
      <c r="M120" s="202">
        <f t="shared" si="22"/>
        <v>0.17746247992298628</v>
      </c>
      <c r="N120" s="202">
        <f t="shared" si="22"/>
        <v>0.17353023360990324</v>
      </c>
      <c r="O120" s="202">
        <f t="shared" si="22"/>
        <v>0.16556668542588285</v>
      </c>
      <c r="P120" s="202">
        <f t="shared" si="22"/>
        <v>0.15480186553518749</v>
      </c>
      <c r="Q120" s="202">
        <f t="shared" si="22"/>
        <v>0.16238630682780214</v>
      </c>
      <c r="R120" s="202">
        <f t="shared" si="22"/>
        <v>0.1635922605684402</v>
      </c>
      <c r="S120" s="202">
        <f t="shared" si="22"/>
        <v>0.17118824520629741</v>
      </c>
      <c r="T120" s="202">
        <f t="shared" si="22"/>
        <v>0.17869668964637905</v>
      </c>
      <c r="U120" s="202">
        <f t="shared" si="22"/>
        <v>0.18248106197099034</v>
      </c>
      <c r="V120" s="88"/>
      <c r="W120" s="88"/>
      <c r="X120" s="88"/>
      <c r="Y120" s="88"/>
      <c r="Z120" s="88"/>
      <c r="AA120" s="88"/>
      <c r="AB120" s="88"/>
      <c r="AC120" s="88"/>
      <c r="AD120" s="88"/>
      <c r="AE120" s="88"/>
      <c r="AF120" s="88"/>
      <c r="AG120" s="88"/>
      <c r="AH120" s="88"/>
      <c r="AI120" s="88"/>
      <c r="AJ120" s="88"/>
      <c r="AK120" s="88"/>
      <c r="AL120" s="88"/>
      <c r="AM120" s="88"/>
      <c r="AN120" s="88"/>
      <c r="AO120" s="88"/>
      <c r="AP120" s="88"/>
      <c r="AQ120" s="88"/>
      <c r="AR120" s="88"/>
      <c r="AS120" s="88"/>
      <c r="AT120" s="88"/>
      <c r="AU120" s="88"/>
      <c r="AV120" s="88"/>
      <c r="AW120" s="89"/>
    </row>
    <row r="121" spans="1:49">
      <c r="A121" s="559" t="s">
        <v>910</v>
      </c>
      <c r="B121" s="560"/>
      <c r="C121" s="561"/>
      <c r="D121" s="561"/>
      <c r="E121" s="562">
        <f>+E120*100/E116</f>
        <v>0.3901734068693985</v>
      </c>
      <c r="F121" s="112"/>
      <c r="G121" s="524"/>
      <c r="H121" s="93"/>
      <c r="J121" s="87"/>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88"/>
      <c r="AW121" s="89"/>
    </row>
    <row r="122" spans="1:49">
      <c r="A122" s="109"/>
      <c r="B122" s="111"/>
      <c r="C122" s="112"/>
      <c r="D122" s="112"/>
      <c r="E122" s="113"/>
      <c r="F122" s="112"/>
      <c r="G122" s="524"/>
      <c r="H122" s="93"/>
      <c r="J122" s="87"/>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c r="AI122" s="88"/>
      <c r="AJ122" s="88"/>
      <c r="AK122" s="88"/>
      <c r="AL122" s="88"/>
      <c r="AM122" s="88"/>
      <c r="AN122" s="88"/>
      <c r="AO122" s="88"/>
      <c r="AP122" s="88"/>
      <c r="AQ122" s="88"/>
      <c r="AR122" s="88"/>
      <c r="AS122" s="88"/>
      <c r="AT122" s="88"/>
      <c r="AU122" s="88"/>
      <c r="AV122" s="88"/>
      <c r="AW122" s="89"/>
    </row>
    <row r="123" spans="1:49">
      <c r="A123" s="109"/>
      <c r="B123" s="111"/>
      <c r="C123" s="112"/>
      <c r="D123" s="112"/>
      <c r="E123" s="113"/>
      <c r="F123" s="112"/>
      <c r="G123" s="524"/>
      <c r="H123" s="93"/>
      <c r="J123" s="87"/>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8"/>
      <c r="AV123" s="88"/>
      <c r="AW123" s="89"/>
    </row>
    <row r="124" spans="1:49">
      <c r="A124" s="109"/>
      <c r="B124" s="111"/>
      <c r="C124" s="112"/>
      <c r="D124" s="112"/>
      <c r="E124" s="113"/>
      <c r="F124" s="112"/>
      <c r="G124" s="524"/>
      <c r="H124" s="93"/>
      <c r="J124" s="87"/>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9"/>
    </row>
    <row r="125" spans="1:49">
      <c r="A125" s="109"/>
      <c r="B125" s="111"/>
      <c r="C125" s="112"/>
      <c r="D125" s="112"/>
      <c r="E125" s="113"/>
      <c r="F125" s="112"/>
      <c r="G125" s="524"/>
      <c r="H125" s="93"/>
      <c r="J125" s="87"/>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c r="AI125" s="88"/>
      <c r="AJ125" s="88"/>
      <c r="AK125" s="88"/>
      <c r="AL125" s="88"/>
      <c r="AM125" s="88"/>
      <c r="AN125" s="88"/>
      <c r="AO125" s="88"/>
      <c r="AP125" s="88"/>
      <c r="AQ125" s="88"/>
      <c r="AR125" s="88"/>
      <c r="AS125" s="88"/>
      <c r="AT125" s="88"/>
      <c r="AU125" s="88"/>
      <c r="AV125" s="88"/>
      <c r="AW125" s="89"/>
    </row>
    <row r="126" spans="1:49">
      <c r="A126" s="109"/>
      <c r="B126" s="111"/>
      <c r="C126" s="112"/>
      <c r="D126" s="112"/>
      <c r="E126" s="113"/>
      <c r="F126" s="112"/>
      <c r="G126" s="524"/>
      <c r="H126" s="93"/>
      <c r="J126" s="87"/>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8"/>
      <c r="AV126" s="88"/>
      <c r="AW126" s="89"/>
    </row>
    <row r="127" spans="1:49">
      <c r="A127" s="109"/>
      <c r="B127" s="111"/>
      <c r="C127" s="112"/>
      <c r="D127" s="112"/>
      <c r="E127" s="113"/>
      <c r="F127" s="112"/>
      <c r="G127" s="524"/>
      <c r="H127" s="93"/>
      <c r="J127" s="87"/>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c r="AV127" s="88"/>
      <c r="AW127" s="89"/>
    </row>
    <row r="128" spans="1:49">
      <c r="A128" s="109"/>
      <c r="B128" s="111"/>
      <c r="C128" s="112"/>
      <c r="D128" s="112"/>
      <c r="E128" s="113"/>
      <c r="F128" s="112"/>
      <c r="G128" s="524"/>
      <c r="H128" s="93"/>
      <c r="J128" s="87"/>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8"/>
      <c r="AV128" s="88"/>
      <c r="AW128" s="89"/>
    </row>
    <row r="129" spans="1:49">
      <c r="A129" s="109"/>
      <c r="B129" s="111"/>
      <c r="C129" s="112"/>
      <c r="D129" s="112"/>
      <c r="E129" s="113"/>
      <c r="F129" s="112"/>
      <c r="G129" s="524"/>
      <c r="H129" s="93"/>
      <c r="J129" s="87"/>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9"/>
    </row>
    <row r="130" spans="1:49">
      <c r="A130" s="109"/>
      <c r="B130" s="111"/>
      <c r="C130" s="112"/>
      <c r="D130" s="112"/>
      <c r="E130" s="113"/>
      <c r="F130" s="112"/>
      <c r="G130" s="524"/>
      <c r="H130" s="93"/>
      <c r="J130" s="87"/>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9"/>
    </row>
    <row r="131" spans="1:49">
      <c r="A131" s="109"/>
      <c r="B131" s="111"/>
      <c r="C131" s="112"/>
      <c r="D131" s="112"/>
      <c r="E131" s="113"/>
      <c r="F131" s="112"/>
      <c r="G131" s="524"/>
      <c r="H131" s="93"/>
      <c r="J131" s="87"/>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8"/>
      <c r="AV131" s="88"/>
      <c r="AW131" s="89"/>
    </row>
    <row r="132" spans="1:49">
      <c r="A132" s="109"/>
      <c r="B132" s="111"/>
      <c r="C132" s="112"/>
      <c r="D132" s="112"/>
      <c r="E132" s="113"/>
      <c r="F132" s="112"/>
      <c r="G132" s="524"/>
      <c r="H132" s="93"/>
      <c r="J132" s="87"/>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8"/>
      <c r="AV132" s="88"/>
      <c r="AW132" s="89"/>
    </row>
    <row r="133" spans="1:49">
      <c r="A133" s="109"/>
      <c r="B133" s="111"/>
      <c r="C133" s="112"/>
      <c r="D133" s="112"/>
      <c r="E133" s="113"/>
      <c r="F133" s="112"/>
      <c r="G133" s="524"/>
      <c r="H133" s="93"/>
      <c r="J133" s="87"/>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c r="AU133" s="88"/>
      <c r="AV133" s="88"/>
      <c r="AW133" s="89"/>
    </row>
    <row r="134" spans="1:49">
      <c r="A134" s="109"/>
      <c r="B134" s="111"/>
      <c r="C134" s="112"/>
      <c r="D134" s="112"/>
      <c r="E134" s="113"/>
      <c r="F134" s="112"/>
      <c r="G134" s="524"/>
      <c r="H134" s="93"/>
      <c r="J134" s="87"/>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c r="AU134" s="88"/>
      <c r="AV134" s="88"/>
      <c r="AW134" s="89"/>
    </row>
    <row r="135" spans="1:49">
      <c r="A135" s="109"/>
      <c r="B135" s="111"/>
      <c r="C135" s="112"/>
      <c r="D135" s="112"/>
      <c r="E135" s="113"/>
      <c r="F135" s="112"/>
      <c r="G135" s="524"/>
      <c r="H135" s="93"/>
      <c r="J135" s="87"/>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c r="AU135" s="88"/>
      <c r="AV135" s="88"/>
      <c r="AW135" s="89"/>
    </row>
    <row r="136" spans="1:49" ht="13.5" thickBot="1">
      <c r="A136" s="522"/>
      <c r="B136" s="272"/>
      <c r="C136" s="275"/>
      <c r="D136" s="275"/>
      <c r="E136" s="274"/>
      <c r="F136" s="275"/>
      <c r="G136" s="525"/>
      <c r="H136" s="273"/>
      <c r="J136" s="87"/>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c r="AU136" s="88"/>
      <c r="AV136" s="88"/>
      <c r="AW136" s="89"/>
    </row>
    <row r="137" spans="1:49">
      <c r="A137" s="517" t="s">
        <v>909</v>
      </c>
      <c r="B137" s="518"/>
      <c r="C137" s="519"/>
      <c r="D137" s="519"/>
      <c r="E137" s="520"/>
      <c r="F137" s="519"/>
      <c r="G137" s="523"/>
      <c r="H137" s="521"/>
      <c r="J137" s="87"/>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c r="AU137" s="88"/>
      <c r="AV137" s="88"/>
      <c r="AW137" s="89"/>
    </row>
    <row r="138" spans="1:49">
      <c r="A138" s="514"/>
      <c r="B138" s="201"/>
      <c r="C138" s="187"/>
      <c r="D138" s="187"/>
      <c r="E138" s="515"/>
      <c r="F138" s="187"/>
      <c r="G138" s="524"/>
      <c r="H138" s="186"/>
      <c r="J138" s="87"/>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8"/>
      <c r="AV138" s="88"/>
      <c r="AW138" s="89"/>
    </row>
    <row r="139" spans="1:49">
      <c r="A139" s="109" t="s">
        <v>701</v>
      </c>
      <c r="B139" s="111" t="s">
        <v>702</v>
      </c>
      <c r="C139" s="112"/>
      <c r="D139" s="112" t="s">
        <v>646</v>
      </c>
      <c r="E139" s="113"/>
      <c r="F139" s="112"/>
      <c r="G139" s="524"/>
      <c r="H139" s="93"/>
      <c r="J139" s="199">
        <f>+J$26</f>
        <v>4104.9689973723753</v>
      </c>
      <c r="K139" s="200">
        <f t="shared" ref="K139:U139" si="23">+K$26</f>
        <v>3657.5612808752217</v>
      </c>
      <c r="L139" s="200">
        <f t="shared" si="23"/>
        <v>3993.9166959941858</v>
      </c>
      <c r="M139" s="200">
        <f t="shared" si="23"/>
        <v>3811.345689004927</v>
      </c>
      <c r="N139" s="200">
        <f t="shared" si="23"/>
        <v>3882.8643946159964</v>
      </c>
      <c r="O139" s="200">
        <f t="shared" si="23"/>
        <v>3703.8757199292595</v>
      </c>
      <c r="P139" s="200">
        <f t="shared" si="23"/>
        <v>3827.3382439269012</v>
      </c>
      <c r="Q139" s="200">
        <f t="shared" si="23"/>
        <v>3882.8643946159964</v>
      </c>
      <c r="R139" s="200">
        <f t="shared" si="23"/>
        <v>3811.345689004927</v>
      </c>
      <c r="S139" s="200">
        <f t="shared" si="23"/>
        <v>3993.9166959941858</v>
      </c>
      <c r="T139" s="200">
        <f t="shared" si="23"/>
        <v>3918.8156580805944</v>
      </c>
      <c r="U139" s="200">
        <f t="shared" si="23"/>
        <v>4104.9689973723753</v>
      </c>
      <c r="V139" s="88"/>
      <c r="W139" s="497">
        <f>SUM(J139:U139)</f>
        <v>46693.782456786947</v>
      </c>
      <c r="X139" s="88"/>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c r="AU139" s="88"/>
      <c r="AV139" s="88"/>
      <c r="AW139" s="89"/>
    </row>
    <row r="140" spans="1:49">
      <c r="A140" s="109" t="s">
        <v>901</v>
      </c>
      <c r="B140" s="111"/>
      <c r="C140" s="112"/>
      <c r="D140" s="112" t="s">
        <v>207</v>
      </c>
      <c r="E140" s="558">
        <f>+$E$82</f>
        <v>35</v>
      </c>
      <c r="F140" s="112"/>
      <c r="G140" s="524"/>
      <c r="H140" s="93"/>
      <c r="J140" s="87"/>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c r="AU140" s="88"/>
      <c r="AV140" s="88"/>
      <c r="AW140" s="89"/>
    </row>
    <row r="141" spans="1:49">
      <c r="A141" s="109" t="s">
        <v>902</v>
      </c>
      <c r="B141" s="111"/>
      <c r="C141" s="112"/>
      <c r="D141" s="112" t="s">
        <v>218</v>
      </c>
      <c r="E141" s="113">
        <f>+W141</f>
        <v>1068.5968098285653</v>
      </c>
      <c r="F141" s="112"/>
      <c r="G141" s="524"/>
      <c r="H141" s="93"/>
      <c r="J141" s="495">
        <f>+J139*($E140-J$12)*4.18/3600</f>
        <v>113.91517021541527</v>
      </c>
      <c r="K141" s="508">
        <f t="shared" ref="K141:U141" si="24">+K139*($E140-K$12)*4.18/3600</f>
        <v>100.64999051421796</v>
      </c>
      <c r="L141" s="508">
        <f t="shared" si="24"/>
        <v>105.26854989336231</v>
      </c>
      <c r="M141" s="508">
        <f t="shared" si="24"/>
        <v>90.720614469675596</v>
      </c>
      <c r="N141" s="508">
        <f t="shared" si="24"/>
        <v>84.758615440695394</v>
      </c>
      <c r="O141" s="508">
        <f t="shared" si="24"/>
        <v>69.669902291869363</v>
      </c>
      <c r="P141" s="508">
        <f t="shared" si="24"/>
        <v>60.882319965754974</v>
      </c>
      <c r="Q141" s="508">
        <f t="shared" si="24"/>
        <v>70.782460766963709</v>
      </c>
      <c r="R141" s="508">
        <f t="shared" si="24"/>
        <v>72.13395199296157</v>
      </c>
      <c r="S141" s="508">
        <f t="shared" si="24"/>
        <v>87.182763788335308</v>
      </c>
      <c r="T141" s="508">
        <f t="shared" si="24"/>
        <v>99.193932785260017</v>
      </c>
      <c r="U141" s="508">
        <f t="shared" si="24"/>
        <v>113.43853770405372</v>
      </c>
      <c r="V141" s="88"/>
      <c r="W141" s="497">
        <f>SUM(J141:U141)</f>
        <v>1068.5968098285653</v>
      </c>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89"/>
    </row>
    <row r="142" spans="1:49">
      <c r="A142" s="109" t="s">
        <v>897</v>
      </c>
      <c r="B142" s="111"/>
      <c r="C142" s="112"/>
      <c r="D142" s="112" t="s">
        <v>615</v>
      </c>
      <c r="E142" s="113">
        <f>+E$15</f>
        <v>11</v>
      </c>
      <c r="F142" s="112"/>
      <c r="G142" s="524"/>
      <c r="H142" s="93"/>
      <c r="J142" s="495"/>
      <c r="K142" s="508"/>
      <c r="L142" s="508"/>
      <c r="M142" s="508"/>
      <c r="N142" s="508"/>
      <c r="O142" s="508"/>
      <c r="P142" s="508"/>
      <c r="Q142" s="508"/>
      <c r="R142" s="508"/>
      <c r="S142" s="508"/>
      <c r="T142" s="508"/>
      <c r="U142" s="508"/>
      <c r="V142" s="88"/>
      <c r="W142" s="497"/>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9"/>
    </row>
    <row r="143" spans="1:49">
      <c r="A143" s="109" t="s">
        <v>900</v>
      </c>
      <c r="B143" s="111"/>
      <c r="C143" s="112"/>
      <c r="D143" s="112"/>
      <c r="E143" s="94"/>
      <c r="F143" s="112"/>
      <c r="G143" s="524"/>
      <c r="H143" s="93"/>
      <c r="J143" s="87"/>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c r="AU143" s="88"/>
      <c r="AV143" s="88"/>
      <c r="AW143" s="89"/>
    </row>
    <row r="144" spans="1:49">
      <c r="A144" s="533" t="str">
        <f>+$A$86</f>
        <v>Zypho, PiPe 65 , System A</v>
      </c>
      <c r="B144" s="111">
        <f>+$B$86</f>
        <v>4</v>
      </c>
      <c r="C144" s="112"/>
      <c r="D144" s="112"/>
      <c r="E144" s="113"/>
      <c r="F144" s="112"/>
      <c r="G144" s="524"/>
      <c r="H144" s="93"/>
      <c r="J144" s="87"/>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88"/>
      <c r="AW144" s="89"/>
    </row>
    <row r="145" spans="1:49">
      <c r="A145" s="109" t="s">
        <v>898</v>
      </c>
      <c r="B145" s="111"/>
      <c r="C145" s="112"/>
      <c r="D145" s="112" t="s">
        <v>431</v>
      </c>
      <c r="E145" s="113">
        <f>INDEX(SAP_Database!$M$12:$M$15,B144,1)</f>
        <v>53.4</v>
      </c>
      <c r="F145" s="112"/>
      <c r="G145" s="524"/>
      <c r="H145" s="93"/>
      <c r="J145" s="87"/>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c r="AV145" s="88"/>
      <c r="AW145" s="89"/>
    </row>
    <row r="146" spans="1:49">
      <c r="A146" s="109" t="s">
        <v>903</v>
      </c>
      <c r="B146" s="111"/>
      <c r="C146" s="112"/>
      <c r="D146" s="112" t="s">
        <v>20</v>
      </c>
      <c r="E146" s="113">
        <f>INDEX(SAP_Database!$D$12:$D$15,B144,1)</f>
        <v>0.95</v>
      </c>
      <c r="F146" s="112"/>
      <c r="G146" s="524"/>
      <c r="H146" s="93"/>
      <c r="J146" s="87"/>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c r="AV146" s="88"/>
      <c r="AW146" s="89"/>
    </row>
    <row r="147" spans="1:49">
      <c r="A147" s="109"/>
      <c r="B147" s="111"/>
      <c r="C147" s="112"/>
      <c r="D147" s="112"/>
      <c r="E147" s="113"/>
      <c r="F147" s="112"/>
      <c r="G147" s="524"/>
      <c r="H147" s="93"/>
      <c r="J147" s="87"/>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8"/>
      <c r="AV147" s="88"/>
      <c r="AW147" s="89"/>
    </row>
    <row r="148" spans="1:49">
      <c r="A148" s="109" t="s">
        <v>904</v>
      </c>
      <c r="B148" s="111"/>
      <c r="C148" s="112"/>
      <c r="D148" s="112" t="s">
        <v>218</v>
      </c>
      <c r="E148" s="113">
        <f>+W148</f>
        <v>542.0991616260311</v>
      </c>
      <c r="F148" s="112"/>
      <c r="G148" s="524"/>
      <c r="H148" s="93"/>
      <c r="J148" s="494">
        <f>+J141*$E145/100*$E146</f>
        <v>57.789165850280163</v>
      </c>
      <c r="K148" s="487">
        <f t="shared" ref="K148:U148" si="25">+K141*$E145/100*$E146</f>
        <v>51.059740187862765</v>
      </c>
      <c r="L148" s="487">
        <f t="shared" si="25"/>
        <v>53.402735360902689</v>
      </c>
      <c r="M148" s="487">
        <f t="shared" si="25"/>
        <v>46.022567720466419</v>
      </c>
      <c r="N148" s="487">
        <f t="shared" si="25"/>
        <v>42.998045613064761</v>
      </c>
      <c r="O148" s="487">
        <f t="shared" si="25"/>
        <v>35.343541432665326</v>
      </c>
      <c r="P148" s="487">
        <f t="shared" si="25"/>
        <v>30.885600918627496</v>
      </c>
      <c r="Q148" s="487">
        <f t="shared" si="25"/>
        <v>35.907942347080684</v>
      </c>
      <c r="R148" s="487">
        <f t="shared" si="25"/>
        <v>36.593553846029401</v>
      </c>
      <c r="S148" s="487">
        <f t="shared" si="25"/>
        <v>44.227816069822495</v>
      </c>
      <c r="T148" s="487">
        <f t="shared" si="25"/>
        <v>50.321082101962403</v>
      </c>
      <c r="U148" s="487">
        <f t="shared" si="25"/>
        <v>57.547370177266444</v>
      </c>
      <c r="V148" s="88"/>
      <c r="W148" s="497">
        <f>SUM(J148:U148)</f>
        <v>542.0991616260311</v>
      </c>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8"/>
      <c r="AV148" s="88"/>
      <c r="AW148" s="89"/>
    </row>
    <row r="149" spans="1:49">
      <c r="A149" s="109"/>
      <c r="B149" s="111"/>
      <c r="C149" s="112"/>
      <c r="D149" s="112" t="s">
        <v>431</v>
      </c>
      <c r="E149" s="557">
        <f>+E148/E$51</f>
        <v>0.21124329701691125</v>
      </c>
      <c r="F149" s="112"/>
      <c r="G149" s="524"/>
      <c r="H149" s="93"/>
      <c r="J149" s="188">
        <f>+J148/J$50</f>
        <v>0.22129906552435846</v>
      </c>
      <c r="K149" s="202">
        <f t="shared" ref="K149:U149" si="26">+K148/K$50</f>
        <v>0.22208568401693868</v>
      </c>
      <c r="L149" s="202">
        <f t="shared" si="26"/>
        <v>0.22058064478111244</v>
      </c>
      <c r="M149" s="202">
        <f t="shared" si="26"/>
        <v>0.21494348918064199</v>
      </c>
      <c r="N149" s="202">
        <f t="shared" si="26"/>
        <v>0.21018073176161697</v>
      </c>
      <c r="O149" s="202">
        <f t="shared" si="26"/>
        <v>0.20053524031083628</v>
      </c>
      <c r="P149" s="202">
        <f t="shared" si="26"/>
        <v>0.18749683383352697</v>
      </c>
      <c r="Q149" s="202">
        <f t="shared" si="26"/>
        <v>0.19668314902323805</v>
      </c>
      <c r="R149" s="202">
        <f t="shared" si="26"/>
        <v>0.19814380653752323</v>
      </c>
      <c r="S149" s="202">
        <f t="shared" si="26"/>
        <v>0.20734410308771309</v>
      </c>
      <c r="T149" s="202">
        <f t="shared" si="26"/>
        <v>0.21643837048987338</v>
      </c>
      <c r="U149" s="202">
        <f t="shared" si="26"/>
        <v>0.22102202215620648</v>
      </c>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88"/>
      <c r="AW149" s="89"/>
    </row>
    <row r="150" spans="1:49">
      <c r="A150" s="559" t="s">
        <v>910</v>
      </c>
      <c r="B150" s="560"/>
      <c r="C150" s="561"/>
      <c r="D150" s="561"/>
      <c r="E150" s="562">
        <f>+E149*100/E145</f>
        <v>0.39558669853354167</v>
      </c>
      <c r="F150" s="112"/>
      <c r="G150" s="524"/>
      <c r="H150" s="93"/>
      <c r="J150" s="87"/>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8"/>
      <c r="AV150" s="88"/>
      <c r="AW150" s="89"/>
    </row>
    <row r="151" spans="1:49">
      <c r="A151" s="109"/>
      <c r="B151" s="111"/>
      <c r="C151" s="112"/>
      <c r="D151" s="112"/>
      <c r="E151" s="113"/>
      <c r="F151" s="112"/>
      <c r="G151" s="524"/>
      <c r="H151" s="93"/>
      <c r="J151" s="87"/>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9"/>
    </row>
    <row r="152" spans="1:49">
      <c r="A152" s="109"/>
      <c r="B152" s="111"/>
      <c r="C152" s="112"/>
      <c r="D152" s="112"/>
      <c r="E152" s="113"/>
      <c r="F152" s="112"/>
      <c r="G152" s="524"/>
      <c r="H152" s="93"/>
      <c r="J152" s="87"/>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8"/>
      <c r="AV152" s="88"/>
      <c r="AW152" s="89"/>
    </row>
    <row r="153" spans="1:49">
      <c r="A153" s="109"/>
      <c r="B153" s="111"/>
      <c r="C153" s="112"/>
      <c r="D153" s="112"/>
      <c r="E153" s="113"/>
      <c r="F153" s="112"/>
      <c r="G153" s="524"/>
      <c r="H153" s="93"/>
      <c r="J153" s="87"/>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8"/>
      <c r="AV153" s="88"/>
      <c r="AW153" s="89"/>
    </row>
    <row r="154" spans="1:49">
      <c r="A154" s="109"/>
      <c r="B154" s="111"/>
      <c r="C154" s="112"/>
      <c r="D154" s="112"/>
      <c r="E154" s="113"/>
      <c r="F154" s="112"/>
      <c r="G154" s="524"/>
      <c r="H154" s="93"/>
      <c r="J154" s="87"/>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c r="AV154" s="88"/>
      <c r="AW154" s="89"/>
    </row>
    <row r="155" spans="1:49">
      <c r="A155" s="109"/>
      <c r="B155" s="111"/>
      <c r="C155" s="112"/>
      <c r="D155" s="112"/>
      <c r="E155" s="113"/>
      <c r="F155" s="112"/>
      <c r="G155" s="524"/>
      <c r="H155" s="93"/>
      <c r="J155" s="87"/>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c r="AV155" s="88"/>
      <c r="AW155" s="89"/>
    </row>
    <row r="156" spans="1:49">
      <c r="A156" s="109"/>
      <c r="B156" s="111"/>
      <c r="C156" s="112"/>
      <c r="D156" s="112"/>
      <c r="E156" s="113"/>
      <c r="F156" s="112"/>
      <c r="G156" s="524"/>
      <c r="H156" s="93"/>
      <c r="J156" s="87"/>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c r="AV156" s="88"/>
      <c r="AW156" s="89"/>
    </row>
    <row r="157" spans="1:49">
      <c r="A157" s="109"/>
      <c r="B157" s="111"/>
      <c r="C157" s="112"/>
      <c r="D157" s="112"/>
      <c r="E157" s="113"/>
      <c r="F157" s="112"/>
      <c r="G157" s="524"/>
      <c r="H157" s="93"/>
      <c r="J157" s="87"/>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c r="AV157" s="88"/>
      <c r="AW157" s="89"/>
    </row>
    <row r="158" spans="1:49">
      <c r="A158" s="109"/>
      <c r="B158" s="111"/>
      <c r="C158" s="112"/>
      <c r="D158" s="112"/>
      <c r="E158" s="113"/>
      <c r="F158" s="112"/>
      <c r="G158" s="524"/>
      <c r="H158" s="93"/>
      <c r="J158" s="87"/>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c r="AV158" s="88"/>
      <c r="AW158" s="89"/>
    </row>
    <row r="159" spans="1:49">
      <c r="A159" s="109"/>
      <c r="B159" s="111"/>
      <c r="C159" s="112"/>
      <c r="D159" s="112"/>
      <c r="E159" s="113"/>
      <c r="F159" s="112"/>
      <c r="G159" s="524"/>
      <c r="H159" s="93"/>
      <c r="J159" s="87"/>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9"/>
    </row>
    <row r="160" spans="1:49">
      <c r="A160" s="109"/>
      <c r="B160" s="111"/>
      <c r="C160" s="112"/>
      <c r="D160" s="112"/>
      <c r="E160" s="113"/>
      <c r="F160" s="112"/>
      <c r="G160" s="524"/>
      <c r="H160" s="93"/>
      <c r="J160" s="87"/>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c r="AV160" s="88"/>
      <c r="AW160" s="89"/>
    </row>
    <row r="161" spans="1:49">
      <c r="A161" s="109"/>
      <c r="B161" s="111"/>
      <c r="C161" s="112"/>
      <c r="D161" s="112"/>
      <c r="E161" s="113"/>
      <c r="F161" s="112"/>
      <c r="G161" s="524"/>
      <c r="H161" s="93"/>
      <c r="J161" s="87"/>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c r="AV161" s="88"/>
      <c r="AW161" s="89"/>
    </row>
    <row r="162" spans="1:49">
      <c r="A162" s="109"/>
      <c r="B162" s="111"/>
      <c r="C162" s="112"/>
      <c r="D162" s="112"/>
      <c r="E162" s="113"/>
      <c r="F162" s="112"/>
      <c r="G162" s="524"/>
      <c r="H162" s="93"/>
      <c r="J162" s="87"/>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c r="AV162" s="88"/>
      <c r="AW162" s="89"/>
    </row>
    <row r="163" spans="1:49">
      <c r="A163" s="109"/>
      <c r="B163" s="111"/>
      <c r="C163" s="112"/>
      <c r="D163" s="112"/>
      <c r="E163" s="113"/>
      <c r="F163" s="112"/>
      <c r="G163" s="524"/>
      <c r="H163" s="93"/>
      <c r="J163" s="87"/>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c r="AV163" s="88"/>
      <c r="AW163" s="89"/>
    </row>
    <row r="164" spans="1:49">
      <c r="A164" s="109"/>
      <c r="B164" s="111"/>
      <c r="C164" s="112"/>
      <c r="D164" s="112"/>
      <c r="E164" s="113"/>
      <c r="F164" s="112"/>
      <c r="G164" s="524"/>
      <c r="H164" s="93"/>
      <c r="J164" s="87"/>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9"/>
    </row>
    <row r="165" spans="1:49" ht="13.5" thickBot="1">
      <c r="A165" s="522"/>
      <c r="B165" s="272"/>
      <c r="C165" s="275"/>
      <c r="D165" s="275"/>
      <c r="E165" s="274"/>
      <c r="F165" s="275"/>
      <c r="G165" s="525"/>
      <c r="H165" s="273"/>
      <c r="J165" s="87"/>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9"/>
    </row>
    <row r="166" spans="1:49">
      <c r="A166" s="514"/>
      <c r="B166" s="201"/>
      <c r="C166" s="187"/>
      <c r="D166" s="187"/>
      <c r="E166" s="515"/>
      <c r="F166" s="187"/>
      <c r="G166" s="516"/>
      <c r="H166" s="186"/>
      <c r="J166" s="87"/>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9"/>
    </row>
    <row r="167" spans="1:49">
      <c r="A167" s="109"/>
      <c r="B167" s="111"/>
      <c r="C167" s="112"/>
      <c r="D167" s="112"/>
      <c r="E167" s="113"/>
      <c r="F167" s="112"/>
      <c r="G167" s="110"/>
      <c r="H167" s="93"/>
      <c r="J167" s="87"/>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9"/>
    </row>
    <row r="168" spans="1:49">
      <c r="A168" s="109"/>
      <c r="B168" s="111"/>
      <c r="C168" s="112"/>
      <c r="D168" s="112"/>
      <c r="E168" s="113"/>
      <c r="F168" s="112"/>
      <c r="G168" s="110"/>
      <c r="H168" s="93"/>
      <c r="J168" s="87"/>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c r="AV168" s="88"/>
      <c r="AW168" s="89"/>
    </row>
    <row r="169" spans="1:49">
      <c r="A169" s="109"/>
      <c r="B169" s="111"/>
      <c r="C169" s="112"/>
      <c r="D169" s="112"/>
      <c r="E169" s="113"/>
      <c r="F169" s="112"/>
      <c r="G169" s="110"/>
      <c r="H169" s="93"/>
      <c r="J169" s="87"/>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c r="AV169" s="88"/>
      <c r="AW169" s="89"/>
    </row>
    <row r="170" spans="1:49">
      <c r="A170" s="109"/>
      <c r="B170" s="111"/>
      <c r="C170" s="112"/>
      <c r="D170" s="112"/>
      <c r="E170" s="113"/>
      <c r="F170" s="112"/>
      <c r="G170" s="110"/>
      <c r="H170" s="93"/>
      <c r="J170" s="87"/>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9"/>
    </row>
    <row r="171" spans="1:49">
      <c r="A171" s="109"/>
      <c r="B171" s="111"/>
      <c r="C171" s="112"/>
      <c r="D171" s="112"/>
      <c r="E171" s="113"/>
      <c r="F171" s="112"/>
      <c r="G171" s="110"/>
      <c r="H171" s="93"/>
      <c r="J171" s="87"/>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9"/>
    </row>
    <row r="172" spans="1:49">
      <c r="A172" s="109"/>
      <c r="B172" s="111"/>
      <c r="C172" s="112"/>
      <c r="D172" s="112"/>
      <c r="E172" s="113"/>
      <c r="F172" s="112"/>
      <c r="G172" s="110"/>
      <c r="H172" s="93"/>
      <c r="J172" s="87"/>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9"/>
    </row>
    <row r="173" spans="1:49">
      <c r="A173" s="109"/>
      <c r="B173" s="111"/>
      <c r="C173" s="112"/>
      <c r="D173" s="112"/>
      <c r="E173" s="113"/>
      <c r="F173" s="112"/>
      <c r="G173" s="110"/>
      <c r="H173" s="93"/>
      <c r="J173" s="87"/>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c r="AV173" s="88"/>
      <c r="AW173" s="89"/>
    </row>
    <row r="174" spans="1:49">
      <c r="A174" s="109"/>
      <c r="B174" s="111"/>
      <c r="C174" s="112"/>
      <c r="D174" s="112"/>
      <c r="E174" s="113"/>
      <c r="F174" s="112"/>
      <c r="G174" s="110"/>
      <c r="H174" s="93"/>
      <c r="J174" s="87"/>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c r="AV174" s="88"/>
      <c r="AW174" s="89"/>
    </row>
    <row r="175" spans="1:49">
      <c r="A175" s="109"/>
      <c r="B175" s="111"/>
      <c r="C175" s="112"/>
      <c r="D175" s="112"/>
      <c r="E175" s="113"/>
      <c r="F175" s="112"/>
      <c r="G175" s="110"/>
      <c r="H175" s="93"/>
      <c r="J175" s="87"/>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c r="AV175" s="88"/>
      <c r="AW175" s="89"/>
    </row>
    <row r="176" spans="1:49">
      <c r="A176" s="109"/>
      <c r="B176" s="111"/>
      <c r="C176" s="112"/>
      <c r="D176" s="112"/>
      <c r="E176" s="113"/>
      <c r="F176" s="112"/>
      <c r="G176" s="110"/>
      <c r="H176" s="93"/>
      <c r="J176" s="87"/>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c r="AV176" s="88"/>
      <c r="AW176" s="89"/>
    </row>
  </sheetData>
  <mergeCells count="1">
    <mergeCell ref="A5:G5"/>
  </mergeCells>
  <conditionalFormatting sqref="G57:G59">
    <cfRule type="dataBar" priority="1">
      <dataBar>
        <cfvo type="num" val="0"/>
        <cfvo type="num" val="1"/>
        <color rgb="FF638EC6"/>
      </dataBar>
      <extLst>
        <ext xmlns:x14="http://schemas.microsoft.com/office/spreadsheetml/2009/9/main" uri="{B025F937-C7B1-47D3-B67F-A62EFF666E3E}">
          <x14:id>{87AA1423-9C07-4FAF-80C7-EB21F1F39C3C}</x14:id>
        </ext>
      </extLst>
    </cfRule>
    <cfRule type="dataBar" priority="2">
      <dataBar>
        <cfvo type="min"/>
        <cfvo type="max"/>
        <color rgb="FF638EC6"/>
      </dataBar>
      <extLst>
        <ext xmlns:x14="http://schemas.microsoft.com/office/spreadsheetml/2009/9/main" uri="{B025F937-C7B1-47D3-B67F-A62EFF666E3E}">
          <x14:id>{DAF58FC4-A6FB-4F7F-811D-17AF32A376E4}</x14:id>
        </ext>
      </extLst>
    </cfRule>
  </conditionalFormatting>
  <dataValidations count="2">
    <dataValidation type="list" allowBlank="1" showInputMessage="1" showErrorMessage="1" sqref="E33" xr:uid="{664B6E2C-1915-4C14-8654-988A80DDE28B}">
      <formula1>$J$33:$K$33</formula1>
    </dataValidation>
    <dataValidation type="list" allowBlank="1" showInputMessage="1" showErrorMessage="1" sqref="E12" xr:uid="{5F3A0879-44D7-471B-A67F-714F55967290}">
      <formula1>$E$10:$E$11</formula1>
    </dataValidation>
  </dataValidations>
  <pageMargins left="0.75" right="0.75" top="1" bottom="1" header="0.5" footer="0.5"/>
  <pageSetup orientation="portrait" horizontalDpi="300" verticalDpi="300" r:id="rId1"/>
  <headerFooter alignWithMargins="0"/>
  <drawing r:id="rId2"/>
  <extLst>
    <ext xmlns:x14="http://schemas.microsoft.com/office/spreadsheetml/2009/9/main" uri="{78C0D931-6437-407d-A8EE-F0AAD7539E65}">
      <x14:conditionalFormattings>
        <x14:conditionalFormatting xmlns:xm="http://schemas.microsoft.com/office/excel/2006/main">
          <x14:cfRule type="dataBar" id="{87AA1423-9C07-4FAF-80C7-EB21F1F39C3C}">
            <x14:dataBar minLength="0" maxLength="100" gradient="0">
              <x14:cfvo type="num">
                <xm:f>0</xm:f>
              </x14:cfvo>
              <x14:cfvo type="num">
                <xm:f>1</xm:f>
              </x14:cfvo>
              <x14:negativeFillColor rgb="FFFF0000"/>
              <x14:axisColor rgb="FF000000"/>
            </x14:dataBar>
          </x14:cfRule>
          <x14:cfRule type="dataBar" id="{DAF58FC4-A6FB-4F7F-811D-17AF32A376E4}">
            <x14:dataBar minLength="0" maxLength="100" border="1" negativeBarBorderColorSameAsPositive="0">
              <x14:cfvo type="autoMin"/>
              <x14:cfvo type="autoMax"/>
              <x14:borderColor rgb="FF638EC6"/>
              <x14:negativeFillColor rgb="FFFF0000"/>
              <x14:negativeBorderColor rgb="FFFF0000"/>
              <x14:axisColor rgb="FF000000"/>
            </x14:dataBar>
          </x14:cfRule>
          <xm:sqref>G57:G59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E9C68C2-E60E-4960-9DFB-4B45F61FFB3B}">
          <x14:formula1>
            <xm:f>SAP_Database!$B$4:$B$7</xm:f>
          </x14:formula1>
          <xm:sqref>A86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EA816-E061-47A1-8351-9D19FFC9C773}">
  <sheetPr>
    <tabColor rgb="FF92D050"/>
  </sheetPr>
  <dimension ref="A2:K127"/>
  <sheetViews>
    <sheetView workbookViewId="0"/>
  </sheetViews>
  <sheetFormatPr defaultColWidth="9.140625" defaultRowHeight="12.75"/>
  <cols>
    <col min="1" max="1" width="41.85546875" style="75" customWidth="1"/>
    <col min="2" max="2" width="17.42578125" style="75" customWidth="1"/>
    <col min="3" max="3" width="20.42578125" style="75" bestFit="1" customWidth="1"/>
    <col min="4" max="4" width="11.85546875" style="75" customWidth="1"/>
    <col min="5" max="5" width="11" style="75" customWidth="1"/>
    <col min="6" max="6" width="14" style="75" customWidth="1"/>
    <col min="7" max="7" width="94.5703125" style="75" customWidth="1"/>
    <col min="8" max="8" width="29.42578125" style="75" customWidth="1"/>
    <col min="9" max="16" width="9.140625" style="75"/>
    <col min="17" max="18" width="9.140625" style="75" customWidth="1"/>
    <col min="19" max="19" width="19" style="75" customWidth="1"/>
    <col min="20" max="23" width="9.140625" style="75" customWidth="1"/>
    <col min="24" max="16384" width="9.140625" style="75"/>
  </cols>
  <sheetData>
    <row r="2" spans="1:8" ht="15">
      <c r="A2" s="107" t="s">
        <v>73</v>
      </c>
      <c r="B2" s="107" t="s">
        <v>198</v>
      </c>
      <c r="C2" s="108" t="s">
        <v>199</v>
      </c>
      <c r="D2" s="107" t="s">
        <v>200</v>
      </c>
      <c r="E2" s="107" t="s">
        <v>201</v>
      </c>
      <c r="F2" s="107" t="s">
        <v>215</v>
      </c>
      <c r="G2" s="107" t="s">
        <v>216</v>
      </c>
      <c r="H2" s="107"/>
    </row>
    <row r="3" spans="1:8">
      <c r="A3" s="94"/>
      <c r="B3" s="94"/>
      <c r="C3" s="85"/>
      <c r="D3" s="94"/>
      <c r="E3" s="94"/>
      <c r="F3" s="94"/>
      <c r="G3" s="94"/>
      <c r="H3" s="94"/>
    </row>
    <row r="4" spans="1:8">
      <c r="A4" s="109"/>
      <c r="B4" s="111"/>
      <c r="C4" s="112"/>
      <c r="D4" s="112"/>
      <c r="E4" s="113"/>
      <c r="F4" s="112"/>
      <c r="G4" s="110"/>
      <c r="H4" s="93"/>
    </row>
    <row r="5" spans="1:8">
      <c r="A5" s="804" t="s">
        <v>360</v>
      </c>
      <c r="B5" s="805"/>
      <c r="C5" s="805"/>
      <c r="D5" s="805"/>
      <c r="E5" s="805"/>
      <c r="F5" s="805"/>
      <c r="G5" s="806"/>
      <c r="H5" s="112"/>
    </row>
    <row r="6" spans="1:8">
      <c r="A6" s="109" t="s">
        <v>911</v>
      </c>
      <c r="B6" s="572" t="s">
        <v>934</v>
      </c>
      <c r="C6" s="112"/>
      <c r="D6" s="112"/>
      <c r="E6" s="480">
        <v>40</v>
      </c>
      <c r="F6" s="112" t="str">
        <f>TEXT(E6,"0,0")&amp;" °C"</f>
        <v>40,0 °C</v>
      </c>
      <c r="G6" s="478"/>
      <c r="H6" s="112"/>
    </row>
    <row r="7" spans="1:8">
      <c r="A7" s="109" t="s">
        <v>912</v>
      </c>
      <c r="B7" s="572" t="s">
        <v>933</v>
      </c>
      <c r="C7" s="112"/>
      <c r="D7" s="112"/>
      <c r="E7" s="480">
        <v>60</v>
      </c>
      <c r="F7" s="112" t="str">
        <f>TEXT(E7,"0,0")&amp;" °C"</f>
        <v>60,0 °C</v>
      </c>
      <c r="G7" s="478"/>
      <c r="H7" s="112"/>
    </row>
    <row r="8" spans="1:8">
      <c r="A8" s="567" t="s">
        <v>319</v>
      </c>
      <c r="B8" s="572" t="s">
        <v>935</v>
      </c>
      <c r="C8" s="112"/>
      <c r="D8" s="112"/>
      <c r="E8" s="568">
        <v>12</v>
      </c>
      <c r="F8" s="112" t="str">
        <f>TEXT(E8,"0,0")&amp;" °C"</f>
        <v>12,0 °C</v>
      </c>
      <c r="G8" s="482" t="s">
        <v>637</v>
      </c>
      <c r="H8" s="112"/>
    </row>
    <row r="9" spans="1:8">
      <c r="A9" s="109" t="s">
        <v>614</v>
      </c>
      <c r="B9" s="572" t="s">
        <v>936</v>
      </c>
      <c r="C9" s="112"/>
      <c r="D9" s="112" t="s">
        <v>615</v>
      </c>
      <c r="E9" s="480">
        <v>12</v>
      </c>
      <c r="F9" s="112" t="str">
        <f>TEXT(E9,"0,0")&amp;" l/min"</f>
        <v>12,0 l/min</v>
      </c>
      <c r="G9" s="110"/>
      <c r="H9" s="93"/>
    </row>
    <row r="10" spans="1:8">
      <c r="A10" s="109" t="s">
        <v>918</v>
      </c>
      <c r="B10" s="572" t="s">
        <v>937</v>
      </c>
      <c r="C10" s="112"/>
      <c r="D10" s="112"/>
      <c r="E10" s="480">
        <v>1</v>
      </c>
      <c r="F10" s="112"/>
      <c r="G10" s="110"/>
      <c r="H10" s="93"/>
    </row>
    <row r="11" spans="1:8">
      <c r="A11" s="109" t="s">
        <v>914</v>
      </c>
      <c r="B11" s="572" t="s">
        <v>938</v>
      </c>
      <c r="C11" s="112"/>
      <c r="D11" s="112"/>
      <c r="E11" s="480">
        <v>35</v>
      </c>
      <c r="F11" s="112" t="str">
        <f>TEXT(E11,"0,0")&amp;" °C"</f>
        <v>35,0 °C</v>
      </c>
      <c r="G11" s="110"/>
      <c r="H11" s="93"/>
    </row>
    <row r="12" spans="1:8">
      <c r="A12" s="109" t="s">
        <v>913</v>
      </c>
      <c r="B12" s="111"/>
      <c r="C12" s="112"/>
      <c r="D12" s="112" t="s">
        <v>615</v>
      </c>
      <c r="E12" s="113">
        <f>+E9*(E6-E8)/(E7-E8)</f>
        <v>7</v>
      </c>
      <c r="F12" s="112"/>
      <c r="G12" s="110"/>
      <c r="H12" s="93"/>
    </row>
    <row r="13" spans="1:8">
      <c r="A13" s="109"/>
      <c r="B13" s="111"/>
      <c r="C13" s="112"/>
      <c r="D13" s="112"/>
      <c r="E13" s="113"/>
      <c r="F13" s="112"/>
      <c r="G13" s="512"/>
      <c r="H13" s="513"/>
    </row>
    <row r="14" spans="1:8">
      <c r="A14" s="109" t="s">
        <v>917</v>
      </c>
      <c r="B14" s="572" t="s">
        <v>939</v>
      </c>
      <c r="C14" s="94"/>
      <c r="D14" s="94" t="s">
        <v>915</v>
      </c>
      <c r="E14" s="558">
        <f>+E9*0.06*1.16*(E6-E8)</f>
        <v>23.385599999999997</v>
      </c>
      <c r="F14" s="112"/>
      <c r="G14" s="512"/>
      <c r="H14" s="513"/>
    </row>
    <row r="15" spans="1:8">
      <c r="A15" s="109" t="s">
        <v>920</v>
      </c>
      <c r="B15" s="572" t="s">
        <v>942</v>
      </c>
      <c r="C15" s="112"/>
      <c r="D15" s="112" t="s">
        <v>915</v>
      </c>
      <c r="E15" s="113">
        <f>+E9*0.06*1.16*(E11-E8)</f>
        <v>19.209599999999998</v>
      </c>
      <c r="F15" s="557">
        <f>+E15/E14</f>
        <v>0.82142857142857151</v>
      </c>
      <c r="G15" s="512"/>
      <c r="H15" s="513"/>
    </row>
    <row r="16" spans="1:8">
      <c r="A16" s="109" t="s">
        <v>921</v>
      </c>
      <c r="B16" s="572" t="s">
        <v>941</v>
      </c>
      <c r="C16" s="112"/>
      <c r="D16" s="112" t="s">
        <v>615</v>
      </c>
      <c r="E16" s="113">
        <f>+E9*E10</f>
        <v>12</v>
      </c>
      <c r="F16" s="112"/>
      <c r="G16" s="512"/>
      <c r="H16" s="513"/>
    </row>
    <row r="17" spans="1:11">
      <c r="A17" s="109" t="s">
        <v>919</v>
      </c>
      <c r="B17" s="572" t="s">
        <v>940</v>
      </c>
      <c r="C17" s="94"/>
      <c r="D17" s="94" t="s">
        <v>915</v>
      </c>
      <c r="E17" s="558">
        <f>+E16*0.06*1.16*(E11-E8)</f>
        <v>19.209599999999998</v>
      </c>
      <c r="F17" s="557">
        <f>+E17/E14</f>
        <v>0.82142857142857151</v>
      </c>
      <c r="G17" s="512"/>
      <c r="H17" s="513"/>
    </row>
    <row r="18" spans="1:11">
      <c r="A18" s="109"/>
      <c r="B18" s="111"/>
      <c r="C18" s="112"/>
      <c r="D18" s="112"/>
      <c r="E18" s="113"/>
      <c r="F18" s="112"/>
      <c r="G18" s="512"/>
      <c r="H18" s="513"/>
    </row>
    <row r="19" spans="1:11">
      <c r="A19" s="193" t="s">
        <v>955</v>
      </c>
      <c r="B19" s="483"/>
      <c r="C19" s="185"/>
      <c r="D19" s="185"/>
      <c r="E19" s="194"/>
      <c r="F19" s="185"/>
      <c r="G19" s="512"/>
      <c r="H19" s="513"/>
    </row>
    <row r="20" spans="1:11">
      <c r="A20" s="256" t="s">
        <v>625</v>
      </c>
      <c r="B20" s="483"/>
      <c r="C20" s="185"/>
      <c r="D20" s="185" t="s">
        <v>627</v>
      </c>
      <c r="E20" s="582">
        <v>5</v>
      </c>
      <c r="F20" s="185"/>
      <c r="G20" s="512"/>
      <c r="H20" s="513"/>
    </row>
    <row r="21" spans="1:11">
      <c r="A21" s="256" t="s">
        <v>956</v>
      </c>
      <c r="B21" s="483"/>
      <c r="C21" s="185"/>
      <c r="D21" s="185" t="s">
        <v>69</v>
      </c>
      <c r="E21" s="583">
        <f>+E20*E9</f>
        <v>60</v>
      </c>
      <c r="F21" s="185"/>
      <c r="G21" s="512"/>
      <c r="H21" s="513"/>
    </row>
    <row r="22" spans="1:11">
      <c r="A22" s="256" t="s">
        <v>957</v>
      </c>
      <c r="B22" s="483"/>
      <c r="C22" s="185"/>
      <c r="D22" s="185" t="s">
        <v>218</v>
      </c>
      <c r="E22" s="194">
        <f>+E21*1.16*(E6-E8)/1000</f>
        <v>1.9487999999999996</v>
      </c>
      <c r="F22" s="185"/>
      <c r="G22" s="512"/>
      <c r="H22" s="513"/>
    </row>
    <row r="23" spans="1:11">
      <c r="A23" s="256"/>
      <c r="B23" s="483"/>
      <c r="C23" s="185"/>
      <c r="D23" s="185"/>
      <c r="E23" s="194"/>
      <c r="F23" s="185"/>
      <c r="G23" s="512"/>
      <c r="H23" s="513"/>
    </row>
    <row r="24" spans="1:11" ht="25.5">
      <c r="A24" s="256" t="s">
        <v>958</v>
      </c>
      <c r="B24" s="483"/>
      <c r="C24" s="185"/>
      <c r="D24" s="185" t="s">
        <v>69</v>
      </c>
      <c r="E24" s="581">
        <v>2</v>
      </c>
      <c r="F24" s="185"/>
      <c r="G24" s="512"/>
      <c r="H24" s="513"/>
    </row>
    <row r="25" spans="1:11">
      <c r="A25" s="256" t="s">
        <v>959</v>
      </c>
      <c r="B25" s="483"/>
      <c r="C25" s="185"/>
      <c r="D25" s="185" t="s">
        <v>69</v>
      </c>
      <c r="E25" s="581">
        <v>3</v>
      </c>
      <c r="F25" s="185"/>
      <c r="G25" s="512"/>
      <c r="H25" s="513"/>
    </row>
    <row r="26" spans="1:11">
      <c r="A26" s="256"/>
      <c r="B26" s="483"/>
      <c r="C26" s="185"/>
      <c r="D26" s="185"/>
      <c r="E26" s="194"/>
      <c r="F26" s="185"/>
      <c r="G26" s="512"/>
      <c r="H26" s="513"/>
    </row>
    <row r="27" spans="1:11">
      <c r="A27" s="256"/>
      <c r="B27" s="483"/>
      <c r="C27" s="185"/>
      <c r="D27" s="185"/>
      <c r="E27" s="194"/>
      <c r="F27" s="185"/>
      <c r="G27" s="512"/>
      <c r="H27" s="513"/>
    </row>
    <row r="28" spans="1:11" ht="13.5" thickBot="1">
      <c r="A28" s="193"/>
      <c r="B28" s="483"/>
      <c r="C28" s="185"/>
      <c r="D28" s="185"/>
      <c r="E28" s="194"/>
      <c r="F28" s="185"/>
      <c r="G28" s="512"/>
      <c r="H28" s="513"/>
    </row>
    <row r="29" spans="1:11">
      <c r="A29" s="517" t="s">
        <v>907</v>
      </c>
      <c r="B29" s="518"/>
      <c r="C29" s="519"/>
      <c r="D29" s="519"/>
      <c r="E29" s="520"/>
      <c r="F29" s="519"/>
      <c r="G29" s="576"/>
      <c r="H29" s="521"/>
      <c r="J29" s="613">
        <f>+$E$11</f>
        <v>35</v>
      </c>
      <c r="K29" s="612">
        <f>+E41</f>
        <v>28.1</v>
      </c>
    </row>
    <row r="30" spans="1:11">
      <c r="A30" s="514"/>
      <c r="B30" s="201"/>
      <c r="C30" s="187"/>
      <c r="D30" s="187"/>
      <c r="E30" s="515"/>
      <c r="F30" s="187"/>
      <c r="G30" s="577"/>
      <c r="H30" s="186"/>
      <c r="J30" s="613">
        <f>+E54</f>
        <v>18.899999999999999</v>
      </c>
      <c r="K30" s="612">
        <f>+$E$9</f>
        <v>12</v>
      </c>
    </row>
    <row r="31" spans="1:11">
      <c r="A31" s="109" t="s">
        <v>924</v>
      </c>
      <c r="B31" s="111"/>
      <c r="C31" s="112"/>
      <c r="D31" s="112" t="s">
        <v>615</v>
      </c>
      <c r="E31" s="558">
        <f>+$E$9</f>
        <v>12</v>
      </c>
      <c r="F31" s="112" t="str">
        <f>TEXT(E31,"0,0")&amp;" l/min"</f>
        <v>12,0 l/min</v>
      </c>
      <c r="G31" s="577"/>
      <c r="H31" s="93"/>
    </row>
    <row r="32" spans="1:11">
      <c r="A32" s="109" t="s">
        <v>925</v>
      </c>
      <c r="B32" s="94"/>
      <c r="C32" s="94"/>
      <c r="D32" s="112" t="s">
        <v>615</v>
      </c>
      <c r="E32" s="558">
        <f>+$E$16</f>
        <v>12</v>
      </c>
      <c r="F32" s="112" t="str">
        <f>TEXT(E32,"0,0")&amp;" l/min"</f>
        <v>12,0 l/min</v>
      </c>
      <c r="G32" s="577"/>
      <c r="H32" s="93"/>
    </row>
    <row r="33" spans="1:8">
      <c r="A33" s="533" t="s">
        <v>922</v>
      </c>
      <c r="B33" s="564"/>
      <c r="C33" s="94"/>
      <c r="D33" s="94" t="s">
        <v>207</v>
      </c>
      <c r="E33" s="558">
        <f>+$E$8</f>
        <v>12</v>
      </c>
      <c r="F33" s="112" t="str">
        <f t="shared" ref="F33:F34" si="0">TEXT(E33,"0,0")&amp;" °C"</f>
        <v>12,0 °C</v>
      </c>
      <c r="G33" s="577"/>
      <c r="H33" s="93"/>
    </row>
    <row r="34" spans="1:8">
      <c r="A34" s="533" t="s">
        <v>923</v>
      </c>
      <c r="B34" s="564"/>
      <c r="C34" s="94"/>
      <c r="D34" s="94" t="s">
        <v>207</v>
      </c>
      <c r="E34" s="558">
        <f>+$E$11</f>
        <v>35</v>
      </c>
      <c r="F34" s="112" t="str">
        <f t="shared" si="0"/>
        <v>35,0 °C</v>
      </c>
      <c r="G34" s="577"/>
      <c r="H34" s="93"/>
    </row>
    <row r="35" spans="1:8">
      <c r="A35" s="533" t="s">
        <v>916</v>
      </c>
      <c r="B35" s="564"/>
      <c r="C35" s="94"/>
      <c r="D35" s="94" t="s">
        <v>915</v>
      </c>
      <c r="E35" s="558">
        <f>+MIN(E31:E32)*0.06*1.16*(E34-E33)</f>
        <v>19.209599999999998</v>
      </c>
      <c r="G35" s="577"/>
      <c r="H35" s="93"/>
    </row>
    <row r="36" spans="1:8">
      <c r="A36" s="94"/>
      <c r="B36" s="94"/>
      <c r="C36" s="94"/>
      <c r="D36" s="94"/>
      <c r="E36" s="585">
        <f>+E35/$E$14</f>
        <v>0.82142857142857151</v>
      </c>
      <c r="F36" s="94"/>
      <c r="G36" s="577"/>
      <c r="H36" s="93"/>
    </row>
    <row r="37" spans="1:8">
      <c r="A37" s="533" t="s">
        <v>931</v>
      </c>
      <c r="B37" s="94"/>
      <c r="C37" s="94"/>
      <c r="D37" s="94" t="s">
        <v>431</v>
      </c>
      <c r="E37" s="569">
        <v>70</v>
      </c>
      <c r="F37" s="94"/>
      <c r="G37" s="577"/>
      <c r="H37" s="93"/>
    </row>
    <row r="38" spans="1:8">
      <c r="A38" s="533" t="s">
        <v>932</v>
      </c>
      <c r="B38" s="94"/>
      <c r="C38" s="94"/>
      <c r="D38" s="94" t="s">
        <v>915</v>
      </c>
      <c r="E38" s="190">
        <f>+E37*E35/100</f>
        <v>13.446719999999997</v>
      </c>
      <c r="F38" s="94"/>
      <c r="G38" s="577"/>
      <c r="H38" s="93"/>
    </row>
    <row r="39" spans="1:8">
      <c r="A39" s="109" t="s">
        <v>930</v>
      </c>
      <c r="B39" s="111"/>
      <c r="C39" s="112"/>
      <c r="D39" s="112" t="s">
        <v>431</v>
      </c>
      <c r="E39" s="557">
        <f>+E38/$E$14</f>
        <v>0.57499999999999996</v>
      </c>
      <c r="F39" s="112"/>
      <c r="G39" s="577"/>
      <c r="H39" s="93"/>
    </row>
    <row r="40" spans="1:8">
      <c r="A40" s="109"/>
      <c r="B40" s="111"/>
      <c r="C40" s="112"/>
      <c r="D40" s="112"/>
      <c r="E40" s="113"/>
      <c r="F40" s="112"/>
      <c r="G40" s="577"/>
      <c r="H40" s="93"/>
    </row>
    <row r="41" spans="1:8">
      <c r="A41" s="533" t="s">
        <v>929</v>
      </c>
      <c r="B41" s="94"/>
      <c r="C41" s="94"/>
      <c r="D41" s="94" t="s">
        <v>207</v>
      </c>
      <c r="E41" s="190">
        <f>+E33+E38/(E31*60/1000)/1.16</f>
        <v>28.1</v>
      </c>
      <c r="F41" s="112" t="str">
        <f t="shared" ref="F41" si="1">TEXT(E41,"0,0")&amp;" °C"</f>
        <v>28,1 °C</v>
      </c>
      <c r="G41" s="577"/>
      <c r="H41" s="93"/>
    </row>
    <row r="42" spans="1:8">
      <c r="A42" s="533" t="s">
        <v>926</v>
      </c>
      <c r="B42" s="609"/>
      <c r="C42" s="94">
        <f>+(E7-E6)/(E7-E41)</f>
        <v>0.62695924764890287</v>
      </c>
      <c r="D42" s="94"/>
      <c r="E42" s="570">
        <f>+($E$6-E41)/($E$7-E41)</f>
        <v>0.37304075235109713</v>
      </c>
      <c r="F42" s="94"/>
      <c r="G42" s="577"/>
      <c r="H42" s="93"/>
    </row>
    <row r="43" spans="1:8">
      <c r="A43" s="109" t="s">
        <v>927</v>
      </c>
      <c r="B43" s="565"/>
      <c r="C43" s="566"/>
      <c r="D43" s="112" t="s">
        <v>615</v>
      </c>
      <c r="E43" s="558">
        <f>+$E$9*E42</f>
        <v>4.476489028213166</v>
      </c>
      <c r="F43" s="112" t="str">
        <f>TEXT(E43,"0,0")&amp;" l/min"</f>
        <v>4,5 l/min</v>
      </c>
      <c r="G43" s="577"/>
      <c r="H43" s="93"/>
    </row>
    <row r="44" spans="1:8">
      <c r="A44" s="109" t="s">
        <v>928</v>
      </c>
      <c r="B44" s="111"/>
      <c r="C44" s="112"/>
      <c r="D44" s="112" t="s">
        <v>615</v>
      </c>
      <c r="E44" s="113">
        <f>+$E$9-E43</f>
        <v>7.523510971786834</v>
      </c>
      <c r="F44" s="112" t="str">
        <f>TEXT(E44,"0,0")&amp;" l/min"</f>
        <v>7,5 l/min</v>
      </c>
      <c r="G44" s="577"/>
      <c r="H44" s="93"/>
    </row>
    <row r="45" spans="1:8">
      <c r="A45" s="109"/>
      <c r="B45" s="111"/>
      <c r="C45" s="112"/>
      <c r="D45" s="112"/>
      <c r="E45" s="113"/>
      <c r="F45" s="112"/>
      <c r="G45" s="577"/>
      <c r="H45" s="93"/>
    </row>
    <row r="46" spans="1:8">
      <c r="A46" s="109"/>
      <c r="B46" s="111"/>
      <c r="C46" s="112"/>
      <c r="D46" s="112"/>
      <c r="E46" s="191"/>
      <c r="F46" s="112"/>
      <c r="G46" s="577"/>
      <c r="H46" s="93"/>
    </row>
    <row r="47" spans="1:8">
      <c r="A47" s="109" t="s">
        <v>960</v>
      </c>
      <c r="B47" s="111"/>
      <c r="C47" s="112"/>
      <c r="D47" s="112" t="s">
        <v>961</v>
      </c>
      <c r="E47" s="575">
        <v>15</v>
      </c>
      <c r="F47" s="112"/>
      <c r="G47" s="577"/>
      <c r="H47" s="93"/>
    </row>
    <row r="48" spans="1:8">
      <c r="A48" s="109" t="s">
        <v>962</v>
      </c>
      <c r="B48" s="111"/>
      <c r="C48" s="112"/>
      <c r="D48" s="112" t="s">
        <v>961</v>
      </c>
      <c r="E48" s="584">
        <v>1.6E-2</v>
      </c>
      <c r="F48" s="112"/>
      <c r="G48" s="577"/>
      <c r="H48" s="93"/>
    </row>
    <row r="49" spans="1:11">
      <c r="A49" s="109" t="s">
        <v>963</v>
      </c>
      <c r="B49" s="111"/>
      <c r="C49" s="112"/>
      <c r="D49" s="112" t="s">
        <v>69</v>
      </c>
      <c r="E49" s="113">
        <f>+E48*E48*3.1415*0.25*1000*E47</f>
        <v>3.0158399999999999</v>
      </c>
      <c r="F49" s="112"/>
      <c r="G49" s="577"/>
      <c r="H49" s="93"/>
    </row>
    <row r="50" spans="1:11">
      <c r="A50" s="109"/>
      <c r="B50" s="111"/>
      <c r="C50" s="112"/>
      <c r="D50" s="112"/>
      <c r="E50" s="113"/>
      <c r="F50" s="112"/>
      <c r="G50" s="577"/>
      <c r="H50" s="93"/>
    </row>
    <row r="51" spans="1:11">
      <c r="A51" s="109" t="s">
        <v>964</v>
      </c>
      <c r="B51" s="111"/>
      <c r="C51" s="112"/>
      <c r="D51" s="112" t="s">
        <v>69</v>
      </c>
      <c r="E51" s="113">
        <f>+E49+$E$25/2+$E$24</f>
        <v>6.5158399999999999</v>
      </c>
      <c r="F51" s="112"/>
      <c r="G51" s="577"/>
      <c r="H51" s="93"/>
    </row>
    <row r="52" spans="1:11">
      <c r="A52" s="109" t="s">
        <v>903</v>
      </c>
      <c r="B52" s="111"/>
      <c r="C52" s="112"/>
      <c r="D52" s="112"/>
      <c r="E52" s="113">
        <f>+($E$21-E51)/$E$21</f>
        <v>0.89140266666666668</v>
      </c>
      <c r="F52" s="112"/>
      <c r="G52" s="577"/>
      <c r="H52" s="93"/>
    </row>
    <row r="53" spans="1:11">
      <c r="A53" s="109"/>
      <c r="B53" s="111"/>
      <c r="C53" s="112"/>
      <c r="D53" s="112"/>
      <c r="E53" s="113"/>
      <c r="F53" s="112"/>
      <c r="G53" s="577"/>
      <c r="H53" s="93"/>
    </row>
    <row r="54" spans="1:11">
      <c r="A54" s="109" t="s">
        <v>1055</v>
      </c>
      <c r="B54" s="111"/>
      <c r="C54" s="112"/>
      <c r="D54" s="112" t="s">
        <v>207</v>
      </c>
      <c r="E54" s="113">
        <f>+E34-(E41-E33)</f>
        <v>18.899999999999999</v>
      </c>
      <c r="F54" s="112" t="str">
        <f t="shared" ref="F54" si="2">TEXT(E54,"0,0")&amp;" °C"</f>
        <v>18,9 °C</v>
      </c>
      <c r="G54" s="577"/>
      <c r="H54" s="93"/>
    </row>
    <row r="55" spans="1:11">
      <c r="A55" s="109"/>
      <c r="B55" s="111"/>
      <c r="C55" s="112"/>
      <c r="D55" s="112"/>
      <c r="E55" s="113"/>
      <c r="F55" s="112"/>
      <c r="G55" s="577"/>
      <c r="H55" s="93"/>
    </row>
    <row r="56" spans="1:11">
      <c r="A56" s="109"/>
      <c r="B56" s="111"/>
      <c r="C56" s="112"/>
      <c r="D56" s="112"/>
      <c r="E56" s="113"/>
      <c r="F56" s="112"/>
      <c r="G56" s="577"/>
      <c r="H56" s="93"/>
    </row>
    <row r="57" spans="1:11" ht="13.5" thickBot="1">
      <c r="A57" s="522"/>
      <c r="B57" s="272"/>
      <c r="C57" s="275"/>
      <c r="D57" s="275"/>
      <c r="E57" s="274"/>
      <c r="F57" s="275"/>
      <c r="G57" s="578"/>
      <c r="H57" s="273"/>
    </row>
    <row r="58" spans="1:11">
      <c r="A58" s="517" t="s">
        <v>908</v>
      </c>
      <c r="B58" s="518"/>
      <c r="C58" s="519"/>
      <c r="D58" s="519"/>
      <c r="E58" s="520"/>
      <c r="F58" s="519"/>
      <c r="G58" s="576"/>
      <c r="H58" s="521"/>
      <c r="J58" s="613">
        <f>+$E$11</f>
        <v>35</v>
      </c>
      <c r="K58" s="612">
        <f>+E41</f>
        <v>28.1</v>
      </c>
    </row>
    <row r="59" spans="1:11">
      <c r="A59" s="514"/>
      <c r="B59" s="201"/>
      <c r="C59" s="187"/>
      <c r="D59" s="187"/>
      <c r="E59" s="515"/>
      <c r="F59" s="187"/>
      <c r="G59" s="577"/>
      <c r="H59" s="186"/>
      <c r="J59" s="613">
        <f ca="1">+E83</f>
        <v>23.780487804878049</v>
      </c>
      <c r="K59" s="612">
        <f>+$E$9</f>
        <v>12</v>
      </c>
    </row>
    <row r="60" spans="1:11">
      <c r="A60" s="109" t="s">
        <v>924</v>
      </c>
      <c r="B60" s="572" t="s">
        <v>943</v>
      </c>
      <c r="C60" s="112"/>
      <c r="D60" s="112" t="s">
        <v>615</v>
      </c>
      <c r="E60" s="571">
        <f ca="1">+IFERROR(E73,5)</f>
        <v>7.8048780487804876</v>
      </c>
      <c r="F60" s="112" t="str">
        <f ca="1">TEXT(E60,"0,0")&amp;" l/min"</f>
        <v>7,8 l/min</v>
      </c>
      <c r="G60" s="577"/>
      <c r="H60" s="93"/>
    </row>
    <row r="61" spans="1:11">
      <c r="A61" s="109" t="s">
        <v>925</v>
      </c>
      <c r="B61" s="572" t="s">
        <v>941</v>
      </c>
      <c r="C61" s="94"/>
      <c r="D61" s="112" t="s">
        <v>615</v>
      </c>
      <c r="E61" s="558">
        <f>+$E$16</f>
        <v>12</v>
      </c>
      <c r="F61" s="112" t="str">
        <f>TEXT(E61,"0,0")&amp;" l/min"</f>
        <v>12,0 l/min</v>
      </c>
      <c r="G61" s="577"/>
      <c r="H61" s="93"/>
    </row>
    <row r="62" spans="1:11">
      <c r="A62" s="533" t="s">
        <v>922</v>
      </c>
      <c r="B62" s="572" t="s">
        <v>935</v>
      </c>
      <c r="C62" s="94"/>
      <c r="D62" s="94" t="s">
        <v>207</v>
      </c>
      <c r="E62" s="558">
        <f>+$E$8</f>
        <v>12</v>
      </c>
      <c r="F62" s="112" t="str">
        <f t="shared" ref="F62:F63" si="3">TEXT(E62,"0,0")&amp;" °C"</f>
        <v>12,0 °C</v>
      </c>
      <c r="G62" s="577"/>
      <c r="H62" s="93"/>
    </row>
    <row r="63" spans="1:11">
      <c r="A63" s="533" t="s">
        <v>923</v>
      </c>
      <c r="B63" s="572" t="s">
        <v>938</v>
      </c>
      <c r="C63" s="94"/>
      <c r="D63" s="94" t="s">
        <v>207</v>
      </c>
      <c r="E63" s="558">
        <f>+$E$11</f>
        <v>35</v>
      </c>
      <c r="F63" s="112" t="str">
        <f t="shared" si="3"/>
        <v>35,0 °C</v>
      </c>
      <c r="G63" s="577"/>
      <c r="H63" s="93"/>
    </row>
    <row r="64" spans="1:11">
      <c r="A64" s="533" t="s">
        <v>916</v>
      </c>
      <c r="B64" s="564"/>
      <c r="C64" s="94"/>
      <c r="D64" s="94" t="s">
        <v>915</v>
      </c>
      <c r="E64" s="558">
        <f ca="1">+MIN(E60:E61)*0.06*1.16*(E63-E62)</f>
        <v>12.494048780487804</v>
      </c>
      <c r="F64" s="94"/>
      <c r="G64" s="577"/>
      <c r="H64" s="93"/>
    </row>
    <row r="65" spans="1:8">
      <c r="A65" s="109"/>
      <c r="B65" s="111"/>
      <c r="C65" s="112">
        <f ca="1">+E36*C71</f>
        <v>0.53426248548199773</v>
      </c>
      <c r="D65" s="112"/>
      <c r="E65" s="585">
        <f ca="1">+E64/$E$14</f>
        <v>0.53426248548199773</v>
      </c>
      <c r="F65" s="112"/>
      <c r="G65" s="577"/>
      <c r="H65" s="93"/>
    </row>
    <row r="66" spans="1:8">
      <c r="A66" s="533" t="s">
        <v>931</v>
      </c>
      <c r="B66" s="94"/>
      <c r="C66" s="94"/>
      <c r="D66" s="94" t="s">
        <v>431</v>
      </c>
      <c r="E66" s="569">
        <v>75</v>
      </c>
      <c r="F66" s="94"/>
      <c r="G66" s="577"/>
      <c r="H66" s="93"/>
    </row>
    <row r="67" spans="1:8">
      <c r="A67" s="533" t="s">
        <v>932</v>
      </c>
      <c r="B67" s="94"/>
      <c r="C67" s="94"/>
      <c r="D67" s="94" t="s">
        <v>915</v>
      </c>
      <c r="E67" s="190">
        <f ca="1">+E66*E64/100</f>
        <v>9.3705365853658531</v>
      </c>
      <c r="F67" s="94"/>
      <c r="G67" s="577"/>
      <c r="H67" s="93"/>
    </row>
    <row r="68" spans="1:8">
      <c r="A68" s="109" t="s">
        <v>930</v>
      </c>
      <c r="B68" s="111"/>
      <c r="C68" s="112"/>
      <c r="D68" s="112" t="s">
        <v>431</v>
      </c>
      <c r="E68" s="557">
        <f ca="1">+E67/$E$14</f>
        <v>0.4006968641114983</v>
      </c>
      <c r="F68" s="94"/>
      <c r="G68" s="577"/>
      <c r="H68" s="93"/>
    </row>
    <row r="69" spans="1:8">
      <c r="A69" s="533"/>
      <c r="B69" s="564"/>
      <c r="C69" s="94"/>
      <c r="D69" s="94"/>
      <c r="E69" s="558"/>
      <c r="F69" s="94"/>
      <c r="G69" s="577"/>
      <c r="H69" s="93"/>
    </row>
    <row r="70" spans="1:8">
      <c r="A70" s="533" t="s">
        <v>929</v>
      </c>
      <c r="B70" s="94"/>
      <c r="C70" s="94">
        <f>+E8+(E11-E8)*E66/100</f>
        <v>29.25</v>
      </c>
      <c r="D70" s="94" t="s">
        <v>207</v>
      </c>
      <c r="E70" s="558">
        <f ca="1">+E62+E67/(E60*60/1000)/1.16</f>
        <v>29.250000000000004</v>
      </c>
      <c r="F70" s="112" t="str">
        <f t="shared" ref="F70" ca="1" si="4">TEXT(E70,"0,0")&amp;" °C"</f>
        <v>29,3 °C</v>
      </c>
      <c r="G70" s="577"/>
      <c r="H70" s="93"/>
    </row>
    <row r="71" spans="1:8">
      <c r="A71" s="533" t="s">
        <v>926</v>
      </c>
      <c r="B71" s="586">
        <f ca="1">+C71+E71</f>
        <v>1</v>
      </c>
      <c r="C71" s="94">
        <f ca="1">+(E7-E6)/(E7-E70)</f>
        <v>0.65040650406504075</v>
      </c>
      <c r="D71" s="94"/>
      <c r="E71" s="570">
        <f ca="1">+($E$6-E70)/($E$7-E70)</f>
        <v>0.34959349593495925</v>
      </c>
      <c r="F71" s="94"/>
      <c r="G71" s="577"/>
      <c r="H71" s="93"/>
    </row>
    <row r="72" spans="1:8">
      <c r="A72" s="109" t="s">
        <v>927</v>
      </c>
      <c r="B72" s="565"/>
      <c r="C72" s="566"/>
      <c r="D72" s="112" t="s">
        <v>615</v>
      </c>
      <c r="E72" s="558">
        <f ca="1">+$E$9*E71</f>
        <v>4.1951219512195106</v>
      </c>
      <c r="F72" s="112" t="str">
        <f ca="1">TEXT(E72,"0,0")&amp;" l/min"</f>
        <v>4,2 l/min</v>
      </c>
      <c r="G72" s="577"/>
      <c r="H72" s="93"/>
    </row>
    <row r="73" spans="1:8">
      <c r="A73" s="109" t="s">
        <v>928</v>
      </c>
      <c r="B73" s="111"/>
      <c r="C73" s="112">
        <f>+(E7-E6)/(E7-E11*E66/100-(100-E66)/100*E8)*E9</f>
        <v>7.8048780487804876</v>
      </c>
      <c r="D73" s="112" t="s">
        <v>615</v>
      </c>
      <c r="E73" s="113">
        <f ca="1">+$E$9-E72</f>
        <v>7.8048780487804894</v>
      </c>
      <c r="F73" s="112" t="str">
        <f ca="1">TEXT(E73,"0,0")&amp;" l/min"</f>
        <v>7,8 l/min</v>
      </c>
      <c r="G73" s="577"/>
      <c r="H73" s="93"/>
    </row>
    <row r="74" spans="1:8">
      <c r="A74" s="109"/>
      <c r="B74" s="111"/>
      <c r="C74" s="112"/>
      <c r="D74" s="112"/>
      <c r="E74" s="113"/>
      <c r="F74" s="112"/>
      <c r="G74" s="577"/>
      <c r="H74" s="93"/>
    </row>
    <row r="75" spans="1:8">
      <c r="A75" s="109"/>
      <c r="B75" s="111"/>
      <c r="C75" s="112"/>
      <c r="D75" s="112"/>
      <c r="E75" s="191"/>
      <c r="F75" s="112"/>
      <c r="G75" s="577"/>
      <c r="H75" s="93"/>
    </row>
    <row r="76" spans="1:8">
      <c r="A76" s="109" t="s">
        <v>960</v>
      </c>
      <c r="B76" s="111"/>
      <c r="C76" s="112"/>
      <c r="D76" s="112" t="s">
        <v>961</v>
      </c>
      <c r="E76" s="575">
        <v>3</v>
      </c>
      <c r="F76" s="112"/>
      <c r="G76" s="577"/>
      <c r="H76" s="93"/>
    </row>
    <row r="77" spans="1:8">
      <c r="A77" s="109" t="s">
        <v>962</v>
      </c>
      <c r="B77" s="111"/>
      <c r="C77" s="112"/>
      <c r="D77" s="112" t="s">
        <v>961</v>
      </c>
      <c r="E77" s="584">
        <v>1.6E-2</v>
      </c>
      <c r="F77" s="112"/>
      <c r="G77" s="577"/>
      <c r="H77" s="93"/>
    </row>
    <row r="78" spans="1:8">
      <c r="A78" s="109" t="s">
        <v>963</v>
      </c>
      <c r="B78" s="111"/>
      <c r="C78" s="112"/>
      <c r="D78" s="112" t="s">
        <v>69</v>
      </c>
      <c r="E78" s="113">
        <f>+E77*E77*3.1415*0.25*1000*E76</f>
        <v>0.60316799999999993</v>
      </c>
      <c r="F78" s="112"/>
      <c r="G78" s="577"/>
      <c r="H78" s="93"/>
    </row>
    <row r="79" spans="1:8">
      <c r="A79" s="109"/>
      <c r="B79" s="111"/>
      <c r="C79" s="112"/>
      <c r="D79" s="112"/>
      <c r="E79" s="113"/>
      <c r="F79" s="112"/>
      <c r="G79" s="577"/>
      <c r="H79" s="93"/>
    </row>
    <row r="80" spans="1:8">
      <c r="A80" s="109" t="s">
        <v>964</v>
      </c>
      <c r="B80" s="111"/>
      <c r="C80" s="112"/>
      <c r="D80" s="112" t="s">
        <v>69</v>
      </c>
      <c r="E80" s="113">
        <f>+E78+$E$25/2+$E$24</f>
        <v>4.1031680000000001</v>
      </c>
      <c r="F80" s="112"/>
      <c r="G80" s="577"/>
      <c r="H80" s="93"/>
    </row>
    <row r="81" spans="1:11">
      <c r="A81" s="109" t="s">
        <v>903</v>
      </c>
      <c r="B81" s="111"/>
      <c r="C81" s="112"/>
      <c r="D81" s="112"/>
      <c r="E81" s="113">
        <f>+($E$21-E80)/$E$21</f>
        <v>0.93161386666666668</v>
      </c>
      <c r="F81" s="112"/>
      <c r="G81" s="577"/>
      <c r="H81" s="93"/>
    </row>
    <row r="82" spans="1:11">
      <c r="A82" s="109"/>
      <c r="B82" s="111"/>
      <c r="C82" s="112"/>
      <c r="D82" s="112"/>
      <c r="E82" s="113"/>
      <c r="F82" s="112"/>
      <c r="G82" s="577"/>
      <c r="H82" s="93"/>
    </row>
    <row r="83" spans="1:11">
      <c r="A83" s="109" t="s">
        <v>1055</v>
      </c>
      <c r="B83" s="111"/>
      <c r="C83" s="112"/>
      <c r="D83" s="112" t="s">
        <v>207</v>
      </c>
      <c r="E83" s="113">
        <f ca="1">+E63-(E70-E62)*E73/E61</f>
        <v>23.780487804878042</v>
      </c>
      <c r="F83" s="112" t="str">
        <f t="shared" ref="F83" ca="1" si="5">TEXT(E83,"0,0")&amp;" °C"</f>
        <v>23,8 °C</v>
      </c>
      <c r="G83" s="577"/>
      <c r="H83" s="93"/>
    </row>
    <row r="84" spans="1:11">
      <c r="A84" s="109"/>
      <c r="B84" s="111"/>
      <c r="C84" s="112"/>
      <c r="D84" s="112"/>
      <c r="E84" s="113"/>
      <c r="F84" s="112"/>
      <c r="G84" s="577"/>
      <c r="H84" s="93"/>
    </row>
    <row r="85" spans="1:11">
      <c r="A85" s="109"/>
      <c r="B85" s="111"/>
      <c r="C85" s="112"/>
      <c r="D85" s="112"/>
      <c r="E85" s="113"/>
      <c r="F85" s="112"/>
      <c r="G85" s="577"/>
      <c r="H85" s="93"/>
    </row>
    <row r="86" spans="1:11" ht="26.25" thickBot="1">
      <c r="A86" s="522"/>
      <c r="B86" s="272"/>
      <c r="C86" s="275"/>
      <c r="D86" s="275"/>
      <c r="E86" s="274"/>
      <c r="F86" s="275"/>
      <c r="G86" s="578"/>
      <c r="H86" s="273"/>
      <c r="J86" s="75" t="s">
        <v>1057</v>
      </c>
      <c r="K86" s="75" t="s">
        <v>1058</v>
      </c>
    </row>
    <row r="87" spans="1:11">
      <c r="A87" s="517" t="s">
        <v>909</v>
      </c>
      <c r="B87" s="518"/>
      <c r="C87" s="519"/>
      <c r="D87" s="519"/>
      <c r="E87" s="520"/>
      <c r="F87" s="519"/>
      <c r="G87" s="576"/>
      <c r="H87" s="521"/>
      <c r="I87" s="75" t="s">
        <v>685</v>
      </c>
      <c r="J87" s="613">
        <f>+$E$11</f>
        <v>35</v>
      </c>
      <c r="K87" s="612">
        <f ca="1">+E70</f>
        <v>29.250000000000004</v>
      </c>
    </row>
    <row r="88" spans="1:11">
      <c r="A88" s="514"/>
      <c r="B88" s="201"/>
      <c r="C88" s="187"/>
      <c r="D88" s="187"/>
      <c r="E88" s="515"/>
      <c r="F88" s="187"/>
      <c r="G88" s="577"/>
      <c r="H88" s="186"/>
      <c r="I88" s="75" t="s">
        <v>1056</v>
      </c>
      <c r="J88" s="613">
        <f>+E111</f>
        <v>24.9375</v>
      </c>
      <c r="K88" s="612">
        <f>+$E$9</f>
        <v>12</v>
      </c>
    </row>
    <row r="89" spans="1:11">
      <c r="A89" s="109" t="s">
        <v>924</v>
      </c>
      <c r="B89" s="111"/>
      <c r="C89" s="112"/>
      <c r="D89" s="112" t="s">
        <v>615</v>
      </c>
      <c r="E89" s="558">
        <f>+E101</f>
        <v>7</v>
      </c>
      <c r="F89" s="112" t="str">
        <f>TEXT(E89,"0,0")&amp;" l/min"</f>
        <v>7,0 l/min</v>
      </c>
      <c r="G89" s="577"/>
      <c r="H89" s="93"/>
    </row>
    <row r="90" spans="1:11">
      <c r="A90" s="109" t="s">
        <v>925</v>
      </c>
      <c r="B90" s="94"/>
      <c r="C90" s="94"/>
      <c r="D90" s="112" t="s">
        <v>615</v>
      </c>
      <c r="E90" s="558">
        <f>+$E$16</f>
        <v>12</v>
      </c>
      <c r="F90" s="112" t="str">
        <f>TEXT(E90,"0,0")&amp;" l/min"</f>
        <v>12,0 l/min</v>
      </c>
      <c r="G90" s="577"/>
      <c r="H90" s="93"/>
    </row>
    <row r="91" spans="1:11">
      <c r="A91" s="533" t="s">
        <v>922</v>
      </c>
      <c r="B91" s="564"/>
      <c r="C91" s="94"/>
      <c r="D91" s="94" t="s">
        <v>207</v>
      </c>
      <c r="E91" s="558">
        <f>+$E$8</f>
        <v>12</v>
      </c>
      <c r="F91" s="112" t="str">
        <f t="shared" ref="F91:F92" si="6">TEXT(E91,"0,0")&amp;" °C"</f>
        <v>12,0 °C</v>
      </c>
      <c r="G91" s="577"/>
      <c r="H91" s="93"/>
    </row>
    <row r="92" spans="1:11">
      <c r="A92" s="533" t="s">
        <v>923</v>
      </c>
      <c r="B92" s="564"/>
      <c r="C92" s="94"/>
      <c r="D92" s="94" t="s">
        <v>207</v>
      </c>
      <c r="E92" s="558">
        <f>+$E$11</f>
        <v>35</v>
      </c>
      <c r="F92" s="112" t="str">
        <f t="shared" si="6"/>
        <v>35,0 °C</v>
      </c>
      <c r="G92" s="577"/>
      <c r="H92" s="93"/>
    </row>
    <row r="93" spans="1:11">
      <c r="A93" s="533" t="s">
        <v>916</v>
      </c>
      <c r="B93" s="564"/>
      <c r="C93" s="94"/>
      <c r="D93" s="94" t="s">
        <v>915</v>
      </c>
      <c r="E93" s="558">
        <f>+MIN(E89:E90)*0.06*1.16*(E92-E91)</f>
        <v>11.205599999999999</v>
      </c>
      <c r="F93" s="94"/>
      <c r="G93" s="577"/>
      <c r="H93" s="93"/>
    </row>
    <row r="94" spans="1:11">
      <c r="A94" s="533"/>
      <c r="B94" s="564"/>
      <c r="C94" s="94"/>
      <c r="D94" s="94"/>
      <c r="E94" s="585">
        <f>+E93/$E$14</f>
        <v>0.47916666666666669</v>
      </c>
      <c r="F94" s="112"/>
      <c r="G94" s="577"/>
      <c r="H94" s="93"/>
    </row>
    <row r="95" spans="1:11">
      <c r="A95" s="533" t="s">
        <v>931</v>
      </c>
      <c r="B95" s="94"/>
      <c r="C95" s="94"/>
      <c r="D95" s="94" t="s">
        <v>431</v>
      </c>
      <c r="E95" s="569">
        <v>75</v>
      </c>
      <c r="F95" s="112"/>
      <c r="G95" s="577"/>
      <c r="H95" s="93"/>
    </row>
    <row r="96" spans="1:11">
      <c r="A96" s="533" t="s">
        <v>932</v>
      </c>
      <c r="B96" s="94"/>
      <c r="C96" s="94"/>
      <c r="D96" s="94" t="s">
        <v>915</v>
      </c>
      <c r="E96" s="558">
        <f>+E95*E93/100</f>
        <v>8.4041999999999977</v>
      </c>
      <c r="F96" s="112"/>
      <c r="G96" s="577"/>
      <c r="H96" s="93"/>
    </row>
    <row r="97" spans="1:8">
      <c r="A97" s="109" t="s">
        <v>930</v>
      </c>
      <c r="B97" s="111"/>
      <c r="C97" s="112"/>
      <c r="D97" s="112" t="s">
        <v>431</v>
      </c>
      <c r="E97" s="557">
        <f>+E96/$E$14</f>
        <v>0.35937499999999994</v>
      </c>
      <c r="F97" s="112"/>
      <c r="G97" s="577"/>
      <c r="H97" s="93"/>
    </row>
    <row r="98" spans="1:8">
      <c r="A98" s="533"/>
      <c r="B98" s="564"/>
      <c r="C98" s="94"/>
      <c r="D98" s="94"/>
      <c r="E98" s="558"/>
      <c r="F98" s="112"/>
      <c r="G98" s="577"/>
      <c r="H98" s="93"/>
    </row>
    <row r="99" spans="1:8">
      <c r="A99" s="533" t="s">
        <v>929</v>
      </c>
      <c r="B99" s="94"/>
      <c r="C99" s="94"/>
      <c r="D99" s="94" t="s">
        <v>207</v>
      </c>
      <c r="E99" s="190">
        <f>+E91+E96/(E89*60/1000)/1.16</f>
        <v>29.249999999999996</v>
      </c>
      <c r="F99" s="112" t="str">
        <f t="shared" ref="F99" si="7">TEXT(E99,"0,0")&amp;" °C"</f>
        <v>29,3 °C</v>
      </c>
      <c r="G99" s="577"/>
      <c r="H99" s="93"/>
    </row>
    <row r="100" spans="1:8">
      <c r="A100" s="533" t="s">
        <v>926</v>
      </c>
      <c r="B100" s="564"/>
      <c r="C100" s="94"/>
      <c r="D100" s="94"/>
      <c r="E100" s="570">
        <f>+($E$6-$E$8)/($E$7-$E$8)</f>
        <v>0.58333333333333337</v>
      </c>
      <c r="F100" s="112"/>
      <c r="G100" s="577"/>
      <c r="H100" s="93"/>
    </row>
    <row r="101" spans="1:8">
      <c r="A101" s="109" t="s">
        <v>927</v>
      </c>
      <c r="B101" s="565"/>
      <c r="C101" s="566"/>
      <c r="D101" s="112" t="s">
        <v>615</v>
      </c>
      <c r="E101" s="558">
        <f>+$E$9*E100</f>
        <v>7</v>
      </c>
      <c r="F101" s="112" t="str">
        <f>TEXT(E101,"0,0")&amp;" l/min"</f>
        <v>7,0 l/min</v>
      </c>
      <c r="G101" s="577"/>
      <c r="H101" s="93"/>
    </row>
    <row r="102" spans="1:8">
      <c r="A102" s="109" t="s">
        <v>928</v>
      </c>
      <c r="B102" s="111"/>
      <c r="C102" s="112"/>
      <c r="D102" s="112" t="s">
        <v>615</v>
      </c>
      <c r="E102" s="113">
        <f>+$E$9-E101</f>
        <v>5</v>
      </c>
      <c r="F102" s="112" t="str">
        <f>TEXT(E102,"0,0")&amp;" l/min"</f>
        <v>5,0 l/min</v>
      </c>
      <c r="G102" s="577"/>
      <c r="H102" s="93"/>
    </row>
    <row r="103" spans="1:8">
      <c r="A103" s="533"/>
      <c r="B103" s="564"/>
      <c r="C103" s="94"/>
      <c r="D103" s="94"/>
      <c r="E103" s="558"/>
      <c r="F103" s="112"/>
      <c r="G103" s="577"/>
      <c r="H103" s="93"/>
    </row>
    <row r="104" spans="1:8">
      <c r="A104" s="109" t="s">
        <v>960</v>
      </c>
      <c r="B104" s="111"/>
      <c r="C104" s="112"/>
      <c r="D104" s="112" t="s">
        <v>961</v>
      </c>
      <c r="E104" s="575">
        <v>12</v>
      </c>
      <c r="F104" s="112"/>
      <c r="G104" s="577"/>
      <c r="H104" s="93"/>
    </row>
    <row r="105" spans="1:8">
      <c r="A105" s="109" t="s">
        <v>962</v>
      </c>
      <c r="B105" s="111"/>
      <c r="C105" s="112"/>
      <c r="D105" s="112" t="s">
        <v>961</v>
      </c>
      <c r="E105" s="584">
        <v>1.6E-2</v>
      </c>
      <c r="F105" s="112"/>
      <c r="G105" s="577"/>
      <c r="H105" s="93"/>
    </row>
    <row r="106" spans="1:8">
      <c r="A106" s="109" t="s">
        <v>963</v>
      </c>
      <c r="B106" s="111"/>
      <c r="C106" s="112"/>
      <c r="D106" s="112" t="s">
        <v>69</v>
      </c>
      <c r="E106" s="113">
        <f>+E105*E105*3.1415*0.25*1000*E104</f>
        <v>2.4126719999999997</v>
      </c>
      <c r="F106" s="112"/>
      <c r="G106" s="577"/>
      <c r="H106" s="93"/>
    </row>
    <row r="107" spans="1:8">
      <c r="A107" s="109"/>
      <c r="B107" s="111"/>
      <c r="C107" s="112"/>
      <c r="D107" s="112"/>
      <c r="E107" s="113"/>
      <c r="F107" s="112"/>
      <c r="G107" s="577"/>
      <c r="H107" s="93"/>
    </row>
    <row r="108" spans="1:8">
      <c r="A108" s="109" t="s">
        <v>964</v>
      </c>
      <c r="B108" s="111"/>
      <c r="C108" s="112"/>
      <c r="D108" s="112" t="s">
        <v>69</v>
      </c>
      <c r="E108" s="113">
        <f>+E106+$E$25/2+$E$24</f>
        <v>5.9126719999999997</v>
      </c>
      <c r="F108" s="112"/>
      <c r="G108" s="577"/>
      <c r="H108" s="93"/>
    </row>
    <row r="109" spans="1:8">
      <c r="A109" s="109" t="s">
        <v>903</v>
      </c>
      <c r="B109" s="111"/>
      <c r="C109" s="112"/>
      <c r="D109" s="112"/>
      <c r="E109" s="113">
        <f>+($E$21-E108)/$E$21</f>
        <v>0.90145546666666665</v>
      </c>
      <c r="F109" s="112"/>
      <c r="G109" s="577"/>
      <c r="H109" s="93"/>
    </row>
    <row r="110" spans="1:8">
      <c r="A110" s="109"/>
      <c r="B110" s="111"/>
      <c r="C110" s="112"/>
      <c r="D110" s="112"/>
      <c r="E110" s="113"/>
      <c r="F110" s="112"/>
      <c r="G110" s="577"/>
      <c r="H110" s="93"/>
    </row>
    <row r="111" spans="1:8">
      <c r="A111" s="109" t="s">
        <v>1059</v>
      </c>
      <c r="B111" s="111"/>
      <c r="C111" s="112"/>
      <c r="D111" s="112" t="s">
        <v>207</v>
      </c>
      <c r="E111" s="113">
        <f>+E92-(E99-E91)*E101/E90</f>
        <v>24.9375</v>
      </c>
      <c r="F111" s="112" t="str">
        <f t="shared" ref="F111" si="8">TEXT(E111,"0,0")&amp;" °C"</f>
        <v>24,9 °C</v>
      </c>
      <c r="G111" s="577"/>
      <c r="H111" s="93"/>
    </row>
    <row r="112" spans="1:8">
      <c r="A112" s="109"/>
      <c r="B112" s="111"/>
      <c r="C112" s="112"/>
      <c r="D112" s="112"/>
      <c r="E112" s="113">
        <f>+E90*1.16*(E92-E111)*60/1000</f>
        <v>8.4041999999999994</v>
      </c>
      <c r="F112" s="112"/>
      <c r="G112" s="577"/>
      <c r="H112" s="93"/>
    </row>
    <row r="113" spans="1:8">
      <c r="A113" s="109"/>
      <c r="B113" s="111"/>
      <c r="C113" s="112"/>
      <c r="D113" s="112"/>
      <c r="E113" s="113"/>
      <c r="F113" s="112"/>
      <c r="G113" s="577"/>
      <c r="H113" s="93"/>
    </row>
    <row r="114" spans="1:8">
      <c r="A114" s="109"/>
      <c r="B114" s="111"/>
      <c r="C114" s="112"/>
      <c r="D114" s="112"/>
      <c r="E114" s="113"/>
      <c r="F114" s="112"/>
      <c r="G114" s="577"/>
      <c r="H114" s="93"/>
    </row>
    <row r="115" spans="1:8">
      <c r="A115" s="109"/>
      <c r="B115" s="111"/>
      <c r="C115" s="112"/>
      <c r="D115" s="112"/>
      <c r="E115" s="113"/>
      <c r="F115" s="112"/>
      <c r="G115" s="577"/>
      <c r="H115" s="93"/>
    </row>
    <row r="116" spans="1:8" ht="13.5" thickBot="1">
      <c r="A116" s="522"/>
      <c r="B116" s="272"/>
      <c r="C116" s="275"/>
      <c r="D116" s="275"/>
      <c r="E116" s="274"/>
      <c r="F116" s="275"/>
      <c r="G116" s="578"/>
      <c r="H116" s="273"/>
    </row>
    <row r="117" spans="1:8">
      <c r="A117" s="514"/>
      <c r="B117" s="201"/>
      <c r="C117" s="187"/>
      <c r="D117" s="187"/>
      <c r="E117" s="515"/>
      <c r="F117" s="187"/>
      <c r="G117" s="516"/>
      <c r="H117" s="186"/>
    </row>
    <row r="118" spans="1:8">
      <c r="A118" s="109"/>
      <c r="B118" s="111"/>
      <c r="C118" s="112"/>
      <c r="D118" s="112"/>
      <c r="E118" s="113"/>
      <c r="F118" s="112"/>
      <c r="G118" s="110"/>
      <c r="H118" s="93"/>
    </row>
    <row r="119" spans="1:8">
      <c r="A119" s="109"/>
      <c r="B119" s="111"/>
      <c r="C119" s="112"/>
      <c r="D119" s="112"/>
      <c r="E119" s="113"/>
      <c r="F119" s="112"/>
      <c r="G119" s="110"/>
      <c r="H119" s="93"/>
    </row>
    <row r="120" spans="1:8">
      <c r="A120" s="109"/>
      <c r="B120" s="111"/>
      <c r="C120" s="112"/>
      <c r="D120" s="112"/>
      <c r="E120" s="113"/>
      <c r="F120" s="112"/>
      <c r="G120" s="110"/>
      <c r="H120" s="93"/>
    </row>
    <row r="121" spans="1:8">
      <c r="A121" s="109"/>
      <c r="B121" s="111"/>
      <c r="C121" s="112"/>
      <c r="D121" s="112"/>
      <c r="E121" s="113"/>
      <c r="F121" s="112"/>
      <c r="G121" s="110"/>
      <c r="H121" s="93"/>
    </row>
    <row r="122" spans="1:8">
      <c r="A122" s="109"/>
      <c r="B122" s="111"/>
      <c r="C122" s="112"/>
      <c r="D122" s="112"/>
      <c r="E122" s="113"/>
      <c r="F122" s="112"/>
      <c r="G122" s="110"/>
      <c r="H122" s="93"/>
    </row>
    <row r="123" spans="1:8">
      <c r="A123" s="109"/>
      <c r="B123" s="111"/>
      <c r="C123" s="112"/>
      <c r="D123" s="112"/>
      <c r="E123" s="113"/>
      <c r="F123" s="112"/>
      <c r="G123" s="110"/>
      <c r="H123" s="93"/>
    </row>
    <row r="124" spans="1:8">
      <c r="A124" s="109"/>
      <c r="B124" s="111"/>
      <c r="C124" s="112"/>
      <c r="D124" s="112"/>
      <c r="E124" s="113"/>
      <c r="F124" s="112"/>
      <c r="G124" s="110"/>
      <c r="H124" s="93"/>
    </row>
    <row r="125" spans="1:8">
      <c r="A125" s="109"/>
      <c r="B125" s="111"/>
      <c r="C125" s="112"/>
      <c r="D125" s="112"/>
      <c r="E125" s="113"/>
      <c r="F125" s="112"/>
      <c r="G125" s="110"/>
      <c r="H125" s="93"/>
    </row>
    <row r="126" spans="1:8">
      <c r="A126" s="109"/>
      <c r="B126" s="111"/>
      <c r="C126" s="112"/>
      <c r="D126" s="112"/>
      <c r="E126" s="113"/>
      <c r="F126" s="112"/>
      <c r="G126" s="110"/>
      <c r="H126" s="93"/>
    </row>
    <row r="127" spans="1:8">
      <c r="A127" s="109"/>
      <c r="B127" s="111"/>
      <c r="C127" s="112"/>
      <c r="D127" s="112"/>
      <c r="E127" s="113"/>
      <c r="F127" s="112"/>
      <c r="G127" s="110"/>
      <c r="H127" s="93"/>
    </row>
  </sheetData>
  <mergeCells count="1">
    <mergeCell ref="A5:G5"/>
  </mergeCells>
  <pageMargins left="0.75" right="0.75" top="1" bottom="1" header="0.5" footer="0.5"/>
  <pageSetup orientation="portrait"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2AEC1-A6B7-47AB-BBE0-3457F7C74641}">
  <sheetPr>
    <tabColor rgb="FF92D050"/>
  </sheetPr>
  <dimension ref="A2:O91"/>
  <sheetViews>
    <sheetView workbookViewId="0"/>
  </sheetViews>
  <sheetFormatPr defaultColWidth="9.140625" defaultRowHeight="12.75"/>
  <cols>
    <col min="1" max="1" width="41.85546875" style="75" customWidth="1"/>
    <col min="2" max="2" width="17.42578125" style="75" customWidth="1"/>
    <col min="3" max="3" width="20.42578125" style="75" bestFit="1" customWidth="1"/>
    <col min="4" max="4" width="11.85546875" style="75" customWidth="1"/>
    <col min="5" max="5" width="11" style="75" customWidth="1"/>
    <col min="6" max="15" width="9.140625" style="75"/>
    <col min="16" max="16" width="19" style="75" customWidth="1"/>
    <col min="17" max="20" width="9.140625" style="75" customWidth="1"/>
    <col min="21" max="16384" width="9.140625" style="75"/>
  </cols>
  <sheetData>
    <row r="2" spans="1:15" ht="15">
      <c r="A2" s="107" t="s">
        <v>73</v>
      </c>
      <c r="B2" s="107" t="s">
        <v>198</v>
      </c>
      <c r="C2" s="108" t="s">
        <v>199</v>
      </c>
      <c r="D2" s="107" t="s">
        <v>200</v>
      </c>
      <c r="E2" s="107" t="s">
        <v>201</v>
      </c>
      <c r="F2" s="107" t="s">
        <v>201</v>
      </c>
      <c r="G2" s="107" t="s">
        <v>201</v>
      </c>
      <c r="H2" s="107" t="s">
        <v>201</v>
      </c>
      <c r="I2" s="107" t="s">
        <v>201</v>
      </c>
      <c r="J2" s="107" t="s">
        <v>201</v>
      </c>
      <c r="K2" s="107" t="s">
        <v>201</v>
      </c>
      <c r="L2" s="107" t="s">
        <v>201</v>
      </c>
      <c r="M2" s="107" t="s">
        <v>201</v>
      </c>
      <c r="N2" s="107" t="s">
        <v>201</v>
      </c>
      <c r="O2" s="107" t="s">
        <v>201</v>
      </c>
    </row>
    <row r="3" spans="1:15">
      <c r="A3" s="94"/>
      <c r="B3" s="94"/>
      <c r="C3" s="85"/>
      <c r="D3" s="94"/>
      <c r="E3" s="94"/>
      <c r="F3" s="94"/>
      <c r="G3" s="94"/>
      <c r="H3" s="94"/>
      <c r="I3" s="94"/>
      <c r="J3" s="94"/>
      <c r="K3" s="94"/>
      <c r="L3" s="94"/>
      <c r="M3" s="94"/>
      <c r="N3" s="94"/>
      <c r="O3" s="94"/>
    </row>
    <row r="4" spans="1:15">
      <c r="A4" s="573" t="s">
        <v>360</v>
      </c>
      <c r="B4" s="574"/>
      <c r="C4" s="574"/>
      <c r="D4" s="574"/>
      <c r="E4" s="574"/>
      <c r="F4" s="574"/>
      <c r="G4" s="574"/>
      <c r="H4" s="574"/>
      <c r="I4" s="574"/>
      <c r="J4" s="574"/>
      <c r="K4" s="574"/>
      <c r="L4" s="574"/>
      <c r="M4" s="574"/>
      <c r="N4" s="574"/>
      <c r="O4" s="574"/>
    </row>
    <row r="5" spans="1:15">
      <c r="A5" s="193"/>
      <c r="B5" s="483"/>
      <c r="C5" s="185"/>
      <c r="D5" s="185"/>
      <c r="E5" s="194"/>
      <c r="F5" s="194"/>
      <c r="G5" s="194"/>
      <c r="H5" s="194"/>
      <c r="I5" s="194"/>
      <c r="J5" s="194"/>
      <c r="K5" s="194"/>
      <c r="L5" s="194"/>
      <c r="M5" s="194"/>
      <c r="N5" s="194"/>
      <c r="O5" s="194"/>
    </row>
    <row r="6" spans="1:15">
      <c r="A6" s="109" t="s">
        <v>911</v>
      </c>
      <c r="B6" s="572" t="s">
        <v>934</v>
      </c>
      <c r="C6" s="112"/>
      <c r="D6" s="112"/>
      <c r="E6" s="480">
        <v>40</v>
      </c>
      <c r="F6" s="480">
        <v>40</v>
      </c>
      <c r="G6" s="480">
        <v>40</v>
      </c>
      <c r="H6" s="480">
        <v>40</v>
      </c>
      <c r="I6" s="480">
        <v>40</v>
      </c>
      <c r="J6" s="480">
        <v>40</v>
      </c>
      <c r="K6" s="480">
        <v>40</v>
      </c>
      <c r="L6" s="480">
        <v>40</v>
      </c>
      <c r="M6" s="480">
        <v>40</v>
      </c>
      <c r="N6" s="480">
        <v>40</v>
      </c>
      <c r="O6" s="480">
        <v>40</v>
      </c>
    </row>
    <row r="7" spans="1:15">
      <c r="A7" s="109" t="s">
        <v>912</v>
      </c>
      <c r="B7" s="572" t="s">
        <v>933</v>
      </c>
      <c r="C7" s="112"/>
      <c r="D7" s="112"/>
      <c r="E7" s="480">
        <v>60</v>
      </c>
      <c r="F7" s="480">
        <v>58</v>
      </c>
      <c r="G7" s="480">
        <v>56</v>
      </c>
      <c r="H7" s="480">
        <v>54</v>
      </c>
      <c r="I7" s="480">
        <v>52</v>
      </c>
      <c r="J7" s="480">
        <v>50</v>
      </c>
      <c r="K7" s="480">
        <v>48</v>
      </c>
      <c r="L7" s="480">
        <v>46</v>
      </c>
      <c r="M7" s="480">
        <v>44</v>
      </c>
      <c r="N7" s="480">
        <v>42</v>
      </c>
      <c r="O7" s="480">
        <v>40</v>
      </c>
    </row>
    <row r="8" spans="1:15">
      <c r="A8" s="567" t="s">
        <v>319</v>
      </c>
      <c r="B8" s="572" t="s">
        <v>935</v>
      </c>
      <c r="C8" s="112"/>
      <c r="D8" s="112"/>
      <c r="E8" s="575">
        <v>12</v>
      </c>
      <c r="F8" s="575">
        <v>12</v>
      </c>
      <c r="G8" s="575">
        <v>12</v>
      </c>
      <c r="H8" s="575">
        <v>12</v>
      </c>
      <c r="I8" s="575">
        <v>12</v>
      </c>
      <c r="J8" s="575">
        <v>12</v>
      </c>
      <c r="K8" s="575">
        <v>12</v>
      </c>
      <c r="L8" s="575">
        <v>12</v>
      </c>
      <c r="M8" s="575">
        <v>12</v>
      </c>
      <c r="N8" s="575">
        <v>12</v>
      </c>
      <c r="O8" s="575">
        <v>12</v>
      </c>
    </row>
    <row r="9" spans="1:15">
      <c r="A9" s="109" t="s">
        <v>614</v>
      </c>
      <c r="B9" s="572" t="s">
        <v>936</v>
      </c>
      <c r="C9" s="112"/>
      <c r="D9" s="112" t="s">
        <v>615</v>
      </c>
      <c r="E9" s="480">
        <v>12</v>
      </c>
      <c r="F9" s="480">
        <v>12</v>
      </c>
      <c r="G9" s="480">
        <v>12</v>
      </c>
      <c r="H9" s="480">
        <v>12</v>
      </c>
      <c r="I9" s="480">
        <v>12</v>
      </c>
      <c r="J9" s="480">
        <v>12</v>
      </c>
      <c r="K9" s="480">
        <v>12</v>
      </c>
      <c r="L9" s="480">
        <v>12</v>
      </c>
      <c r="M9" s="480">
        <v>12</v>
      </c>
      <c r="N9" s="480">
        <v>12</v>
      </c>
      <c r="O9" s="480">
        <v>12</v>
      </c>
    </row>
    <row r="10" spans="1:15">
      <c r="A10" s="109" t="s">
        <v>918</v>
      </c>
      <c r="B10" s="572" t="s">
        <v>937</v>
      </c>
      <c r="C10" s="112"/>
      <c r="D10" s="112"/>
      <c r="E10" s="480">
        <v>1</v>
      </c>
      <c r="F10" s="480">
        <v>1</v>
      </c>
      <c r="G10" s="480">
        <v>1</v>
      </c>
      <c r="H10" s="480">
        <v>1</v>
      </c>
      <c r="I10" s="480">
        <v>1</v>
      </c>
      <c r="J10" s="480">
        <v>1</v>
      </c>
      <c r="K10" s="480">
        <v>1</v>
      </c>
      <c r="L10" s="480">
        <v>1</v>
      </c>
      <c r="M10" s="480">
        <v>1</v>
      </c>
      <c r="N10" s="480">
        <v>1</v>
      </c>
      <c r="O10" s="480">
        <v>1</v>
      </c>
    </row>
    <row r="11" spans="1:15">
      <c r="A11" s="109" t="s">
        <v>914</v>
      </c>
      <c r="B11" s="572" t="s">
        <v>938</v>
      </c>
      <c r="C11" s="112"/>
      <c r="D11" s="112"/>
      <c r="E11" s="480">
        <v>35</v>
      </c>
      <c r="F11" s="480">
        <v>35</v>
      </c>
      <c r="G11" s="480">
        <v>35</v>
      </c>
      <c r="H11" s="480">
        <v>35</v>
      </c>
      <c r="I11" s="480">
        <v>35</v>
      </c>
      <c r="J11" s="480">
        <v>35</v>
      </c>
      <c r="K11" s="480">
        <v>35</v>
      </c>
      <c r="L11" s="480">
        <v>35</v>
      </c>
      <c r="M11" s="480">
        <v>35</v>
      </c>
      <c r="N11" s="480">
        <v>35</v>
      </c>
      <c r="O11" s="480">
        <v>35</v>
      </c>
    </row>
    <row r="12" spans="1:15">
      <c r="A12" s="109" t="s">
        <v>913</v>
      </c>
      <c r="B12" s="111"/>
      <c r="C12" s="112"/>
      <c r="D12" s="112" t="s">
        <v>615</v>
      </c>
      <c r="E12" s="113">
        <f>+E9*(E6-E8)/(E7-E8)</f>
        <v>7</v>
      </c>
      <c r="F12" s="113">
        <f>+F9*(F6-F8)/(F7-F8)</f>
        <v>7.3043478260869561</v>
      </c>
      <c r="G12" s="113">
        <f>+G9*(G6-G8)/(G7-G8)</f>
        <v>7.6363636363636367</v>
      </c>
      <c r="H12" s="113">
        <f>+H9*(H6-H8)/(H7-H8)</f>
        <v>8</v>
      </c>
      <c r="I12" s="113">
        <f>+I9*(I6-I8)/(I7-I8)</f>
        <v>8.4</v>
      </c>
      <c r="J12" s="113">
        <f t="shared" ref="J12:L12" si="0">+J9*(J6-J8)/(J7-J8)</f>
        <v>8.8421052631578956</v>
      </c>
      <c r="K12" s="113">
        <f t="shared" si="0"/>
        <v>9.3333333333333339</v>
      </c>
      <c r="L12" s="113">
        <f t="shared" si="0"/>
        <v>9.882352941176471</v>
      </c>
      <c r="M12" s="113">
        <f t="shared" ref="M12:N12" si="1">+M9*(M6-M8)/(M7-M8)</f>
        <v>10.5</v>
      </c>
      <c r="N12" s="113">
        <f t="shared" si="1"/>
        <v>11.2</v>
      </c>
      <c r="O12" s="113">
        <f t="shared" ref="O12" si="2">+O9*(O6-O8)/(O7-O8)</f>
        <v>12</v>
      </c>
    </row>
    <row r="13" spans="1:15">
      <c r="A13" s="109"/>
      <c r="B13" s="111"/>
      <c r="C13" s="112"/>
      <c r="D13" s="112"/>
      <c r="E13" s="113"/>
      <c r="F13" s="113"/>
      <c r="G13" s="113"/>
      <c r="H13" s="113"/>
      <c r="I13" s="113"/>
      <c r="J13" s="113"/>
      <c r="K13" s="113"/>
      <c r="L13" s="113"/>
      <c r="M13" s="113"/>
      <c r="N13" s="113"/>
      <c r="O13" s="113"/>
    </row>
    <row r="14" spans="1:15">
      <c r="A14" s="109" t="s">
        <v>917</v>
      </c>
      <c r="B14" s="572" t="s">
        <v>939</v>
      </c>
      <c r="C14" s="94"/>
      <c r="D14" s="94" t="s">
        <v>915</v>
      </c>
      <c r="E14" s="558">
        <f>+E9*0.06*1.16*(E6-E8)</f>
        <v>23.385599999999997</v>
      </c>
      <c r="F14" s="558">
        <f>+F9*0.06*1.16*(F6-F8)</f>
        <v>23.385599999999997</v>
      </c>
      <c r="G14" s="558">
        <f>+G9*0.06*1.16*(G6-G8)</f>
        <v>23.385599999999997</v>
      </c>
      <c r="H14" s="558">
        <f>+H9*0.06*1.16*(H6-H8)</f>
        <v>23.385599999999997</v>
      </c>
      <c r="I14" s="558">
        <f>+I9*0.06*1.16*(I6-I8)</f>
        <v>23.385599999999997</v>
      </c>
      <c r="J14" s="558">
        <f t="shared" ref="J14:L14" si="3">+J9*0.06*1.16*(J6-J8)</f>
        <v>23.385599999999997</v>
      </c>
      <c r="K14" s="558">
        <f t="shared" si="3"/>
        <v>23.385599999999997</v>
      </c>
      <c r="L14" s="558">
        <f t="shared" si="3"/>
        <v>23.385599999999997</v>
      </c>
      <c r="M14" s="558">
        <f t="shared" ref="M14:N14" si="4">+M9*0.06*1.16*(M6-M8)</f>
        <v>23.385599999999997</v>
      </c>
      <c r="N14" s="558">
        <f t="shared" si="4"/>
        <v>23.385599999999997</v>
      </c>
      <c r="O14" s="558">
        <f t="shared" ref="O14" si="5">+O9*0.06*1.16*(O6-O8)</f>
        <v>23.385599999999997</v>
      </c>
    </row>
    <row r="15" spans="1:15">
      <c r="A15" s="109" t="s">
        <v>920</v>
      </c>
      <c r="B15" s="572" t="s">
        <v>942</v>
      </c>
      <c r="C15" s="112"/>
      <c r="D15" s="112" t="s">
        <v>915</v>
      </c>
      <c r="E15" s="113">
        <f>+E9*0.06*1.16*(E11-E8)</f>
        <v>19.209599999999998</v>
      </c>
      <c r="F15" s="113">
        <f>+F9*0.06*1.16*(F11-F8)</f>
        <v>19.209599999999998</v>
      </c>
      <c r="G15" s="113">
        <f>+G9*0.06*1.16*(G11-G8)</f>
        <v>19.209599999999998</v>
      </c>
      <c r="H15" s="113">
        <f>+H9*0.06*1.16*(H11-H8)</f>
        <v>19.209599999999998</v>
      </c>
      <c r="I15" s="113">
        <f>+I9*0.06*1.16*(I11-I8)</f>
        <v>19.209599999999998</v>
      </c>
      <c r="J15" s="113">
        <f t="shared" ref="J15:L15" si="6">+J9*0.06*1.16*(J11-J8)</f>
        <v>19.209599999999998</v>
      </c>
      <c r="K15" s="113">
        <f t="shared" si="6"/>
        <v>19.209599999999998</v>
      </c>
      <c r="L15" s="113">
        <f t="shared" si="6"/>
        <v>19.209599999999998</v>
      </c>
      <c r="M15" s="113">
        <f t="shared" ref="M15:N15" si="7">+M9*0.06*1.16*(M11-M8)</f>
        <v>19.209599999999998</v>
      </c>
      <c r="N15" s="113">
        <f t="shared" si="7"/>
        <v>19.209599999999998</v>
      </c>
      <c r="O15" s="113">
        <f t="shared" ref="O15" si="8">+O9*0.06*1.16*(O11-O8)</f>
        <v>19.209599999999998</v>
      </c>
    </row>
    <row r="16" spans="1:15">
      <c r="A16" s="109" t="s">
        <v>921</v>
      </c>
      <c r="B16" s="572" t="s">
        <v>941</v>
      </c>
      <c r="C16" s="112"/>
      <c r="D16" s="112" t="s">
        <v>615</v>
      </c>
      <c r="E16" s="113">
        <f>+E9*E10</f>
        <v>12</v>
      </c>
      <c r="F16" s="113">
        <f>+F9*F10</f>
        <v>12</v>
      </c>
      <c r="G16" s="113">
        <f>+G9*G10</f>
        <v>12</v>
      </c>
      <c r="H16" s="113">
        <f>+H9*H10</f>
        <v>12</v>
      </c>
      <c r="I16" s="113">
        <f>+I9*I10</f>
        <v>12</v>
      </c>
      <c r="J16" s="113">
        <f t="shared" ref="J16:L16" si="9">+J9*J10</f>
        <v>12</v>
      </c>
      <c r="K16" s="113">
        <f t="shared" si="9"/>
        <v>12</v>
      </c>
      <c r="L16" s="113">
        <f t="shared" si="9"/>
        <v>12</v>
      </c>
      <c r="M16" s="113">
        <f t="shared" ref="M16:N16" si="10">+M9*M10</f>
        <v>12</v>
      </c>
      <c r="N16" s="113">
        <f t="shared" si="10"/>
        <v>12</v>
      </c>
      <c r="O16" s="113">
        <f t="shared" ref="O16" si="11">+O9*O10</f>
        <v>12</v>
      </c>
    </row>
    <row r="17" spans="1:15">
      <c r="A17" s="109" t="s">
        <v>919</v>
      </c>
      <c r="B17" s="572" t="s">
        <v>940</v>
      </c>
      <c r="C17" s="94"/>
      <c r="D17" s="94" t="s">
        <v>915</v>
      </c>
      <c r="E17" s="558">
        <f>+E16*0.06*1.16*(E11-E8)</f>
        <v>19.209599999999998</v>
      </c>
      <c r="F17" s="558">
        <f>+F16*0.06*1.16*(F11-F8)</f>
        <v>19.209599999999998</v>
      </c>
      <c r="G17" s="558">
        <f>+G16*0.06*1.16*(G11-G8)</f>
        <v>19.209599999999998</v>
      </c>
      <c r="H17" s="558">
        <f>+H16*0.06*1.16*(H11-H8)</f>
        <v>19.209599999999998</v>
      </c>
      <c r="I17" s="558">
        <f>+I16*0.06*1.16*(I11-I8)</f>
        <v>19.209599999999998</v>
      </c>
      <c r="J17" s="558">
        <f t="shared" ref="J17:L17" si="12">+J16*0.06*1.16*(J11-J8)</f>
        <v>19.209599999999998</v>
      </c>
      <c r="K17" s="558">
        <f t="shared" si="12"/>
        <v>19.209599999999998</v>
      </c>
      <c r="L17" s="558">
        <f t="shared" si="12"/>
        <v>19.209599999999998</v>
      </c>
      <c r="M17" s="558">
        <f t="shared" ref="M17:N17" si="13">+M16*0.06*1.16*(M11-M8)</f>
        <v>19.209599999999998</v>
      </c>
      <c r="N17" s="558">
        <f t="shared" si="13"/>
        <v>19.209599999999998</v>
      </c>
      <c r="O17" s="558">
        <f t="shared" ref="O17" si="14">+O16*0.06*1.16*(O11-O8)</f>
        <v>19.209599999999998</v>
      </c>
    </row>
    <row r="18" spans="1:15" ht="13.5" thickBot="1">
      <c r="A18" s="193"/>
      <c r="B18" s="483"/>
      <c r="C18" s="185"/>
      <c r="D18" s="185"/>
      <c r="E18" s="194"/>
      <c r="F18" s="194"/>
      <c r="G18" s="194"/>
      <c r="H18" s="194"/>
      <c r="I18" s="194"/>
      <c r="J18" s="194"/>
      <c r="K18" s="194"/>
      <c r="L18" s="194"/>
      <c r="M18" s="194"/>
      <c r="N18" s="194"/>
      <c r="O18" s="194"/>
    </row>
    <row r="19" spans="1:15">
      <c r="A19" s="517" t="s">
        <v>907</v>
      </c>
      <c r="B19" s="518"/>
      <c r="C19" s="519"/>
      <c r="D19" s="519"/>
      <c r="E19" s="520"/>
      <c r="F19" s="520"/>
      <c r="G19" s="520"/>
      <c r="H19" s="520"/>
      <c r="I19" s="520"/>
      <c r="J19" s="520"/>
      <c r="K19" s="520"/>
      <c r="L19" s="520"/>
      <c r="M19" s="520"/>
      <c r="N19" s="520"/>
      <c r="O19" s="520"/>
    </row>
    <row r="20" spans="1:15">
      <c r="A20" s="514"/>
      <c r="B20" s="201"/>
      <c r="C20" s="187"/>
      <c r="D20" s="187"/>
      <c r="E20" s="515"/>
      <c r="F20" s="515"/>
      <c r="G20" s="515"/>
      <c r="H20" s="515"/>
      <c r="I20" s="515"/>
      <c r="J20" s="515"/>
      <c r="K20" s="515"/>
      <c r="L20" s="515"/>
      <c r="M20" s="515"/>
      <c r="N20" s="515"/>
      <c r="O20" s="515"/>
    </row>
    <row r="21" spans="1:15">
      <c r="A21" s="109" t="s">
        <v>924</v>
      </c>
      <c r="B21" s="111"/>
      <c r="C21" s="112"/>
      <c r="D21" s="112" t="s">
        <v>615</v>
      </c>
      <c r="E21" s="558">
        <f>+E$9</f>
        <v>12</v>
      </c>
      <c r="F21" s="558">
        <f>+F$9</f>
        <v>12</v>
      </c>
      <c r="G21" s="558">
        <f>+G$9</f>
        <v>12</v>
      </c>
      <c r="H21" s="558">
        <f>+H$9</f>
        <v>12</v>
      </c>
      <c r="I21" s="558">
        <f>+I$9</f>
        <v>12</v>
      </c>
      <c r="J21" s="558">
        <f t="shared" ref="J21:O21" si="15">+J$9</f>
        <v>12</v>
      </c>
      <c r="K21" s="558">
        <f t="shared" si="15"/>
        <v>12</v>
      </c>
      <c r="L21" s="558">
        <f t="shared" si="15"/>
        <v>12</v>
      </c>
      <c r="M21" s="558">
        <f t="shared" si="15"/>
        <v>12</v>
      </c>
      <c r="N21" s="558">
        <f t="shared" si="15"/>
        <v>12</v>
      </c>
      <c r="O21" s="558">
        <f t="shared" si="15"/>
        <v>12</v>
      </c>
    </row>
    <row r="22" spans="1:15">
      <c r="A22" s="109" t="s">
        <v>925</v>
      </c>
      <c r="B22" s="94"/>
      <c r="C22" s="94"/>
      <c r="D22" s="112" t="s">
        <v>615</v>
      </c>
      <c r="E22" s="558">
        <f>+E$16</f>
        <v>12</v>
      </c>
      <c r="F22" s="558">
        <f>+F$16</f>
        <v>12</v>
      </c>
      <c r="G22" s="558">
        <f>+G$16</f>
        <v>12</v>
      </c>
      <c r="H22" s="558">
        <f>+H$16</f>
        <v>12</v>
      </c>
      <c r="I22" s="558">
        <f>+I$16</f>
        <v>12</v>
      </c>
      <c r="J22" s="558">
        <f t="shared" ref="J22:O22" si="16">+J$16</f>
        <v>12</v>
      </c>
      <c r="K22" s="558">
        <f t="shared" si="16"/>
        <v>12</v>
      </c>
      <c r="L22" s="558">
        <f t="shared" si="16"/>
        <v>12</v>
      </c>
      <c r="M22" s="558">
        <f t="shared" si="16"/>
        <v>12</v>
      </c>
      <c r="N22" s="558">
        <f t="shared" si="16"/>
        <v>12</v>
      </c>
      <c r="O22" s="558">
        <f t="shared" si="16"/>
        <v>12</v>
      </c>
    </row>
    <row r="23" spans="1:15">
      <c r="A23" s="533" t="s">
        <v>922</v>
      </c>
      <c r="B23" s="564"/>
      <c r="C23" s="94"/>
      <c r="D23" s="94" t="s">
        <v>207</v>
      </c>
      <c r="E23" s="558">
        <f>+E$8</f>
        <v>12</v>
      </c>
      <c r="F23" s="558">
        <f>+F$8</f>
        <v>12</v>
      </c>
      <c r="G23" s="558">
        <f>+G$8</f>
        <v>12</v>
      </c>
      <c r="H23" s="558">
        <f>+H$8</f>
        <v>12</v>
      </c>
      <c r="I23" s="558">
        <f>+I$8</f>
        <v>12</v>
      </c>
      <c r="J23" s="558">
        <f t="shared" ref="J23:O23" si="17">+J$8</f>
        <v>12</v>
      </c>
      <c r="K23" s="558">
        <f t="shared" si="17"/>
        <v>12</v>
      </c>
      <c r="L23" s="558">
        <f t="shared" si="17"/>
        <v>12</v>
      </c>
      <c r="M23" s="558">
        <f t="shared" si="17"/>
        <v>12</v>
      </c>
      <c r="N23" s="558">
        <f t="shared" si="17"/>
        <v>12</v>
      </c>
      <c r="O23" s="558">
        <f t="shared" si="17"/>
        <v>12</v>
      </c>
    </row>
    <row r="24" spans="1:15">
      <c r="A24" s="533" t="s">
        <v>923</v>
      </c>
      <c r="B24" s="564"/>
      <c r="C24" s="94"/>
      <c r="D24" s="94" t="s">
        <v>207</v>
      </c>
      <c r="E24" s="558">
        <f>+E$11</f>
        <v>35</v>
      </c>
      <c r="F24" s="558">
        <f>+F$11</f>
        <v>35</v>
      </c>
      <c r="G24" s="558">
        <f>+G$11</f>
        <v>35</v>
      </c>
      <c r="H24" s="558">
        <f>+H$11</f>
        <v>35</v>
      </c>
      <c r="I24" s="558">
        <f>+I$11</f>
        <v>35</v>
      </c>
      <c r="J24" s="558">
        <f t="shared" ref="J24:O24" si="18">+J$11</f>
        <v>35</v>
      </c>
      <c r="K24" s="558">
        <f t="shared" si="18"/>
        <v>35</v>
      </c>
      <c r="L24" s="558">
        <f t="shared" si="18"/>
        <v>35</v>
      </c>
      <c r="M24" s="558">
        <f t="shared" si="18"/>
        <v>35</v>
      </c>
      <c r="N24" s="558">
        <f t="shared" si="18"/>
        <v>35</v>
      </c>
      <c r="O24" s="558">
        <f t="shared" si="18"/>
        <v>35</v>
      </c>
    </row>
    <row r="25" spans="1:15">
      <c r="A25" s="533" t="s">
        <v>916</v>
      </c>
      <c r="B25" s="564"/>
      <c r="C25" s="94"/>
      <c r="D25" s="94" t="s">
        <v>915</v>
      </c>
      <c r="E25" s="558">
        <f>+MIN(E21:E22)*0.06*1.16*(E24-E23)</f>
        <v>19.209599999999998</v>
      </c>
      <c r="F25" s="558">
        <f>+MIN(F21:F22)*0.06*1.16*(F24-F23)</f>
        <v>19.209599999999998</v>
      </c>
      <c r="G25" s="558">
        <f>+MIN(G21:G22)*0.06*1.16*(G24-G23)</f>
        <v>19.209599999999998</v>
      </c>
      <c r="H25" s="558">
        <f>+MIN(H21:H22)*0.06*1.16*(H24-H23)</f>
        <v>19.209599999999998</v>
      </c>
      <c r="I25" s="558">
        <f>+MIN(I21:I22)*0.06*1.16*(I24-I23)</f>
        <v>19.209599999999998</v>
      </c>
      <c r="J25" s="558">
        <f t="shared" ref="J25:L25" si="19">+MIN(J21:J22)*0.06*1.16*(J24-J23)</f>
        <v>19.209599999999998</v>
      </c>
      <c r="K25" s="558">
        <f t="shared" si="19"/>
        <v>19.209599999999998</v>
      </c>
      <c r="L25" s="558">
        <f t="shared" si="19"/>
        <v>19.209599999999998</v>
      </c>
      <c r="M25" s="558">
        <f t="shared" ref="M25:N25" si="20">+MIN(M21:M22)*0.06*1.16*(M24-M23)</f>
        <v>19.209599999999998</v>
      </c>
      <c r="N25" s="558">
        <f t="shared" si="20"/>
        <v>19.209599999999998</v>
      </c>
      <c r="O25" s="558">
        <f t="shared" ref="O25" si="21">+MIN(O21:O22)*0.06*1.16*(O24-O23)</f>
        <v>19.209599999999998</v>
      </c>
    </row>
    <row r="26" spans="1:15">
      <c r="A26" s="94"/>
      <c r="B26" s="94"/>
      <c r="C26" s="94"/>
      <c r="D26" s="94" t="s">
        <v>431</v>
      </c>
      <c r="E26" s="579">
        <f>+E25/E$14</f>
        <v>0.82142857142857151</v>
      </c>
      <c r="F26" s="579">
        <f t="shared" ref="F26:O26" si="22">+F25/F$14</f>
        <v>0.82142857142857151</v>
      </c>
      <c r="G26" s="579">
        <f t="shared" si="22"/>
        <v>0.82142857142857151</v>
      </c>
      <c r="H26" s="579">
        <f t="shared" si="22"/>
        <v>0.82142857142857151</v>
      </c>
      <c r="I26" s="579">
        <f t="shared" si="22"/>
        <v>0.82142857142857151</v>
      </c>
      <c r="J26" s="579">
        <f t="shared" si="22"/>
        <v>0.82142857142857151</v>
      </c>
      <c r="K26" s="579">
        <f t="shared" si="22"/>
        <v>0.82142857142857151</v>
      </c>
      <c r="L26" s="579">
        <f t="shared" si="22"/>
        <v>0.82142857142857151</v>
      </c>
      <c r="M26" s="579">
        <f t="shared" si="22"/>
        <v>0.82142857142857151</v>
      </c>
      <c r="N26" s="579">
        <f t="shared" si="22"/>
        <v>0.82142857142857151</v>
      </c>
      <c r="O26" s="579">
        <f t="shared" si="22"/>
        <v>0.82142857142857151</v>
      </c>
    </row>
    <row r="27" spans="1:15">
      <c r="A27" s="94"/>
      <c r="B27" s="94"/>
      <c r="C27" s="94"/>
      <c r="D27" s="94"/>
      <c r="E27" s="579"/>
      <c r="F27" s="579"/>
      <c r="G27" s="579"/>
      <c r="H27" s="579"/>
      <c r="I27" s="579"/>
      <c r="J27" s="579"/>
      <c r="K27" s="579"/>
      <c r="L27" s="579"/>
      <c r="M27" s="579"/>
      <c r="N27" s="579"/>
      <c r="O27" s="579"/>
    </row>
    <row r="28" spans="1:15">
      <c r="A28" s="533" t="s">
        <v>931</v>
      </c>
      <c r="B28" s="94"/>
      <c r="C28" s="94"/>
      <c r="D28" s="94" t="s">
        <v>431</v>
      </c>
      <c r="E28" s="569">
        <v>25</v>
      </c>
      <c r="F28" s="569">
        <f>+E28</f>
        <v>25</v>
      </c>
      <c r="G28" s="569">
        <f t="shared" ref="G28:O28" si="23">+F28</f>
        <v>25</v>
      </c>
      <c r="H28" s="569">
        <f t="shared" si="23"/>
        <v>25</v>
      </c>
      <c r="I28" s="569">
        <f t="shared" si="23"/>
        <v>25</v>
      </c>
      <c r="J28" s="569">
        <f t="shared" si="23"/>
        <v>25</v>
      </c>
      <c r="K28" s="569">
        <f t="shared" si="23"/>
        <v>25</v>
      </c>
      <c r="L28" s="569">
        <f t="shared" si="23"/>
        <v>25</v>
      </c>
      <c r="M28" s="569">
        <f t="shared" si="23"/>
        <v>25</v>
      </c>
      <c r="N28" s="569">
        <f t="shared" si="23"/>
        <v>25</v>
      </c>
      <c r="O28" s="569">
        <f t="shared" si="23"/>
        <v>25</v>
      </c>
    </row>
    <row r="29" spans="1:15">
      <c r="A29" s="533" t="s">
        <v>932</v>
      </c>
      <c r="B29" s="94"/>
      <c r="C29" s="94"/>
      <c r="D29" s="94" t="s">
        <v>915</v>
      </c>
      <c r="E29" s="190">
        <f>+E28*E25/100</f>
        <v>4.8023999999999996</v>
      </c>
      <c r="F29" s="190">
        <f>+F28*F25/100</f>
        <v>4.8023999999999996</v>
      </c>
      <c r="G29" s="190">
        <f>+G28*G25/100</f>
        <v>4.8023999999999996</v>
      </c>
      <c r="H29" s="190">
        <f>+H28*H25/100</f>
        <v>4.8023999999999996</v>
      </c>
      <c r="I29" s="190">
        <f>+I28*I25/100</f>
        <v>4.8023999999999996</v>
      </c>
      <c r="J29" s="190">
        <f t="shared" ref="J29:L29" si="24">+J28*J25/100</f>
        <v>4.8023999999999996</v>
      </c>
      <c r="K29" s="190">
        <f t="shared" si="24"/>
        <v>4.8023999999999996</v>
      </c>
      <c r="L29" s="190">
        <f t="shared" si="24"/>
        <v>4.8023999999999996</v>
      </c>
      <c r="M29" s="190">
        <f t="shared" ref="M29:N29" si="25">+M28*M25/100</f>
        <v>4.8023999999999996</v>
      </c>
      <c r="N29" s="190">
        <f t="shared" si="25"/>
        <v>4.8023999999999996</v>
      </c>
      <c r="O29" s="190">
        <f t="shared" ref="O29" si="26">+O28*O25/100</f>
        <v>4.8023999999999996</v>
      </c>
    </row>
    <row r="30" spans="1:15">
      <c r="A30" s="109" t="s">
        <v>930</v>
      </c>
      <c r="B30" s="111"/>
      <c r="C30" s="112"/>
      <c r="D30" s="112" t="s">
        <v>431</v>
      </c>
      <c r="E30" s="557">
        <f>+E29/E$14</f>
        <v>0.20535714285714288</v>
      </c>
      <c r="F30" s="557">
        <f>+F29/F$14</f>
        <v>0.20535714285714288</v>
      </c>
      <c r="G30" s="557">
        <f>+G29/G$14</f>
        <v>0.20535714285714288</v>
      </c>
      <c r="H30" s="557">
        <f>+H29/H$14</f>
        <v>0.20535714285714288</v>
      </c>
      <c r="I30" s="557">
        <f>+I29/I$14</f>
        <v>0.20535714285714288</v>
      </c>
      <c r="J30" s="557">
        <f t="shared" ref="J30:L30" si="27">+J29/J$14</f>
        <v>0.20535714285714288</v>
      </c>
      <c r="K30" s="557">
        <f t="shared" si="27"/>
        <v>0.20535714285714288</v>
      </c>
      <c r="L30" s="557">
        <f t="shared" si="27"/>
        <v>0.20535714285714288</v>
      </c>
      <c r="M30" s="557">
        <f t="shared" ref="M30:N30" si="28">+M29/M$14</f>
        <v>0.20535714285714288</v>
      </c>
      <c r="N30" s="557">
        <f t="shared" si="28"/>
        <v>0.20535714285714288</v>
      </c>
      <c r="O30" s="557">
        <f t="shared" ref="O30" si="29">+O29/O$14</f>
        <v>0.20535714285714288</v>
      </c>
    </row>
    <row r="31" spans="1:15">
      <c r="A31" s="109"/>
      <c r="B31" s="111"/>
      <c r="C31" s="112"/>
      <c r="D31" s="112"/>
      <c r="E31" s="113"/>
      <c r="F31" s="113"/>
      <c r="G31" s="113"/>
      <c r="H31" s="113"/>
      <c r="I31" s="113"/>
      <c r="J31" s="113"/>
      <c r="K31" s="113"/>
      <c r="L31" s="113"/>
      <c r="M31" s="113"/>
      <c r="N31" s="113"/>
      <c r="O31" s="113"/>
    </row>
    <row r="32" spans="1:15">
      <c r="A32" s="533" t="s">
        <v>929</v>
      </c>
      <c r="B32" s="94"/>
      <c r="C32" s="94"/>
      <c r="D32" s="94" t="s">
        <v>207</v>
      </c>
      <c r="E32" s="190">
        <f>+E23+E29/(E21*60/1000)/1.16</f>
        <v>17.75</v>
      </c>
      <c r="F32" s="190">
        <f>+F23+F29/(F21*60/1000)/1.16</f>
        <v>17.75</v>
      </c>
      <c r="G32" s="190">
        <f>+G23+G29/(G21*60/1000)/1.16</f>
        <v>17.75</v>
      </c>
      <c r="H32" s="190">
        <f>+H23+H29/(H21*60/1000)/1.16</f>
        <v>17.75</v>
      </c>
      <c r="I32" s="190">
        <f>+I23+I29/(I21*60/1000)/1.16</f>
        <v>17.75</v>
      </c>
      <c r="J32" s="190">
        <f t="shared" ref="J32:L32" si="30">+J23+J29/(J21*60/1000)/1.16</f>
        <v>17.75</v>
      </c>
      <c r="K32" s="190">
        <f t="shared" si="30"/>
        <v>17.75</v>
      </c>
      <c r="L32" s="190">
        <f t="shared" si="30"/>
        <v>17.75</v>
      </c>
      <c r="M32" s="190">
        <f t="shared" ref="M32:N32" si="31">+M23+M29/(M21*60/1000)/1.16</f>
        <v>17.75</v>
      </c>
      <c r="N32" s="190">
        <f t="shared" si="31"/>
        <v>17.75</v>
      </c>
      <c r="O32" s="190">
        <f t="shared" ref="O32" si="32">+O23+O29/(O21*60/1000)/1.16</f>
        <v>17.75</v>
      </c>
    </row>
    <row r="33" spans="1:15">
      <c r="A33" s="533" t="s">
        <v>926</v>
      </c>
      <c r="B33" s="564"/>
      <c r="C33" s="94"/>
      <c r="D33" s="94"/>
      <c r="E33" s="570">
        <f>+(E$6-E32)/(E$7-E32)</f>
        <v>0.52662721893491127</v>
      </c>
      <c r="F33" s="570">
        <f>+(F$6-F32)/(F$7-F32)</f>
        <v>0.55279503105590067</v>
      </c>
      <c r="G33" s="570">
        <f>+(G$6-G32)/(G$7-G32)</f>
        <v>0.5816993464052288</v>
      </c>
      <c r="H33" s="570">
        <f>+(H$6-H32)/(H$7-H32)</f>
        <v>0.61379310344827587</v>
      </c>
      <c r="I33" s="570">
        <f>+(I$6-I32)/(I$7-I32)</f>
        <v>0.64963503649635035</v>
      </c>
      <c r="J33" s="570">
        <f t="shared" ref="J33:L33" si="33">+(J$6-J32)/(J$7-J32)</f>
        <v>0.68992248062015504</v>
      </c>
      <c r="K33" s="570">
        <f t="shared" si="33"/>
        <v>0.73553719008264462</v>
      </c>
      <c r="L33" s="570">
        <f t="shared" si="33"/>
        <v>0.78761061946902655</v>
      </c>
      <c r="M33" s="570">
        <f t="shared" ref="M33:N33" si="34">+(M$6-M32)/(M$7-M32)</f>
        <v>0.84761904761904761</v>
      </c>
      <c r="N33" s="570">
        <f t="shared" si="34"/>
        <v>0.91752577319587625</v>
      </c>
      <c r="O33" s="570">
        <f t="shared" ref="O33" si="35">+(O$6-O32)/(O$7-O32)</f>
        <v>1</v>
      </c>
    </row>
    <row r="34" spans="1:15">
      <c r="A34" s="109" t="s">
        <v>927</v>
      </c>
      <c r="B34" s="565"/>
      <c r="C34" s="566"/>
      <c r="D34" s="112" t="s">
        <v>615</v>
      </c>
      <c r="E34" s="558">
        <f>+E$9*E33</f>
        <v>6.3195266272189352</v>
      </c>
      <c r="F34" s="558">
        <f>+F$9*F33</f>
        <v>6.633540372670808</v>
      </c>
      <c r="G34" s="558">
        <f>+G$9*G33</f>
        <v>6.9803921568627452</v>
      </c>
      <c r="H34" s="558">
        <f>+H$9*H33</f>
        <v>7.36551724137931</v>
      </c>
      <c r="I34" s="558">
        <f>+I$9*I33</f>
        <v>7.7956204379562042</v>
      </c>
      <c r="J34" s="558">
        <f t="shared" ref="J34:L34" si="36">+J$9*J33</f>
        <v>8.279069767441861</v>
      </c>
      <c r="K34" s="558">
        <f t="shared" si="36"/>
        <v>8.8264462809917354</v>
      </c>
      <c r="L34" s="558">
        <f t="shared" si="36"/>
        <v>9.4513274336283182</v>
      </c>
      <c r="M34" s="558">
        <f t="shared" ref="M34:N34" si="37">+M$9*M33</f>
        <v>10.171428571428571</v>
      </c>
      <c r="N34" s="558">
        <f t="shared" si="37"/>
        <v>11.010309278350515</v>
      </c>
      <c r="O34" s="558">
        <f t="shared" ref="O34" si="38">+O$9*O33</f>
        <v>12</v>
      </c>
    </row>
    <row r="35" spans="1:15">
      <c r="A35" s="109" t="s">
        <v>928</v>
      </c>
      <c r="B35" s="111"/>
      <c r="C35" s="112"/>
      <c r="D35" s="112" t="s">
        <v>615</v>
      </c>
      <c r="E35" s="113">
        <f>+E$9-E34</f>
        <v>5.6804733727810648</v>
      </c>
      <c r="F35" s="113">
        <f>+F$9-F34</f>
        <v>5.366459627329192</v>
      </c>
      <c r="G35" s="113">
        <f>+G$9-G34</f>
        <v>5.0196078431372548</v>
      </c>
      <c r="H35" s="113">
        <f>+H$9-H34</f>
        <v>4.63448275862069</v>
      </c>
      <c r="I35" s="113">
        <f>+I$9-I34</f>
        <v>4.2043795620437958</v>
      </c>
      <c r="J35" s="113">
        <f t="shared" ref="J35:L35" si="39">+J$9-J34</f>
        <v>3.720930232558139</v>
      </c>
      <c r="K35" s="113">
        <f t="shared" si="39"/>
        <v>3.1735537190082646</v>
      </c>
      <c r="L35" s="113">
        <f t="shared" si="39"/>
        <v>2.5486725663716818</v>
      </c>
      <c r="M35" s="113">
        <f t="shared" ref="M35:N35" si="40">+M$9-M34</f>
        <v>1.8285714285714292</v>
      </c>
      <c r="N35" s="113">
        <f t="shared" si="40"/>
        <v>0.98969072164948457</v>
      </c>
      <c r="O35" s="113">
        <f t="shared" ref="O35" si="41">+O$9-O34</f>
        <v>0</v>
      </c>
    </row>
    <row r="36" spans="1:15">
      <c r="A36" s="193"/>
      <c r="B36" s="483"/>
      <c r="C36" s="185"/>
      <c r="D36" s="185"/>
      <c r="E36" s="194"/>
      <c r="F36" s="194"/>
      <c r="G36" s="194"/>
      <c r="H36" s="194"/>
      <c r="I36" s="194"/>
      <c r="J36" s="194"/>
      <c r="K36" s="194"/>
      <c r="L36" s="194"/>
      <c r="M36" s="194"/>
      <c r="N36" s="194"/>
      <c r="O36" s="194"/>
    </row>
    <row r="37" spans="1:15">
      <c r="A37" s="109" t="s">
        <v>968</v>
      </c>
      <c r="B37" s="483"/>
      <c r="C37" s="185"/>
      <c r="D37" s="185"/>
      <c r="E37" s="587">
        <v>0.6160714285714286</v>
      </c>
      <c r="F37" s="587">
        <v>0.6160714285714286</v>
      </c>
      <c r="G37" s="587">
        <v>0.6160714285714286</v>
      </c>
      <c r="H37" s="587">
        <v>0.6160714285714286</v>
      </c>
      <c r="I37" s="587">
        <v>0.6160714285714286</v>
      </c>
      <c r="J37" s="587">
        <v>0.6160714285714286</v>
      </c>
      <c r="K37" s="587">
        <v>0.6160714285714286</v>
      </c>
      <c r="L37" s="587">
        <v>0.6160714285714286</v>
      </c>
      <c r="M37" s="587">
        <v>0.6160714285714286</v>
      </c>
      <c r="N37" s="587">
        <v>0.6160714285714286</v>
      </c>
      <c r="O37" s="587">
        <v>0.6160714285714286</v>
      </c>
    </row>
    <row r="38" spans="1:15">
      <c r="A38" s="109" t="s">
        <v>969</v>
      </c>
      <c r="B38" s="483"/>
      <c r="C38" s="185"/>
      <c r="D38" s="185"/>
      <c r="E38" s="587">
        <v>0.41071428571428575</v>
      </c>
      <c r="F38" s="587">
        <v>0.41071428571428575</v>
      </c>
      <c r="G38" s="587">
        <v>0.41071428571428575</v>
      </c>
      <c r="H38" s="587">
        <v>0.41071428571428575</v>
      </c>
      <c r="I38" s="587">
        <v>0.41071428571428575</v>
      </c>
      <c r="J38" s="587">
        <v>0.41071428571428575</v>
      </c>
      <c r="K38" s="587">
        <v>0.41071428571428575</v>
      </c>
      <c r="L38" s="587">
        <v>0.41071428571428575</v>
      </c>
      <c r="M38" s="587">
        <v>0.41071428571428575</v>
      </c>
      <c r="N38" s="587">
        <v>0.41071428571428575</v>
      </c>
      <c r="O38" s="587">
        <v>0.41071428571428575</v>
      </c>
    </row>
    <row r="39" spans="1:15">
      <c r="A39" s="109" t="s">
        <v>970</v>
      </c>
      <c r="B39" s="483"/>
      <c r="C39" s="185"/>
      <c r="D39" s="185"/>
      <c r="E39" s="587">
        <v>0.20535714285714288</v>
      </c>
      <c r="F39" s="587">
        <v>0.20535714285714288</v>
      </c>
      <c r="G39" s="587">
        <v>0.20535714285714288</v>
      </c>
      <c r="H39" s="587">
        <v>0.20535714285714288</v>
      </c>
      <c r="I39" s="587">
        <v>0.20535714285714288</v>
      </c>
      <c r="J39" s="587">
        <v>0.20535714285714288</v>
      </c>
      <c r="K39" s="587">
        <v>0.20535714285714288</v>
      </c>
      <c r="L39" s="587">
        <v>0.20535714285714288</v>
      </c>
      <c r="M39" s="587">
        <v>0.20535714285714288</v>
      </c>
      <c r="N39" s="587">
        <v>0.20535714285714288</v>
      </c>
      <c r="O39" s="587">
        <v>0.20535714285714288</v>
      </c>
    </row>
    <row r="40" spans="1:15" ht="13.5" thickBot="1">
      <c r="A40" s="522"/>
      <c r="B40" s="272"/>
      <c r="C40" s="275"/>
      <c r="D40" s="275"/>
      <c r="E40" s="274"/>
      <c r="F40" s="274"/>
      <c r="G40" s="274"/>
      <c r="H40" s="274"/>
      <c r="I40" s="274"/>
      <c r="J40" s="274"/>
      <c r="K40" s="274"/>
      <c r="L40" s="274"/>
      <c r="M40" s="274"/>
      <c r="N40" s="274"/>
      <c r="O40" s="274"/>
    </row>
    <row r="41" spans="1:15">
      <c r="A41" s="517" t="s">
        <v>908</v>
      </c>
      <c r="B41" s="518"/>
      <c r="C41" s="519"/>
      <c r="D41" s="519"/>
      <c r="E41" s="520"/>
      <c r="F41" s="520"/>
      <c r="G41" s="520"/>
      <c r="H41" s="520"/>
      <c r="I41" s="520"/>
      <c r="J41" s="520"/>
      <c r="K41" s="520"/>
      <c r="L41" s="520"/>
      <c r="M41" s="520"/>
      <c r="N41" s="520"/>
      <c r="O41" s="520"/>
    </row>
    <row r="42" spans="1:15">
      <c r="A42" s="514"/>
      <c r="B42" s="201"/>
      <c r="C42" s="187"/>
      <c r="D42" s="187"/>
      <c r="E42" s="515"/>
      <c r="F42" s="515"/>
      <c r="G42" s="515"/>
      <c r="H42" s="515"/>
      <c r="I42" s="515"/>
      <c r="J42" s="515"/>
      <c r="K42" s="515"/>
      <c r="L42" s="515"/>
      <c r="M42" s="515"/>
      <c r="N42" s="515"/>
      <c r="O42" s="515"/>
    </row>
    <row r="43" spans="1:15">
      <c r="A43" s="109" t="s">
        <v>924</v>
      </c>
      <c r="B43" s="572" t="s">
        <v>943</v>
      </c>
      <c r="C43" s="112"/>
      <c r="D43" s="112" t="s">
        <v>615</v>
      </c>
      <c r="E43" s="571">
        <f ca="1">+IFERROR(E64,5)</f>
        <v>9.6</v>
      </c>
      <c r="F43" s="571">
        <f ca="1">+IFERROR(F64,5)</f>
        <v>9.391304347826086</v>
      </c>
      <c r="G43" s="571">
        <f ca="1">+IFERROR(G64,5)</f>
        <v>9.1428571428571423</v>
      </c>
      <c r="H43" s="571">
        <f ca="1">+IFERROR(H64,5)</f>
        <v>8.8421052631578938</v>
      </c>
      <c r="I43" s="571">
        <f ca="1">+IFERROR(I64,5)</f>
        <v>8.4705882352941178</v>
      </c>
      <c r="J43" s="571">
        <f t="shared" ref="J43:L43" ca="1" si="42">+IFERROR(J64,5)</f>
        <v>8</v>
      </c>
      <c r="K43" s="571">
        <f t="shared" ca="1" si="42"/>
        <v>7.3846153846153841</v>
      </c>
      <c r="L43" s="571">
        <f t="shared" ca="1" si="42"/>
        <v>6.5454545454545459</v>
      </c>
      <c r="M43" s="571">
        <f t="shared" ref="M43:N43" ca="1" si="43">+IFERROR(M64,5)</f>
        <v>5.333333333333333</v>
      </c>
      <c r="N43" s="571">
        <f t="shared" ca="1" si="43"/>
        <v>3.4285714285714288</v>
      </c>
      <c r="O43" s="571">
        <f t="shared" ref="O43" ca="1" si="44">+IFERROR(O64,5)</f>
        <v>0</v>
      </c>
    </row>
    <row r="44" spans="1:15">
      <c r="A44" s="109" t="s">
        <v>925</v>
      </c>
      <c r="B44" s="572" t="s">
        <v>941</v>
      </c>
      <c r="C44" s="94"/>
      <c r="D44" s="112" t="s">
        <v>615</v>
      </c>
      <c r="E44" s="558">
        <f>+E$16</f>
        <v>12</v>
      </c>
      <c r="F44" s="558">
        <f>+F$16</f>
        <v>12</v>
      </c>
      <c r="G44" s="558">
        <f>+G$16</f>
        <v>12</v>
      </c>
      <c r="H44" s="558">
        <f>+H$16</f>
        <v>12</v>
      </c>
      <c r="I44" s="558">
        <f>+I$16</f>
        <v>12</v>
      </c>
      <c r="J44" s="558">
        <f t="shared" ref="J44:O44" si="45">+J$16</f>
        <v>12</v>
      </c>
      <c r="K44" s="558">
        <f t="shared" si="45"/>
        <v>12</v>
      </c>
      <c r="L44" s="558">
        <f t="shared" si="45"/>
        <v>12</v>
      </c>
      <c r="M44" s="558">
        <f t="shared" si="45"/>
        <v>12</v>
      </c>
      <c r="N44" s="558">
        <f t="shared" si="45"/>
        <v>12</v>
      </c>
      <c r="O44" s="558">
        <f t="shared" si="45"/>
        <v>12</v>
      </c>
    </row>
    <row r="45" spans="1:15">
      <c r="A45" s="533" t="s">
        <v>922</v>
      </c>
      <c r="B45" s="572" t="s">
        <v>935</v>
      </c>
      <c r="C45" s="94"/>
      <c r="D45" s="94" t="s">
        <v>207</v>
      </c>
      <c r="E45" s="558">
        <f>+E$8</f>
        <v>12</v>
      </c>
      <c r="F45" s="558">
        <f>+F$8</f>
        <v>12</v>
      </c>
      <c r="G45" s="558">
        <f>+G$8</f>
        <v>12</v>
      </c>
      <c r="H45" s="558">
        <f>+H$8</f>
        <v>12</v>
      </c>
      <c r="I45" s="558">
        <f>+I$8</f>
        <v>12</v>
      </c>
      <c r="J45" s="558">
        <f t="shared" ref="J45:O45" si="46">+J$8</f>
        <v>12</v>
      </c>
      <c r="K45" s="558">
        <f t="shared" si="46"/>
        <v>12</v>
      </c>
      <c r="L45" s="558">
        <f t="shared" si="46"/>
        <v>12</v>
      </c>
      <c r="M45" s="558">
        <f t="shared" si="46"/>
        <v>12</v>
      </c>
      <c r="N45" s="558">
        <f t="shared" si="46"/>
        <v>12</v>
      </c>
      <c r="O45" s="558">
        <f t="shared" si="46"/>
        <v>12</v>
      </c>
    </row>
    <row r="46" spans="1:15">
      <c r="A46" s="533" t="s">
        <v>923</v>
      </c>
      <c r="B46" s="572" t="s">
        <v>938</v>
      </c>
      <c r="C46" s="94"/>
      <c r="D46" s="94" t="s">
        <v>207</v>
      </c>
      <c r="E46" s="558">
        <f>+E$11</f>
        <v>35</v>
      </c>
      <c r="F46" s="558">
        <f>+F$11</f>
        <v>35</v>
      </c>
      <c r="G46" s="558">
        <f>+G$11</f>
        <v>35</v>
      </c>
      <c r="H46" s="558">
        <f>+H$11</f>
        <v>35</v>
      </c>
      <c r="I46" s="558">
        <f>+I$11</f>
        <v>35</v>
      </c>
      <c r="J46" s="558">
        <f t="shared" ref="J46:O46" si="47">+J$11</f>
        <v>35</v>
      </c>
      <c r="K46" s="558">
        <f t="shared" si="47"/>
        <v>35</v>
      </c>
      <c r="L46" s="558">
        <f t="shared" si="47"/>
        <v>35</v>
      </c>
      <c r="M46" s="558">
        <f t="shared" si="47"/>
        <v>35</v>
      </c>
      <c r="N46" s="558">
        <f t="shared" si="47"/>
        <v>35</v>
      </c>
      <c r="O46" s="558">
        <f t="shared" si="47"/>
        <v>35</v>
      </c>
    </row>
    <row r="47" spans="1:15">
      <c r="A47" s="533" t="s">
        <v>916</v>
      </c>
      <c r="B47" s="564"/>
      <c r="C47" s="94"/>
      <c r="D47" s="94" t="s">
        <v>915</v>
      </c>
      <c r="E47" s="558">
        <f ca="1">+MIN(E43:E44)*0.06*1.16*(E46-E45)</f>
        <v>15.367679999999996</v>
      </c>
      <c r="F47" s="558">
        <f ca="1">+MIN(F43:F44)*0.06*1.16*(F46-F45)</f>
        <v>15.033599999999996</v>
      </c>
      <c r="G47" s="558">
        <f ca="1">+MIN(G43:G44)*0.06*1.16*(G46-G45)</f>
        <v>14.635885714285712</v>
      </c>
      <c r="H47" s="558">
        <f ca="1">+MIN(H43:H44)*0.06*1.16*(H46-H45)</f>
        <v>14.154442105263156</v>
      </c>
      <c r="I47" s="558">
        <f ca="1">+MIN(I43:I44)*0.06*1.16*(I46-I45)</f>
        <v>13.559717647058822</v>
      </c>
      <c r="J47" s="558">
        <f t="shared" ref="J47:L47" ca="1" si="48">+MIN(J43:J44)*0.06*1.16*(J46-J45)</f>
        <v>12.8064</v>
      </c>
      <c r="K47" s="558">
        <f t="shared" ca="1" si="48"/>
        <v>11.821292307692307</v>
      </c>
      <c r="L47" s="558">
        <f t="shared" ca="1" si="48"/>
        <v>10.477963636363636</v>
      </c>
      <c r="M47" s="558">
        <f t="shared" ref="M47:N47" ca="1" si="49">+MIN(M43:M44)*0.06*1.16*(M46-M45)</f>
        <v>8.5375999999999976</v>
      </c>
      <c r="N47" s="558">
        <f t="shared" ca="1" si="49"/>
        <v>5.4884571428571425</v>
      </c>
      <c r="O47" s="558">
        <f t="shared" ref="O47" ca="1" si="50">+MIN(O43:O44)*0.06*1.16*(O46-O45)</f>
        <v>0</v>
      </c>
    </row>
    <row r="48" spans="1:15">
      <c r="A48" s="109" t="s">
        <v>985</v>
      </c>
      <c r="B48" s="564"/>
      <c r="C48" s="94"/>
      <c r="D48" s="94"/>
      <c r="E48" s="558">
        <v>15.367679999999996</v>
      </c>
      <c r="F48" s="558">
        <v>15.033599999999996</v>
      </c>
      <c r="G48" s="558">
        <v>14.635885714285712</v>
      </c>
      <c r="H48" s="558">
        <v>14.154442105263156</v>
      </c>
      <c r="I48" s="558">
        <v>13.559717647058822</v>
      </c>
      <c r="J48" s="558">
        <v>12.8064</v>
      </c>
      <c r="K48" s="558">
        <v>11.821292307692307</v>
      </c>
      <c r="L48" s="558">
        <v>10.477963636363636</v>
      </c>
      <c r="M48" s="558">
        <v>8.5375999999999976</v>
      </c>
      <c r="N48" s="558">
        <v>5.4884571428571425</v>
      </c>
      <c r="O48" s="558">
        <v>0</v>
      </c>
    </row>
    <row r="49" spans="1:15">
      <c r="A49" s="109" t="s">
        <v>984</v>
      </c>
      <c r="B49" s="111"/>
      <c r="C49" s="112"/>
      <c r="D49" s="112"/>
      <c r="E49" s="558">
        <v>12.494048780487804</v>
      </c>
      <c r="F49" s="558">
        <v>12.026879999999997</v>
      </c>
      <c r="G49" s="558">
        <v>11.489854205607479</v>
      </c>
      <c r="H49" s="558">
        <v>10.866036363636361</v>
      </c>
      <c r="I49" s="558">
        <v>10.132536263736265</v>
      </c>
      <c r="J49" s="558">
        <v>9.257638554216868</v>
      </c>
      <c r="K49" s="558">
        <v>8.1960959999999972</v>
      </c>
      <c r="L49" s="558">
        <v>6.8810507462686559</v>
      </c>
      <c r="M49" s="558">
        <v>5.2093830508474577</v>
      </c>
      <c r="N49" s="558">
        <v>3.0132705882352941</v>
      </c>
      <c r="O49" s="558">
        <v>0</v>
      </c>
    </row>
    <row r="50" spans="1:15">
      <c r="A50" s="109" t="s">
        <v>983</v>
      </c>
      <c r="B50" s="111"/>
      <c r="C50" s="112"/>
      <c r="D50" s="112"/>
      <c r="E50" s="558">
        <v>10.525808219178082</v>
      </c>
      <c r="F50" s="558">
        <v>10.022399999999999</v>
      </c>
      <c r="G50" s="558">
        <v>9.4570338461538466</v>
      </c>
      <c r="H50" s="558">
        <v>8.8175213114754065</v>
      </c>
      <c r="I50" s="558">
        <v>8.0882526315789463</v>
      </c>
      <c r="J50" s="558">
        <v>7.2489056603773596</v>
      </c>
      <c r="K50" s="558">
        <v>6.2725224489795934</v>
      </c>
      <c r="L50" s="558">
        <v>5.1225600000000009</v>
      </c>
      <c r="M50" s="558">
        <v>3.7482146341463389</v>
      </c>
      <c r="N50" s="558">
        <v>2.0767135135135146</v>
      </c>
      <c r="O50" s="558">
        <v>0</v>
      </c>
    </row>
    <row r="51" spans="1:15">
      <c r="A51" s="109" t="s">
        <v>982</v>
      </c>
      <c r="B51" s="111"/>
      <c r="C51" s="112"/>
      <c r="D51" s="112"/>
      <c r="E51" s="558">
        <v>9.0933017751479266</v>
      </c>
      <c r="F51" s="558">
        <v>8.5906285714285691</v>
      </c>
      <c r="G51" s="558">
        <v>8.0353882352941177</v>
      </c>
      <c r="H51" s="558">
        <v>7.4188800000000006</v>
      </c>
      <c r="I51" s="558">
        <v>6.7303708029197074</v>
      </c>
      <c r="J51" s="558">
        <v>5.9564651162790678</v>
      </c>
      <c r="K51" s="558">
        <v>5.080224793388429</v>
      </c>
      <c r="L51" s="558">
        <v>4.0799150442477883</v>
      </c>
      <c r="M51" s="558">
        <v>2.9271771428571434</v>
      </c>
      <c r="N51" s="558">
        <v>1.5842969072164947</v>
      </c>
      <c r="O51" s="558">
        <v>0</v>
      </c>
    </row>
    <row r="52" spans="1:15">
      <c r="A52" s="109" t="s">
        <v>986</v>
      </c>
      <c r="B52" s="111"/>
      <c r="C52" s="112"/>
      <c r="D52" s="112" t="s">
        <v>431</v>
      </c>
      <c r="E52" s="579">
        <f>+E48/E$14</f>
        <v>0.65714285714285714</v>
      </c>
      <c r="F52" s="579">
        <f t="shared" ref="F52:O52" si="51">+F48/F$14</f>
        <v>0.64285714285714279</v>
      </c>
      <c r="G52" s="579">
        <f t="shared" si="51"/>
        <v>0.62585034013605434</v>
      </c>
      <c r="H52" s="579">
        <f t="shared" si="51"/>
        <v>0.60526315789473684</v>
      </c>
      <c r="I52" s="579">
        <f t="shared" si="51"/>
        <v>0.57983193277310929</v>
      </c>
      <c r="J52" s="579">
        <f t="shared" si="51"/>
        <v>0.54761904761904767</v>
      </c>
      <c r="K52" s="579">
        <f t="shared" si="51"/>
        <v>0.50549450549450559</v>
      </c>
      <c r="L52" s="579">
        <f t="shared" si="51"/>
        <v>0.44805194805194809</v>
      </c>
      <c r="M52" s="579">
        <f t="shared" si="51"/>
        <v>0.365079365079365</v>
      </c>
      <c r="N52" s="579">
        <f t="shared" si="51"/>
        <v>0.23469387755102042</v>
      </c>
      <c r="O52" s="579">
        <f t="shared" si="51"/>
        <v>0</v>
      </c>
    </row>
    <row r="53" spans="1:15">
      <c r="A53" s="109" t="s">
        <v>965</v>
      </c>
      <c r="B53" s="111"/>
      <c r="C53" s="112"/>
      <c r="D53" s="112" t="s">
        <v>431</v>
      </c>
      <c r="E53" s="579">
        <f>+E49/E$14</f>
        <v>0.53426248548199773</v>
      </c>
      <c r="F53" s="579">
        <f t="shared" ref="F53:O53" si="52">+F49/F$14</f>
        <v>0.51428571428571423</v>
      </c>
      <c r="G53" s="579">
        <f t="shared" si="52"/>
        <v>0.49132176234979991</v>
      </c>
      <c r="H53" s="579">
        <f t="shared" si="52"/>
        <v>0.46464646464646459</v>
      </c>
      <c r="I53" s="579">
        <f t="shared" si="52"/>
        <v>0.43328100470957626</v>
      </c>
      <c r="J53" s="579">
        <f t="shared" si="52"/>
        <v>0.39586919104991403</v>
      </c>
      <c r="K53" s="579">
        <f t="shared" si="52"/>
        <v>0.35047619047619039</v>
      </c>
      <c r="L53" s="579">
        <f t="shared" si="52"/>
        <v>0.29424307036247338</v>
      </c>
      <c r="M53" s="579">
        <f t="shared" si="52"/>
        <v>0.22276029055690075</v>
      </c>
      <c r="N53" s="579">
        <f t="shared" si="52"/>
        <v>0.12885154061624651</v>
      </c>
      <c r="O53" s="579">
        <f t="shared" si="52"/>
        <v>0</v>
      </c>
    </row>
    <row r="54" spans="1:15">
      <c r="A54" s="109" t="s">
        <v>966</v>
      </c>
      <c r="B54" s="111"/>
      <c r="C54" s="112"/>
      <c r="D54" s="112" t="s">
        <v>431</v>
      </c>
      <c r="E54" s="579">
        <f>+E50/E$14</f>
        <v>0.45009784735812136</v>
      </c>
      <c r="F54" s="579">
        <f t="shared" ref="F54:O54" si="53">+F50/F$14</f>
        <v>0.4285714285714286</v>
      </c>
      <c r="G54" s="579">
        <f t="shared" si="53"/>
        <v>0.40439560439560446</v>
      </c>
      <c r="H54" s="579">
        <f t="shared" si="53"/>
        <v>0.37704918032786877</v>
      </c>
      <c r="I54" s="579">
        <f t="shared" si="53"/>
        <v>0.34586466165413532</v>
      </c>
      <c r="J54" s="579">
        <f t="shared" si="53"/>
        <v>0.3099730458221025</v>
      </c>
      <c r="K54" s="579">
        <f t="shared" si="53"/>
        <v>0.26822157434402344</v>
      </c>
      <c r="L54" s="579">
        <f t="shared" si="53"/>
        <v>0.21904761904761913</v>
      </c>
      <c r="M54" s="579">
        <f t="shared" si="53"/>
        <v>0.16027874564459921</v>
      </c>
      <c r="N54" s="579">
        <f t="shared" si="53"/>
        <v>8.8803088803088862E-2</v>
      </c>
      <c r="O54" s="579">
        <f t="shared" si="53"/>
        <v>0</v>
      </c>
    </row>
    <row r="55" spans="1:15">
      <c r="A55" s="109" t="s">
        <v>967</v>
      </c>
      <c r="B55" s="111"/>
      <c r="C55" s="112"/>
      <c r="D55" s="112" t="s">
        <v>431</v>
      </c>
      <c r="E55" s="579">
        <f>+E51/E$14</f>
        <v>0.38884192730346573</v>
      </c>
      <c r="F55" s="579">
        <f t="shared" ref="F55:O55" si="54">+F51/F$14</f>
        <v>0.36734693877551017</v>
      </c>
      <c r="G55" s="579">
        <f t="shared" si="54"/>
        <v>0.34360410830999072</v>
      </c>
      <c r="H55" s="579">
        <f t="shared" si="54"/>
        <v>0.31724137931034491</v>
      </c>
      <c r="I55" s="579">
        <f t="shared" si="54"/>
        <v>0.28779979144942652</v>
      </c>
      <c r="J55" s="579">
        <f t="shared" si="54"/>
        <v>0.25470653377630115</v>
      </c>
      <c r="K55" s="579">
        <f t="shared" si="54"/>
        <v>0.21723730814639905</v>
      </c>
      <c r="L55" s="579">
        <f t="shared" si="54"/>
        <v>0.17446270543615683</v>
      </c>
      <c r="M55" s="579">
        <f t="shared" si="54"/>
        <v>0.12517006802721092</v>
      </c>
      <c r="N55" s="579">
        <f t="shared" si="54"/>
        <v>6.7746686303387343E-2</v>
      </c>
      <c r="O55" s="579">
        <f t="shared" si="54"/>
        <v>0</v>
      </c>
    </row>
    <row r="56" spans="1:15">
      <c r="A56" s="109"/>
      <c r="B56" s="111"/>
      <c r="C56" s="112"/>
      <c r="D56" s="112"/>
      <c r="E56" s="558"/>
      <c r="F56" s="558"/>
      <c r="G56" s="558"/>
      <c r="H56" s="558"/>
      <c r="I56" s="558"/>
      <c r="J56" s="558"/>
      <c r="K56" s="558"/>
      <c r="L56" s="558"/>
      <c r="M56" s="558"/>
      <c r="N56" s="558"/>
      <c r="O56" s="558"/>
    </row>
    <row r="57" spans="1:15">
      <c r="A57" s="533" t="s">
        <v>931</v>
      </c>
      <c r="B57" s="94"/>
      <c r="C57" s="94"/>
      <c r="D57" s="94" t="s">
        <v>431</v>
      </c>
      <c r="E57" s="569">
        <v>100</v>
      </c>
      <c r="F57" s="569">
        <f>+E57</f>
        <v>100</v>
      </c>
      <c r="G57" s="569">
        <f t="shared" ref="G57:O57" si="55">+F57</f>
        <v>100</v>
      </c>
      <c r="H57" s="569">
        <f t="shared" si="55"/>
        <v>100</v>
      </c>
      <c r="I57" s="569">
        <f t="shared" si="55"/>
        <v>100</v>
      </c>
      <c r="J57" s="569">
        <f t="shared" si="55"/>
        <v>100</v>
      </c>
      <c r="K57" s="569">
        <f t="shared" si="55"/>
        <v>100</v>
      </c>
      <c r="L57" s="569">
        <f t="shared" si="55"/>
        <v>100</v>
      </c>
      <c r="M57" s="569">
        <f t="shared" si="55"/>
        <v>100</v>
      </c>
      <c r="N57" s="569">
        <f t="shared" si="55"/>
        <v>100</v>
      </c>
      <c r="O57" s="569">
        <f t="shared" si="55"/>
        <v>100</v>
      </c>
    </row>
    <row r="58" spans="1:15">
      <c r="A58" s="533" t="s">
        <v>932</v>
      </c>
      <c r="B58" s="94"/>
      <c r="C58" s="94"/>
      <c r="D58" s="94" t="s">
        <v>915</v>
      </c>
      <c r="E58" s="190">
        <f ca="1">+E57*E47/100</f>
        <v>15.367679999999996</v>
      </c>
      <c r="F58" s="190">
        <f ca="1">+F57*F47/100</f>
        <v>15.033599999999996</v>
      </c>
      <c r="G58" s="190">
        <f ca="1">+G57*G47/100</f>
        <v>14.635885714285712</v>
      </c>
      <c r="H58" s="190">
        <f ca="1">+H57*H47/100</f>
        <v>14.154442105263156</v>
      </c>
      <c r="I58" s="190">
        <f ca="1">+I57*I47/100</f>
        <v>13.559717647058822</v>
      </c>
      <c r="J58" s="190">
        <f t="shared" ref="J58:L58" ca="1" si="56">+J57*J47/100</f>
        <v>12.806400000000002</v>
      </c>
      <c r="K58" s="190">
        <f t="shared" ca="1" si="56"/>
        <v>11.821292307692307</v>
      </c>
      <c r="L58" s="190">
        <f t="shared" ca="1" si="56"/>
        <v>10.477963636363636</v>
      </c>
      <c r="M58" s="190">
        <f t="shared" ref="M58:N58" ca="1" si="57">+M57*M47/100</f>
        <v>8.5375999999999976</v>
      </c>
      <c r="N58" s="190">
        <f t="shared" ca="1" si="57"/>
        <v>5.4884571428571425</v>
      </c>
      <c r="O58" s="190">
        <f t="shared" ref="O58" ca="1" si="58">+O57*O47/100</f>
        <v>0</v>
      </c>
    </row>
    <row r="59" spans="1:15">
      <c r="A59" s="109" t="s">
        <v>930</v>
      </c>
      <c r="B59" s="111"/>
      <c r="C59" s="112"/>
      <c r="D59" s="112" t="s">
        <v>431</v>
      </c>
      <c r="E59" s="557">
        <f ca="1">+E58/E$14</f>
        <v>0.65714285714285714</v>
      </c>
      <c r="F59" s="557">
        <f ca="1">+F58/F$14</f>
        <v>0.64285714285714279</v>
      </c>
      <c r="G59" s="557">
        <f ca="1">+G58/G$14</f>
        <v>0.62585034013605434</v>
      </c>
      <c r="H59" s="557">
        <f ca="1">+H58/H$14</f>
        <v>0.60526315789473684</v>
      </c>
      <c r="I59" s="557">
        <f ca="1">+I58/I$14</f>
        <v>0.57983193277310929</v>
      </c>
      <c r="J59" s="557">
        <f t="shared" ref="J59:L59" ca="1" si="59">+J58/J$14</f>
        <v>0.54761904761904778</v>
      </c>
      <c r="K59" s="557">
        <f t="shared" ca="1" si="59"/>
        <v>0.50549450549450559</v>
      </c>
      <c r="L59" s="557">
        <f t="shared" ca="1" si="59"/>
        <v>0.44805194805194809</v>
      </c>
      <c r="M59" s="557">
        <f t="shared" ref="M59:N59" ca="1" si="60">+M58/M$14</f>
        <v>0.365079365079365</v>
      </c>
      <c r="N59" s="557">
        <f t="shared" ca="1" si="60"/>
        <v>0.23469387755102042</v>
      </c>
      <c r="O59" s="557">
        <f t="shared" ref="O59" ca="1" si="61">+O58/O$14</f>
        <v>0</v>
      </c>
    </row>
    <row r="60" spans="1:15">
      <c r="A60" s="533"/>
      <c r="B60" s="564"/>
      <c r="C60" s="94"/>
      <c r="D60" s="94"/>
      <c r="E60" s="558"/>
      <c r="F60" s="558"/>
      <c r="G60" s="558"/>
      <c r="H60" s="558"/>
      <c r="I60" s="558"/>
      <c r="J60" s="558"/>
      <c r="K60" s="558"/>
      <c r="L60" s="558"/>
      <c r="M60" s="558"/>
      <c r="N60" s="558"/>
      <c r="O60" s="558"/>
    </row>
    <row r="61" spans="1:15">
      <c r="A61" s="533" t="s">
        <v>929</v>
      </c>
      <c r="B61" s="94"/>
      <c r="C61" s="94"/>
      <c r="D61" s="94" t="s">
        <v>207</v>
      </c>
      <c r="E61" s="190">
        <f ca="1">+E45+E58/(E43*60/1000)/1.16</f>
        <v>35</v>
      </c>
      <c r="F61" s="190">
        <f ca="1">+F45+F58/(F43*60/1000)/1.16</f>
        <v>35</v>
      </c>
      <c r="G61" s="190">
        <f ca="1">+G45+G58/(G43*60/1000)/1.16</f>
        <v>35</v>
      </c>
      <c r="H61" s="190">
        <f ca="1">+H45+H58/(H43*60/1000)/1.16</f>
        <v>35</v>
      </c>
      <c r="I61" s="190">
        <f ca="1">+I45+I58/(I43*60/1000)/1.16</f>
        <v>35</v>
      </c>
      <c r="J61" s="190">
        <f t="shared" ref="J61:L61" ca="1" si="62">+J45+J58/(J43*60/1000)/1.16</f>
        <v>35</v>
      </c>
      <c r="K61" s="190">
        <f t="shared" ca="1" si="62"/>
        <v>35</v>
      </c>
      <c r="L61" s="190">
        <f t="shared" ca="1" si="62"/>
        <v>35</v>
      </c>
      <c r="M61" s="190">
        <f t="shared" ref="M61:N61" ca="1" si="63">+M45+M58/(M43*60/1000)/1.16</f>
        <v>35</v>
      </c>
      <c r="N61" s="190">
        <f t="shared" ca="1" si="63"/>
        <v>35</v>
      </c>
      <c r="O61" s="190" t="e">
        <f t="shared" ref="O61" ca="1" si="64">+O45+O58/(O43*60/1000)/1.16</f>
        <v>#DIV/0!</v>
      </c>
    </row>
    <row r="62" spans="1:15">
      <c r="A62" s="533" t="s">
        <v>926</v>
      </c>
      <c r="B62" s="564"/>
      <c r="C62" s="94"/>
      <c r="D62" s="94"/>
      <c r="E62" s="570">
        <f ca="1">+(E$6-E61)/(E$7-E61)</f>
        <v>0.2</v>
      </c>
      <c r="F62" s="570">
        <f ca="1">+(F$6-F61)/(F$7-F61)</f>
        <v>0.21739130434782608</v>
      </c>
      <c r="G62" s="570">
        <f ca="1">+(G$6-G61)/(G$7-G61)</f>
        <v>0.23809523809523808</v>
      </c>
      <c r="H62" s="570">
        <f ca="1">+(H$6-H61)/(H$7-H61)</f>
        <v>0.26315789473684209</v>
      </c>
      <c r="I62" s="570">
        <f ca="1">+(I$6-I61)/(I$7-I61)</f>
        <v>0.29411764705882354</v>
      </c>
      <c r="J62" s="570">
        <f t="shared" ref="J62:L62" ca="1" si="65">+(J$6-J61)/(J$7-J61)</f>
        <v>0.33333333333333331</v>
      </c>
      <c r="K62" s="570">
        <f t="shared" ca="1" si="65"/>
        <v>0.38461538461538464</v>
      </c>
      <c r="L62" s="570">
        <f t="shared" ca="1" si="65"/>
        <v>0.45454545454545453</v>
      </c>
      <c r="M62" s="570">
        <f t="shared" ref="M62:N62" ca="1" si="66">+(M$6-M61)/(M$7-M61)</f>
        <v>0.55555555555555558</v>
      </c>
      <c r="N62" s="570">
        <f t="shared" ca="1" si="66"/>
        <v>0.7142857142857143</v>
      </c>
      <c r="O62" s="570" t="e">
        <f t="shared" ref="O62" ca="1" si="67">+(O$6-O61)/(O$7-O61)</f>
        <v>#DIV/0!</v>
      </c>
    </row>
    <row r="63" spans="1:15">
      <c r="A63" s="109" t="s">
        <v>927</v>
      </c>
      <c r="B63" s="565"/>
      <c r="C63" s="566"/>
      <c r="D63" s="112" t="s">
        <v>615</v>
      </c>
      <c r="E63" s="558">
        <f ca="1">+E$9*E62</f>
        <v>2.4000000000000004</v>
      </c>
      <c r="F63" s="558">
        <f ca="1">+F$9*F62</f>
        <v>2.6086956521739131</v>
      </c>
      <c r="G63" s="558">
        <f ca="1">+G$9*G62</f>
        <v>2.8571428571428568</v>
      </c>
      <c r="H63" s="558">
        <f ca="1">+H$9*H62</f>
        <v>3.1578947368421053</v>
      </c>
      <c r="I63" s="558">
        <f ca="1">+I$9*I62</f>
        <v>3.5294117647058822</v>
      </c>
      <c r="J63" s="558">
        <f t="shared" ref="J63:L63" ca="1" si="68">+J$9*J62</f>
        <v>4</v>
      </c>
      <c r="K63" s="558">
        <f t="shared" ca="1" si="68"/>
        <v>4.6153846153846159</v>
      </c>
      <c r="L63" s="558">
        <f t="shared" ca="1" si="68"/>
        <v>5.4545454545454541</v>
      </c>
      <c r="M63" s="558">
        <f t="shared" ref="M63:N63" ca="1" si="69">+M$9*M62</f>
        <v>6.666666666666667</v>
      </c>
      <c r="N63" s="558">
        <f t="shared" ca="1" si="69"/>
        <v>8.5714285714285712</v>
      </c>
      <c r="O63" s="558" t="e">
        <f t="shared" ref="O63" ca="1" si="70">+O$9*O62</f>
        <v>#DIV/0!</v>
      </c>
    </row>
    <row r="64" spans="1:15">
      <c r="A64" s="109" t="s">
        <v>928</v>
      </c>
      <c r="B64" s="111"/>
      <c r="C64" s="112"/>
      <c r="D64" s="112" t="s">
        <v>615</v>
      </c>
      <c r="E64" s="113">
        <f ca="1">+E$9-E63</f>
        <v>9.6</v>
      </c>
      <c r="F64" s="113">
        <f ca="1">+F$9-F63</f>
        <v>9.391304347826086</v>
      </c>
      <c r="G64" s="113">
        <f ca="1">+G$9-G63</f>
        <v>9.1428571428571423</v>
      </c>
      <c r="H64" s="113">
        <f ca="1">+H$9-H63</f>
        <v>8.8421052631578938</v>
      </c>
      <c r="I64" s="113">
        <f ca="1">+I$9-I63</f>
        <v>8.4705882352941178</v>
      </c>
      <c r="J64" s="113">
        <f t="shared" ref="J64:L64" ca="1" si="71">+J$9-J63</f>
        <v>8</v>
      </c>
      <c r="K64" s="113">
        <f t="shared" ca="1" si="71"/>
        <v>7.3846153846153841</v>
      </c>
      <c r="L64" s="113">
        <f t="shared" ca="1" si="71"/>
        <v>6.5454545454545459</v>
      </c>
      <c r="M64" s="113">
        <f t="shared" ref="M64:N64" ca="1" si="72">+M$9-M63</f>
        <v>5.333333333333333</v>
      </c>
      <c r="N64" s="113">
        <f t="shared" ca="1" si="72"/>
        <v>3.4285714285714288</v>
      </c>
      <c r="O64" s="113" t="e">
        <f t="shared" ref="O64" ca="1" si="73">+O$9-O63</f>
        <v>#DIV/0!</v>
      </c>
    </row>
    <row r="65" spans="1:15">
      <c r="A65" s="193"/>
      <c r="B65" s="483"/>
      <c r="C65" s="185"/>
      <c r="D65" s="185"/>
      <c r="E65" s="194"/>
      <c r="F65" s="194"/>
      <c r="G65" s="194"/>
      <c r="H65" s="194"/>
      <c r="I65" s="194"/>
      <c r="J65" s="194"/>
      <c r="K65" s="194"/>
      <c r="L65" s="194"/>
      <c r="M65" s="194"/>
      <c r="N65" s="194"/>
      <c r="O65" s="194"/>
    </row>
    <row r="66" spans="1:15">
      <c r="A66" s="109" t="s">
        <v>965</v>
      </c>
      <c r="B66" s="483"/>
      <c r="C66" s="185"/>
      <c r="D66" s="185"/>
      <c r="E66" s="587">
        <v>0.4006968641114983</v>
      </c>
      <c r="F66" s="587">
        <v>0.38571428571428562</v>
      </c>
      <c r="G66" s="587">
        <v>0.36849132176234994</v>
      </c>
      <c r="H66" s="587">
        <v>0.34848484848484845</v>
      </c>
      <c r="I66" s="587">
        <v>0.32496075353218218</v>
      </c>
      <c r="J66" s="587">
        <v>0.29690189328743549</v>
      </c>
      <c r="K66" s="587">
        <v>0.2628571428571429</v>
      </c>
      <c r="L66" s="587">
        <v>0.22068230277185502</v>
      </c>
      <c r="M66" s="587">
        <v>0.16707021791767557</v>
      </c>
      <c r="N66" s="587">
        <v>9.6638655462184891E-2</v>
      </c>
      <c r="O66" s="587">
        <v>0</v>
      </c>
    </row>
    <row r="67" spans="1:15">
      <c r="A67" s="109" t="s">
        <v>966</v>
      </c>
      <c r="B67" s="483"/>
      <c r="C67" s="185"/>
      <c r="D67" s="185"/>
      <c r="E67" s="587">
        <v>0.22504892367906068</v>
      </c>
      <c r="F67" s="587">
        <v>0.2142857142857143</v>
      </c>
      <c r="G67" s="587">
        <v>0.20219780219780223</v>
      </c>
      <c r="H67" s="587">
        <v>0.18852459016393439</v>
      </c>
      <c r="I67" s="587">
        <v>0.17293233082706766</v>
      </c>
      <c r="J67" s="587">
        <v>0.15498652291105125</v>
      </c>
      <c r="K67" s="587">
        <v>0.13411078717201172</v>
      </c>
      <c r="L67" s="587">
        <v>0.10952380952380956</v>
      </c>
      <c r="M67" s="587">
        <v>8.0139372822299604E-2</v>
      </c>
      <c r="N67" s="587">
        <v>4.4401544401544431E-2</v>
      </c>
      <c r="O67" s="587">
        <v>0</v>
      </c>
    </row>
    <row r="68" spans="1:15">
      <c r="A68" s="109" t="s">
        <v>967</v>
      </c>
      <c r="B68" s="483"/>
      <c r="C68" s="185"/>
      <c r="D68" s="185"/>
      <c r="E68" s="587">
        <v>9.7210481825866432E-2</v>
      </c>
      <c r="F68" s="587">
        <v>9.1836734693877542E-2</v>
      </c>
      <c r="G68" s="587">
        <v>8.590102707749768E-2</v>
      </c>
      <c r="H68" s="587">
        <v>7.9310344827586227E-2</v>
      </c>
      <c r="I68" s="587">
        <v>7.1949947862356631E-2</v>
      </c>
      <c r="J68" s="587">
        <v>6.3676633444075287E-2</v>
      </c>
      <c r="K68" s="587">
        <v>5.4309327036599762E-2</v>
      </c>
      <c r="L68" s="587">
        <v>4.3615676359039207E-2</v>
      </c>
      <c r="M68" s="587">
        <v>3.1292517006802731E-2</v>
      </c>
      <c r="N68" s="587">
        <v>1.6936671575846836E-2</v>
      </c>
      <c r="O68" s="587">
        <v>0</v>
      </c>
    </row>
    <row r="69" spans="1:15" ht="13.5" thickBot="1">
      <c r="A69" s="522"/>
      <c r="B69" s="272"/>
      <c r="C69" s="275"/>
      <c r="D69" s="275"/>
      <c r="E69" s="274"/>
      <c r="F69" s="274"/>
      <c r="G69" s="274"/>
      <c r="H69" s="274"/>
      <c r="I69" s="274"/>
      <c r="J69" s="274"/>
      <c r="K69" s="274"/>
      <c r="L69" s="274"/>
      <c r="M69" s="274"/>
      <c r="N69" s="274"/>
      <c r="O69" s="274"/>
    </row>
    <row r="70" spans="1:15">
      <c r="A70" s="517" t="s">
        <v>909</v>
      </c>
      <c r="B70" s="518"/>
      <c r="C70" s="519"/>
      <c r="D70" s="519"/>
      <c r="E70" s="520"/>
      <c r="F70" s="520"/>
      <c r="G70" s="520"/>
      <c r="H70" s="520"/>
      <c r="I70" s="520"/>
      <c r="J70" s="520"/>
      <c r="K70" s="520"/>
      <c r="L70" s="520"/>
      <c r="M70" s="520"/>
      <c r="N70" s="520"/>
      <c r="O70" s="520"/>
    </row>
    <row r="71" spans="1:15">
      <c r="A71" s="514"/>
      <c r="B71" s="201"/>
      <c r="C71" s="187"/>
      <c r="D71" s="187"/>
      <c r="E71" s="515"/>
      <c r="F71" s="515"/>
      <c r="G71" s="515"/>
      <c r="H71" s="515"/>
      <c r="I71" s="515"/>
      <c r="J71" s="515"/>
      <c r="K71" s="515"/>
      <c r="L71" s="515"/>
      <c r="M71" s="515"/>
      <c r="N71" s="515"/>
      <c r="O71" s="515"/>
    </row>
    <row r="72" spans="1:15">
      <c r="A72" s="109" t="s">
        <v>924</v>
      </c>
      <c r="B72" s="111"/>
      <c r="C72" s="112"/>
      <c r="D72" s="112" t="s">
        <v>615</v>
      </c>
      <c r="E72" s="558">
        <f>+E85</f>
        <v>7</v>
      </c>
      <c r="F72" s="558">
        <f>+F85</f>
        <v>7.304347826086957</v>
      </c>
      <c r="G72" s="558">
        <f>+G85</f>
        <v>7.6363636363636367</v>
      </c>
      <c r="H72" s="558">
        <f>+H85</f>
        <v>8</v>
      </c>
      <c r="I72" s="558">
        <f>+I85</f>
        <v>8.3999999999999986</v>
      </c>
      <c r="J72" s="558">
        <f t="shared" ref="J72:L72" si="74">+J85</f>
        <v>8.8421052631578938</v>
      </c>
      <c r="K72" s="558">
        <f t="shared" si="74"/>
        <v>9.3333333333333339</v>
      </c>
      <c r="L72" s="558">
        <f t="shared" si="74"/>
        <v>9.882352941176471</v>
      </c>
      <c r="M72" s="558">
        <f t="shared" ref="M72:N72" si="75">+M85</f>
        <v>10.5</v>
      </c>
      <c r="N72" s="558">
        <f t="shared" si="75"/>
        <v>11.2</v>
      </c>
      <c r="O72" s="558">
        <f t="shared" ref="O72" si="76">+O85</f>
        <v>12</v>
      </c>
    </row>
    <row r="73" spans="1:15">
      <c r="A73" s="109" t="s">
        <v>925</v>
      </c>
      <c r="B73" s="94"/>
      <c r="C73" s="94"/>
      <c r="D73" s="112" t="s">
        <v>615</v>
      </c>
      <c r="E73" s="558">
        <f>+E$16</f>
        <v>12</v>
      </c>
      <c r="F73" s="558">
        <f>+F$16</f>
        <v>12</v>
      </c>
      <c r="G73" s="558">
        <f>+G$16</f>
        <v>12</v>
      </c>
      <c r="H73" s="558">
        <f>+H$16</f>
        <v>12</v>
      </c>
      <c r="I73" s="558">
        <f>+I$16</f>
        <v>12</v>
      </c>
      <c r="J73" s="558">
        <f t="shared" ref="J73:O73" si="77">+J$16</f>
        <v>12</v>
      </c>
      <c r="K73" s="558">
        <f t="shared" si="77"/>
        <v>12</v>
      </c>
      <c r="L73" s="558">
        <f t="shared" si="77"/>
        <v>12</v>
      </c>
      <c r="M73" s="558">
        <f t="shared" si="77"/>
        <v>12</v>
      </c>
      <c r="N73" s="558">
        <f t="shared" si="77"/>
        <v>12</v>
      </c>
      <c r="O73" s="558">
        <f t="shared" si="77"/>
        <v>12</v>
      </c>
    </row>
    <row r="74" spans="1:15">
      <c r="A74" s="533" t="s">
        <v>922</v>
      </c>
      <c r="B74" s="564"/>
      <c r="C74" s="94"/>
      <c r="D74" s="94" t="s">
        <v>207</v>
      </c>
      <c r="E74" s="558">
        <f>+E$8</f>
        <v>12</v>
      </c>
      <c r="F74" s="558">
        <f>+F$8</f>
        <v>12</v>
      </c>
      <c r="G74" s="558">
        <f>+G$8</f>
        <v>12</v>
      </c>
      <c r="H74" s="558">
        <f>+H$8</f>
        <v>12</v>
      </c>
      <c r="I74" s="558">
        <f>+I$8</f>
        <v>12</v>
      </c>
      <c r="J74" s="558">
        <f t="shared" ref="J74:O74" si="78">+J$8</f>
        <v>12</v>
      </c>
      <c r="K74" s="558">
        <f t="shared" si="78"/>
        <v>12</v>
      </c>
      <c r="L74" s="558">
        <f t="shared" si="78"/>
        <v>12</v>
      </c>
      <c r="M74" s="558">
        <f t="shared" si="78"/>
        <v>12</v>
      </c>
      <c r="N74" s="558">
        <f t="shared" si="78"/>
        <v>12</v>
      </c>
      <c r="O74" s="558">
        <f t="shared" si="78"/>
        <v>12</v>
      </c>
    </row>
    <row r="75" spans="1:15">
      <c r="A75" s="533" t="s">
        <v>923</v>
      </c>
      <c r="B75" s="564"/>
      <c r="C75" s="94"/>
      <c r="D75" s="94" t="s">
        <v>207</v>
      </c>
      <c r="E75" s="558">
        <f>+E$11</f>
        <v>35</v>
      </c>
      <c r="F75" s="558">
        <f>+F$11</f>
        <v>35</v>
      </c>
      <c r="G75" s="558">
        <f>+G$11</f>
        <v>35</v>
      </c>
      <c r="H75" s="558">
        <f>+H$11</f>
        <v>35</v>
      </c>
      <c r="I75" s="558">
        <f>+I$11</f>
        <v>35</v>
      </c>
      <c r="J75" s="558">
        <f t="shared" ref="J75:O75" si="79">+J$11</f>
        <v>35</v>
      </c>
      <c r="K75" s="558">
        <f t="shared" si="79"/>
        <v>35</v>
      </c>
      <c r="L75" s="558">
        <f t="shared" si="79"/>
        <v>35</v>
      </c>
      <c r="M75" s="558">
        <f t="shared" si="79"/>
        <v>35</v>
      </c>
      <c r="N75" s="558">
        <f t="shared" si="79"/>
        <v>35</v>
      </c>
      <c r="O75" s="558">
        <f t="shared" si="79"/>
        <v>35</v>
      </c>
    </row>
    <row r="76" spans="1:15">
      <c r="A76" s="533" t="s">
        <v>916</v>
      </c>
      <c r="B76" s="564"/>
      <c r="C76" s="94"/>
      <c r="D76" s="94" t="s">
        <v>915</v>
      </c>
      <c r="E76" s="558">
        <f>+MIN(E72:E73)*0.06*1.16*(E75-E74)</f>
        <v>11.205599999999999</v>
      </c>
      <c r="F76" s="558">
        <f>+MIN(F72:F73)*0.06*1.16*(F75-F74)</f>
        <v>11.692800000000002</v>
      </c>
      <c r="G76" s="558">
        <f>+MIN(G72:G73)*0.06*1.16*(G75-G74)</f>
        <v>12.224290909090907</v>
      </c>
      <c r="H76" s="558">
        <f>+MIN(H72:H73)*0.06*1.16*(H75-H74)</f>
        <v>12.8064</v>
      </c>
      <c r="I76" s="558">
        <f>+MIN(I72:I73)*0.06*1.16*(I75-I74)</f>
        <v>13.446719999999996</v>
      </c>
      <c r="J76" s="558">
        <f t="shared" ref="J76:L76" si="80">+MIN(J72:J73)*0.06*1.16*(J75-J74)</f>
        <v>14.154442105263156</v>
      </c>
      <c r="K76" s="558">
        <f t="shared" si="80"/>
        <v>14.940800000000001</v>
      </c>
      <c r="L76" s="558">
        <f t="shared" si="80"/>
        <v>15.819670588235292</v>
      </c>
      <c r="M76" s="558">
        <f t="shared" ref="M76:N76" si="81">+MIN(M72:M73)*0.06*1.16*(M75-M74)</f>
        <v>16.808399999999999</v>
      </c>
      <c r="N76" s="558">
        <f t="shared" si="81"/>
        <v>17.928959999999996</v>
      </c>
      <c r="O76" s="558">
        <f t="shared" ref="O76" si="82">+MIN(O72:O73)*0.06*1.16*(O75-O74)</f>
        <v>19.209599999999998</v>
      </c>
    </row>
    <row r="77" spans="1:15">
      <c r="A77" s="533"/>
      <c r="B77" s="564"/>
      <c r="C77" s="94"/>
      <c r="D77" s="94" t="s">
        <v>431</v>
      </c>
      <c r="E77" s="579">
        <f>+E76/E$14</f>
        <v>0.47916666666666669</v>
      </c>
      <c r="F77" s="579">
        <f t="shared" ref="F77" si="83">+F76/F$14</f>
        <v>0.50000000000000011</v>
      </c>
      <c r="G77" s="579">
        <f t="shared" ref="G77" si="84">+G76/G$14</f>
        <v>0.52272727272727271</v>
      </c>
      <c r="H77" s="579">
        <f t="shared" ref="H77" si="85">+H76/H$14</f>
        <v>0.54761904761904767</v>
      </c>
      <c r="I77" s="579">
        <f t="shared" ref="I77" si="86">+I76/I$14</f>
        <v>0.57499999999999984</v>
      </c>
      <c r="J77" s="579">
        <f t="shared" ref="J77" si="87">+J76/J$14</f>
        <v>0.60526315789473684</v>
      </c>
      <c r="K77" s="579">
        <f t="shared" ref="K77" si="88">+K76/K$14</f>
        <v>0.63888888888888906</v>
      </c>
      <c r="L77" s="579">
        <f t="shared" ref="L77" si="89">+L76/L$14</f>
        <v>0.67647058823529416</v>
      </c>
      <c r="M77" s="579">
        <f t="shared" ref="M77" si="90">+M76/M$14</f>
        <v>0.71875000000000011</v>
      </c>
      <c r="N77" s="579">
        <f t="shared" ref="N77" si="91">+N76/N$14</f>
        <v>0.76666666666666661</v>
      </c>
      <c r="O77" s="579">
        <f t="shared" ref="O77" si="92">+O76/O$14</f>
        <v>0.82142857142857151</v>
      </c>
    </row>
    <row r="78" spans="1:15">
      <c r="A78" s="533"/>
      <c r="B78" s="564"/>
      <c r="C78" s="94"/>
      <c r="D78" s="94"/>
      <c r="E78" s="558"/>
      <c r="F78" s="558"/>
      <c r="G78" s="558"/>
      <c r="H78" s="558"/>
      <c r="I78" s="558"/>
      <c r="J78" s="558"/>
      <c r="K78" s="558"/>
      <c r="L78" s="558"/>
      <c r="M78" s="558"/>
      <c r="N78" s="558"/>
      <c r="O78" s="558"/>
    </row>
    <row r="79" spans="1:15">
      <c r="A79" s="533" t="s">
        <v>931</v>
      </c>
      <c r="B79" s="94"/>
      <c r="C79" s="94"/>
      <c r="D79" s="94" t="s">
        <v>431</v>
      </c>
      <c r="E79" s="569">
        <v>25</v>
      </c>
      <c r="F79" s="569">
        <f>+E79</f>
        <v>25</v>
      </c>
      <c r="G79" s="569">
        <f t="shared" ref="G79:O79" si="93">+F79</f>
        <v>25</v>
      </c>
      <c r="H79" s="569">
        <f t="shared" si="93"/>
        <v>25</v>
      </c>
      <c r="I79" s="569">
        <f t="shared" si="93"/>
        <v>25</v>
      </c>
      <c r="J79" s="569">
        <f t="shared" si="93"/>
        <v>25</v>
      </c>
      <c r="K79" s="569">
        <f t="shared" si="93"/>
        <v>25</v>
      </c>
      <c r="L79" s="569">
        <f t="shared" si="93"/>
        <v>25</v>
      </c>
      <c r="M79" s="569">
        <f t="shared" si="93"/>
        <v>25</v>
      </c>
      <c r="N79" s="569">
        <f t="shared" si="93"/>
        <v>25</v>
      </c>
      <c r="O79" s="569">
        <f t="shared" si="93"/>
        <v>25</v>
      </c>
    </row>
    <row r="80" spans="1:15">
      <c r="A80" s="533" t="s">
        <v>932</v>
      </c>
      <c r="B80" s="94"/>
      <c r="C80" s="94"/>
      <c r="D80" s="94" t="s">
        <v>915</v>
      </c>
      <c r="E80" s="190">
        <f>+E79*E76/100</f>
        <v>2.8013999999999997</v>
      </c>
      <c r="F80" s="190">
        <f>+F79*F76/100</f>
        <v>2.9232000000000005</v>
      </c>
      <c r="G80" s="190">
        <f>+G79*G76/100</f>
        <v>3.0560727272727268</v>
      </c>
      <c r="H80" s="190">
        <f>+H79*H76/100</f>
        <v>3.2016000000000004</v>
      </c>
      <c r="I80" s="190">
        <f>+I79*I76/100</f>
        <v>3.3616799999999989</v>
      </c>
      <c r="J80" s="190">
        <f t="shared" ref="J80:L80" si="94">+J79*J76/100</f>
        <v>3.538610526315789</v>
      </c>
      <c r="K80" s="190">
        <f t="shared" si="94"/>
        <v>3.7352000000000003</v>
      </c>
      <c r="L80" s="190">
        <f t="shared" si="94"/>
        <v>3.954917647058823</v>
      </c>
      <c r="M80" s="190">
        <f t="shared" ref="M80:N80" si="95">+M79*M76/100</f>
        <v>4.2020999999999997</v>
      </c>
      <c r="N80" s="190">
        <f t="shared" si="95"/>
        <v>4.4822399999999991</v>
      </c>
      <c r="O80" s="190">
        <f t="shared" ref="O80" si="96">+O79*O76/100</f>
        <v>4.8023999999999996</v>
      </c>
    </row>
    <row r="81" spans="1:15">
      <c r="A81" s="109" t="s">
        <v>930</v>
      </c>
      <c r="B81" s="111"/>
      <c r="C81" s="112"/>
      <c r="D81" s="112" t="s">
        <v>431</v>
      </c>
      <c r="E81" s="557">
        <f>+E80/E$14</f>
        <v>0.11979166666666667</v>
      </c>
      <c r="F81" s="557">
        <f>+F80/F$14</f>
        <v>0.12500000000000003</v>
      </c>
      <c r="G81" s="557">
        <f>+G80/G$14</f>
        <v>0.13068181818181818</v>
      </c>
      <c r="H81" s="557">
        <f>+H80/H$14</f>
        <v>0.13690476190476195</v>
      </c>
      <c r="I81" s="557">
        <f>+I80/I$14</f>
        <v>0.14374999999999996</v>
      </c>
      <c r="J81" s="557">
        <f t="shared" ref="J81:L81" si="97">+J80/J$14</f>
        <v>0.15131578947368421</v>
      </c>
      <c r="K81" s="557">
        <f t="shared" si="97"/>
        <v>0.15972222222222227</v>
      </c>
      <c r="L81" s="557">
        <f t="shared" si="97"/>
        <v>0.16911764705882354</v>
      </c>
      <c r="M81" s="557">
        <f t="shared" ref="M81:N81" si="98">+M80/M$14</f>
        <v>0.17968750000000003</v>
      </c>
      <c r="N81" s="557">
        <f t="shared" si="98"/>
        <v>0.19166666666666665</v>
      </c>
      <c r="O81" s="557">
        <f t="shared" ref="O81" si="99">+O80/O$14</f>
        <v>0.20535714285714288</v>
      </c>
    </row>
    <row r="82" spans="1:15">
      <c r="A82" s="533"/>
      <c r="B82" s="564"/>
      <c r="C82" s="94"/>
      <c r="D82" s="94"/>
      <c r="E82" s="558"/>
      <c r="F82" s="558"/>
      <c r="G82" s="558"/>
      <c r="H82" s="558"/>
      <c r="I82" s="558"/>
      <c r="J82" s="558"/>
      <c r="K82" s="558"/>
      <c r="L82" s="558"/>
      <c r="M82" s="558"/>
      <c r="N82" s="558"/>
      <c r="O82" s="558"/>
    </row>
    <row r="83" spans="1:15">
      <c r="A83" s="533" t="s">
        <v>929</v>
      </c>
      <c r="B83" s="94"/>
      <c r="C83" s="94"/>
      <c r="D83" s="94" t="s">
        <v>207</v>
      </c>
      <c r="E83" s="190">
        <f>+E74+E80/(E72*60/1000)/1.16</f>
        <v>17.75</v>
      </c>
      <c r="F83" s="190">
        <f>+F74+F80/(F72*60/1000)/1.16</f>
        <v>17.75</v>
      </c>
      <c r="G83" s="190">
        <f>+G74+G80/(G72*60/1000)/1.16</f>
        <v>17.75</v>
      </c>
      <c r="H83" s="190">
        <f>+H74+H80/(H72*60/1000)/1.16</f>
        <v>17.75</v>
      </c>
      <c r="I83" s="190">
        <f>+I74+I80/(I72*60/1000)/1.16</f>
        <v>17.75</v>
      </c>
      <c r="J83" s="190">
        <f t="shared" ref="J83:L83" si="100">+J74+J80/(J72*60/1000)/1.16</f>
        <v>17.75</v>
      </c>
      <c r="K83" s="190">
        <f t="shared" si="100"/>
        <v>17.75</v>
      </c>
      <c r="L83" s="190">
        <f t="shared" si="100"/>
        <v>17.75</v>
      </c>
      <c r="M83" s="190">
        <f t="shared" ref="M83:N83" si="101">+M74+M80/(M72*60/1000)/1.16</f>
        <v>17.75</v>
      </c>
      <c r="N83" s="190">
        <f t="shared" si="101"/>
        <v>17.75</v>
      </c>
      <c r="O83" s="190">
        <f t="shared" ref="O83" si="102">+O74+O80/(O72*60/1000)/1.16</f>
        <v>17.75</v>
      </c>
    </row>
    <row r="84" spans="1:15">
      <c r="A84" s="533" t="s">
        <v>926</v>
      </c>
      <c r="B84" s="564"/>
      <c r="C84" s="94"/>
      <c r="D84" s="94"/>
      <c r="E84" s="570">
        <f>+(E$6-E$8)/(E$7-E$8)</f>
        <v>0.58333333333333337</v>
      </c>
      <c r="F84" s="570">
        <f>+(F$6-F$8)/(F$7-F$8)</f>
        <v>0.60869565217391308</v>
      </c>
      <c r="G84" s="570">
        <f>+(G$6-G$8)/(G$7-G$8)</f>
        <v>0.63636363636363635</v>
      </c>
      <c r="H84" s="570">
        <f>+(H$6-H$8)/(H$7-H$8)</f>
        <v>0.66666666666666663</v>
      </c>
      <c r="I84" s="570">
        <f>+(I$6-I$8)/(I$7-I$8)</f>
        <v>0.7</v>
      </c>
      <c r="J84" s="570">
        <f t="shared" ref="J84:O84" si="103">+(J$6-J$8)/(J$7-J$8)</f>
        <v>0.73684210526315785</v>
      </c>
      <c r="K84" s="570">
        <f t="shared" si="103"/>
        <v>0.77777777777777779</v>
      </c>
      <c r="L84" s="570">
        <f t="shared" si="103"/>
        <v>0.82352941176470584</v>
      </c>
      <c r="M84" s="570">
        <f t="shared" si="103"/>
        <v>0.875</v>
      </c>
      <c r="N84" s="570">
        <f t="shared" si="103"/>
        <v>0.93333333333333335</v>
      </c>
      <c r="O84" s="570">
        <f t="shared" si="103"/>
        <v>1</v>
      </c>
    </row>
    <row r="85" spans="1:15">
      <c r="A85" s="109" t="s">
        <v>927</v>
      </c>
      <c r="B85" s="565"/>
      <c r="C85" s="566"/>
      <c r="D85" s="112" t="s">
        <v>615</v>
      </c>
      <c r="E85" s="558">
        <f>+E$9*E84</f>
        <v>7</v>
      </c>
      <c r="F85" s="558">
        <f>+F$9*F84</f>
        <v>7.304347826086957</v>
      </c>
      <c r="G85" s="558">
        <f>+G$9*G84</f>
        <v>7.6363636363636367</v>
      </c>
      <c r="H85" s="558">
        <f>+H$9*H84</f>
        <v>8</v>
      </c>
      <c r="I85" s="558">
        <f>+I$9*I84</f>
        <v>8.3999999999999986</v>
      </c>
      <c r="J85" s="558">
        <f t="shared" ref="J85:L85" si="104">+J$9*J84</f>
        <v>8.8421052631578938</v>
      </c>
      <c r="K85" s="558">
        <f t="shared" si="104"/>
        <v>9.3333333333333339</v>
      </c>
      <c r="L85" s="558">
        <f t="shared" si="104"/>
        <v>9.882352941176471</v>
      </c>
      <c r="M85" s="558">
        <f t="shared" ref="M85:N85" si="105">+M$9*M84</f>
        <v>10.5</v>
      </c>
      <c r="N85" s="558">
        <f t="shared" si="105"/>
        <v>11.2</v>
      </c>
      <c r="O85" s="558">
        <f t="shared" ref="O85" si="106">+O$9*O84</f>
        <v>12</v>
      </c>
    </row>
    <row r="86" spans="1:15">
      <c r="A86" s="109" t="s">
        <v>928</v>
      </c>
      <c r="B86" s="111"/>
      <c r="C86" s="112"/>
      <c r="D86" s="112" t="s">
        <v>615</v>
      </c>
      <c r="E86" s="113">
        <f>+E$9-E85</f>
        <v>5</v>
      </c>
      <c r="F86" s="113">
        <f>+F$9-F85</f>
        <v>4.695652173913043</v>
      </c>
      <c r="G86" s="113">
        <f>+G$9-G85</f>
        <v>4.3636363636363633</v>
      </c>
      <c r="H86" s="113">
        <f>+H$9-H85</f>
        <v>4</v>
      </c>
      <c r="I86" s="113">
        <f>+I$9-I85</f>
        <v>3.6000000000000014</v>
      </c>
      <c r="J86" s="113">
        <f t="shared" ref="J86:L86" si="107">+J$9-J85</f>
        <v>3.1578947368421062</v>
      </c>
      <c r="K86" s="113">
        <f t="shared" si="107"/>
        <v>2.6666666666666661</v>
      </c>
      <c r="L86" s="113">
        <f t="shared" si="107"/>
        <v>2.117647058823529</v>
      </c>
      <c r="M86" s="113">
        <f t="shared" ref="M86:N86" si="108">+M$9-M85</f>
        <v>1.5</v>
      </c>
      <c r="N86" s="113">
        <f t="shared" si="108"/>
        <v>0.80000000000000071</v>
      </c>
      <c r="O86" s="113">
        <f t="shared" ref="O86" si="109">+O$9-O85</f>
        <v>0</v>
      </c>
    </row>
    <row r="87" spans="1:15">
      <c r="A87" s="109"/>
      <c r="B87" s="111"/>
      <c r="C87" s="112"/>
      <c r="D87" s="112"/>
      <c r="E87" s="113"/>
      <c r="F87" s="113"/>
      <c r="G87" s="113"/>
      <c r="H87" s="113"/>
      <c r="I87" s="113"/>
      <c r="J87" s="113"/>
      <c r="K87" s="113"/>
      <c r="L87" s="113"/>
      <c r="M87" s="113"/>
      <c r="N87" s="113"/>
      <c r="O87" s="113"/>
    </row>
    <row r="88" spans="1:15">
      <c r="A88" s="109" t="s">
        <v>971</v>
      </c>
      <c r="B88" s="111"/>
      <c r="C88" s="112"/>
      <c r="D88" s="112"/>
      <c r="E88" s="557">
        <v>0.35937499999999994</v>
      </c>
      <c r="F88" s="557">
        <v>0.37500000000000017</v>
      </c>
      <c r="G88" s="557">
        <v>0.39204545454545453</v>
      </c>
      <c r="H88" s="557">
        <v>0.41071428571428581</v>
      </c>
      <c r="I88" s="557">
        <v>0.43124999999999997</v>
      </c>
      <c r="J88" s="557">
        <v>0.4539473684210526</v>
      </c>
      <c r="K88" s="557">
        <v>0.47916666666666685</v>
      </c>
      <c r="L88" s="557">
        <v>0.50735294117647056</v>
      </c>
      <c r="M88" s="557">
        <v>0.5390625</v>
      </c>
      <c r="N88" s="557">
        <v>0.57499999999999996</v>
      </c>
      <c r="O88" s="557">
        <v>0.6160714285714286</v>
      </c>
    </row>
    <row r="89" spans="1:15">
      <c r="A89" s="109" t="s">
        <v>972</v>
      </c>
      <c r="B89" s="111"/>
      <c r="C89" s="112"/>
      <c r="D89" s="112"/>
      <c r="E89" s="557">
        <v>0.23958333333333334</v>
      </c>
      <c r="F89" s="557">
        <v>0.25000000000000006</v>
      </c>
      <c r="G89" s="557">
        <v>0.26136363636363635</v>
      </c>
      <c r="H89" s="557">
        <v>0.27380952380952389</v>
      </c>
      <c r="I89" s="557">
        <v>0.28749999999999992</v>
      </c>
      <c r="J89" s="557">
        <v>0.30263157894736842</v>
      </c>
      <c r="K89" s="557">
        <v>0.31944444444444453</v>
      </c>
      <c r="L89" s="557">
        <v>0.33823529411764708</v>
      </c>
      <c r="M89" s="557">
        <v>0.35937500000000006</v>
      </c>
      <c r="N89" s="557">
        <v>0.3833333333333333</v>
      </c>
      <c r="O89" s="557">
        <v>0.41071428571428575</v>
      </c>
    </row>
    <row r="90" spans="1:15">
      <c r="A90" s="109" t="s">
        <v>973</v>
      </c>
      <c r="B90" s="111"/>
      <c r="C90" s="112"/>
      <c r="D90" s="112"/>
      <c r="E90" s="557">
        <v>0.11979166666666667</v>
      </c>
      <c r="F90" s="557">
        <v>0.12500000000000003</v>
      </c>
      <c r="G90" s="557">
        <v>0.13068181818181818</v>
      </c>
      <c r="H90" s="557">
        <v>0.13690476190476195</v>
      </c>
      <c r="I90" s="557">
        <v>0.14374999999999996</v>
      </c>
      <c r="J90" s="557">
        <v>0.15131578947368421</v>
      </c>
      <c r="K90" s="557">
        <v>0.15972222222222227</v>
      </c>
      <c r="L90" s="557">
        <v>0.16911764705882354</v>
      </c>
      <c r="M90" s="557">
        <v>0.17968750000000003</v>
      </c>
      <c r="N90" s="557">
        <v>0.19166666666666665</v>
      </c>
      <c r="O90" s="557">
        <v>0.20535714285714288</v>
      </c>
    </row>
    <row r="91" spans="1:15">
      <c r="A91" s="533"/>
      <c r="B91" s="564"/>
      <c r="C91" s="94"/>
      <c r="D91" s="94"/>
      <c r="E91" s="558"/>
      <c r="F91" s="558"/>
      <c r="G91" s="558"/>
      <c r="H91" s="558"/>
      <c r="I91" s="558"/>
      <c r="J91" s="558"/>
      <c r="K91" s="558"/>
      <c r="L91" s="558"/>
      <c r="M91" s="558"/>
      <c r="N91" s="558"/>
      <c r="O91" s="558"/>
    </row>
  </sheetData>
  <pageMargins left="0.75" right="0.75" top="1" bottom="1" header="0.5" footer="0.5"/>
  <pageSetup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BF4E0-0CAB-4139-A359-F2D6DAA84BA6}">
  <sheetPr>
    <tabColor rgb="FF92D050"/>
  </sheetPr>
  <dimension ref="A2:H144"/>
  <sheetViews>
    <sheetView workbookViewId="0"/>
  </sheetViews>
  <sheetFormatPr defaultColWidth="9.140625" defaultRowHeight="12.75"/>
  <cols>
    <col min="1" max="1" width="41.85546875" style="75" customWidth="1"/>
    <col min="2" max="2" width="17.42578125" style="75" customWidth="1"/>
    <col min="3" max="3" width="20.42578125" style="75" bestFit="1" customWidth="1"/>
    <col min="4" max="4" width="11.85546875" style="75" customWidth="1"/>
    <col min="5" max="5" width="11" style="75" customWidth="1"/>
    <col min="6" max="6" width="14" style="75" customWidth="1"/>
    <col min="7" max="7" width="55.28515625" style="75" customWidth="1"/>
    <col min="8" max="8" width="29.42578125" style="75" customWidth="1"/>
    <col min="9" max="16" width="9.140625" style="75"/>
    <col min="17" max="18" width="9.140625" style="75" customWidth="1"/>
    <col min="19" max="19" width="19" style="75" customWidth="1"/>
    <col min="20" max="23" width="9.140625" style="75" customWidth="1"/>
    <col min="24" max="16384" width="9.140625" style="75"/>
  </cols>
  <sheetData>
    <row r="2" spans="1:8" ht="15">
      <c r="A2" s="107" t="s">
        <v>73</v>
      </c>
      <c r="B2" s="107" t="s">
        <v>198</v>
      </c>
      <c r="C2" s="108" t="s">
        <v>199</v>
      </c>
      <c r="D2" s="107" t="s">
        <v>200</v>
      </c>
      <c r="E2" s="107" t="s">
        <v>201</v>
      </c>
      <c r="F2" s="107" t="s">
        <v>215</v>
      </c>
      <c r="G2" s="107" t="s">
        <v>216</v>
      </c>
      <c r="H2" s="107"/>
    </row>
    <row r="3" spans="1:8">
      <c r="A3" s="94"/>
      <c r="B3" s="94"/>
      <c r="C3" s="85"/>
      <c r="D3" s="94"/>
      <c r="E3" s="94"/>
      <c r="F3" s="94"/>
      <c r="G3" s="94"/>
      <c r="H3" s="94"/>
    </row>
    <row r="4" spans="1:8">
      <c r="A4" s="109"/>
      <c r="B4" s="111"/>
      <c r="C4" s="112"/>
      <c r="D4" s="112"/>
      <c r="E4" s="113"/>
      <c r="F4" s="112"/>
      <c r="G4" s="110"/>
      <c r="H4" s="93"/>
    </row>
    <row r="5" spans="1:8">
      <c r="A5" s="804" t="s">
        <v>360</v>
      </c>
      <c r="B5" s="805"/>
      <c r="C5" s="805"/>
      <c r="D5" s="805"/>
      <c r="E5" s="805"/>
      <c r="F5" s="805"/>
      <c r="G5" s="806"/>
      <c r="H5" s="112"/>
    </row>
    <row r="6" spans="1:8">
      <c r="A6" s="109" t="s">
        <v>911</v>
      </c>
      <c r="B6" s="572" t="s">
        <v>934</v>
      </c>
      <c r="C6" s="112"/>
      <c r="D6" s="112"/>
      <c r="E6" s="480">
        <v>40</v>
      </c>
      <c r="F6" s="112" t="str">
        <f>TEXT(E6,"0,0")&amp;" °C"</f>
        <v>40,0 °C</v>
      </c>
      <c r="G6" s="478"/>
      <c r="H6" s="112"/>
    </row>
    <row r="7" spans="1:8">
      <c r="A7" s="109" t="s">
        <v>912</v>
      </c>
      <c r="B7" s="572" t="s">
        <v>933</v>
      </c>
      <c r="C7" s="112"/>
      <c r="D7" s="112"/>
      <c r="E7" s="480">
        <v>60</v>
      </c>
      <c r="F7" s="112" t="str">
        <f>TEXT(E7,"0,0")&amp;" °C"</f>
        <v>60,0 °C</v>
      </c>
      <c r="G7" s="478"/>
      <c r="H7" s="112"/>
    </row>
    <row r="8" spans="1:8">
      <c r="A8" s="567" t="s">
        <v>319</v>
      </c>
      <c r="B8" s="572" t="s">
        <v>935</v>
      </c>
      <c r="C8" s="112"/>
      <c r="D8" s="112"/>
      <c r="E8" s="568">
        <v>12</v>
      </c>
      <c r="F8" s="112" t="str">
        <f>TEXT(E8,"0,0")&amp;" °C"</f>
        <v>12,0 °C</v>
      </c>
      <c r="G8" s="482" t="s">
        <v>637</v>
      </c>
      <c r="H8" s="112"/>
    </row>
    <row r="9" spans="1:8">
      <c r="A9" s="109" t="s">
        <v>614</v>
      </c>
      <c r="B9" s="572" t="s">
        <v>936</v>
      </c>
      <c r="C9" s="112"/>
      <c r="D9" s="112" t="s">
        <v>615</v>
      </c>
      <c r="E9" s="480">
        <v>12</v>
      </c>
      <c r="F9" s="112" t="str">
        <f>TEXT(E9,"0,0")&amp;" l/min"</f>
        <v>12,0 l/min</v>
      </c>
      <c r="G9" s="110"/>
      <c r="H9" s="93"/>
    </row>
    <row r="10" spans="1:8">
      <c r="A10" s="109" t="s">
        <v>918</v>
      </c>
      <c r="B10" s="572" t="s">
        <v>937</v>
      </c>
      <c r="C10" s="112"/>
      <c r="D10" s="112"/>
      <c r="E10" s="480">
        <v>1</v>
      </c>
      <c r="F10" s="112"/>
      <c r="G10" s="110"/>
      <c r="H10" s="93"/>
    </row>
    <row r="11" spans="1:8">
      <c r="A11" s="109" t="s">
        <v>914</v>
      </c>
      <c r="B11" s="572" t="s">
        <v>938</v>
      </c>
      <c r="C11" s="112"/>
      <c r="D11" s="112"/>
      <c r="E11" s="480">
        <v>35</v>
      </c>
      <c r="F11" s="112" t="str">
        <f>TEXT(E11,"0,0")&amp;" °C"</f>
        <v>35,0 °C</v>
      </c>
      <c r="G11" s="110"/>
      <c r="H11" s="93"/>
    </row>
    <row r="12" spans="1:8">
      <c r="A12" s="109" t="s">
        <v>913</v>
      </c>
      <c r="B12" s="111"/>
      <c r="C12" s="112"/>
      <c r="D12" s="112" t="s">
        <v>615</v>
      </c>
      <c r="E12" s="113">
        <f>+E9*(E6-E8)/(E7-E8)</f>
        <v>7</v>
      </c>
      <c r="F12" s="112"/>
      <c r="G12" s="110"/>
      <c r="H12" s="93"/>
    </row>
    <row r="13" spans="1:8">
      <c r="A13" s="109"/>
      <c r="B13" s="111"/>
      <c r="C13" s="112"/>
      <c r="D13" s="112"/>
      <c r="E13" s="113"/>
      <c r="F13" s="112"/>
      <c r="G13" s="512"/>
      <c r="H13" s="513"/>
    </row>
    <row r="14" spans="1:8">
      <c r="A14" s="109" t="s">
        <v>917</v>
      </c>
      <c r="B14" s="572" t="s">
        <v>939</v>
      </c>
      <c r="C14" s="94"/>
      <c r="D14" s="94" t="s">
        <v>915</v>
      </c>
      <c r="E14" s="558">
        <f>+E9*0.06*1.16*(E6-E8)</f>
        <v>23.385599999999997</v>
      </c>
      <c r="F14" s="112"/>
      <c r="G14" s="512"/>
      <c r="H14" s="513"/>
    </row>
    <row r="15" spans="1:8">
      <c r="A15" s="109" t="s">
        <v>920</v>
      </c>
      <c r="B15" s="572" t="s">
        <v>942</v>
      </c>
      <c r="C15" s="112"/>
      <c r="D15" s="112" t="s">
        <v>915</v>
      </c>
      <c r="E15" s="113">
        <f>+E9*0.06*1.16*(E11-E8)</f>
        <v>19.209599999999998</v>
      </c>
      <c r="F15" s="557">
        <f>+E15/E14</f>
        <v>0.82142857142857151</v>
      </c>
      <c r="G15" s="512"/>
      <c r="H15" s="513"/>
    </row>
    <row r="16" spans="1:8">
      <c r="A16" s="109" t="s">
        <v>921</v>
      </c>
      <c r="B16" s="572" t="s">
        <v>941</v>
      </c>
      <c r="C16" s="112"/>
      <c r="D16" s="112" t="s">
        <v>615</v>
      </c>
      <c r="E16" s="113">
        <f>+E9*E10</f>
        <v>12</v>
      </c>
      <c r="F16" s="112"/>
      <c r="G16" s="512"/>
      <c r="H16" s="513"/>
    </row>
    <row r="17" spans="1:8">
      <c r="A17" s="109" t="s">
        <v>919</v>
      </c>
      <c r="B17" s="572" t="s">
        <v>940</v>
      </c>
      <c r="C17" s="94"/>
      <c r="D17" s="94" t="s">
        <v>915</v>
      </c>
      <c r="E17" s="558">
        <f>+E16*0.06*1.16*(E11-E8)</f>
        <v>19.209599999999998</v>
      </c>
      <c r="F17" s="557">
        <f>+E17/E14</f>
        <v>0.82142857142857151</v>
      </c>
      <c r="G17" s="512"/>
      <c r="H17" s="513"/>
    </row>
    <row r="18" spans="1:8">
      <c r="A18" s="109"/>
      <c r="B18" s="111"/>
      <c r="C18" s="112"/>
      <c r="D18" s="112"/>
      <c r="E18" s="113"/>
      <c r="F18" s="112"/>
      <c r="G18" s="512"/>
      <c r="H18" s="513"/>
    </row>
    <row r="19" spans="1:8">
      <c r="A19" s="193" t="s">
        <v>955</v>
      </c>
      <c r="B19" s="483"/>
      <c r="C19" s="185"/>
      <c r="D19" s="185"/>
      <c r="E19" s="194"/>
      <c r="F19" s="185"/>
      <c r="G19" s="512"/>
      <c r="H19" s="513"/>
    </row>
    <row r="20" spans="1:8">
      <c r="A20" s="256" t="s">
        <v>625</v>
      </c>
      <c r="B20" s="483"/>
      <c r="C20" s="185"/>
      <c r="D20" s="185" t="s">
        <v>627</v>
      </c>
      <c r="E20" s="582">
        <v>5</v>
      </c>
      <c r="F20" s="185"/>
      <c r="G20" s="512"/>
      <c r="H20" s="513"/>
    </row>
    <row r="21" spans="1:8">
      <c r="A21" s="256" t="s">
        <v>956</v>
      </c>
      <c r="B21" s="483"/>
      <c r="C21" s="185"/>
      <c r="D21" s="185" t="s">
        <v>69</v>
      </c>
      <c r="E21" s="583">
        <f>+E20*E9</f>
        <v>60</v>
      </c>
      <c r="F21" s="185"/>
      <c r="G21" s="512"/>
      <c r="H21" s="513"/>
    </row>
    <row r="22" spans="1:8">
      <c r="A22" s="256" t="s">
        <v>957</v>
      </c>
      <c r="B22" s="483"/>
      <c r="C22" s="185"/>
      <c r="D22" s="185" t="s">
        <v>218</v>
      </c>
      <c r="E22" s="194">
        <f>+E21*1.16*(E6-E8)/1000</f>
        <v>1.9487999999999996</v>
      </c>
      <c r="F22" s="185"/>
      <c r="G22" s="512"/>
      <c r="H22" s="513"/>
    </row>
    <row r="23" spans="1:8">
      <c r="A23" s="256"/>
      <c r="B23" s="483"/>
      <c r="C23" s="185"/>
      <c r="D23" s="185"/>
      <c r="E23" s="194"/>
      <c r="F23" s="185"/>
      <c r="G23" s="512"/>
      <c r="H23" s="513"/>
    </row>
    <row r="24" spans="1:8" ht="25.5">
      <c r="A24" s="256" t="s">
        <v>958</v>
      </c>
      <c r="B24" s="483"/>
      <c r="C24" s="185"/>
      <c r="D24" s="185" t="s">
        <v>69</v>
      </c>
      <c r="E24" s="581">
        <v>2</v>
      </c>
      <c r="F24" s="185"/>
      <c r="G24" s="512"/>
      <c r="H24" s="513"/>
    </row>
    <row r="25" spans="1:8">
      <c r="A25" s="256" t="s">
        <v>959</v>
      </c>
      <c r="B25" s="483"/>
      <c r="C25" s="185"/>
      <c r="D25" s="185" t="s">
        <v>69</v>
      </c>
      <c r="E25" s="581">
        <f>2+1</f>
        <v>3</v>
      </c>
      <c r="F25" s="185"/>
      <c r="G25" s="512"/>
      <c r="H25" s="513"/>
    </row>
    <row r="26" spans="1:8">
      <c r="A26" s="256"/>
      <c r="B26" s="483"/>
      <c r="C26" s="185"/>
      <c r="D26" s="185"/>
      <c r="E26" s="194"/>
      <c r="F26" s="185"/>
      <c r="G26" s="512"/>
      <c r="H26" s="513"/>
    </row>
    <row r="27" spans="1:8">
      <c r="A27" s="256"/>
      <c r="B27" s="483"/>
      <c r="C27" s="185"/>
      <c r="D27" s="185"/>
      <c r="E27" s="194"/>
      <c r="F27" s="185"/>
      <c r="G27" s="512"/>
      <c r="H27" s="513"/>
    </row>
    <row r="28" spans="1:8" ht="13.5" thickBot="1">
      <c r="A28" s="193"/>
      <c r="B28" s="483"/>
      <c r="C28" s="185"/>
      <c r="D28" s="185"/>
      <c r="E28" s="194"/>
      <c r="F28" s="185"/>
      <c r="G28" s="512"/>
      <c r="H28" s="513"/>
    </row>
    <row r="29" spans="1:8">
      <c r="A29" s="517" t="s">
        <v>907</v>
      </c>
      <c r="B29" s="518"/>
      <c r="C29" s="519"/>
      <c r="D29" s="519"/>
      <c r="E29" s="520"/>
      <c r="F29" s="519"/>
      <c r="G29" s="576"/>
      <c r="H29" s="521"/>
    </row>
    <row r="30" spans="1:8">
      <c r="A30" s="514"/>
      <c r="B30" s="201"/>
      <c r="C30" s="187"/>
      <c r="D30" s="187"/>
      <c r="E30" s="515"/>
      <c r="F30" s="187"/>
      <c r="G30" s="577"/>
      <c r="H30" s="186"/>
    </row>
    <row r="31" spans="1:8">
      <c r="A31" s="109" t="s">
        <v>924</v>
      </c>
      <c r="B31" s="111"/>
      <c r="C31" s="112"/>
      <c r="D31" s="112" t="s">
        <v>615</v>
      </c>
      <c r="E31" s="558">
        <f>+$E$9</f>
        <v>12</v>
      </c>
      <c r="F31" s="112" t="str">
        <f>TEXT(E31,"0,0")&amp;" l/min"</f>
        <v>12,0 l/min</v>
      </c>
      <c r="G31" s="577"/>
      <c r="H31" s="93"/>
    </row>
    <row r="32" spans="1:8">
      <c r="A32" s="109" t="s">
        <v>925</v>
      </c>
      <c r="B32" s="94"/>
      <c r="C32" s="94"/>
      <c r="D32" s="112" t="s">
        <v>615</v>
      </c>
      <c r="E32" s="558">
        <f>+$E$16</f>
        <v>12</v>
      </c>
      <c r="F32" s="112" t="str">
        <f>TEXT(E32,"0,0")&amp;" l/min"</f>
        <v>12,0 l/min</v>
      </c>
      <c r="G32" s="577"/>
      <c r="H32" s="93"/>
    </row>
    <row r="33" spans="1:8">
      <c r="A33" s="533" t="s">
        <v>922</v>
      </c>
      <c r="B33" s="564"/>
      <c r="C33" s="94"/>
      <c r="D33" s="94" t="s">
        <v>207</v>
      </c>
      <c r="E33" s="558">
        <f>+$E$8</f>
        <v>12</v>
      </c>
      <c r="F33" s="112" t="str">
        <f t="shared" ref="F33:F34" si="0">TEXT(E33,"0,0")&amp;" °C"</f>
        <v>12,0 °C</v>
      </c>
      <c r="G33" s="577"/>
      <c r="H33" s="93"/>
    </row>
    <row r="34" spans="1:8">
      <c r="A34" s="533" t="s">
        <v>923</v>
      </c>
      <c r="B34" s="564"/>
      <c r="C34" s="94"/>
      <c r="D34" s="94" t="s">
        <v>207</v>
      </c>
      <c r="E34" s="558">
        <f>+$E$11</f>
        <v>35</v>
      </c>
      <c r="F34" s="112" t="str">
        <f t="shared" si="0"/>
        <v>35,0 °C</v>
      </c>
      <c r="G34" s="577"/>
      <c r="H34" s="93"/>
    </row>
    <row r="35" spans="1:8">
      <c r="A35" s="533" t="s">
        <v>916</v>
      </c>
      <c r="B35" s="564"/>
      <c r="C35" s="94"/>
      <c r="D35" s="94" t="s">
        <v>915</v>
      </c>
      <c r="E35" s="558">
        <f>+MIN(E31:E32)*0.06*1.16*(E34-E33)</f>
        <v>19.209599999999998</v>
      </c>
      <c r="G35" s="577"/>
      <c r="H35" s="93"/>
    </row>
    <row r="36" spans="1:8">
      <c r="A36" s="94"/>
      <c r="B36" s="94"/>
      <c r="C36" s="94"/>
      <c r="D36" s="94"/>
      <c r="E36" s="579">
        <f>+E35/$E$14</f>
        <v>0.82142857142857151</v>
      </c>
      <c r="F36" s="94"/>
      <c r="G36" s="577"/>
      <c r="H36" s="93"/>
    </row>
    <row r="37" spans="1:8">
      <c r="A37" s="533" t="s">
        <v>931</v>
      </c>
      <c r="B37" s="94"/>
      <c r="C37" s="94"/>
      <c r="D37" s="94" t="s">
        <v>431</v>
      </c>
      <c r="E37" s="569">
        <v>70</v>
      </c>
      <c r="F37" s="94"/>
      <c r="G37" s="577"/>
      <c r="H37" s="93"/>
    </row>
    <row r="38" spans="1:8">
      <c r="A38" s="533" t="s">
        <v>932</v>
      </c>
      <c r="B38" s="94"/>
      <c r="C38" s="94"/>
      <c r="D38" s="94" t="s">
        <v>915</v>
      </c>
      <c r="E38" s="190">
        <f>+E37*E35/100</f>
        <v>13.446719999999997</v>
      </c>
      <c r="F38" s="94"/>
      <c r="G38" s="577"/>
      <c r="H38" s="93"/>
    </row>
    <row r="39" spans="1:8">
      <c r="A39" s="109" t="s">
        <v>930</v>
      </c>
      <c r="B39" s="111"/>
      <c r="C39" s="112"/>
      <c r="D39" s="112" t="s">
        <v>431</v>
      </c>
      <c r="E39" s="557">
        <f>+E38/$E$14</f>
        <v>0.57499999999999996</v>
      </c>
      <c r="F39" s="112"/>
      <c r="G39" s="577"/>
      <c r="H39" s="93"/>
    </row>
    <row r="40" spans="1:8">
      <c r="A40" s="109"/>
      <c r="B40" s="111"/>
      <c r="C40" s="112"/>
      <c r="D40" s="112"/>
      <c r="E40" s="113"/>
      <c r="F40" s="112"/>
      <c r="G40" s="577"/>
      <c r="H40" s="93"/>
    </row>
    <row r="41" spans="1:8">
      <c r="A41" s="533" t="s">
        <v>929</v>
      </c>
      <c r="B41" s="94"/>
      <c r="C41" s="94"/>
      <c r="D41" s="94" t="s">
        <v>207</v>
      </c>
      <c r="E41" s="190">
        <f>+E33+E38/(E31*60/1000)/1.16</f>
        <v>28.1</v>
      </c>
      <c r="F41" s="112" t="str">
        <f t="shared" ref="F41" si="1">TEXT(E41,"0,0")&amp;" °C"</f>
        <v>28,1 °C</v>
      </c>
      <c r="G41" s="577"/>
      <c r="H41" s="93"/>
    </row>
    <row r="42" spans="1:8">
      <c r="A42" s="533" t="s">
        <v>926</v>
      </c>
      <c r="B42" s="564"/>
      <c r="C42" s="94"/>
      <c r="D42" s="94"/>
      <c r="E42" s="570">
        <f>+($E$6-E41)/($E$7-E41)</f>
        <v>0.37304075235109713</v>
      </c>
      <c r="F42" s="94"/>
      <c r="G42" s="577"/>
      <c r="H42" s="93"/>
    </row>
    <row r="43" spans="1:8">
      <c r="A43" s="109" t="s">
        <v>927</v>
      </c>
      <c r="B43" s="565"/>
      <c r="C43" s="566"/>
      <c r="D43" s="112" t="s">
        <v>615</v>
      </c>
      <c r="E43" s="558">
        <f>+$E$9*E42</f>
        <v>4.476489028213166</v>
      </c>
      <c r="F43" s="112" t="str">
        <f>TEXT(E43,"0,0")&amp;" l/min"</f>
        <v>4,5 l/min</v>
      </c>
      <c r="G43" s="577"/>
      <c r="H43" s="93"/>
    </row>
    <row r="44" spans="1:8">
      <c r="A44" s="109" t="s">
        <v>928</v>
      </c>
      <c r="B44" s="111"/>
      <c r="C44" s="112"/>
      <c r="D44" s="112" t="s">
        <v>615</v>
      </c>
      <c r="E44" s="113">
        <f>+$E$9-E43</f>
        <v>7.523510971786834</v>
      </c>
      <c r="F44" s="112" t="str">
        <f>TEXT(E44,"0,0")&amp;" l/min"</f>
        <v>7,5 l/min</v>
      </c>
      <c r="G44" s="577"/>
      <c r="H44" s="93"/>
    </row>
    <row r="45" spans="1:8">
      <c r="A45" s="109"/>
      <c r="B45" s="111"/>
      <c r="C45" s="112"/>
      <c r="D45" s="112"/>
      <c r="E45" s="113"/>
      <c r="F45" s="112"/>
      <c r="G45" s="577"/>
      <c r="H45" s="93"/>
    </row>
    <row r="46" spans="1:8">
      <c r="A46" s="109"/>
      <c r="B46" s="111"/>
      <c r="C46" s="112"/>
      <c r="D46" s="112"/>
      <c r="E46" s="191"/>
      <c r="F46" s="112"/>
      <c r="G46" s="577"/>
      <c r="H46" s="93"/>
    </row>
    <row r="47" spans="1:8">
      <c r="A47" s="109" t="s">
        <v>960</v>
      </c>
      <c r="B47" s="111"/>
      <c r="C47" s="112"/>
      <c r="D47" s="112" t="s">
        <v>961</v>
      </c>
      <c r="E47" s="575">
        <v>15</v>
      </c>
      <c r="F47" s="112"/>
      <c r="G47" s="577"/>
      <c r="H47" s="93"/>
    </row>
    <row r="48" spans="1:8">
      <c r="A48" s="109" t="s">
        <v>962</v>
      </c>
      <c r="B48" s="111"/>
      <c r="C48" s="112"/>
      <c r="D48" s="112" t="s">
        <v>961</v>
      </c>
      <c r="E48" s="584">
        <v>1.4E-2</v>
      </c>
      <c r="F48" s="112"/>
      <c r="G48" s="577"/>
      <c r="H48" s="93"/>
    </row>
    <row r="49" spans="1:8">
      <c r="A49" s="109" t="s">
        <v>963</v>
      </c>
      <c r="B49" s="111"/>
      <c r="C49" s="112"/>
      <c r="D49" s="112" t="s">
        <v>69</v>
      </c>
      <c r="E49" s="113">
        <f>+E48*E48*3.1415*0.25*1000*E47</f>
        <v>2.3090025000000001</v>
      </c>
      <c r="F49" s="112"/>
      <c r="G49" s="577"/>
      <c r="H49" s="93"/>
    </row>
    <row r="50" spans="1:8">
      <c r="A50" s="109"/>
      <c r="B50" s="111"/>
      <c r="C50" s="112"/>
      <c r="D50" s="112"/>
      <c r="E50" s="113"/>
      <c r="F50" s="112"/>
      <c r="G50" s="577"/>
      <c r="H50" s="93"/>
    </row>
    <row r="51" spans="1:8">
      <c r="A51" s="109" t="s">
        <v>964</v>
      </c>
      <c r="B51" s="111"/>
      <c r="C51" s="112"/>
      <c r="D51" s="112" t="s">
        <v>69</v>
      </c>
      <c r="E51" s="113">
        <f>+E49+$E$25/2+$E$24</f>
        <v>5.8090025000000001</v>
      </c>
      <c r="F51" s="112"/>
      <c r="G51" s="577"/>
      <c r="H51" s="93"/>
    </row>
    <row r="52" spans="1:8">
      <c r="A52" s="109" t="s">
        <v>903</v>
      </c>
      <c r="B52" s="111"/>
      <c r="C52" s="112"/>
      <c r="D52" s="112"/>
      <c r="E52" s="113">
        <f>+($E$21-E51)/$E$21</f>
        <v>0.90318329166666667</v>
      </c>
      <c r="F52" s="112"/>
      <c r="G52" s="577"/>
      <c r="H52" s="93"/>
    </row>
    <row r="53" spans="1:8">
      <c r="A53" s="109"/>
      <c r="B53" s="111"/>
      <c r="C53" s="112"/>
      <c r="D53" s="112"/>
      <c r="E53" s="113"/>
      <c r="F53" s="112"/>
      <c r="G53" s="577"/>
      <c r="H53" s="93"/>
    </row>
    <row r="54" spans="1:8">
      <c r="A54" s="109"/>
      <c r="B54" s="111"/>
      <c r="C54" s="112"/>
      <c r="D54" s="112"/>
      <c r="E54" s="113"/>
      <c r="F54" s="112"/>
      <c r="G54" s="577"/>
      <c r="H54" s="93"/>
    </row>
    <row r="55" spans="1:8">
      <c r="A55" s="109"/>
      <c r="B55" s="111"/>
      <c r="C55" s="112"/>
      <c r="D55" s="112"/>
      <c r="E55" s="113"/>
      <c r="F55" s="112"/>
      <c r="G55" s="577"/>
      <c r="H55" s="93"/>
    </row>
    <row r="56" spans="1:8">
      <c r="A56" s="109"/>
      <c r="B56" s="111"/>
      <c r="C56" s="112"/>
      <c r="D56" s="112"/>
      <c r="E56" s="113"/>
      <c r="F56" s="112"/>
      <c r="G56" s="577"/>
      <c r="H56" s="93"/>
    </row>
    <row r="57" spans="1:8" ht="13.5" thickBot="1">
      <c r="A57" s="522"/>
      <c r="B57" s="272"/>
      <c r="C57" s="275"/>
      <c r="D57" s="275"/>
      <c r="E57" s="274"/>
      <c r="F57" s="275"/>
      <c r="G57" s="578"/>
      <c r="H57" s="273"/>
    </row>
    <row r="58" spans="1:8">
      <c r="A58" s="517" t="s">
        <v>908</v>
      </c>
      <c r="B58" s="518"/>
      <c r="C58" s="519"/>
      <c r="D58" s="519"/>
      <c r="E58" s="520"/>
      <c r="F58" s="519"/>
      <c r="G58" s="576"/>
      <c r="H58" s="521"/>
    </row>
    <row r="59" spans="1:8">
      <c r="A59" s="514"/>
      <c r="B59" s="201"/>
      <c r="C59" s="187"/>
      <c r="D59" s="187"/>
      <c r="E59" s="515"/>
      <c r="F59" s="187"/>
      <c r="G59" s="577"/>
      <c r="H59" s="186"/>
    </row>
    <row r="60" spans="1:8">
      <c r="A60" s="109" t="s">
        <v>924</v>
      </c>
      <c r="B60" s="572" t="s">
        <v>943</v>
      </c>
      <c r="C60" s="112"/>
      <c r="D60" s="112" t="s">
        <v>615</v>
      </c>
      <c r="E60" s="571">
        <f ca="1">+IFERROR(E73,5)</f>
        <v>7.8048780487804867</v>
      </c>
      <c r="F60" s="112" t="str">
        <f ca="1">TEXT(E60,"0,0")&amp;" l/min"</f>
        <v>7,8 l/min</v>
      </c>
      <c r="G60" s="577"/>
      <c r="H60" s="93"/>
    </row>
    <row r="61" spans="1:8">
      <c r="A61" s="109" t="s">
        <v>925</v>
      </c>
      <c r="B61" s="572" t="s">
        <v>941</v>
      </c>
      <c r="C61" s="94"/>
      <c r="D61" s="112" t="s">
        <v>615</v>
      </c>
      <c r="E61" s="558">
        <f>+$E$16</f>
        <v>12</v>
      </c>
      <c r="F61" s="112" t="str">
        <f>TEXT(E61,"0,0")&amp;" l/min"</f>
        <v>12,0 l/min</v>
      </c>
      <c r="G61" s="577"/>
      <c r="H61" s="93"/>
    </row>
    <row r="62" spans="1:8">
      <c r="A62" s="533" t="s">
        <v>922</v>
      </c>
      <c r="B62" s="572" t="s">
        <v>935</v>
      </c>
      <c r="C62" s="94"/>
      <c r="D62" s="94" t="s">
        <v>207</v>
      </c>
      <c r="E62" s="558">
        <f>+$E$8</f>
        <v>12</v>
      </c>
      <c r="F62" s="112" t="str">
        <f t="shared" ref="F62:F63" si="2">TEXT(E62,"0,0")&amp;" °C"</f>
        <v>12,0 °C</v>
      </c>
      <c r="G62" s="577"/>
      <c r="H62" s="93"/>
    </row>
    <row r="63" spans="1:8">
      <c r="A63" s="533" t="s">
        <v>923</v>
      </c>
      <c r="B63" s="572" t="s">
        <v>938</v>
      </c>
      <c r="C63" s="94"/>
      <c r="D63" s="94" t="s">
        <v>207</v>
      </c>
      <c r="E63" s="558">
        <f>+$E$11</f>
        <v>35</v>
      </c>
      <c r="F63" s="112" t="str">
        <f t="shared" si="2"/>
        <v>35,0 °C</v>
      </c>
      <c r="G63" s="577"/>
      <c r="H63" s="93"/>
    </row>
    <row r="64" spans="1:8">
      <c r="A64" s="533" t="s">
        <v>916</v>
      </c>
      <c r="B64" s="564"/>
      <c r="C64" s="94"/>
      <c r="D64" s="94" t="s">
        <v>915</v>
      </c>
      <c r="E64" s="558">
        <f ca="1">+MIN(E60:E61)*0.06*1.16*(E63-E62)</f>
        <v>12.4940487804878</v>
      </c>
      <c r="F64" s="94"/>
      <c r="G64" s="577"/>
      <c r="H64" s="93"/>
    </row>
    <row r="65" spans="1:8">
      <c r="A65" s="109"/>
      <c r="B65" s="111"/>
      <c r="C65" s="112"/>
      <c r="D65" s="112"/>
      <c r="E65" s="579">
        <f ca="1">+E64/$E$14</f>
        <v>0.53426248548199751</v>
      </c>
      <c r="F65" s="112"/>
      <c r="G65" s="577"/>
      <c r="H65" s="93"/>
    </row>
    <row r="66" spans="1:8">
      <c r="A66" s="533" t="s">
        <v>931</v>
      </c>
      <c r="B66" s="94"/>
      <c r="C66" s="94"/>
      <c r="D66" s="94" t="s">
        <v>431</v>
      </c>
      <c r="E66" s="569">
        <v>75</v>
      </c>
      <c r="F66" s="94"/>
      <c r="G66" s="577"/>
      <c r="H66" s="93"/>
    </row>
    <row r="67" spans="1:8">
      <c r="A67" s="533" t="s">
        <v>932</v>
      </c>
      <c r="B67" s="94"/>
      <c r="C67" s="94"/>
      <c r="D67" s="94" t="s">
        <v>915</v>
      </c>
      <c r="E67" s="190">
        <f ca="1">+E66*E64/100</f>
        <v>9.3705365853658495</v>
      </c>
      <c r="F67" s="94"/>
      <c r="G67" s="577"/>
      <c r="H67" s="93"/>
    </row>
    <row r="68" spans="1:8">
      <c r="A68" s="109" t="s">
        <v>930</v>
      </c>
      <c r="B68" s="111"/>
      <c r="C68" s="112"/>
      <c r="D68" s="112" t="s">
        <v>431</v>
      </c>
      <c r="E68" s="557">
        <f ca="1">+E67/$E$14</f>
        <v>0.40069686411149813</v>
      </c>
      <c r="F68" s="94"/>
      <c r="G68" s="577"/>
      <c r="H68" s="93"/>
    </row>
    <row r="69" spans="1:8">
      <c r="A69" s="533"/>
      <c r="B69" s="564"/>
      <c r="C69" s="94"/>
      <c r="D69" s="94"/>
      <c r="E69" s="558"/>
      <c r="F69" s="94"/>
      <c r="G69" s="577"/>
      <c r="H69" s="93"/>
    </row>
    <row r="70" spans="1:8">
      <c r="A70" s="533" t="s">
        <v>929</v>
      </c>
      <c r="B70" s="94"/>
      <c r="C70" s="94"/>
      <c r="D70" s="94" t="s">
        <v>207</v>
      </c>
      <c r="E70" s="190">
        <f ca="1">+E62+E67/(E60*60/1000)/1.16</f>
        <v>29.249999999999993</v>
      </c>
      <c r="F70" s="112" t="str">
        <f t="shared" ref="F70" ca="1" si="3">TEXT(E70,"0,0")&amp;" °C"</f>
        <v>29,3 °C</v>
      </c>
      <c r="G70" s="577"/>
      <c r="H70" s="93"/>
    </row>
    <row r="71" spans="1:8">
      <c r="A71" s="533" t="s">
        <v>926</v>
      </c>
      <c r="B71" s="564"/>
      <c r="C71" s="94"/>
      <c r="D71" s="94"/>
      <c r="E71" s="570">
        <f ca="1">+($E$6-E70)/($E$7-E70)</f>
        <v>0.34959349593495948</v>
      </c>
      <c r="F71" s="94"/>
      <c r="G71" s="577"/>
      <c r="H71" s="93"/>
    </row>
    <row r="72" spans="1:8">
      <c r="A72" s="109" t="s">
        <v>927</v>
      </c>
      <c r="B72" s="565"/>
      <c r="C72" s="566"/>
      <c r="D72" s="112" t="s">
        <v>615</v>
      </c>
      <c r="E72" s="558">
        <f ca="1">+$E$9*E71</f>
        <v>4.1951219512195141</v>
      </c>
      <c r="F72" s="112" t="str">
        <f ca="1">TEXT(E72,"0,0")&amp;" l/min"</f>
        <v>4,2 l/min</v>
      </c>
      <c r="G72" s="577"/>
      <c r="H72" s="93"/>
    </row>
    <row r="73" spans="1:8">
      <c r="A73" s="109" t="s">
        <v>928</v>
      </c>
      <c r="B73" s="111"/>
      <c r="C73" s="112"/>
      <c r="D73" s="112" t="s">
        <v>615</v>
      </c>
      <c r="E73" s="113">
        <f ca="1">+$E$9-E72</f>
        <v>7.8048780487804859</v>
      </c>
      <c r="F73" s="112" t="str">
        <f ca="1">TEXT(E73,"0,0")&amp;" l/min"</f>
        <v>7,8 l/min</v>
      </c>
      <c r="G73" s="577"/>
      <c r="H73" s="93"/>
    </row>
    <row r="74" spans="1:8">
      <c r="A74" s="109"/>
      <c r="B74" s="111"/>
      <c r="C74" s="112"/>
      <c r="D74" s="112"/>
      <c r="E74" s="113"/>
      <c r="F74" s="112"/>
      <c r="G74" s="577"/>
      <c r="H74" s="93"/>
    </row>
    <row r="75" spans="1:8">
      <c r="A75" s="109"/>
      <c r="B75" s="111"/>
      <c r="C75" s="112"/>
      <c r="D75" s="112"/>
      <c r="E75" s="191"/>
      <c r="F75" s="112"/>
      <c r="G75" s="577"/>
      <c r="H75" s="93"/>
    </row>
    <row r="76" spans="1:8">
      <c r="A76" s="109" t="s">
        <v>960</v>
      </c>
      <c r="B76" s="111"/>
      <c r="C76" s="112"/>
      <c r="D76" s="112" t="s">
        <v>961</v>
      </c>
      <c r="E76" s="575">
        <v>3</v>
      </c>
      <c r="F76" s="112"/>
      <c r="G76" s="577"/>
      <c r="H76" s="93"/>
    </row>
    <row r="77" spans="1:8">
      <c r="A77" s="109" t="s">
        <v>962</v>
      </c>
      <c r="B77" s="111"/>
      <c r="C77" s="112"/>
      <c r="D77" s="112" t="s">
        <v>961</v>
      </c>
      <c r="E77" s="584">
        <v>1.4E-2</v>
      </c>
      <c r="F77" s="112"/>
      <c r="G77" s="577"/>
      <c r="H77" s="93"/>
    </row>
    <row r="78" spans="1:8">
      <c r="A78" s="109" t="s">
        <v>963</v>
      </c>
      <c r="B78" s="111"/>
      <c r="C78" s="112"/>
      <c r="D78" s="112" t="s">
        <v>69</v>
      </c>
      <c r="E78" s="113">
        <f>+E77*E77*3.1415*0.25*1000*E76</f>
        <v>0.4618005</v>
      </c>
      <c r="F78" s="112"/>
      <c r="G78" s="577"/>
      <c r="H78" s="93"/>
    </row>
    <row r="79" spans="1:8">
      <c r="A79" s="109"/>
      <c r="B79" s="111"/>
      <c r="C79" s="112"/>
      <c r="D79" s="112"/>
      <c r="E79" s="113"/>
      <c r="F79" s="112"/>
      <c r="G79" s="577"/>
      <c r="H79" s="93"/>
    </row>
    <row r="80" spans="1:8">
      <c r="A80" s="109" t="s">
        <v>964</v>
      </c>
      <c r="B80" s="111"/>
      <c r="C80" s="112"/>
      <c r="D80" s="112" t="s">
        <v>69</v>
      </c>
      <c r="E80" s="113">
        <f>+E78+$E$25/2+$E$24</f>
        <v>3.9618004999999998</v>
      </c>
      <c r="F80" s="112"/>
      <c r="G80" s="577"/>
      <c r="H80" s="93"/>
    </row>
    <row r="81" spans="1:8">
      <c r="A81" s="109" t="s">
        <v>903</v>
      </c>
      <c r="B81" s="111"/>
      <c r="C81" s="112"/>
      <c r="D81" s="112"/>
      <c r="E81" s="113">
        <f>+($E$21-E80)/$E$21</f>
        <v>0.93396999166666661</v>
      </c>
      <c r="F81" s="112"/>
      <c r="G81" s="577"/>
      <c r="H81" s="93"/>
    </row>
    <row r="82" spans="1:8">
      <c r="A82" s="109"/>
      <c r="B82" s="111"/>
      <c r="C82" s="112"/>
      <c r="D82" s="112"/>
      <c r="E82" s="113"/>
      <c r="F82" s="112"/>
      <c r="G82" s="577"/>
      <c r="H82" s="93"/>
    </row>
    <row r="83" spans="1:8">
      <c r="A83" s="109"/>
      <c r="B83" s="111"/>
      <c r="C83" s="112"/>
      <c r="D83" s="112"/>
      <c r="E83" s="113"/>
      <c r="F83" s="112"/>
      <c r="G83" s="577"/>
      <c r="H83" s="93"/>
    </row>
    <row r="84" spans="1:8">
      <c r="A84" s="109"/>
      <c r="B84" s="111"/>
      <c r="C84" s="112"/>
      <c r="D84" s="112"/>
      <c r="E84" s="113"/>
      <c r="F84" s="112"/>
      <c r="G84" s="577"/>
      <c r="H84" s="93"/>
    </row>
    <row r="85" spans="1:8">
      <c r="A85" s="109"/>
      <c r="B85" s="111"/>
      <c r="C85" s="112"/>
      <c r="D85" s="112"/>
      <c r="E85" s="113"/>
      <c r="F85" s="112"/>
      <c r="G85" s="577"/>
      <c r="H85" s="93"/>
    </row>
    <row r="86" spans="1:8" ht="13.5" thickBot="1">
      <c r="A86" s="522"/>
      <c r="B86" s="272"/>
      <c r="C86" s="275"/>
      <c r="D86" s="275"/>
      <c r="E86" s="274"/>
      <c r="F86" s="275"/>
      <c r="G86" s="578"/>
      <c r="H86" s="273"/>
    </row>
    <row r="87" spans="1:8">
      <c r="A87" s="517" t="s">
        <v>909</v>
      </c>
      <c r="B87" s="518"/>
      <c r="C87" s="519"/>
      <c r="D87" s="519"/>
      <c r="E87" s="520"/>
      <c r="F87" s="636"/>
      <c r="G87" s="606"/>
      <c r="H87" s="638"/>
    </row>
    <row r="88" spans="1:8">
      <c r="A88" s="514"/>
      <c r="B88" s="201"/>
      <c r="C88" s="187"/>
      <c r="D88" s="187"/>
      <c r="E88" s="515"/>
      <c r="F88" s="603"/>
      <c r="G88" s="607"/>
      <c r="H88" s="605"/>
    </row>
    <row r="89" spans="1:8">
      <c r="A89" s="109" t="s">
        <v>924</v>
      </c>
      <c r="B89" s="111"/>
      <c r="C89" s="112"/>
      <c r="D89" s="112" t="s">
        <v>615</v>
      </c>
      <c r="E89" s="558">
        <f>+E101</f>
        <v>7</v>
      </c>
      <c r="F89" s="604" t="str">
        <f>TEXT(E89,"0,0")&amp;" l/min"</f>
        <v>7,0 l/min</v>
      </c>
      <c r="G89" s="607"/>
      <c r="H89" s="192"/>
    </row>
    <row r="90" spans="1:8">
      <c r="A90" s="109" t="s">
        <v>925</v>
      </c>
      <c r="B90" s="94"/>
      <c r="C90" s="94"/>
      <c r="D90" s="112" t="s">
        <v>615</v>
      </c>
      <c r="E90" s="558">
        <f>+$E$16</f>
        <v>12</v>
      </c>
      <c r="F90" s="604" t="str">
        <f>TEXT(E90,"0,0")&amp;" l/min"</f>
        <v>12,0 l/min</v>
      </c>
      <c r="G90" s="607"/>
      <c r="H90" s="192"/>
    </row>
    <row r="91" spans="1:8">
      <c r="A91" s="533" t="s">
        <v>922</v>
      </c>
      <c r="B91" s="564"/>
      <c r="C91" s="94"/>
      <c r="D91" s="94" t="s">
        <v>207</v>
      </c>
      <c r="E91" s="558">
        <f>+$E$8</f>
        <v>12</v>
      </c>
      <c r="F91" s="604" t="str">
        <f t="shared" ref="F91:F92" si="4">TEXT(E91,"0,0")&amp;" °C"</f>
        <v>12,0 °C</v>
      </c>
      <c r="G91" s="607"/>
      <c r="H91" s="192"/>
    </row>
    <row r="92" spans="1:8">
      <c r="A92" s="533" t="s">
        <v>923</v>
      </c>
      <c r="B92" s="564"/>
      <c r="C92" s="94"/>
      <c r="D92" s="94" t="s">
        <v>207</v>
      </c>
      <c r="E92" s="558">
        <f>+$E$11</f>
        <v>35</v>
      </c>
      <c r="F92" s="604" t="str">
        <f t="shared" si="4"/>
        <v>35,0 °C</v>
      </c>
      <c r="G92" s="607"/>
      <c r="H92" s="192"/>
    </row>
    <row r="93" spans="1:8">
      <c r="A93" s="533" t="s">
        <v>916</v>
      </c>
      <c r="B93" s="564"/>
      <c r="C93" s="94"/>
      <c r="D93" s="94" t="s">
        <v>915</v>
      </c>
      <c r="E93" s="558">
        <f>+MIN(E89:E90)*0.06*1.16*(E92-E91)</f>
        <v>11.205599999999999</v>
      </c>
      <c r="F93" s="99"/>
      <c r="G93" s="607"/>
      <c r="H93" s="192"/>
    </row>
    <row r="94" spans="1:8">
      <c r="A94" s="533"/>
      <c r="B94" s="564"/>
      <c r="C94" s="94"/>
      <c r="D94" s="94"/>
      <c r="E94" s="579">
        <f>+E93/$E$14</f>
        <v>0.47916666666666669</v>
      </c>
      <c r="F94" s="604"/>
      <c r="G94" s="607"/>
      <c r="H94" s="192"/>
    </row>
    <row r="95" spans="1:8">
      <c r="A95" s="533" t="s">
        <v>931</v>
      </c>
      <c r="B95" s="94"/>
      <c r="C95" s="94"/>
      <c r="D95" s="94" t="s">
        <v>431</v>
      </c>
      <c r="E95" s="569">
        <v>80</v>
      </c>
      <c r="F95" s="604"/>
      <c r="G95" s="607"/>
      <c r="H95" s="192"/>
    </row>
    <row r="96" spans="1:8">
      <c r="A96" s="533" t="s">
        <v>932</v>
      </c>
      <c r="B96" s="94"/>
      <c r="C96" s="94"/>
      <c r="D96" s="94" t="s">
        <v>915</v>
      </c>
      <c r="E96" s="190">
        <f>+E95*E93/100</f>
        <v>8.9644799999999982</v>
      </c>
      <c r="F96" s="604"/>
      <c r="G96" s="607"/>
      <c r="H96" s="192"/>
    </row>
    <row r="97" spans="1:8">
      <c r="A97" s="109" t="s">
        <v>930</v>
      </c>
      <c r="B97" s="111"/>
      <c r="C97" s="112"/>
      <c r="D97" s="112" t="s">
        <v>431</v>
      </c>
      <c r="E97" s="557">
        <f>+E96/$E$14</f>
        <v>0.3833333333333333</v>
      </c>
      <c r="F97" s="604"/>
      <c r="G97" s="607"/>
      <c r="H97" s="192"/>
    </row>
    <row r="98" spans="1:8">
      <c r="A98" s="533"/>
      <c r="B98" s="564"/>
      <c r="C98" s="94"/>
      <c r="D98" s="94"/>
      <c r="E98" s="558"/>
      <c r="F98" s="604"/>
      <c r="G98" s="607"/>
      <c r="H98" s="192"/>
    </row>
    <row r="99" spans="1:8">
      <c r="A99" s="533" t="s">
        <v>929</v>
      </c>
      <c r="B99" s="94"/>
      <c r="C99" s="94"/>
      <c r="D99" s="94" t="s">
        <v>207</v>
      </c>
      <c r="E99" s="190">
        <f>+E91+E96/(E89*60/1000)/1.16</f>
        <v>30.4</v>
      </c>
      <c r="F99" s="604" t="str">
        <f t="shared" ref="F99" si="5">TEXT(E99,"0,0")&amp;" °C"</f>
        <v>30,4 °C</v>
      </c>
      <c r="G99" s="607"/>
      <c r="H99" s="192"/>
    </row>
    <row r="100" spans="1:8">
      <c r="A100" s="533" t="s">
        <v>926</v>
      </c>
      <c r="B100" s="564"/>
      <c r="C100" s="94"/>
      <c r="D100" s="94"/>
      <c r="E100" s="570">
        <f>+($E$6-$E$8)/($E$7-$E$8)</f>
        <v>0.58333333333333337</v>
      </c>
      <c r="F100" s="604"/>
      <c r="G100" s="607"/>
      <c r="H100" s="192"/>
    </row>
    <row r="101" spans="1:8">
      <c r="A101" s="109" t="s">
        <v>927</v>
      </c>
      <c r="B101" s="565"/>
      <c r="C101" s="566"/>
      <c r="D101" s="112" t="s">
        <v>615</v>
      </c>
      <c r="E101" s="558">
        <f>+$E$9*E100</f>
        <v>7</v>
      </c>
      <c r="F101" s="604" t="str">
        <f>TEXT(E101,"0,0")&amp;" l/min"</f>
        <v>7,0 l/min</v>
      </c>
      <c r="G101" s="607"/>
      <c r="H101" s="192"/>
    </row>
    <row r="102" spans="1:8">
      <c r="A102" s="109" t="s">
        <v>928</v>
      </c>
      <c r="B102" s="111"/>
      <c r="C102" s="112"/>
      <c r="D102" s="112" t="s">
        <v>615</v>
      </c>
      <c r="E102" s="113">
        <f>+$E$9-E101</f>
        <v>5</v>
      </c>
      <c r="F102" s="604" t="str">
        <f>TEXT(E102,"0,0")&amp;" l/min"</f>
        <v>5,0 l/min</v>
      </c>
      <c r="G102" s="607"/>
      <c r="H102" s="192"/>
    </row>
    <row r="103" spans="1:8">
      <c r="A103" s="533"/>
      <c r="B103" s="564"/>
      <c r="C103" s="94"/>
      <c r="D103" s="94"/>
      <c r="E103" s="558"/>
      <c r="F103" s="604"/>
      <c r="G103" s="607"/>
      <c r="H103" s="192"/>
    </row>
    <row r="104" spans="1:8">
      <c r="A104" s="109" t="s">
        <v>960</v>
      </c>
      <c r="B104" s="111"/>
      <c r="C104" s="112"/>
      <c r="D104" s="112" t="s">
        <v>961</v>
      </c>
      <c r="E104" s="575">
        <v>12</v>
      </c>
      <c r="F104" s="604"/>
      <c r="G104" s="607"/>
      <c r="H104" s="192"/>
    </row>
    <row r="105" spans="1:8">
      <c r="A105" s="109" t="s">
        <v>962</v>
      </c>
      <c r="B105" s="111"/>
      <c r="C105" s="112"/>
      <c r="D105" s="112" t="s">
        <v>961</v>
      </c>
      <c r="E105" s="584">
        <v>1.4E-2</v>
      </c>
      <c r="F105" s="604"/>
      <c r="G105" s="607"/>
      <c r="H105" s="192"/>
    </row>
    <row r="106" spans="1:8">
      <c r="A106" s="109" t="s">
        <v>963</v>
      </c>
      <c r="B106" s="111"/>
      <c r="C106" s="112"/>
      <c r="D106" s="112" t="s">
        <v>69</v>
      </c>
      <c r="E106" s="113">
        <f>+E105*E105*3.1415*0.25*1000*E104</f>
        <v>1.847202</v>
      </c>
      <c r="F106" s="604"/>
      <c r="G106" s="607"/>
      <c r="H106" s="192"/>
    </row>
    <row r="107" spans="1:8">
      <c r="A107" s="109"/>
      <c r="B107" s="111"/>
      <c r="C107" s="112"/>
      <c r="D107" s="112"/>
      <c r="E107" s="113"/>
      <c r="F107" s="604"/>
      <c r="G107" s="607"/>
      <c r="H107" s="192"/>
    </row>
    <row r="108" spans="1:8">
      <c r="A108" s="109" t="s">
        <v>964</v>
      </c>
      <c r="B108" s="111"/>
      <c r="C108" s="112"/>
      <c r="D108" s="112" t="s">
        <v>69</v>
      </c>
      <c r="E108" s="113">
        <f>+E106+$E$25/2+$E$24</f>
        <v>5.3472020000000002</v>
      </c>
      <c r="F108" s="604"/>
      <c r="G108" s="607"/>
      <c r="H108" s="192"/>
    </row>
    <row r="109" spans="1:8">
      <c r="A109" s="109" t="s">
        <v>903</v>
      </c>
      <c r="B109" s="111"/>
      <c r="C109" s="112"/>
      <c r="D109" s="112"/>
      <c r="E109" s="113">
        <f>+($E$21-E108)/$E$21</f>
        <v>0.9108799666666666</v>
      </c>
      <c r="F109" s="604"/>
      <c r="G109" s="607"/>
      <c r="H109" s="192"/>
    </row>
    <row r="110" spans="1:8">
      <c r="A110" s="109"/>
      <c r="B110" s="111"/>
      <c r="C110" s="112"/>
      <c r="D110" s="112"/>
      <c r="E110" s="113"/>
      <c r="F110" s="604"/>
      <c r="G110" s="607"/>
      <c r="H110" s="192"/>
    </row>
    <row r="111" spans="1:8">
      <c r="A111" s="109"/>
      <c r="B111" s="111"/>
      <c r="C111" s="112"/>
      <c r="D111" s="112"/>
      <c r="E111" s="113"/>
      <c r="F111" s="604"/>
      <c r="G111" s="607"/>
      <c r="H111" s="192"/>
    </row>
    <row r="112" spans="1:8">
      <c r="A112" s="109"/>
      <c r="B112" s="111"/>
      <c r="C112" s="112"/>
      <c r="D112" s="112"/>
      <c r="E112" s="113"/>
      <c r="F112" s="604"/>
      <c r="G112" s="607"/>
      <c r="H112" s="192"/>
    </row>
    <row r="113" spans="1:8">
      <c r="A113" s="109"/>
      <c r="B113" s="111"/>
      <c r="C113" s="112"/>
      <c r="D113" s="112"/>
      <c r="E113" s="113"/>
      <c r="F113" s="604"/>
      <c r="G113" s="607"/>
      <c r="H113" s="192"/>
    </row>
    <row r="114" spans="1:8">
      <c r="A114" s="109"/>
      <c r="B114" s="111"/>
      <c r="C114" s="112"/>
      <c r="D114" s="112"/>
      <c r="E114" s="113"/>
      <c r="F114" s="604"/>
      <c r="G114" s="607"/>
      <c r="H114" s="192"/>
    </row>
    <row r="115" spans="1:8">
      <c r="A115" s="109"/>
      <c r="B115" s="111"/>
      <c r="C115" s="112"/>
      <c r="D115" s="112"/>
      <c r="E115" s="113"/>
      <c r="F115" s="604"/>
      <c r="G115" s="607"/>
      <c r="H115" s="192"/>
    </row>
    <row r="116" spans="1:8" ht="13.5" thickBot="1">
      <c r="A116" s="522"/>
      <c r="B116" s="272"/>
      <c r="C116" s="275"/>
      <c r="D116" s="275"/>
      <c r="E116" s="274"/>
      <c r="F116" s="637"/>
      <c r="G116" s="608"/>
      <c r="H116" s="639"/>
    </row>
    <row r="117" spans="1:8">
      <c r="A117" s="514"/>
      <c r="B117" s="201"/>
      <c r="C117" s="187"/>
      <c r="D117" s="187"/>
      <c r="E117" s="515"/>
      <c r="F117" s="603"/>
      <c r="G117" s="606"/>
      <c r="H117" s="605"/>
    </row>
    <row r="118" spans="1:8">
      <c r="A118" s="109"/>
      <c r="B118" s="111"/>
      <c r="C118" s="112"/>
      <c r="D118" s="112"/>
      <c r="E118" s="113"/>
      <c r="F118" s="604"/>
      <c r="G118" s="607"/>
      <c r="H118" s="192"/>
    </row>
    <row r="119" spans="1:8">
      <c r="A119" s="109"/>
      <c r="B119" s="111"/>
      <c r="C119" s="112"/>
      <c r="D119" s="112"/>
      <c r="E119" s="113"/>
      <c r="F119" s="604"/>
      <c r="G119" s="607"/>
      <c r="H119" s="192"/>
    </row>
    <row r="120" spans="1:8">
      <c r="A120" s="109"/>
      <c r="B120" s="111"/>
      <c r="C120" s="112"/>
      <c r="D120" s="112"/>
      <c r="E120" s="113"/>
      <c r="F120" s="604"/>
      <c r="G120" s="607"/>
      <c r="H120" s="192"/>
    </row>
    <row r="121" spans="1:8">
      <c r="A121" s="109"/>
      <c r="B121" s="111"/>
      <c r="C121" s="112"/>
      <c r="D121" s="112"/>
      <c r="E121" s="113"/>
      <c r="F121" s="604"/>
      <c r="G121" s="607"/>
      <c r="H121" s="192"/>
    </row>
    <row r="122" spans="1:8">
      <c r="A122" s="109"/>
      <c r="B122" s="111"/>
      <c r="C122" s="112"/>
      <c r="D122" s="112"/>
      <c r="E122" s="113"/>
      <c r="F122" s="604"/>
      <c r="G122" s="607"/>
      <c r="H122" s="192"/>
    </row>
    <row r="123" spans="1:8">
      <c r="A123" s="109"/>
      <c r="B123" s="111"/>
      <c r="C123" s="112"/>
      <c r="D123" s="112"/>
      <c r="E123" s="113"/>
      <c r="F123" s="604"/>
      <c r="G123" s="607"/>
      <c r="H123" s="192"/>
    </row>
    <row r="124" spans="1:8">
      <c r="A124" s="109"/>
      <c r="B124" s="111"/>
      <c r="C124" s="112"/>
      <c r="D124" s="112"/>
      <c r="E124" s="113"/>
      <c r="F124" s="604"/>
      <c r="G124" s="607"/>
      <c r="H124" s="192"/>
    </row>
    <row r="125" spans="1:8">
      <c r="A125" s="109"/>
      <c r="B125" s="111"/>
      <c r="C125" s="112"/>
      <c r="D125" s="112"/>
      <c r="E125" s="113"/>
      <c r="F125" s="604"/>
      <c r="G125" s="607"/>
      <c r="H125" s="192"/>
    </row>
    <row r="126" spans="1:8">
      <c r="A126" s="109"/>
      <c r="B126" s="111"/>
      <c r="C126" s="112"/>
      <c r="D126" s="112"/>
      <c r="E126" s="113"/>
      <c r="F126" s="604"/>
      <c r="G126" s="607"/>
      <c r="H126" s="192"/>
    </row>
    <row r="127" spans="1:8">
      <c r="A127" s="109"/>
      <c r="B127" s="111"/>
      <c r="C127" s="112"/>
      <c r="D127" s="112"/>
      <c r="E127" s="113"/>
      <c r="F127" s="604"/>
      <c r="G127" s="607"/>
      <c r="H127" s="192"/>
    </row>
    <row r="128" spans="1:8">
      <c r="A128" s="109"/>
      <c r="B128" s="111"/>
      <c r="C128" s="112"/>
      <c r="D128" s="112"/>
      <c r="E128" s="113"/>
      <c r="F128" s="604"/>
      <c r="G128" s="607"/>
      <c r="H128" s="192"/>
    </row>
    <row r="129" spans="1:8">
      <c r="A129" s="109"/>
      <c r="B129" s="111"/>
      <c r="C129" s="112"/>
      <c r="D129" s="112"/>
      <c r="E129" s="113"/>
      <c r="F129" s="604"/>
      <c r="G129" s="607"/>
      <c r="H129" s="192"/>
    </row>
    <row r="130" spans="1:8">
      <c r="A130" s="109"/>
      <c r="B130" s="111"/>
      <c r="C130" s="112"/>
      <c r="D130" s="112"/>
      <c r="E130" s="113"/>
      <c r="F130" s="604"/>
      <c r="G130" s="607"/>
      <c r="H130" s="192"/>
    </row>
    <row r="131" spans="1:8">
      <c r="A131" s="109"/>
      <c r="B131" s="111"/>
      <c r="C131" s="112"/>
      <c r="D131" s="112"/>
      <c r="E131" s="113"/>
      <c r="F131" s="604"/>
      <c r="G131" s="607"/>
      <c r="H131" s="192"/>
    </row>
    <row r="132" spans="1:8">
      <c r="A132" s="109"/>
      <c r="B132" s="111"/>
      <c r="C132" s="112"/>
      <c r="D132" s="112"/>
      <c r="E132" s="113"/>
      <c r="F132" s="604"/>
      <c r="G132" s="607"/>
      <c r="H132" s="192"/>
    </row>
    <row r="133" spans="1:8">
      <c r="A133" s="109"/>
      <c r="B133" s="111"/>
      <c r="C133" s="112"/>
      <c r="D133" s="112"/>
      <c r="E133" s="113"/>
      <c r="F133" s="604"/>
      <c r="G133" s="607"/>
      <c r="H133" s="192"/>
    </row>
    <row r="134" spans="1:8">
      <c r="A134" s="109"/>
      <c r="B134" s="111"/>
      <c r="C134" s="112"/>
      <c r="D134" s="112"/>
      <c r="E134" s="113"/>
      <c r="F134" s="604"/>
      <c r="G134" s="607"/>
      <c r="H134" s="192"/>
    </row>
    <row r="135" spans="1:8">
      <c r="A135" s="109"/>
      <c r="B135" s="111"/>
      <c r="C135" s="112"/>
      <c r="D135" s="112"/>
      <c r="E135" s="113"/>
      <c r="F135" s="604"/>
      <c r="G135" s="607"/>
      <c r="H135" s="192"/>
    </row>
    <row r="136" spans="1:8">
      <c r="A136" s="109"/>
      <c r="B136" s="111"/>
      <c r="C136" s="112"/>
      <c r="D136" s="112"/>
      <c r="E136" s="113"/>
      <c r="F136" s="604"/>
      <c r="G136" s="607"/>
      <c r="H136" s="192"/>
    </row>
    <row r="137" spans="1:8">
      <c r="A137" s="109"/>
      <c r="B137" s="111"/>
      <c r="C137" s="112"/>
      <c r="D137" s="112"/>
      <c r="E137" s="113"/>
      <c r="F137" s="604"/>
      <c r="G137" s="607"/>
      <c r="H137" s="192"/>
    </row>
    <row r="138" spans="1:8">
      <c r="A138" s="109"/>
      <c r="B138" s="111"/>
      <c r="C138" s="112"/>
      <c r="D138" s="112"/>
      <c r="E138" s="113"/>
      <c r="F138" s="604"/>
      <c r="G138" s="607"/>
      <c r="H138" s="192"/>
    </row>
    <row r="139" spans="1:8">
      <c r="A139" s="109"/>
      <c r="B139" s="111"/>
      <c r="C139" s="112"/>
      <c r="D139" s="112"/>
      <c r="E139" s="113"/>
      <c r="F139" s="604"/>
      <c r="G139" s="607"/>
      <c r="H139" s="192"/>
    </row>
    <row r="140" spans="1:8">
      <c r="A140" s="109"/>
      <c r="B140" s="111"/>
      <c r="C140" s="112"/>
      <c r="D140" s="112"/>
      <c r="E140" s="113"/>
      <c r="F140" s="604"/>
      <c r="G140" s="607"/>
      <c r="H140" s="192"/>
    </row>
    <row r="141" spans="1:8">
      <c r="A141" s="109"/>
      <c r="B141" s="111"/>
      <c r="C141" s="112"/>
      <c r="D141" s="112"/>
      <c r="E141" s="113"/>
      <c r="F141" s="604"/>
      <c r="G141" s="607"/>
      <c r="H141" s="192"/>
    </row>
    <row r="142" spans="1:8">
      <c r="A142" s="109"/>
      <c r="B142" s="111"/>
      <c r="C142" s="112"/>
      <c r="D142" s="112"/>
      <c r="E142" s="113"/>
      <c r="F142" s="604"/>
      <c r="G142" s="607"/>
      <c r="H142" s="192"/>
    </row>
    <row r="143" spans="1:8">
      <c r="A143" s="109"/>
      <c r="B143" s="111"/>
      <c r="C143" s="112"/>
      <c r="D143" s="112"/>
      <c r="E143" s="113"/>
      <c r="F143" s="604"/>
      <c r="G143" s="607"/>
      <c r="H143" s="192"/>
    </row>
    <row r="144" spans="1:8" ht="13.5" thickBot="1">
      <c r="A144" s="109"/>
      <c r="B144" s="111"/>
      <c r="C144" s="112"/>
      <c r="D144" s="112"/>
      <c r="E144" s="113"/>
      <c r="F144" s="604"/>
      <c r="G144" s="608"/>
      <c r="H144" s="192"/>
    </row>
  </sheetData>
  <mergeCells count="1">
    <mergeCell ref="A5:G5"/>
  </mergeCells>
  <pageMargins left="0.75" right="0.75" top="1" bottom="1" header="0.5" footer="0.5"/>
  <pageSetup orientation="portrait"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3CE4D-8B70-416E-B4E8-65EA012B3D8A}">
  <sheetPr>
    <tabColor rgb="FF92D050"/>
  </sheetPr>
  <dimension ref="B3:G53"/>
  <sheetViews>
    <sheetView workbookViewId="0"/>
  </sheetViews>
  <sheetFormatPr defaultRowHeight="15"/>
  <cols>
    <col min="2" max="2" width="23.85546875" customWidth="1"/>
    <col min="3" max="3" width="14.28515625" customWidth="1"/>
  </cols>
  <sheetData>
    <row r="3" spans="2:7">
      <c r="B3" t="s">
        <v>1026</v>
      </c>
    </row>
    <row r="5" spans="2:7">
      <c r="B5" t="s">
        <v>1035</v>
      </c>
      <c r="D5" s="1">
        <v>1</v>
      </c>
      <c r="E5" s="1">
        <v>2</v>
      </c>
      <c r="F5" s="1">
        <v>3</v>
      </c>
      <c r="G5" s="1">
        <v>4</v>
      </c>
    </row>
    <row r="6" spans="2:7">
      <c r="B6" t="s">
        <v>1027</v>
      </c>
      <c r="D6" s="1">
        <v>1.5</v>
      </c>
      <c r="E6" s="1">
        <v>3</v>
      </c>
      <c r="F6" s="1">
        <v>4</v>
      </c>
      <c r="G6" s="1">
        <v>5</v>
      </c>
    </row>
    <row r="7" spans="2:7">
      <c r="B7" t="s">
        <v>425</v>
      </c>
      <c r="D7" s="1">
        <v>50</v>
      </c>
      <c r="E7" s="1">
        <v>80</v>
      </c>
      <c r="F7" s="1">
        <v>140</v>
      </c>
    </row>
    <row r="8" spans="2:7">
      <c r="B8" t="s">
        <v>420</v>
      </c>
      <c r="C8" t="s">
        <v>1028</v>
      </c>
      <c r="D8" s="1">
        <v>28</v>
      </c>
      <c r="E8" s="1"/>
      <c r="F8" s="1"/>
    </row>
    <row r="9" spans="2:7">
      <c r="B9" t="s">
        <v>1029</v>
      </c>
      <c r="C9" t="s">
        <v>207</v>
      </c>
      <c r="D9" s="1">
        <v>60</v>
      </c>
      <c r="E9" s="1"/>
      <c r="F9" s="1"/>
    </row>
    <row r="10" spans="2:7">
      <c r="B10" t="s">
        <v>1030</v>
      </c>
      <c r="C10" t="s">
        <v>207</v>
      </c>
      <c r="D10" s="1">
        <v>13.2</v>
      </c>
      <c r="E10" s="1"/>
      <c r="F10" s="1"/>
    </row>
    <row r="11" spans="2:7">
      <c r="D11" s="1"/>
      <c r="E11" s="1"/>
      <c r="F11" s="1"/>
    </row>
    <row r="12" spans="2:7">
      <c r="B12" t="s">
        <v>1031</v>
      </c>
      <c r="C12" t="s">
        <v>218</v>
      </c>
      <c r="D12" s="2">
        <f>+D6*$D$8*1.16*($D$9-$D$10)/1000</f>
        <v>2.2800959999999999</v>
      </c>
      <c r="E12" s="2">
        <f t="shared" ref="E12:F12" si="0">+E6*$D$8*1.16*($D$9-$D$10)/1000</f>
        <v>4.5601919999999998</v>
      </c>
      <c r="F12" s="2">
        <f t="shared" si="0"/>
        <v>6.0802559999999994</v>
      </c>
    </row>
    <row r="13" spans="2:7">
      <c r="B13" t="s">
        <v>485</v>
      </c>
      <c r="D13" s="1">
        <v>365</v>
      </c>
    </row>
    <row r="14" spans="2:7">
      <c r="B14" t="s">
        <v>1032</v>
      </c>
      <c r="C14" t="s">
        <v>218</v>
      </c>
      <c r="D14" s="532">
        <f>+D12*$D$13</f>
        <v>832.23503999999991</v>
      </c>
      <c r="E14" s="532">
        <f t="shared" ref="E14:F14" si="1">+E12*$D$13</f>
        <v>1664.4700799999998</v>
      </c>
      <c r="F14" s="532">
        <f t="shared" si="1"/>
        <v>2219.2934399999999</v>
      </c>
    </row>
    <row r="15" spans="2:7">
      <c r="B15" t="s">
        <v>1033</v>
      </c>
      <c r="C15" t="s">
        <v>1034</v>
      </c>
      <c r="D15" s="2">
        <f>+D14/D7</f>
        <v>16.644700799999999</v>
      </c>
      <c r="E15" s="2">
        <f t="shared" ref="E15:F15" si="2">+E14/E7</f>
        <v>20.805875999999998</v>
      </c>
      <c r="F15" s="2">
        <f t="shared" si="2"/>
        <v>15.852096</v>
      </c>
    </row>
    <row r="19" spans="2:6">
      <c r="B19" t="s">
        <v>1036</v>
      </c>
    </row>
    <row r="21" spans="2:6">
      <c r="B21" t="s">
        <v>1037</v>
      </c>
      <c r="C21" t="s">
        <v>1038</v>
      </c>
      <c r="D21">
        <v>392</v>
      </c>
      <c r="E21">
        <v>392</v>
      </c>
      <c r="F21">
        <v>392</v>
      </c>
    </row>
    <row r="22" spans="2:6">
      <c r="B22" t="s">
        <v>1039</v>
      </c>
      <c r="C22" t="s">
        <v>214</v>
      </c>
      <c r="D22">
        <v>50</v>
      </c>
      <c r="E22">
        <v>80</v>
      </c>
      <c r="F22">
        <v>140</v>
      </c>
    </row>
    <row r="23" spans="2:6">
      <c r="B23" t="s">
        <v>1040</v>
      </c>
      <c r="D23" s="610">
        <f>IF(D22&lt;30,1,IF(D22&gt;70,0.025*D22,1.75-0.01875*(70-D22)))</f>
        <v>1.375</v>
      </c>
      <c r="E23" s="610">
        <f>IF(E22&lt;30,1,IF(E22&gt;70,0.025*E22,1.75-0.01875*(70-E22)))</f>
        <v>2</v>
      </c>
      <c r="F23" s="610">
        <f>IF(F22&lt;30,1,IF(F22&gt;70,0.025*F22,1.75-0.01875*(70-F22)))</f>
        <v>3.5</v>
      </c>
    </row>
    <row r="24" spans="2:6">
      <c r="B24" t="s">
        <v>1041</v>
      </c>
      <c r="D24" s="610">
        <f>IF(D23&lt;1.75,D23,1.75+0.3*(D23-1.75))</f>
        <v>1.375</v>
      </c>
      <c r="E24" s="610">
        <f>IF(E23&lt;1.75,E23,1.75+0.3*(E23-1.75))</f>
        <v>1.825</v>
      </c>
      <c r="F24" s="610">
        <f>IF(F23&lt;1.75,F23,1.75+0.3*(F23-1.75))</f>
        <v>2.2749999999999999</v>
      </c>
    </row>
    <row r="25" spans="2:6">
      <c r="B25" t="s">
        <v>1042</v>
      </c>
      <c r="D25">
        <f>MIN(392,40*D22/D24)</f>
        <v>392</v>
      </c>
      <c r="E25">
        <f>MIN(392,40*E22/E24)</f>
        <v>392</v>
      </c>
      <c r="F25">
        <f>MIN(392,40*F22/F24)</f>
        <v>392</v>
      </c>
    </row>
    <row r="26" spans="2:6">
      <c r="B26" t="s">
        <v>1043</v>
      </c>
      <c r="C26" t="s">
        <v>1044</v>
      </c>
      <c r="D26">
        <f>+D25*D24</f>
        <v>539</v>
      </c>
      <c r="E26">
        <f>+E25*E24</f>
        <v>715.4</v>
      </c>
      <c r="F26">
        <f>+F25*F24</f>
        <v>891.8</v>
      </c>
    </row>
    <row r="27" spans="2:6">
      <c r="C27" t="s">
        <v>643</v>
      </c>
      <c r="D27">
        <f>+D26/7</f>
        <v>77</v>
      </c>
      <c r="E27">
        <f>+E26/7</f>
        <v>102.2</v>
      </c>
      <c r="F27">
        <f>+F26/7</f>
        <v>127.39999999999999</v>
      </c>
    </row>
    <row r="28" spans="2:6">
      <c r="B28" t="s">
        <v>1045</v>
      </c>
      <c r="C28" t="s">
        <v>207</v>
      </c>
      <c r="D28">
        <v>40</v>
      </c>
      <c r="E28">
        <v>40</v>
      </c>
      <c r="F28">
        <v>40</v>
      </c>
    </row>
    <row r="29" spans="2:6">
      <c r="B29" t="s">
        <v>319</v>
      </c>
      <c r="C29" t="s">
        <v>207</v>
      </c>
      <c r="D29">
        <v>10</v>
      </c>
      <c r="E29">
        <v>10</v>
      </c>
      <c r="F29">
        <v>10</v>
      </c>
    </row>
    <row r="30" spans="2:6">
      <c r="B30" t="s">
        <v>957</v>
      </c>
      <c r="C30" t="s">
        <v>689</v>
      </c>
      <c r="D30" s="588">
        <f>+D27*1.16*(D28-D29)/1000</f>
        <v>2.6795999999999998</v>
      </c>
      <c r="E30" s="588">
        <f>+E27*1.16*(E28-E29)/1000</f>
        <v>3.5565600000000002</v>
      </c>
      <c r="F30" s="588">
        <f>+F27*1.16*(F28-F29)/1000</f>
        <v>4.4335199999999997</v>
      </c>
    </row>
    <row r="31" spans="2:6">
      <c r="C31" t="s">
        <v>1046</v>
      </c>
      <c r="D31" s="611">
        <f>+D30*365</f>
        <v>978.05399999999986</v>
      </c>
      <c r="E31" s="611">
        <f>+E30*365</f>
        <v>1298.1444000000001</v>
      </c>
      <c r="F31" s="611">
        <f>+F30*365</f>
        <v>1618.2348</v>
      </c>
    </row>
    <row r="32" spans="2:6">
      <c r="C32" t="s">
        <v>1047</v>
      </c>
      <c r="D32" s="610">
        <f>+D31/D22</f>
        <v>19.561079999999997</v>
      </c>
      <c r="E32" s="610">
        <f>+E31/E22</f>
        <v>16.226805000000002</v>
      </c>
      <c r="F32" s="610">
        <f>+F31/F22</f>
        <v>11.558819999999999</v>
      </c>
    </row>
    <row r="35" spans="2:6">
      <c r="B35" t="s">
        <v>1048</v>
      </c>
    </row>
    <row r="36" spans="2:6">
      <c r="B36" t="s">
        <v>1037</v>
      </c>
      <c r="C36" t="s">
        <v>1049</v>
      </c>
      <c r="D36">
        <v>856</v>
      </c>
      <c r="E36">
        <v>856</v>
      </c>
      <c r="F36">
        <v>856</v>
      </c>
    </row>
    <row r="37" spans="2:6">
      <c r="B37" t="s">
        <v>1039</v>
      </c>
      <c r="C37" t="s">
        <v>214</v>
      </c>
      <c r="D37">
        <v>50</v>
      </c>
      <c r="E37">
        <v>80</v>
      </c>
      <c r="F37">
        <v>140</v>
      </c>
    </row>
    <row r="38" spans="2:6">
      <c r="B38" t="s">
        <v>1050</v>
      </c>
      <c r="D38" s="610">
        <f>IF(D37&lt;=30,1,IF(D37&gt;100,1.28+D37/100,2.28-1.28/70*(100-D37)))</f>
        <v>1.3657142857142854</v>
      </c>
      <c r="E38" s="610">
        <f t="shared" ref="E38:F38" si="3">IF(E37&lt;=30,1,IF(E37&gt;100,1.28+E37/100,2.28-1.28/70*(100-E37)))</f>
        <v>1.9142857142857141</v>
      </c>
      <c r="F38" s="610">
        <f t="shared" si="3"/>
        <v>2.6799999999999997</v>
      </c>
    </row>
    <row r="39" spans="2:6">
      <c r="B39" t="s">
        <v>957</v>
      </c>
      <c r="C39" t="s">
        <v>1046</v>
      </c>
      <c r="D39" s="611">
        <f>+D38*D36</f>
        <v>1169.0514285714282</v>
      </c>
      <c r="E39" s="611">
        <f t="shared" ref="E39:F39" si="4">+E38*E36</f>
        <v>1638.6285714285714</v>
      </c>
      <c r="F39" s="611">
        <f t="shared" si="4"/>
        <v>2294.08</v>
      </c>
    </row>
    <row r="40" spans="2:6">
      <c r="C40" t="s">
        <v>689</v>
      </c>
      <c r="D40" s="588">
        <f>+D39/365</f>
        <v>3.2028806262230911</v>
      </c>
      <c r="E40" s="588">
        <f t="shared" ref="E40:F40" si="5">+E39/365</f>
        <v>4.4893933463796474</v>
      </c>
      <c r="F40" s="588">
        <f t="shared" si="5"/>
        <v>6.2851506849315069</v>
      </c>
    </row>
    <row r="41" spans="2:6">
      <c r="C41" t="s">
        <v>1047</v>
      </c>
      <c r="D41" s="610">
        <f>+D39/D37</f>
        <v>23.381028571428565</v>
      </c>
      <c r="E41" s="610">
        <f>+E39/E37</f>
        <v>20.482857142857142</v>
      </c>
      <c r="F41" s="610">
        <f>+F39/F37</f>
        <v>16.386285714285712</v>
      </c>
    </row>
    <row r="43" spans="2:6">
      <c r="B43" t="s">
        <v>1051</v>
      </c>
    </row>
    <row r="45" spans="2:6">
      <c r="B45" t="s">
        <v>1039</v>
      </c>
      <c r="C45" t="s">
        <v>214</v>
      </c>
      <c r="D45">
        <v>50</v>
      </c>
      <c r="E45">
        <v>80</v>
      </c>
      <c r="F45">
        <v>140</v>
      </c>
    </row>
    <row r="46" spans="2:6">
      <c r="B46" t="s">
        <v>1042</v>
      </c>
      <c r="D46" s="588">
        <f>IF(D45&lt;=35,0,IF(D45&lt;=50,2.66667,IF(D45&lt;=200,1.067,0)))</f>
        <v>2.6666699999999999</v>
      </c>
      <c r="E46" s="588">
        <f t="shared" ref="E46:F46" si="6">IF(E45&lt;=35,0,IF(E45&lt;=50,2.66667,IF(E45&lt;=200,1.067,0)))</f>
        <v>1.0669999999999999</v>
      </c>
      <c r="F46" s="588">
        <f t="shared" si="6"/>
        <v>1.0669999999999999</v>
      </c>
    </row>
    <row r="47" spans="2:6">
      <c r="B47" t="s">
        <v>1054</v>
      </c>
      <c r="D47">
        <f>IF(D45&lt;=35,50,IF(D45&lt;=50,-43.33,IF(D45&lt;=200,36.67,250)))</f>
        <v>-43.33</v>
      </c>
      <c r="E47">
        <f t="shared" ref="E47:F47" si="7">IF(E45&lt;=35,50,IF(E45&lt;=50,-43.33,IF(E45&lt;=200,36.67,250)))</f>
        <v>36.67</v>
      </c>
      <c r="F47">
        <f t="shared" si="7"/>
        <v>36.67</v>
      </c>
    </row>
    <row r="48" spans="2:6">
      <c r="B48" t="s">
        <v>443</v>
      </c>
      <c r="D48" s="610">
        <f>+D46*D45+D47</f>
        <v>90.003499999999988</v>
      </c>
      <c r="E48" s="610">
        <f t="shared" ref="E48:F48" si="8">+E46*E45+E47</f>
        <v>122.03</v>
      </c>
      <c r="F48" s="610">
        <f t="shared" si="8"/>
        <v>186.05</v>
      </c>
    </row>
    <row r="49" spans="2:6">
      <c r="B49" t="s">
        <v>1052</v>
      </c>
      <c r="D49">
        <v>40</v>
      </c>
      <c r="E49">
        <v>40</v>
      </c>
      <c r="F49">
        <v>40</v>
      </c>
    </row>
    <row r="50" spans="2:6">
      <c r="B50" t="s">
        <v>1053</v>
      </c>
      <c r="D50">
        <v>15</v>
      </c>
      <c r="E50">
        <v>15</v>
      </c>
      <c r="F50">
        <v>15</v>
      </c>
    </row>
    <row r="51" spans="2:6">
      <c r="B51" t="s">
        <v>957</v>
      </c>
      <c r="C51" t="s">
        <v>689</v>
      </c>
      <c r="D51" s="588">
        <f>+D48*(D49-D50)*1.16/1000</f>
        <v>2.6101014999999994</v>
      </c>
      <c r="E51" s="588">
        <f t="shared" ref="E51:F51" si="9">+E48*(E49-E50)*1.16/1000</f>
        <v>3.5388699999999997</v>
      </c>
      <c r="F51" s="588">
        <f t="shared" si="9"/>
        <v>5.3954499999999994</v>
      </c>
    </row>
    <row r="52" spans="2:6">
      <c r="C52" t="s">
        <v>1046</v>
      </c>
      <c r="D52" s="611">
        <f>+D51*365</f>
        <v>952.68704749999984</v>
      </c>
      <c r="E52" s="611">
        <f t="shared" ref="E52:F52" si="10">+E51*365</f>
        <v>1291.6875499999999</v>
      </c>
      <c r="F52" s="611">
        <f t="shared" si="10"/>
        <v>1969.3392499999998</v>
      </c>
    </row>
    <row r="53" spans="2:6">
      <c r="C53" t="s">
        <v>1047</v>
      </c>
      <c r="D53" s="610">
        <f>+D52/D45</f>
        <v>19.053740949999998</v>
      </c>
      <c r="E53" s="610">
        <f t="shared" ref="E53:F53" si="11">+E52/E45</f>
        <v>16.146094374999997</v>
      </c>
      <c r="F53" s="610">
        <f t="shared" si="11"/>
        <v>14.066708928571426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11A5-DB38-4A28-B8E4-3F1C6438BE40}">
  <dimension ref="D2:D31"/>
  <sheetViews>
    <sheetView workbookViewId="0"/>
  </sheetViews>
  <sheetFormatPr defaultRowHeight="15"/>
  <cols>
    <col min="4" max="4" width="64.42578125" customWidth="1"/>
  </cols>
  <sheetData>
    <row r="2" spans="4:4" ht="15.75" thickBot="1"/>
    <row r="3" spans="4:4">
      <c r="D3" s="576"/>
    </row>
    <row r="4" spans="4:4">
      <c r="D4" s="577"/>
    </row>
    <row r="5" spans="4:4">
      <c r="D5" s="577"/>
    </row>
    <row r="6" spans="4:4">
      <c r="D6" s="577"/>
    </row>
    <row r="7" spans="4:4">
      <c r="D7" s="577"/>
    </row>
    <row r="8" spans="4:4">
      <c r="D8" s="577"/>
    </row>
    <row r="9" spans="4:4">
      <c r="D9" s="577"/>
    </row>
    <row r="10" spans="4:4">
      <c r="D10" s="577"/>
    </row>
    <row r="11" spans="4:4">
      <c r="D11" s="577"/>
    </row>
    <row r="12" spans="4:4">
      <c r="D12" s="577"/>
    </row>
    <row r="13" spans="4:4">
      <c r="D13" s="577"/>
    </row>
    <row r="14" spans="4:4">
      <c r="D14" s="577"/>
    </row>
    <row r="15" spans="4:4">
      <c r="D15" s="577"/>
    </row>
    <row r="16" spans="4:4">
      <c r="D16" s="577"/>
    </row>
    <row r="17" spans="4:4">
      <c r="D17" s="577"/>
    </row>
    <row r="18" spans="4:4">
      <c r="D18" s="577"/>
    </row>
    <row r="19" spans="4:4">
      <c r="D19" s="577"/>
    </row>
    <row r="20" spans="4:4">
      <c r="D20" s="577"/>
    </row>
    <row r="21" spans="4:4">
      <c r="D21" s="577"/>
    </row>
    <row r="22" spans="4:4">
      <c r="D22" s="577"/>
    </row>
    <row r="23" spans="4:4">
      <c r="D23" s="577"/>
    </row>
    <row r="24" spans="4:4">
      <c r="D24" s="577"/>
    </row>
    <row r="25" spans="4:4">
      <c r="D25" s="577"/>
    </row>
    <row r="26" spans="4:4">
      <c r="D26" s="577"/>
    </row>
    <row r="27" spans="4:4">
      <c r="D27" s="577"/>
    </row>
    <row r="28" spans="4:4">
      <c r="D28" s="577"/>
    </row>
    <row r="29" spans="4:4">
      <c r="D29" s="577"/>
    </row>
    <row r="30" spans="4:4">
      <c r="D30" s="577"/>
    </row>
    <row r="31" spans="4:4" ht="15.75" thickBot="1">
      <c r="D31" s="578"/>
    </row>
  </sheetData>
  <pageMargins left="0.7" right="0.7" top="0.75" bottom="0.75" header="0.3" footer="0.3"/>
  <pageSetup paperSize="9"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17143-2E3F-4C65-BBE7-7E2E8682772A}">
  <sheetPr>
    <tabColor rgb="FF92D050"/>
  </sheetPr>
  <dimension ref="A2:AW176"/>
  <sheetViews>
    <sheetView workbookViewId="0"/>
  </sheetViews>
  <sheetFormatPr defaultColWidth="9.140625" defaultRowHeight="12.75"/>
  <cols>
    <col min="1" max="1" width="41.85546875" style="75" customWidth="1"/>
    <col min="2" max="2" width="17.42578125" style="75" customWidth="1"/>
    <col min="3" max="3" width="20.42578125" style="75" bestFit="1" customWidth="1"/>
    <col min="4" max="4" width="11.85546875" style="75" customWidth="1"/>
    <col min="5" max="5" width="11" style="75" customWidth="1"/>
    <col min="6" max="6" width="14" style="75" customWidth="1"/>
    <col min="7" max="7" width="83.5703125" style="75" customWidth="1"/>
    <col min="8" max="8" width="29.42578125" style="75" customWidth="1"/>
    <col min="9" max="9" width="9.140625" style="75"/>
    <col min="10" max="49" width="10" style="75" customWidth="1"/>
    <col min="50" max="57" width="9.140625" style="75"/>
    <col min="58" max="59" width="9.140625" style="75" customWidth="1"/>
    <col min="60" max="60" width="19" style="75" customWidth="1"/>
    <col min="61" max="64" width="9.140625" style="75" customWidth="1"/>
    <col min="65" max="16384" width="9.140625" style="75"/>
  </cols>
  <sheetData>
    <row r="2" spans="1:49" ht="15">
      <c r="A2" s="107" t="s">
        <v>73</v>
      </c>
      <c r="B2" s="107" t="s">
        <v>198</v>
      </c>
      <c r="C2" s="108" t="s">
        <v>199</v>
      </c>
      <c r="D2" s="107" t="s">
        <v>200</v>
      </c>
      <c r="E2" s="107" t="s">
        <v>201</v>
      </c>
      <c r="F2" s="107" t="s">
        <v>215</v>
      </c>
      <c r="G2" s="107" t="s">
        <v>216</v>
      </c>
      <c r="H2" s="107"/>
      <c r="J2" s="81" t="s">
        <v>217</v>
      </c>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c r="AR2" s="82"/>
      <c r="AS2" s="82"/>
      <c r="AT2" s="82"/>
      <c r="AU2" s="82"/>
      <c r="AV2" s="82"/>
      <c r="AW2" s="83"/>
    </row>
    <row r="3" spans="1:49">
      <c r="A3" s="94"/>
      <c r="B3" s="94"/>
      <c r="C3" s="85"/>
      <c r="D3" s="94"/>
      <c r="E3" s="94"/>
      <c r="F3" s="94"/>
      <c r="G3" s="94"/>
      <c r="H3" s="94"/>
      <c r="J3" s="87">
        <v>1</v>
      </c>
      <c r="K3" s="88">
        <v>2</v>
      </c>
      <c r="L3" s="88">
        <v>3</v>
      </c>
      <c r="M3" s="88">
        <v>4</v>
      </c>
      <c r="N3" s="88">
        <v>5</v>
      </c>
      <c r="O3" s="88">
        <v>6</v>
      </c>
      <c r="P3" s="88">
        <v>7</v>
      </c>
      <c r="Q3" s="88">
        <v>8</v>
      </c>
      <c r="R3" s="88">
        <v>9</v>
      </c>
      <c r="S3" s="88">
        <v>10</v>
      </c>
      <c r="T3" s="88">
        <v>11</v>
      </c>
      <c r="U3" s="88">
        <v>12</v>
      </c>
      <c r="V3" s="88">
        <v>13</v>
      </c>
      <c r="W3" s="88">
        <v>14</v>
      </c>
      <c r="X3" s="88">
        <v>15</v>
      </c>
      <c r="Y3" s="88">
        <v>16</v>
      </c>
      <c r="Z3" s="88">
        <v>17</v>
      </c>
      <c r="AA3" s="88">
        <v>18</v>
      </c>
      <c r="AB3" s="88">
        <v>19</v>
      </c>
      <c r="AC3" s="88">
        <v>20</v>
      </c>
      <c r="AD3" s="88">
        <v>21</v>
      </c>
      <c r="AE3" s="88">
        <v>22</v>
      </c>
      <c r="AF3" s="88">
        <v>23</v>
      </c>
      <c r="AG3" s="88">
        <v>24</v>
      </c>
      <c r="AH3" s="88">
        <v>25</v>
      </c>
      <c r="AI3" s="88">
        <v>26</v>
      </c>
      <c r="AJ3" s="88">
        <v>27</v>
      </c>
      <c r="AK3" s="88">
        <v>28</v>
      </c>
      <c r="AL3" s="88">
        <v>29</v>
      </c>
      <c r="AM3" s="88">
        <v>30</v>
      </c>
      <c r="AN3" s="88">
        <v>31</v>
      </c>
      <c r="AO3" s="88">
        <v>32</v>
      </c>
      <c r="AP3" s="88">
        <v>33</v>
      </c>
      <c r="AQ3" s="88">
        <v>34</v>
      </c>
      <c r="AR3" s="88">
        <v>35</v>
      </c>
      <c r="AS3" s="88">
        <v>36</v>
      </c>
      <c r="AT3" s="88">
        <v>37</v>
      </c>
      <c r="AU3" s="88">
        <v>38</v>
      </c>
      <c r="AV3" s="88">
        <v>39</v>
      </c>
      <c r="AW3" s="89">
        <v>40</v>
      </c>
    </row>
    <row r="4" spans="1:49">
      <c r="A4" s="109"/>
      <c r="B4" s="111"/>
      <c r="C4" s="112"/>
      <c r="D4" s="112"/>
      <c r="E4" s="113"/>
      <c r="F4" s="112"/>
      <c r="G4" s="110"/>
      <c r="H4" s="93"/>
      <c r="J4" s="101"/>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3"/>
    </row>
    <row r="5" spans="1:49">
      <c r="A5" s="804" t="s">
        <v>360</v>
      </c>
      <c r="B5" s="805"/>
      <c r="C5" s="805"/>
      <c r="D5" s="805"/>
      <c r="E5" s="805"/>
      <c r="F5" s="805"/>
      <c r="G5" s="806"/>
      <c r="H5" s="112"/>
      <c r="J5" s="87"/>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9"/>
    </row>
    <row r="6" spans="1:49">
      <c r="A6" s="109" t="s">
        <v>618</v>
      </c>
      <c r="B6" s="111" t="s">
        <v>619</v>
      </c>
      <c r="C6" s="112"/>
      <c r="D6" s="112" t="s">
        <v>214</v>
      </c>
      <c r="E6" s="480">
        <v>50</v>
      </c>
      <c r="F6" s="112"/>
      <c r="G6" s="478"/>
      <c r="H6" s="112"/>
      <c r="J6" s="87"/>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9"/>
    </row>
    <row r="7" spans="1:49">
      <c r="A7" s="109" t="s">
        <v>653</v>
      </c>
      <c r="B7" s="111" t="s">
        <v>634</v>
      </c>
      <c r="C7" s="112"/>
      <c r="D7" s="112"/>
      <c r="E7" s="480">
        <v>41</v>
      </c>
      <c r="F7" s="112"/>
      <c r="G7" s="478"/>
      <c r="H7" s="112"/>
      <c r="J7" s="87"/>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9"/>
    </row>
    <row r="8" spans="1:49">
      <c r="A8" s="109" t="s">
        <v>654</v>
      </c>
      <c r="B8" s="111"/>
      <c r="C8" s="112"/>
      <c r="D8" s="112"/>
      <c r="E8" s="480">
        <v>42</v>
      </c>
      <c r="F8" s="112"/>
      <c r="G8" s="478"/>
      <c r="H8" s="112"/>
      <c r="J8" s="490"/>
      <c r="K8" s="491"/>
      <c r="L8" s="491"/>
      <c r="M8" s="491"/>
      <c r="N8" s="491"/>
      <c r="O8" s="491"/>
      <c r="P8" s="491"/>
      <c r="Q8" s="491"/>
      <c r="R8" s="491"/>
      <c r="S8" s="491"/>
      <c r="T8" s="491"/>
      <c r="U8" s="491"/>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9"/>
    </row>
    <row r="9" spans="1:49">
      <c r="A9" s="109" t="s">
        <v>633</v>
      </c>
      <c r="B9" s="111" t="s">
        <v>635</v>
      </c>
      <c r="C9" s="112"/>
      <c r="D9" s="112"/>
      <c r="E9" s="480">
        <v>52</v>
      </c>
      <c r="F9" s="112"/>
      <c r="G9" s="478"/>
      <c r="H9" s="112"/>
      <c r="J9" s="490"/>
      <c r="K9" s="491"/>
      <c r="L9" s="491"/>
      <c r="M9" s="491"/>
      <c r="N9" s="491"/>
      <c r="O9" s="491"/>
      <c r="P9" s="491"/>
      <c r="Q9" s="491"/>
      <c r="R9" s="491"/>
      <c r="S9" s="491"/>
      <c r="T9" s="491"/>
      <c r="U9" s="491"/>
      <c r="V9" s="488" t="s">
        <v>640</v>
      </c>
      <c r="W9" s="496" t="s">
        <v>656</v>
      </c>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9"/>
    </row>
    <row r="10" spans="1:49">
      <c r="A10" s="193" t="s">
        <v>319</v>
      </c>
      <c r="B10" s="483"/>
      <c r="C10" s="112"/>
      <c r="D10" s="112"/>
      <c r="E10" s="480" t="s">
        <v>638</v>
      </c>
      <c r="F10" s="112"/>
      <c r="G10" s="478"/>
      <c r="H10" s="112"/>
      <c r="J10" s="207">
        <v>11.1</v>
      </c>
      <c r="K10" s="208">
        <v>11.3</v>
      </c>
      <c r="L10" s="208">
        <v>12.3</v>
      </c>
      <c r="M10" s="208">
        <v>14.5</v>
      </c>
      <c r="N10" s="208">
        <v>16.2</v>
      </c>
      <c r="O10" s="208">
        <v>18.8</v>
      </c>
      <c r="P10" s="208">
        <v>21.3</v>
      </c>
      <c r="Q10" s="208">
        <v>19.3</v>
      </c>
      <c r="R10" s="208">
        <v>18.7</v>
      </c>
      <c r="S10" s="208">
        <v>16.2</v>
      </c>
      <c r="T10" s="208">
        <v>13.2</v>
      </c>
      <c r="U10" s="209">
        <v>11.2</v>
      </c>
      <c r="V10" s="489">
        <f>AVERAGE(J10:U10)</f>
        <v>15.341666666666663</v>
      </c>
      <c r="W10" s="496"/>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9"/>
    </row>
    <row r="11" spans="1:49">
      <c r="A11" s="484"/>
      <c r="B11" s="485"/>
      <c r="C11" s="112"/>
      <c r="D11" s="112"/>
      <c r="E11" s="480" t="s">
        <v>639</v>
      </c>
      <c r="F11" s="112"/>
      <c r="G11" s="478"/>
      <c r="H11" s="112"/>
      <c r="J11" s="104">
        <v>8</v>
      </c>
      <c r="K11" s="105">
        <v>8.1999999999999993</v>
      </c>
      <c r="L11" s="105">
        <v>9.3000000000000007</v>
      </c>
      <c r="M11" s="105">
        <v>12.7</v>
      </c>
      <c r="N11" s="105">
        <v>14.6</v>
      </c>
      <c r="O11" s="105">
        <v>16.7</v>
      </c>
      <c r="P11" s="105">
        <v>18.399999999999999</v>
      </c>
      <c r="Q11" s="105">
        <v>17.600000000000001</v>
      </c>
      <c r="R11" s="105">
        <v>16.600000000000001</v>
      </c>
      <c r="S11" s="105">
        <v>14.3</v>
      </c>
      <c r="T11" s="105">
        <v>11.1</v>
      </c>
      <c r="U11" s="106">
        <v>8.5</v>
      </c>
      <c r="V11" s="489">
        <f>AVERAGE(J11:U11)</f>
        <v>13</v>
      </c>
      <c r="W11" s="496"/>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9"/>
    </row>
    <row r="12" spans="1:49">
      <c r="A12" s="486"/>
      <c r="B12" s="201" t="s">
        <v>636</v>
      </c>
      <c r="C12" s="112"/>
      <c r="D12" s="112"/>
      <c r="E12" s="480" t="s">
        <v>638</v>
      </c>
      <c r="F12" s="112"/>
      <c r="G12" s="482" t="s">
        <v>637</v>
      </c>
      <c r="H12" s="112"/>
      <c r="J12" s="492">
        <f>IF($E$12=$E$10,J10,J11)</f>
        <v>11.1</v>
      </c>
      <c r="K12" s="493">
        <f t="shared" ref="K12:U12" si="0">IF($E$12=$E$10,K10,K11)</f>
        <v>11.3</v>
      </c>
      <c r="L12" s="493">
        <f t="shared" si="0"/>
        <v>12.3</v>
      </c>
      <c r="M12" s="493">
        <f t="shared" si="0"/>
        <v>14.5</v>
      </c>
      <c r="N12" s="493">
        <f t="shared" si="0"/>
        <v>16.2</v>
      </c>
      <c r="O12" s="493">
        <f t="shared" si="0"/>
        <v>18.8</v>
      </c>
      <c r="P12" s="493">
        <f t="shared" si="0"/>
        <v>21.3</v>
      </c>
      <c r="Q12" s="493">
        <f t="shared" si="0"/>
        <v>19.3</v>
      </c>
      <c r="R12" s="493">
        <f t="shared" si="0"/>
        <v>18.7</v>
      </c>
      <c r="S12" s="493">
        <f t="shared" si="0"/>
        <v>16.2</v>
      </c>
      <c r="T12" s="493">
        <f t="shared" si="0"/>
        <v>13.2</v>
      </c>
      <c r="U12" s="493">
        <f t="shared" si="0"/>
        <v>11.2</v>
      </c>
      <c r="V12" s="88"/>
      <c r="W12" s="496"/>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9"/>
    </row>
    <row r="13" spans="1:49">
      <c r="A13" s="109" t="s">
        <v>620</v>
      </c>
      <c r="B13" s="111" t="s">
        <v>621</v>
      </c>
      <c r="C13" s="112"/>
      <c r="D13" s="112" t="s">
        <v>17</v>
      </c>
      <c r="E13" s="113">
        <f>1+1.76*(1-EXP(-0.000349*(E6-13.9)*(E6-13.9)))+0.0013*(E6-13.9)</f>
        <v>1.6901008890848954</v>
      </c>
      <c r="F13" s="112"/>
      <c r="G13" s="478"/>
      <c r="H13" s="112"/>
      <c r="J13" s="87"/>
      <c r="K13" s="88"/>
      <c r="L13" s="88"/>
      <c r="M13" s="88"/>
      <c r="N13" s="88"/>
      <c r="O13" s="88"/>
      <c r="P13" s="88"/>
      <c r="Q13" s="88"/>
      <c r="R13" s="88"/>
      <c r="S13" s="88"/>
      <c r="T13" s="88"/>
      <c r="U13" s="88"/>
      <c r="V13" s="88"/>
      <c r="W13" s="496"/>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9"/>
    </row>
    <row r="14" spans="1:49" ht="25.5">
      <c r="A14" s="109" t="s">
        <v>612</v>
      </c>
      <c r="B14" s="111" t="s">
        <v>613</v>
      </c>
      <c r="C14" s="112"/>
      <c r="D14" s="112" t="s">
        <v>17</v>
      </c>
      <c r="E14" s="480">
        <v>1</v>
      </c>
      <c r="F14" s="112"/>
      <c r="G14" s="481" t="s">
        <v>630</v>
      </c>
      <c r="H14" s="93"/>
      <c r="J14" s="87"/>
      <c r="K14" s="88"/>
      <c r="L14" s="88"/>
      <c r="M14" s="88"/>
      <c r="N14" s="88"/>
      <c r="O14" s="88"/>
      <c r="P14" s="88"/>
      <c r="Q14" s="88"/>
      <c r="R14" s="88"/>
      <c r="S14" s="88"/>
      <c r="T14" s="88"/>
      <c r="U14" s="88"/>
      <c r="V14" s="88"/>
      <c r="W14" s="496"/>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9"/>
    </row>
    <row r="15" spans="1:49">
      <c r="A15" s="109" t="s">
        <v>614</v>
      </c>
      <c r="B15" s="111"/>
      <c r="C15" s="112"/>
      <c r="D15" s="112" t="s">
        <v>615</v>
      </c>
      <c r="E15" s="480">
        <v>11</v>
      </c>
      <c r="F15" s="112"/>
      <c r="G15" s="110"/>
      <c r="H15" s="93"/>
      <c r="J15" s="87"/>
      <c r="K15" s="88"/>
      <c r="L15" s="88"/>
      <c r="M15" s="88"/>
      <c r="N15" s="88"/>
      <c r="O15" s="88"/>
      <c r="P15" s="88"/>
      <c r="Q15" s="88"/>
      <c r="R15" s="88"/>
      <c r="S15" s="88"/>
      <c r="T15" s="88"/>
      <c r="U15" s="88"/>
      <c r="V15" s="88"/>
      <c r="W15" s="496"/>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9"/>
    </row>
    <row r="16" spans="1:49">
      <c r="A16" s="109"/>
      <c r="B16" s="111"/>
      <c r="C16" s="112"/>
      <c r="D16" s="112"/>
      <c r="E16" s="113"/>
      <c r="F16" s="112"/>
      <c r="G16" s="110"/>
      <c r="H16" s="93"/>
      <c r="J16" s="87"/>
      <c r="K16" s="88"/>
      <c r="L16" s="88"/>
      <c r="M16" s="88"/>
      <c r="N16" s="88"/>
      <c r="O16" s="88"/>
      <c r="P16" s="88"/>
      <c r="Q16" s="88"/>
      <c r="R16" s="88"/>
      <c r="S16" s="88"/>
      <c r="T16" s="88"/>
      <c r="U16" s="88"/>
      <c r="V16" s="88"/>
      <c r="W16" s="496"/>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9"/>
    </row>
    <row r="17" spans="1:49">
      <c r="A17" s="109" t="s">
        <v>622</v>
      </c>
      <c r="B17" s="111"/>
      <c r="C17" s="112"/>
      <c r="D17" s="112"/>
      <c r="E17" s="113" t="b">
        <f>E28&gt;0</f>
        <v>1</v>
      </c>
      <c r="F17" s="112"/>
      <c r="G17" s="110"/>
      <c r="H17" s="93"/>
      <c r="J17" s="87"/>
      <c r="K17" s="88"/>
      <c r="L17" s="88"/>
      <c r="M17" s="88"/>
      <c r="N17" s="88"/>
      <c r="O17" s="88"/>
      <c r="P17" s="88"/>
      <c r="Q17" s="88"/>
      <c r="R17" s="88"/>
      <c r="S17" s="88"/>
      <c r="T17" s="88"/>
      <c r="U17" s="88"/>
      <c r="V17" s="88"/>
      <c r="W17" s="496"/>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9"/>
    </row>
    <row r="18" spans="1:49">
      <c r="A18" s="109"/>
      <c r="B18" s="111"/>
      <c r="C18" s="112"/>
      <c r="D18" s="112"/>
      <c r="E18" s="113"/>
      <c r="F18" s="112"/>
      <c r="G18" s="110"/>
      <c r="H18" s="93"/>
      <c r="J18" s="87"/>
      <c r="K18" s="88"/>
      <c r="L18" s="88"/>
      <c r="M18" s="88"/>
      <c r="N18" s="88"/>
      <c r="O18" s="88"/>
      <c r="P18" s="88"/>
      <c r="Q18" s="88"/>
      <c r="R18" s="88"/>
      <c r="S18" s="88"/>
      <c r="T18" s="88"/>
      <c r="U18" s="88"/>
      <c r="V18" s="88"/>
      <c r="W18" s="496"/>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9"/>
    </row>
    <row r="19" spans="1:49">
      <c r="A19" s="109" t="s">
        <v>623</v>
      </c>
      <c r="B19" s="111"/>
      <c r="C19" s="112"/>
      <c r="D19" s="112"/>
      <c r="E19" s="113">
        <f>IF(E14&gt;0,IF(E17,0.45*E13+0.65,0.58+0.83*E13),0)</f>
        <v>1.4105454000882029</v>
      </c>
      <c r="F19" s="112" t="s">
        <v>628</v>
      </c>
      <c r="G19" s="110"/>
      <c r="H19" s="93"/>
      <c r="J19" s="87"/>
      <c r="K19" s="88"/>
      <c r="L19" s="88"/>
      <c r="M19" s="88"/>
      <c r="N19" s="88"/>
      <c r="O19" s="88"/>
      <c r="P19" s="88"/>
      <c r="Q19" s="88"/>
      <c r="R19" s="88"/>
      <c r="S19" s="88"/>
      <c r="T19" s="88"/>
      <c r="U19" s="88"/>
      <c r="V19" s="88"/>
      <c r="W19" s="496"/>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9"/>
    </row>
    <row r="20" spans="1:49">
      <c r="A20" s="109" t="s">
        <v>624</v>
      </c>
      <c r="B20" s="111"/>
      <c r="C20" s="112"/>
      <c r="D20" s="112"/>
      <c r="E20" s="480">
        <v>1</v>
      </c>
      <c r="F20" s="112"/>
      <c r="G20" s="110" t="s">
        <v>626</v>
      </c>
      <c r="H20" s="93"/>
      <c r="J20" s="87">
        <v>1.0349999999999999</v>
      </c>
      <c r="K20" s="88">
        <v>1.0209999999999999</v>
      </c>
      <c r="L20" s="88">
        <v>1.0069999999999999</v>
      </c>
      <c r="M20" s="88">
        <v>0.99299999999999999</v>
      </c>
      <c r="N20" s="88">
        <v>0.97899999999999998</v>
      </c>
      <c r="O20" s="88">
        <v>0.96499999999999997</v>
      </c>
      <c r="P20" s="75">
        <v>0.96499999999999997</v>
      </c>
      <c r="Q20" s="88">
        <v>0.97899999999999998</v>
      </c>
      <c r="R20" s="88">
        <v>0.99299999999999999</v>
      </c>
      <c r="S20" s="88">
        <v>1.0069999999999999</v>
      </c>
      <c r="T20" s="88">
        <v>1.0209999999999999</v>
      </c>
      <c r="U20" s="88">
        <v>1.0349999999999999</v>
      </c>
      <c r="V20" s="489">
        <f>AVERAGE(J20:U20)</f>
        <v>1</v>
      </c>
      <c r="W20" s="496"/>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9"/>
    </row>
    <row r="21" spans="1:49">
      <c r="A21" s="109" t="s">
        <v>625</v>
      </c>
      <c r="B21" s="111"/>
      <c r="C21" s="112"/>
      <c r="D21" s="112" t="s">
        <v>627</v>
      </c>
      <c r="E21" s="480">
        <v>6</v>
      </c>
      <c r="F21" s="112" t="s">
        <v>629</v>
      </c>
      <c r="G21" s="110"/>
      <c r="H21" s="93"/>
      <c r="J21" s="87"/>
      <c r="K21" s="88"/>
      <c r="L21" s="88"/>
      <c r="M21" s="88"/>
      <c r="N21" s="88"/>
      <c r="O21" s="88"/>
      <c r="P21" s="88"/>
      <c r="Q21" s="88"/>
      <c r="R21" s="88"/>
      <c r="S21" s="88"/>
      <c r="T21" s="88"/>
      <c r="U21" s="88"/>
      <c r="V21" s="88"/>
      <c r="W21" s="496"/>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9"/>
    </row>
    <row r="22" spans="1:49">
      <c r="A22" s="109" t="s">
        <v>631</v>
      </c>
      <c r="B22" s="111"/>
      <c r="C22" s="112"/>
      <c r="D22" s="112" t="s">
        <v>643</v>
      </c>
      <c r="E22" s="113">
        <f>+E15*E21*E20*E19</f>
        <v>93.095996405821396</v>
      </c>
      <c r="F22" s="112" t="s">
        <v>696</v>
      </c>
      <c r="G22" s="110" t="s">
        <v>632</v>
      </c>
      <c r="H22" s="93"/>
      <c r="J22" s="494">
        <f>+$E$22*J20</f>
        <v>96.354356280025144</v>
      </c>
      <c r="K22" s="487">
        <f t="shared" ref="K22:U22" si="1">+$E$22*K20</f>
        <v>95.051012330343639</v>
      </c>
      <c r="L22" s="487">
        <f t="shared" si="1"/>
        <v>93.747668380662134</v>
      </c>
      <c r="M22" s="487">
        <f t="shared" si="1"/>
        <v>92.444324430980643</v>
      </c>
      <c r="N22" s="487">
        <f t="shared" si="1"/>
        <v>91.140980481299138</v>
      </c>
      <c r="O22" s="487">
        <f t="shared" si="1"/>
        <v>89.837636531617648</v>
      </c>
      <c r="P22" s="487">
        <f t="shared" si="1"/>
        <v>89.837636531617648</v>
      </c>
      <c r="Q22" s="487">
        <f t="shared" si="1"/>
        <v>91.140980481299138</v>
      </c>
      <c r="R22" s="487">
        <f t="shared" si="1"/>
        <v>92.444324430980643</v>
      </c>
      <c r="S22" s="487">
        <f t="shared" si="1"/>
        <v>93.747668380662134</v>
      </c>
      <c r="T22" s="487">
        <f t="shared" si="1"/>
        <v>95.051012330343639</v>
      </c>
      <c r="U22" s="487">
        <f t="shared" si="1"/>
        <v>96.354356280025144</v>
      </c>
      <c r="V22" s="489">
        <f>AVERAGE(J22:U22)</f>
        <v>93.095996405821381</v>
      </c>
      <c r="W22" s="496"/>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9"/>
    </row>
    <row r="23" spans="1:49">
      <c r="A23" s="257" t="s">
        <v>641</v>
      </c>
      <c r="B23" s="498" t="s">
        <v>668</v>
      </c>
      <c r="C23" s="499"/>
      <c r="D23" s="499" t="s">
        <v>643</v>
      </c>
      <c r="E23" s="500" t="s">
        <v>429</v>
      </c>
      <c r="F23" s="499" t="s">
        <v>642</v>
      </c>
      <c r="G23" s="501" t="s">
        <v>697</v>
      </c>
      <c r="H23" s="499"/>
      <c r="I23" s="502"/>
      <c r="J23" s="503">
        <f>+J22*($E$7-J12)/($E$9-J12)</f>
        <v>70.439981730385128</v>
      </c>
      <c r="K23" s="504">
        <f t="shared" ref="K23:U23" si="2">+K22*($E$7-K12)/($E$9-K12)</f>
        <v>69.361549538358858</v>
      </c>
      <c r="L23" s="504">
        <f t="shared" si="2"/>
        <v>67.772243892317448</v>
      </c>
      <c r="M23" s="504">
        <f t="shared" si="2"/>
        <v>65.327322597892987</v>
      </c>
      <c r="N23" s="504">
        <f t="shared" si="2"/>
        <v>63.136768601570367</v>
      </c>
      <c r="O23" s="504">
        <f t="shared" si="2"/>
        <v>60.072154548250346</v>
      </c>
      <c r="P23" s="504">
        <f t="shared" si="2"/>
        <v>57.648255363937061</v>
      </c>
      <c r="Q23" s="504">
        <f t="shared" si="2"/>
        <v>60.481935059455388</v>
      </c>
      <c r="R23" s="504">
        <f t="shared" si="2"/>
        <v>61.907160204530591</v>
      </c>
      <c r="S23" s="504">
        <f t="shared" si="2"/>
        <v>64.94251887822405</v>
      </c>
      <c r="T23" s="504">
        <f t="shared" si="2"/>
        <v>68.10356038101942</v>
      </c>
      <c r="U23" s="504">
        <f t="shared" si="2"/>
        <v>70.376466106488962</v>
      </c>
      <c r="V23" s="505">
        <f>AVERAGE(J23:U23)</f>
        <v>64.96415974186921</v>
      </c>
      <c r="W23" s="496"/>
      <c r="X23" s="88"/>
      <c r="Y23" s="88"/>
      <c r="Z23" s="88"/>
      <c r="AA23" s="88">
        <v>66</v>
      </c>
      <c r="AB23" s="88">
        <v>15.3</v>
      </c>
      <c r="AC23" s="88">
        <v>41</v>
      </c>
      <c r="AD23" s="189">
        <f>+AA23*1.16*(AC23-AB23)/1000</f>
        <v>1.9675919999999996</v>
      </c>
      <c r="AE23" s="88"/>
      <c r="AF23" s="88"/>
      <c r="AG23" s="88"/>
      <c r="AH23" s="88"/>
      <c r="AI23" s="88"/>
      <c r="AJ23" s="88"/>
      <c r="AK23" s="88"/>
      <c r="AL23" s="88"/>
      <c r="AM23" s="88"/>
      <c r="AN23" s="88"/>
      <c r="AO23" s="88"/>
      <c r="AP23" s="88"/>
      <c r="AQ23" s="88"/>
      <c r="AR23" s="88"/>
      <c r="AS23" s="88"/>
      <c r="AT23" s="88"/>
      <c r="AU23" s="88"/>
      <c r="AV23" s="88"/>
      <c r="AW23" s="89"/>
    </row>
    <row r="24" spans="1:49">
      <c r="A24" s="109" t="s">
        <v>644</v>
      </c>
      <c r="B24" s="498" t="s">
        <v>669</v>
      </c>
      <c r="C24" s="112"/>
      <c r="D24" s="112" t="s">
        <v>643</v>
      </c>
      <c r="E24" s="113">
        <f>SUMPRODUCT(J23:U23,J25:U25)/SUM(J25:U25)</f>
        <v>64.940198842818006</v>
      </c>
      <c r="F24" s="112" t="s">
        <v>661</v>
      </c>
      <c r="G24" s="110" t="s">
        <v>698</v>
      </c>
      <c r="H24" s="93"/>
      <c r="J24" s="87"/>
      <c r="K24" s="88"/>
      <c r="L24" s="88"/>
      <c r="M24" s="88"/>
      <c r="N24" s="88"/>
      <c r="O24" s="88"/>
      <c r="P24" s="88"/>
      <c r="Q24" s="88"/>
      <c r="R24" s="88"/>
      <c r="S24" s="88"/>
      <c r="T24" s="88"/>
      <c r="U24" s="88"/>
      <c r="V24" s="88"/>
      <c r="W24" s="496"/>
      <c r="X24" s="88"/>
      <c r="Y24" s="88"/>
      <c r="Z24" s="88"/>
      <c r="AA24" s="88">
        <v>73</v>
      </c>
      <c r="AB24" s="88">
        <v>15.3</v>
      </c>
      <c r="AC24" s="88">
        <v>42</v>
      </c>
      <c r="AD24" s="189">
        <f t="shared" ref="AD24:AD25" si="3">+AA24*1.16*(AC24-AB24)/1000</f>
        <v>2.2609559999999997</v>
      </c>
      <c r="AE24" s="88"/>
      <c r="AF24" s="88"/>
      <c r="AG24" s="88"/>
      <c r="AH24" s="88"/>
      <c r="AI24" s="88"/>
      <c r="AJ24" s="88"/>
      <c r="AK24" s="88"/>
      <c r="AL24" s="88"/>
      <c r="AM24" s="88"/>
      <c r="AN24" s="88"/>
      <c r="AO24" s="88"/>
      <c r="AP24" s="88"/>
      <c r="AQ24" s="88"/>
      <c r="AR24" s="88"/>
      <c r="AS24" s="88"/>
      <c r="AT24" s="88"/>
      <c r="AU24" s="88"/>
      <c r="AV24" s="88"/>
      <c r="AW24" s="89"/>
    </row>
    <row r="25" spans="1:49">
      <c r="A25" s="109" t="s">
        <v>645</v>
      </c>
      <c r="B25" s="111"/>
      <c r="C25" s="112"/>
      <c r="D25" s="112" t="s">
        <v>17</v>
      </c>
      <c r="E25" s="113"/>
      <c r="F25" s="112"/>
      <c r="G25" s="110"/>
      <c r="H25" s="93"/>
      <c r="J25" s="87">
        <v>31</v>
      </c>
      <c r="K25" s="88">
        <v>28</v>
      </c>
      <c r="L25" s="88">
        <v>31</v>
      </c>
      <c r="M25" s="88">
        <v>30</v>
      </c>
      <c r="N25" s="88">
        <v>31</v>
      </c>
      <c r="O25" s="88">
        <v>30</v>
      </c>
      <c r="P25" s="88">
        <v>31</v>
      </c>
      <c r="Q25" s="88">
        <v>31</v>
      </c>
      <c r="R25" s="88">
        <v>30</v>
      </c>
      <c r="S25" s="88">
        <v>31</v>
      </c>
      <c r="T25" s="88">
        <v>30</v>
      </c>
      <c r="U25" s="88">
        <v>31</v>
      </c>
      <c r="V25" s="88">
        <f>SUM(J25:U25)</f>
        <v>365</v>
      </c>
      <c r="W25" s="496"/>
      <c r="X25" s="88"/>
      <c r="Y25" s="88"/>
      <c r="Z25" s="88"/>
      <c r="AA25" s="88">
        <v>33.4</v>
      </c>
      <c r="AB25" s="88">
        <v>15.3</v>
      </c>
      <c r="AC25" s="88">
        <v>52</v>
      </c>
      <c r="AD25" s="189">
        <f t="shared" si="3"/>
        <v>1.4219047999999999</v>
      </c>
      <c r="AE25" s="88"/>
      <c r="AF25" s="88"/>
      <c r="AG25" s="88"/>
      <c r="AH25" s="88"/>
      <c r="AI25" s="88"/>
      <c r="AJ25" s="88"/>
      <c r="AK25" s="88"/>
      <c r="AL25" s="88"/>
      <c r="AM25" s="88"/>
      <c r="AN25" s="88"/>
      <c r="AO25" s="88"/>
      <c r="AP25" s="88"/>
      <c r="AQ25" s="88"/>
      <c r="AR25" s="88"/>
      <c r="AS25" s="88"/>
      <c r="AT25" s="88"/>
      <c r="AU25" s="88"/>
      <c r="AV25" s="88"/>
      <c r="AW25" s="89"/>
    </row>
    <row r="26" spans="1:49">
      <c r="A26" s="109" t="s">
        <v>699</v>
      </c>
      <c r="B26" s="111"/>
      <c r="C26" s="112"/>
      <c r="D26" s="112" t="s">
        <v>646</v>
      </c>
      <c r="E26" s="113"/>
      <c r="F26" s="112" t="s">
        <v>660</v>
      </c>
      <c r="G26" s="110" t="s">
        <v>700</v>
      </c>
      <c r="H26" s="93"/>
      <c r="J26" s="199">
        <f>+J25*J22</f>
        <v>2986.9850446807795</v>
      </c>
      <c r="K26" s="200">
        <f t="shared" ref="K26:U26" si="4">+K25*K22</f>
        <v>2661.428345249622</v>
      </c>
      <c r="L26" s="200">
        <f t="shared" si="4"/>
        <v>2906.1777198005261</v>
      </c>
      <c r="M26" s="200">
        <f t="shared" si="4"/>
        <v>2773.3297329294192</v>
      </c>
      <c r="N26" s="200">
        <f t="shared" si="4"/>
        <v>2825.3703949202732</v>
      </c>
      <c r="O26" s="200">
        <f t="shared" si="4"/>
        <v>2695.1290959485295</v>
      </c>
      <c r="P26" s="200">
        <f t="shared" si="4"/>
        <v>2784.9667324801471</v>
      </c>
      <c r="Q26" s="200">
        <f t="shared" si="4"/>
        <v>2825.3703949202732</v>
      </c>
      <c r="R26" s="200">
        <f t="shared" si="4"/>
        <v>2773.3297329294192</v>
      </c>
      <c r="S26" s="200">
        <f t="shared" si="4"/>
        <v>2906.1777198005261</v>
      </c>
      <c r="T26" s="200">
        <f t="shared" si="4"/>
        <v>2851.5303699103092</v>
      </c>
      <c r="U26" s="200">
        <f t="shared" si="4"/>
        <v>2986.9850446807795</v>
      </c>
      <c r="V26" s="88"/>
      <c r="W26" s="497">
        <f>SUM(J26:U26)</f>
        <v>33976.780328250607</v>
      </c>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9"/>
    </row>
    <row r="27" spans="1:49">
      <c r="A27" s="109"/>
      <c r="B27" s="111"/>
      <c r="C27" s="112"/>
      <c r="D27" s="112"/>
      <c r="E27" s="113"/>
      <c r="F27" s="112"/>
      <c r="G27" s="110"/>
      <c r="H27" s="93"/>
      <c r="J27" s="87"/>
      <c r="K27" s="88"/>
      <c r="L27" s="88"/>
      <c r="M27" s="88"/>
      <c r="N27" s="88"/>
      <c r="O27" s="88"/>
      <c r="P27" s="88"/>
      <c r="Q27" s="88"/>
      <c r="R27" s="88"/>
      <c r="S27" s="88"/>
      <c r="T27" s="88"/>
      <c r="U27" s="88"/>
      <c r="V27" s="88"/>
      <c r="W27" s="496"/>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9"/>
    </row>
    <row r="28" spans="1:49">
      <c r="A28" s="109" t="s">
        <v>616</v>
      </c>
      <c r="B28" s="111" t="s">
        <v>617</v>
      </c>
      <c r="C28" s="112"/>
      <c r="D28" s="112" t="s">
        <v>17</v>
      </c>
      <c r="E28" s="480">
        <v>1</v>
      </c>
      <c r="F28" s="112"/>
      <c r="G28" s="110"/>
      <c r="H28" s="93"/>
      <c r="J28" s="87"/>
      <c r="K28" s="88"/>
      <c r="L28" s="88"/>
      <c r="M28" s="88"/>
      <c r="N28" s="88"/>
      <c r="O28" s="88"/>
      <c r="P28" s="88"/>
      <c r="Q28" s="88"/>
      <c r="R28" s="88"/>
      <c r="S28" s="88"/>
      <c r="T28" s="88"/>
      <c r="U28" s="88"/>
      <c r="V28" s="88"/>
      <c r="W28" s="496"/>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9"/>
    </row>
    <row r="29" spans="1:49">
      <c r="A29" s="109" t="s">
        <v>647</v>
      </c>
      <c r="B29" s="111"/>
      <c r="C29" s="112"/>
      <c r="D29" s="112"/>
      <c r="E29" s="113" t="b">
        <f>E14&gt;0</f>
        <v>1</v>
      </c>
      <c r="F29" s="112"/>
      <c r="G29" s="110"/>
      <c r="H29" s="93"/>
      <c r="J29" s="87"/>
      <c r="K29" s="88"/>
      <c r="L29" s="88"/>
      <c r="M29" s="88"/>
      <c r="N29" s="88"/>
      <c r="O29" s="88"/>
      <c r="P29" s="88"/>
      <c r="Q29" s="88"/>
      <c r="R29" s="88"/>
      <c r="S29" s="88"/>
      <c r="T29" s="88"/>
      <c r="U29" s="88"/>
      <c r="V29" s="88"/>
      <c r="W29" s="496"/>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9"/>
    </row>
    <row r="30" spans="1:49">
      <c r="A30" s="109" t="s">
        <v>648</v>
      </c>
      <c r="B30" s="111"/>
      <c r="C30" s="112"/>
      <c r="D30" s="112" t="s">
        <v>17</v>
      </c>
      <c r="E30" s="113">
        <f>IF(E28=0,0,IF(E29,0.13*E13+0.19,0.35*E13+0.5))</f>
        <v>0.4097131155810364</v>
      </c>
      <c r="F30" s="112"/>
      <c r="G30" s="110"/>
      <c r="H30" s="93"/>
      <c r="J30" s="87"/>
      <c r="K30" s="88"/>
      <c r="L30" s="88"/>
      <c r="M30" s="88"/>
      <c r="N30" s="88"/>
      <c r="O30" s="88"/>
      <c r="P30" s="88"/>
      <c r="Q30" s="88"/>
      <c r="R30" s="88"/>
      <c r="S30" s="88"/>
      <c r="T30" s="88"/>
      <c r="U30" s="88"/>
      <c r="V30" s="88"/>
      <c r="W30" s="496"/>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9"/>
    </row>
    <row r="31" spans="1:49">
      <c r="A31" s="109" t="s">
        <v>649</v>
      </c>
      <c r="B31" s="111"/>
      <c r="C31" s="112"/>
      <c r="D31" s="112" t="s">
        <v>69</v>
      </c>
      <c r="E31" s="480">
        <v>73</v>
      </c>
      <c r="F31" s="112"/>
      <c r="G31" s="110"/>
      <c r="H31" s="93"/>
      <c r="J31" s="87"/>
      <c r="K31" s="88"/>
      <c r="L31" s="88"/>
      <c r="M31" s="88"/>
      <c r="N31" s="88"/>
      <c r="O31" s="88"/>
      <c r="P31" s="88"/>
      <c r="Q31" s="88"/>
      <c r="R31" s="88"/>
      <c r="S31" s="88"/>
      <c r="T31" s="88"/>
      <c r="U31" s="88"/>
      <c r="V31" s="88"/>
      <c r="W31" s="496"/>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9"/>
    </row>
    <row r="32" spans="1:49">
      <c r="A32" s="109" t="s">
        <v>631</v>
      </c>
      <c r="B32" s="111"/>
      <c r="C32" s="112"/>
      <c r="D32" s="112"/>
      <c r="E32" s="113"/>
      <c r="F32" s="112"/>
      <c r="G32" s="110"/>
      <c r="H32" s="93"/>
      <c r="J32" s="188">
        <f t="shared" ref="J32:U32" si="5">+$E$31*J20*$E$30</f>
        <v>30.955874447725201</v>
      </c>
      <c r="K32" s="189">
        <f t="shared" si="5"/>
        <v>30.537147643601379</v>
      </c>
      <c r="L32" s="189">
        <f t="shared" si="5"/>
        <v>30.118420839477565</v>
      </c>
      <c r="M32" s="189">
        <f t="shared" si="5"/>
        <v>29.699694035353751</v>
      </c>
      <c r="N32" s="189">
        <f t="shared" si="5"/>
        <v>29.280967231229926</v>
      </c>
      <c r="O32" s="189">
        <f t="shared" si="5"/>
        <v>28.862240427106105</v>
      </c>
      <c r="P32" s="189">
        <f t="shared" si="5"/>
        <v>28.862240427106105</v>
      </c>
      <c r="Q32" s="189">
        <f t="shared" si="5"/>
        <v>29.280967231229926</v>
      </c>
      <c r="R32" s="189">
        <f t="shared" si="5"/>
        <v>29.699694035353751</v>
      </c>
      <c r="S32" s="189">
        <f t="shared" si="5"/>
        <v>30.118420839477565</v>
      </c>
      <c r="T32" s="189">
        <f t="shared" si="5"/>
        <v>30.537147643601379</v>
      </c>
      <c r="U32" s="189">
        <f t="shared" si="5"/>
        <v>30.955874447725201</v>
      </c>
      <c r="V32" s="489">
        <f>AVERAGE(J32:U32)</f>
        <v>29.909057437415655</v>
      </c>
      <c r="W32" s="496"/>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9"/>
    </row>
    <row r="33" spans="1:49">
      <c r="A33" s="109" t="s">
        <v>650</v>
      </c>
      <c r="B33" s="111"/>
      <c r="C33" s="112"/>
      <c r="D33" s="112"/>
      <c r="E33" s="480" t="s">
        <v>510</v>
      </c>
      <c r="F33" s="112"/>
      <c r="G33" s="110"/>
      <c r="H33" s="93"/>
      <c r="J33" s="188" t="s">
        <v>652</v>
      </c>
      <c r="K33" s="189" t="s">
        <v>510</v>
      </c>
      <c r="L33" s="189"/>
      <c r="M33" s="189"/>
      <c r="N33" s="189"/>
      <c r="O33" s="189"/>
      <c r="P33" s="189"/>
      <c r="Q33" s="189"/>
      <c r="R33" s="189"/>
      <c r="S33" s="189"/>
      <c r="T33" s="189"/>
      <c r="U33" s="189"/>
      <c r="V33" s="489"/>
      <c r="W33" s="496"/>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9"/>
    </row>
    <row r="34" spans="1:49">
      <c r="A34" s="109" t="s">
        <v>651</v>
      </c>
      <c r="B34" s="111"/>
      <c r="C34" s="112"/>
      <c r="D34" s="112"/>
      <c r="E34" s="113">
        <f>IF(E33=J33,0.95,1)</f>
        <v>1</v>
      </c>
      <c r="F34" s="112"/>
      <c r="G34" s="110"/>
      <c r="H34" s="93"/>
      <c r="J34" s="188">
        <f>+J32*$E$34</f>
        <v>30.955874447725201</v>
      </c>
      <c r="K34" s="189">
        <f t="shared" ref="K34:U34" si="6">+K32*$E$34</f>
        <v>30.537147643601379</v>
      </c>
      <c r="L34" s="189">
        <f t="shared" si="6"/>
        <v>30.118420839477565</v>
      </c>
      <c r="M34" s="189">
        <f t="shared" si="6"/>
        <v>29.699694035353751</v>
      </c>
      <c r="N34" s="189">
        <f t="shared" si="6"/>
        <v>29.280967231229926</v>
      </c>
      <c r="O34" s="189">
        <f t="shared" si="6"/>
        <v>28.862240427106105</v>
      </c>
      <c r="P34" s="189">
        <f t="shared" si="6"/>
        <v>28.862240427106105</v>
      </c>
      <c r="Q34" s="189">
        <f t="shared" si="6"/>
        <v>29.280967231229926</v>
      </c>
      <c r="R34" s="189">
        <f t="shared" si="6"/>
        <v>29.699694035353751</v>
      </c>
      <c r="S34" s="189">
        <f t="shared" si="6"/>
        <v>30.118420839477565</v>
      </c>
      <c r="T34" s="189">
        <f t="shared" si="6"/>
        <v>30.537147643601379</v>
      </c>
      <c r="U34" s="189">
        <f t="shared" si="6"/>
        <v>30.955874447725201</v>
      </c>
      <c r="V34" s="489">
        <f>AVERAGE(J34:U34)</f>
        <v>29.909057437415655</v>
      </c>
      <c r="W34" s="496"/>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9"/>
    </row>
    <row r="35" spans="1:49">
      <c r="A35" s="257" t="s">
        <v>641</v>
      </c>
      <c r="B35" s="498" t="s">
        <v>670</v>
      </c>
      <c r="C35" s="499"/>
      <c r="D35" s="499"/>
      <c r="E35" s="500" t="s">
        <v>429</v>
      </c>
      <c r="F35" s="499" t="s">
        <v>659</v>
      </c>
      <c r="G35" s="501"/>
      <c r="H35" s="499"/>
      <c r="I35" s="502"/>
      <c r="J35" s="503">
        <f>+J34*($E$8-J24)/($E$9-J24)</f>
        <v>25.002821669316511</v>
      </c>
      <c r="K35" s="504">
        <f t="shared" ref="K35:U35" si="7">+K34*($E$8-K24)/($E$9-K24)</f>
        <v>24.664619250601113</v>
      </c>
      <c r="L35" s="504">
        <f t="shared" si="7"/>
        <v>24.326416831885727</v>
      </c>
      <c r="M35" s="504">
        <f t="shared" si="7"/>
        <v>23.988214413170336</v>
      </c>
      <c r="N35" s="504">
        <f t="shared" si="7"/>
        <v>23.650011994454943</v>
      </c>
      <c r="O35" s="504">
        <f t="shared" si="7"/>
        <v>23.311809575739549</v>
      </c>
      <c r="P35" s="504">
        <f t="shared" si="7"/>
        <v>23.311809575739549</v>
      </c>
      <c r="Q35" s="504">
        <f t="shared" si="7"/>
        <v>23.650011994454943</v>
      </c>
      <c r="R35" s="504">
        <f t="shared" si="7"/>
        <v>23.988214413170336</v>
      </c>
      <c r="S35" s="504">
        <f t="shared" si="7"/>
        <v>24.326416831885727</v>
      </c>
      <c r="T35" s="504">
        <f t="shared" si="7"/>
        <v>24.664619250601113</v>
      </c>
      <c r="U35" s="504">
        <f t="shared" si="7"/>
        <v>25.002821669316511</v>
      </c>
      <c r="V35" s="489">
        <f>AVERAGE(J35:U35)</f>
        <v>24.157315622528031</v>
      </c>
      <c r="W35" s="496"/>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9"/>
    </row>
    <row r="36" spans="1:49">
      <c r="A36" s="109" t="s">
        <v>644</v>
      </c>
      <c r="B36" s="498" t="s">
        <v>671</v>
      </c>
      <c r="C36" s="112"/>
      <c r="D36" s="112"/>
      <c r="E36" s="113">
        <f>SUMPRODUCT(J35:U35,J25:U25)/SUM(J25:U25)</f>
        <v>24.154999167605325</v>
      </c>
      <c r="F36" s="112" t="s">
        <v>658</v>
      </c>
      <c r="G36" s="110"/>
      <c r="H36" s="93"/>
      <c r="J36" s="87"/>
      <c r="K36" s="88"/>
      <c r="L36" s="88"/>
      <c r="M36" s="88"/>
      <c r="N36" s="88"/>
      <c r="O36" s="88"/>
      <c r="P36" s="88"/>
      <c r="Q36" s="88"/>
      <c r="R36" s="88"/>
      <c r="S36" s="88"/>
      <c r="T36" s="88"/>
      <c r="U36" s="88"/>
      <c r="V36" s="88"/>
      <c r="W36" s="496"/>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9"/>
    </row>
    <row r="37" spans="1:49">
      <c r="A37" s="109" t="s">
        <v>655</v>
      </c>
      <c r="B37" s="111"/>
      <c r="C37" s="112"/>
      <c r="D37" s="112"/>
      <c r="E37" s="113"/>
      <c r="F37" s="112" t="s">
        <v>657</v>
      </c>
      <c r="G37" s="110"/>
      <c r="H37" s="93"/>
      <c r="J37" s="199">
        <f>+J25*$E$36</f>
        <v>748.80497419576511</v>
      </c>
      <c r="K37" s="200">
        <f t="shared" ref="K37:U37" si="8">+K25*$E$36</f>
        <v>676.33997669294911</v>
      </c>
      <c r="L37" s="200">
        <f t="shared" si="8"/>
        <v>748.80497419576511</v>
      </c>
      <c r="M37" s="200">
        <f t="shared" si="8"/>
        <v>724.64997502815982</v>
      </c>
      <c r="N37" s="200">
        <f t="shared" si="8"/>
        <v>748.80497419576511</v>
      </c>
      <c r="O37" s="200">
        <f t="shared" si="8"/>
        <v>724.64997502815982</v>
      </c>
      <c r="P37" s="200">
        <f t="shared" si="8"/>
        <v>748.80497419576511</v>
      </c>
      <c r="Q37" s="200">
        <f t="shared" si="8"/>
        <v>748.80497419576511</v>
      </c>
      <c r="R37" s="200">
        <f t="shared" si="8"/>
        <v>724.64997502815982</v>
      </c>
      <c r="S37" s="200">
        <f t="shared" si="8"/>
        <v>748.80497419576511</v>
      </c>
      <c r="T37" s="200">
        <f t="shared" si="8"/>
        <v>724.64997502815982</v>
      </c>
      <c r="U37" s="200">
        <f t="shared" si="8"/>
        <v>748.80497419576511</v>
      </c>
      <c r="V37" s="88"/>
      <c r="W37" s="497">
        <f>SUM(J37:U37)</f>
        <v>8816.5746961759432</v>
      </c>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9"/>
    </row>
    <row r="38" spans="1:49">
      <c r="A38" s="109"/>
      <c r="B38" s="111"/>
      <c r="C38" s="112"/>
      <c r="D38" s="112"/>
      <c r="E38" s="113"/>
      <c r="F38" s="112"/>
      <c r="G38" s="110"/>
      <c r="H38" s="93"/>
      <c r="J38" s="87"/>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9"/>
    </row>
    <row r="39" spans="1:49">
      <c r="A39" s="109" t="s">
        <v>662</v>
      </c>
      <c r="B39" s="111"/>
      <c r="C39" s="112"/>
      <c r="D39" s="112"/>
      <c r="E39" s="113"/>
      <c r="F39" s="112"/>
      <c r="G39" s="110"/>
      <c r="H39" s="93"/>
      <c r="J39" s="87"/>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9"/>
    </row>
    <row r="40" spans="1:49">
      <c r="A40" s="109" t="s">
        <v>663</v>
      </c>
      <c r="B40" s="111"/>
      <c r="C40" s="112"/>
      <c r="D40" s="112" t="s">
        <v>643</v>
      </c>
      <c r="E40" s="113">
        <f>14+9.8*E13</f>
        <v>30.562988713031977</v>
      </c>
      <c r="F40" s="112" t="s">
        <v>664</v>
      </c>
      <c r="G40" s="110"/>
      <c r="H40" s="93"/>
      <c r="J40" s="87"/>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9"/>
    </row>
    <row r="41" spans="1:49">
      <c r="A41" s="109" t="s">
        <v>665</v>
      </c>
      <c r="B41" s="498" t="s">
        <v>672</v>
      </c>
      <c r="C41" s="499"/>
      <c r="D41" s="499" t="s">
        <v>643</v>
      </c>
      <c r="E41" s="500">
        <f>+E40*E34</f>
        <v>30.562988713031977</v>
      </c>
      <c r="F41" s="112"/>
      <c r="G41" s="110"/>
      <c r="H41" s="93"/>
      <c r="J41" s="87"/>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9"/>
    </row>
    <row r="42" spans="1:49">
      <c r="A42" s="109" t="s">
        <v>666</v>
      </c>
      <c r="C42" s="112"/>
      <c r="D42" s="112"/>
      <c r="E42" s="113"/>
      <c r="F42" s="112"/>
      <c r="G42" s="110"/>
      <c r="H42" s="93"/>
      <c r="J42" s="87">
        <v>1.1000000000000001</v>
      </c>
      <c r="K42" s="88">
        <v>1.06</v>
      </c>
      <c r="L42" s="88">
        <v>1.02</v>
      </c>
      <c r="M42" s="88">
        <v>0.98</v>
      </c>
      <c r="N42" s="88">
        <v>0.94</v>
      </c>
      <c r="O42" s="88">
        <v>0.9</v>
      </c>
      <c r="P42" s="88">
        <v>0.9</v>
      </c>
      <c r="Q42" s="88">
        <v>0.94</v>
      </c>
      <c r="R42" s="88">
        <v>0.98</v>
      </c>
      <c r="S42" s="88">
        <v>1.02</v>
      </c>
      <c r="T42" s="88">
        <v>1.06</v>
      </c>
      <c r="U42" s="88">
        <v>1.1000000000000001</v>
      </c>
      <c r="V42" s="489">
        <f>AVERAGE(J42:U42)</f>
        <v>1</v>
      </c>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9"/>
    </row>
    <row r="43" spans="1:49">
      <c r="A43" s="257" t="s">
        <v>667</v>
      </c>
      <c r="B43" s="498" t="s">
        <v>673</v>
      </c>
      <c r="C43" s="499"/>
      <c r="D43" s="499" t="s">
        <v>643</v>
      </c>
      <c r="E43" s="500"/>
      <c r="F43" s="499"/>
      <c r="G43" s="501"/>
      <c r="H43" s="499"/>
      <c r="I43" s="502"/>
      <c r="J43" s="506">
        <f>+J42*$E$41</f>
        <v>33.619287584335176</v>
      </c>
      <c r="K43" s="507">
        <f t="shared" ref="K43:U43" si="9">+K42*$E$41</f>
        <v>32.396768035813899</v>
      </c>
      <c r="L43" s="507">
        <f t="shared" si="9"/>
        <v>31.174248487292619</v>
      </c>
      <c r="M43" s="507">
        <f t="shared" si="9"/>
        <v>29.951728938771335</v>
      </c>
      <c r="N43" s="507">
        <f t="shared" si="9"/>
        <v>28.729209390250055</v>
      </c>
      <c r="O43" s="507">
        <f t="shared" si="9"/>
        <v>27.506689841728779</v>
      </c>
      <c r="P43" s="507">
        <f t="shared" si="9"/>
        <v>27.506689841728779</v>
      </c>
      <c r="Q43" s="507">
        <f t="shared" si="9"/>
        <v>28.729209390250055</v>
      </c>
      <c r="R43" s="507">
        <f t="shared" si="9"/>
        <v>29.951728938771335</v>
      </c>
      <c r="S43" s="507">
        <f t="shared" si="9"/>
        <v>31.174248487292619</v>
      </c>
      <c r="T43" s="507">
        <f t="shared" si="9"/>
        <v>32.396768035813899</v>
      </c>
      <c r="U43" s="507">
        <f t="shared" si="9"/>
        <v>33.619287584335176</v>
      </c>
      <c r="V43" s="489">
        <f>AVERAGE(J43:U43)</f>
        <v>30.562988713031981</v>
      </c>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9"/>
    </row>
    <row r="44" spans="1:49">
      <c r="A44" s="109" t="s">
        <v>674</v>
      </c>
      <c r="B44" s="111"/>
      <c r="C44" s="112"/>
      <c r="D44" s="112" t="s">
        <v>646</v>
      </c>
      <c r="E44" s="113"/>
      <c r="F44" s="112"/>
      <c r="G44" s="110"/>
      <c r="H44" s="93"/>
      <c r="J44" s="199">
        <f>+J43*J25</f>
        <v>1042.1979151143905</v>
      </c>
      <c r="K44" s="200">
        <f t="shared" ref="K44:U44" si="10">+K43*K25</f>
        <v>907.10950500278921</v>
      </c>
      <c r="L44" s="200">
        <f t="shared" si="10"/>
        <v>966.40170310607118</v>
      </c>
      <c r="M44" s="200">
        <f t="shared" si="10"/>
        <v>898.55186816314006</v>
      </c>
      <c r="N44" s="200">
        <f t="shared" si="10"/>
        <v>890.60549109775172</v>
      </c>
      <c r="O44" s="200">
        <f t="shared" si="10"/>
        <v>825.20069525186341</v>
      </c>
      <c r="P44" s="200">
        <f t="shared" si="10"/>
        <v>852.70738509359217</v>
      </c>
      <c r="Q44" s="200">
        <f t="shared" si="10"/>
        <v>890.60549109775172</v>
      </c>
      <c r="R44" s="200">
        <f t="shared" si="10"/>
        <v>898.55186816314006</v>
      </c>
      <c r="S44" s="200">
        <f t="shared" si="10"/>
        <v>966.40170310607118</v>
      </c>
      <c r="T44" s="200">
        <f t="shared" si="10"/>
        <v>971.90304107441693</v>
      </c>
      <c r="U44" s="200">
        <f t="shared" si="10"/>
        <v>1042.1979151143905</v>
      </c>
      <c r="V44" s="88"/>
      <c r="W44" s="497">
        <f>SUM(J44:U44)</f>
        <v>11152.434581385369</v>
      </c>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9"/>
    </row>
    <row r="45" spans="1:49">
      <c r="A45" s="109"/>
      <c r="B45" s="111"/>
      <c r="C45" s="112"/>
      <c r="D45" s="112"/>
      <c r="E45" s="113"/>
      <c r="F45" s="112"/>
      <c r="G45" s="110"/>
      <c r="H45" s="93"/>
      <c r="J45" s="87"/>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9"/>
    </row>
    <row r="46" spans="1:49">
      <c r="A46" s="109"/>
      <c r="B46" s="111"/>
      <c r="C46" s="112"/>
      <c r="D46" s="112"/>
      <c r="E46" s="113"/>
      <c r="F46" s="112"/>
      <c r="G46" s="110"/>
      <c r="H46" s="93"/>
      <c r="J46" s="87"/>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9"/>
    </row>
    <row r="47" spans="1:49">
      <c r="A47" s="257" t="s">
        <v>675</v>
      </c>
      <c r="B47" s="498" t="s">
        <v>676</v>
      </c>
      <c r="C47" s="499"/>
      <c r="D47" s="499" t="s">
        <v>643</v>
      </c>
      <c r="E47" s="500">
        <f>+E41+E36+E24</f>
        <v>119.65818672345532</v>
      </c>
      <c r="F47" s="112"/>
      <c r="G47" s="501" t="s">
        <v>677</v>
      </c>
      <c r="H47" s="93"/>
      <c r="J47" s="87"/>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9"/>
    </row>
    <row r="48" spans="1:49">
      <c r="A48" s="109" t="s">
        <v>678</v>
      </c>
      <c r="B48" s="111" t="s">
        <v>679</v>
      </c>
      <c r="C48" s="112"/>
      <c r="D48" s="112" t="s">
        <v>643</v>
      </c>
      <c r="E48" s="113" t="s">
        <v>429</v>
      </c>
      <c r="F48" s="112"/>
      <c r="G48" s="110"/>
      <c r="H48" s="93"/>
      <c r="J48" s="494">
        <f>+J43+J35+J23</f>
        <v>129.06209098403681</v>
      </c>
      <c r="K48" s="487">
        <f t="shared" ref="K48:U48" si="11">+K43+K35+K23</f>
        <v>126.42293682477387</v>
      </c>
      <c r="L48" s="487">
        <f t="shared" si="11"/>
        <v>123.2729092114958</v>
      </c>
      <c r="M48" s="487">
        <f t="shared" si="11"/>
        <v>119.26726594983467</v>
      </c>
      <c r="N48" s="487">
        <f t="shared" si="11"/>
        <v>115.51598998627537</v>
      </c>
      <c r="O48" s="487">
        <f t="shared" si="11"/>
        <v>110.89065396571868</v>
      </c>
      <c r="P48" s="487">
        <f t="shared" si="11"/>
        <v>108.4667547814054</v>
      </c>
      <c r="Q48" s="487">
        <f t="shared" si="11"/>
        <v>112.86115644416039</v>
      </c>
      <c r="R48" s="487">
        <f t="shared" si="11"/>
        <v>115.84710355647226</v>
      </c>
      <c r="S48" s="487">
        <f t="shared" si="11"/>
        <v>120.44318419740239</v>
      </c>
      <c r="T48" s="487">
        <f t="shared" si="11"/>
        <v>125.16494766743443</v>
      </c>
      <c r="U48" s="487">
        <f t="shared" si="11"/>
        <v>128.99857536014065</v>
      </c>
      <c r="V48" s="489">
        <f>AVERAGE(J48:U48)</f>
        <v>119.68446407742924</v>
      </c>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9"/>
    </row>
    <row r="49" spans="1:49">
      <c r="A49" s="109"/>
      <c r="B49" s="111"/>
      <c r="C49" s="112"/>
      <c r="D49" s="112"/>
      <c r="E49" s="113"/>
      <c r="F49" s="112"/>
      <c r="G49" s="110"/>
      <c r="H49" s="93"/>
      <c r="J49" s="87"/>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9"/>
    </row>
    <row r="50" spans="1:49">
      <c r="A50" s="109" t="s">
        <v>446</v>
      </c>
      <c r="B50" s="111" t="s">
        <v>680</v>
      </c>
      <c r="C50" s="112"/>
      <c r="D50" s="112" t="s">
        <v>681</v>
      </c>
      <c r="E50" s="113"/>
      <c r="F50" s="112"/>
      <c r="G50" s="110"/>
      <c r="H50" s="93"/>
      <c r="J50" s="495">
        <f>+J48*J25*($E$9-J12)*4.18/3600</f>
        <v>190.00169698977774</v>
      </c>
      <c r="K50" s="508">
        <f t="shared" ref="K50:U50" si="12">+K48*K25*($E$9-K12)*4.18/3600</f>
        <v>167.2831109464004</v>
      </c>
      <c r="L50" s="508">
        <f t="shared" si="12"/>
        <v>176.15445332009367</v>
      </c>
      <c r="M50" s="508">
        <f t="shared" si="12"/>
        <v>155.79286614697156</v>
      </c>
      <c r="N50" s="508">
        <f t="shared" si="12"/>
        <v>148.85403304741439</v>
      </c>
      <c r="O50" s="508">
        <f t="shared" si="12"/>
        <v>128.24134495622147</v>
      </c>
      <c r="P50" s="508">
        <f t="shared" si="12"/>
        <v>119.85895777678819</v>
      </c>
      <c r="Q50" s="508">
        <f t="shared" si="12"/>
        <v>132.83965025597826</v>
      </c>
      <c r="R50" s="508">
        <f t="shared" si="12"/>
        <v>134.37684777032996</v>
      </c>
      <c r="S50" s="508">
        <f t="shared" si="12"/>
        <v>155.20322098253291</v>
      </c>
      <c r="T50" s="508">
        <f t="shared" si="12"/>
        <v>169.16459893745989</v>
      </c>
      <c r="U50" s="508">
        <f t="shared" si="12"/>
        <v>189.44386781189297</v>
      </c>
      <c r="V50" s="489"/>
      <c r="W50" s="497">
        <f>SUM(J50:U50)</f>
        <v>1867.2146489418615</v>
      </c>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c r="AV50" s="88"/>
      <c r="AW50" s="89"/>
    </row>
    <row r="51" spans="1:49">
      <c r="A51" s="109" t="s">
        <v>906</v>
      </c>
      <c r="B51" s="111" t="s">
        <v>680</v>
      </c>
      <c r="C51" s="112"/>
      <c r="D51" s="112" t="s">
        <v>905</v>
      </c>
      <c r="E51" s="271">
        <f>+W50</f>
        <v>1867.2146489418615</v>
      </c>
      <c r="F51" s="112"/>
      <c r="G51" s="110"/>
      <c r="H51" s="93"/>
      <c r="J51" s="87"/>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9"/>
    </row>
    <row r="52" spans="1:49" ht="25.5">
      <c r="A52" s="109"/>
      <c r="B52" s="111"/>
      <c r="C52" s="112"/>
      <c r="D52" s="499" t="s">
        <v>1025</v>
      </c>
      <c r="E52" s="500">
        <f>+E51/E6</f>
        <v>37.344292978837231</v>
      </c>
      <c r="F52" s="112"/>
      <c r="G52" s="110"/>
      <c r="H52" s="93"/>
      <c r="J52" s="87"/>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9"/>
    </row>
    <row r="53" spans="1:49">
      <c r="A53" s="109" t="s">
        <v>682</v>
      </c>
      <c r="B53" s="111"/>
      <c r="C53" s="112"/>
      <c r="D53" s="112" t="s">
        <v>683</v>
      </c>
      <c r="E53" s="480">
        <v>0.15</v>
      </c>
      <c r="F53" s="112"/>
      <c r="G53" s="110"/>
      <c r="H53" s="93"/>
      <c r="J53" s="87"/>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9"/>
    </row>
    <row r="54" spans="1:49">
      <c r="A54" s="109"/>
      <c r="B54" s="111"/>
      <c r="C54" s="112"/>
      <c r="D54" s="112" t="s">
        <v>681</v>
      </c>
      <c r="E54" s="113"/>
      <c r="F54" s="112"/>
      <c r="G54" s="110"/>
      <c r="H54" s="93"/>
      <c r="J54" s="494">
        <f>+$E$53*J50</f>
        <v>28.500254548466661</v>
      </c>
      <c r="K54" s="487">
        <f t="shared" ref="K54:U54" si="13">+$E$53*K50</f>
        <v>25.092466641960058</v>
      </c>
      <c r="L54" s="487">
        <f t="shared" si="13"/>
        <v>26.423167998014048</v>
      </c>
      <c r="M54" s="487">
        <f t="shared" si="13"/>
        <v>23.368929922045734</v>
      </c>
      <c r="N54" s="487">
        <f t="shared" si="13"/>
        <v>22.328104957112156</v>
      </c>
      <c r="O54" s="487">
        <f t="shared" si="13"/>
        <v>19.23620174343322</v>
      </c>
      <c r="P54" s="487">
        <f t="shared" si="13"/>
        <v>17.978843666518227</v>
      </c>
      <c r="Q54" s="487">
        <f t="shared" si="13"/>
        <v>19.925947538396738</v>
      </c>
      <c r="R54" s="487">
        <f t="shared" si="13"/>
        <v>20.156527165549495</v>
      </c>
      <c r="S54" s="487">
        <f t="shared" si="13"/>
        <v>23.280483147379936</v>
      </c>
      <c r="T54" s="487">
        <f t="shared" si="13"/>
        <v>25.374689840618981</v>
      </c>
      <c r="U54" s="487">
        <f t="shared" si="13"/>
        <v>28.416580171783945</v>
      </c>
      <c r="V54" s="489"/>
      <c r="W54" s="497">
        <f>SUM(J54:U54)</f>
        <v>280.0821973412792</v>
      </c>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9"/>
    </row>
    <row r="55" spans="1:49">
      <c r="A55" s="109"/>
      <c r="B55" s="111"/>
      <c r="C55" s="112"/>
      <c r="D55" s="112"/>
      <c r="E55" s="113"/>
      <c r="F55" s="112"/>
      <c r="G55" s="110"/>
      <c r="H55" s="93"/>
      <c r="J55" s="87"/>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9"/>
    </row>
    <row r="56" spans="1:49">
      <c r="A56" s="109" t="s">
        <v>684</v>
      </c>
      <c r="B56" s="111"/>
      <c r="C56" s="112"/>
      <c r="D56" s="112"/>
      <c r="E56" s="113"/>
      <c r="F56" s="112"/>
      <c r="G56" s="110"/>
      <c r="H56" s="93"/>
      <c r="J56" s="87"/>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c r="AU56" s="88"/>
      <c r="AV56" s="88"/>
      <c r="AW56" s="89"/>
    </row>
    <row r="57" spans="1:49">
      <c r="A57" s="198" t="s">
        <v>685</v>
      </c>
      <c r="B57" s="111"/>
      <c r="C57" s="112"/>
      <c r="D57" s="112" t="s">
        <v>643</v>
      </c>
      <c r="E57" s="113">
        <f>+E24</f>
        <v>64.940198842818006</v>
      </c>
      <c r="F57" s="198" t="s">
        <v>685</v>
      </c>
      <c r="G57" s="509">
        <f>+E57/$E$47</f>
        <v>0.54271421472316594</v>
      </c>
      <c r="H57" s="93"/>
      <c r="J57" s="87"/>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c r="AV57" s="88"/>
      <c r="AW57" s="89"/>
    </row>
    <row r="58" spans="1:49">
      <c r="A58" s="198" t="s">
        <v>686</v>
      </c>
      <c r="B58" s="111"/>
      <c r="C58" s="112"/>
      <c r="D58" s="112" t="s">
        <v>643</v>
      </c>
      <c r="E58" s="113">
        <f>+E36</f>
        <v>24.154999167605325</v>
      </c>
      <c r="F58" s="198" t="s">
        <v>686</v>
      </c>
      <c r="G58" s="509">
        <f t="shared" ref="G58:G59" si="14">+E58/$E$47</f>
        <v>0.20186666561670769</v>
      </c>
      <c r="H58" s="93"/>
      <c r="J58" s="87"/>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88"/>
      <c r="AO58" s="88"/>
      <c r="AP58" s="88"/>
      <c r="AQ58" s="88"/>
      <c r="AR58" s="88"/>
      <c r="AS58" s="88"/>
      <c r="AT58" s="88"/>
      <c r="AU58" s="88"/>
      <c r="AV58" s="88"/>
      <c r="AW58" s="89"/>
    </row>
    <row r="59" spans="1:49">
      <c r="A59" s="198" t="s">
        <v>687</v>
      </c>
      <c r="B59" s="111"/>
      <c r="C59" s="112"/>
      <c r="D59" s="112" t="s">
        <v>643</v>
      </c>
      <c r="E59" s="113">
        <f>+E41</f>
        <v>30.562988713031977</v>
      </c>
      <c r="F59" s="198" t="s">
        <v>687</v>
      </c>
      <c r="G59" s="509">
        <f t="shared" si="14"/>
        <v>0.25541911966012637</v>
      </c>
      <c r="H59" s="93"/>
      <c r="J59" s="87"/>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8"/>
      <c r="AV59" s="88"/>
      <c r="AW59" s="89"/>
    </row>
    <row r="60" spans="1:49">
      <c r="A60" s="109"/>
      <c r="B60" s="111"/>
      <c r="C60" s="112"/>
      <c r="D60" s="112"/>
      <c r="E60" s="113"/>
      <c r="F60" s="112"/>
      <c r="G60" s="110"/>
      <c r="H60" s="93"/>
      <c r="J60" s="87"/>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c r="AU60" s="88"/>
      <c r="AV60" s="88"/>
      <c r="AW60" s="89"/>
    </row>
    <row r="61" spans="1:49">
      <c r="A61" s="109" t="s">
        <v>688</v>
      </c>
      <c r="B61" s="111"/>
      <c r="C61" s="112"/>
      <c r="D61" s="112" t="s">
        <v>689</v>
      </c>
      <c r="E61" s="480">
        <v>1.2</v>
      </c>
      <c r="F61" s="112"/>
      <c r="G61" s="110"/>
      <c r="H61" s="93"/>
      <c r="J61" s="87"/>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9"/>
    </row>
    <row r="62" spans="1:49">
      <c r="A62" s="109" t="s">
        <v>690</v>
      </c>
      <c r="B62" s="111"/>
      <c r="C62" s="112"/>
      <c r="D62" s="112"/>
      <c r="E62" s="480">
        <v>0.6</v>
      </c>
      <c r="F62" s="112"/>
      <c r="G62" s="110" t="s">
        <v>691</v>
      </c>
      <c r="H62" s="93"/>
      <c r="J62" s="87"/>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9"/>
    </row>
    <row r="63" spans="1:49">
      <c r="A63" s="109" t="s">
        <v>692</v>
      </c>
      <c r="B63" s="111"/>
      <c r="C63" s="112"/>
      <c r="D63" s="112" t="s">
        <v>689</v>
      </c>
      <c r="E63" s="112">
        <f>+E61*E62</f>
        <v>0.72</v>
      </c>
      <c r="F63" s="112"/>
      <c r="G63" s="110"/>
      <c r="H63" s="93"/>
      <c r="J63" s="87"/>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9"/>
    </row>
    <row r="64" spans="1:49">
      <c r="A64" s="109" t="s">
        <v>692</v>
      </c>
      <c r="B64" s="111"/>
      <c r="C64" s="112"/>
      <c r="D64" s="112" t="s">
        <v>681</v>
      </c>
      <c r="E64" s="113"/>
      <c r="F64" s="112"/>
      <c r="G64" s="110"/>
      <c r="H64" s="93"/>
      <c r="J64" s="494">
        <f>+$E$63*J25</f>
        <v>22.32</v>
      </c>
      <c r="K64" s="487">
        <f t="shared" ref="K64:U64" si="15">+$E$63*K25</f>
        <v>20.16</v>
      </c>
      <c r="L64" s="487">
        <f t="shared" si="15"/>
        <v>22.32</v>
      </c>
      <c r="M64" s="487">
        <f t="shared" si="15"/>
        <v>21.599999999999998</v>
      </c>
      <c r="N64" s="487">
        <f t="shared" si="15"/>
        <v>22.32</v>
      </c>
      <c r="O64" s="487">
        <f t="shared" si="15"/>
        <v>21.599999999999998</v>
      </c>
      <c r="P64" s="487">
        <f t="shared" si="15"/>
        <v>22.32</v>
      </c>
      <c r="Q64" s="487">
        <f t="shared" si="15"/>
        <v>22.32</v>
      </c>
      <c r="R64" s="487">
        <f t="shared" si="15"/>
        <v>21.599999999999998</v>
      </c>
      <c r="S64" s="487">
        <f t="shared" si="15"/>
        <v>22.32</v>
      </c>
      <c r="T64" s="487">
        <f t="shared" si="15"/>
        <v>21.599999999999998</v>
      </c>
      <c r="U64" s="487">
        <f t="shared" si="15"/>
        <v>22.32</v>
      </c>
      <c r="V64" s="88"/>
      <c r="W64" s="497">
        <f>SUM(J64:U64)</f>
        <v>262.79999999999995</v>
      </c>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8"/>
      <c r="AV64" s="88"/>
      <c r="AW64" s="89"/>
    </row>
    <row r="65" spans="1:49">
      <c r="A65" s="109"/>
      <c r="B65" s="111"/>
      <c r="C65" s="112"/>
      <c r="D65" s="112"/>
      <c r="E65" s="113"/>
      <c r="F65" s="112"/>
      <c r="G65" s="110"/>
      <c r="H65" s="93"/>
      <c r="J65" s="87"/>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8"/>
      <c r="AV65" s="88"/>
      <c r="AW65" s="89"/>
    </row>
    <row r="66" spans="1:49">
      <c r="A66" s="109" t="s">
        <v>693</v>
      </c>
      <c r="B66" s="111"/>
      <c r="C66" s="112"/>
      <c r="D66" s="112" t="s">
        <v>681</v>
      </c>
      <c r="E66" s="113"/>
      <c r="F66" s="112"/>
      <c r="G66" s="110"/>
      <c r="H66" s="93"/>
      <c r="J66" s="510">
        <v>0</v>
      </c>
      <c r="K66" s="511">
        <v>0</v>
      </c>
      <c r="L66" s="511">
        <v>0</v>
      </c>
      <c r="M66" s="511">
        <v>0</v>
      </c>
      <c r="N66" s="511">
        <v>0</v>
      </c>
      <c r="O66" s="511">
        <v>0</v>
      </c>
      <c r="P66" s="511">
        <v>0</v>
      </c>
      <c r="Q66" s="511">
        <v>0</v>
      </c>
      <c r="R66" s="511">
        <v>0</v>
      </c>
      <c r="S66" s="511">
        <v>0</v>
      </c>
      <c r="T66" s="511">
        <v>0</v>
      </c>
      <c r="U66" s="511">
        <v>0</v>
      </c>
      <c r="V66" s="88"/>
      <c r="W66" s="497">
        <f>SUM(J66:U66)</f>
        <v>0</v>
      </c>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c r="AV66" s="88"/>
      <c r="AW66" s="89"/>
    </row>
    <row r="67" spans="1:49">
      <c r="A67" s="109"/>
      <c r="B67" s="111"/>
      <c r="C67" s="112"/>
      <c r="D67" s="112"/>
      <c r="E67" s="113"/>
      <c r="F67" s="112"/>
      <c r="G67" s="110"/>
      <c r="H67" s="93"/>
      <c r="J67" s="87"/>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8"/>
      <c r="AW67" s="89"/>
    </row>
    <row r="68" spans="1:49">
      <c r="A68" s="109" t="s">
        <v>694</v>
      </c>
      <c r="B68" s="111"/>
      <c r="C68" s="112"/>
      <c r="D68" s="112" t="s">
        <v>681</v>
      </c>
      <c r="E68" s="113"/>
      <c r="F68" s="112"/>
      <c r="G68" s="110"/>
      <c r="H68" s="93"/>
      <c r="J68" s="510">
        <v>0</v>
      </c>
      <c r="K68" s="511">
        <v>0</v>
      </c>
      <c r="L68" s="511">
        <v>0</v>
      </c>
      <c r="M68" s="511">
        <v>0</v>
      </c>
      <c r="N68" s="511">
        <v>0</v>
      </c>
      <c r="O68" s="511">
        <v>0</v>
      </c>
      <c r="P68" s="511">
        <v>0</v>
      </c>
      <c r="Q68" s="511">
        <v>0</v>
      </c>
      <c r="R68" s="511">
        <v>0</v>
      </c>
      <c r="S68" s="511">
        <v>0</v>
      </c>
      <c r="T68" s="511">
        <v>0</v>
      </c>
      <c r="U68" s="511">
        <v>0</v>
      </c>
      <c r="V68" s="88"/>
      <c r="W68" s="497">
        <f>SUM(J68:U68)</f>
        <v>0</v>
      </c>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c r="AV68" s="88"/>
      <c r="AW68" s="89"/>
    </row>
    <row r="69" spans="1:49">
      <c r="A69" s="109"/>
      <c r="B69" s="111"/>
      <c r="C69" s="112"/>
      <c r="D69" s="112"/>
      <c r="E69" s="113"/>
      <c r="F69" s="112"/>
      <c r="G69" s="110"/>
      <c r="H69" s="93"/>
      <c r="J69" s="87"/>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8"/>
      <c r="AQ69" s="88"/>
      <c r="AR69" s="88"/>
      <c r="AS69" s="88"/>
      <c r="AT69" s="88"/>
      <c r="AU69" s="88"/>
      <c r="AV69" s="88"/>
      <c r="AW69" s="89"/>
    </row>
    <row r="70" spans="1:49">
      <c r="A70" s="193"/>
      <c r="B70" s="483"/>
      <c r="C70" s="185"/>
      <c r="D70" s="185"/>
      <c r="E70" s="194"/>
      <c r="F70" s="185"/>
      <c r="G70" s="512"/>
      <c r="H70" s="513"/>
      <c r="J70" s="87"/>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c r="AV70" s="88"/>
      <c r="AW70" s="89"/>
    </row>
    <row r="71" spans="1:49">
      <c r="A71" s="193" t="s">
        <v>695</v>
      </c>
      <c r="B71" s="483"/>
      <c r="C71" s="185"/>
      <c r="D71" s="185"/>
      <c r="E71" s="194"/>
      <c r="F71" s="185"/>
      <c r="G71" s="512"/>
      <c r="H71" s="513"/>
      <c r="J71" s="87"/>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c r="AV71" s="88"/>
      <c r="AW71" s="89"/>
    </row>
    <row r="72" spans="1:49">
      <c r="A72" s="193"/>
      <c r="B72" s="483"/>
      <c r="C72" s="185"/>
      <c r="D72" s="185"/>
      <c r="E72" s="194"/>
      <c r="F72" s="185"/>
      <c r="G72" s="512"/>
      <c r="H72" s="513"/>
      <c r="J72" s="87"/>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88"/>
      <c r="AO72" s="88"/>
      <c r="AP72" s="88"/>
      <c r="AQ72" s="88"/>
      <c r="AR72" s="88"/>
      <c r="AS72" s="88"/>
      <c r="AT72" s="88"/>
      <c r="AU72" s="88"/>
      <c r="AV72" s="88"/>
      <c r="AW72" s="89"/>
    </row>
    <row r="73" spans="1:49">
      <c r="A73" s="193"/>
      <c r="B73" s="483"/>
      <c r="C73" s="185"/>
      <c r="D73" s="185"/>
      <c r="E73" s="194"/>
      <c r="F73" s="185"/>
      <c r="G73" s="512"/>
      <c r="H73" s="513"/>
      <c r="J73" s="87"/>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8"/>
      <c r="AM73" s="88"/>
      <c r="AN73" s="88"/>
      <c r="AO73" s="88"/>
      <c r="AP73" s="88"/>
      <c r="AQ73" s="88"/>
      <c r="AR73" s="88"/>
      <c r="AS73" s="88"/>
      <c r="AT73" s="88"/>
      <c r="AU73" s="88"/>
      <c r="AV73" s="88"/>
      <c r="AW73" s="89"/>
    </row>
    <row r="74" spans="1:49">
      <c r="A74" s="193"/>
      <c r="B74" s="483"/>
      <c r="C74" s="185"/>
      <c r="D74" s="185"/>
      <c r="E74" s="194"/>
      <c r="F74" s="185"/>
      <c r="G74" s="512"/>
      <c r="H74" s="513"/>
      <c r="J74" s="87"/>
      <c r="K74" s="88"/>
      <c r="L74" s="88"/>
      <c r="M74" s="88"/>
      <c r="N74" s="88"/>
      <c r="O74" s="88"/>
      <c r="P74" s="88"/>
      <c r="Q74" s="88"/>
      <c r="R74" s="88"/>
      <c r="S74" s="88"/>
      <c r="T74" s="88"/>
      <c r="U74" s="88"/>
      <c r="V74" s="88"/>
      <c r="W74" s="88"/>
      <c r="X74" s="88"/>
      <c r="Y74" s="88"/>
      <c r="Z74" s="88"/>
      <c r="AA74" s="88"/>
      <c r="AB74" s="88"/>
      <c r="AC74" s="88"/>
      <c r="AD74" s="88"/>
      <c r="AE74" s="88"/>
      <c r="AF74" s="88"/>
      <c r="AG74" s="88"/>
      <c r="AH74" s="88"/>
      <c r="AI74" s="88"/>
      <c r="AJ74" s="88"/>
      <c r="AK74" s="88"/>
      <c r="AL74" s="88"/>
      <c r="AM74" s="88"/>
      <c r="AN74" s="88"/>
      <c r="AO74" s="88"/>
      <c r="AP74" s="88"/>
      <c r="AQ74" s="88"/>
      <c r="AR74" s="88"/>
      <c r="AS74" s="88"/>
      <c r="AT74" s="88"/>
      <c r="AU74" s="88"/>
      <c r="AV74" s="88"/>
      <c r="AW74" s="89"/>
    </row>
    <row r="75" spans="1:49">
      <c r="A75" s="193"/>
      <c r="B75" s="483"/>
      <c r="C75" s="185"/>
      <c r="D75" s="185"/>
      <c r="E75" s="194"/>
      <c r="F75" s="185"/>
      <c r="G75" s="512"/>
      <c r="H75" s="513"/>
      <c r="J75" s="87"/>
      <c r="K75" s="88"/>
      <c r="L75" s="88"/>
      <c r="M75" s="88"/>
      <c r="N75" s="88"/>
      <c r="O75" s="88"/>
      <c r="P75" s="88"/>
      <c r="Q75" s="88"/>
      <c r="R75" s="88"/>
      <c r="S75" s="88"/>
      <c r="T75" s="88"/>
      <c r="U75" s="88"/>
      <c r="V75" s="88"/>
      <c r="W75" s="88"/>
      <c r="X75" s="88"/>
      <c r="Y75" s="88"/>
      <c r="Z75" s="88"/>
      <c r="AA75" s="88"/>
      <c r="AB75" s="88"/>
      <c r="AC75" s="88"/>
      <c r="AD75" s="88"/>
      <c r="AE75" s="88"/>
      <c r="AF75" s="88"/>
      <c r="AG75" s="88"/>
      <c r="AH75" s="88"/>
      <c r="AI75" s="88"/>
      <c r="AJ75" s="88"/>
      <c r="AK75" s="88"/>
      <c r="AL75" s="88"/>
      <c r="AM75" s="88"/>
      <c r="AN75" s="88"/>
      <c r="AO75" s="88"/>
      <c r="AP75" s="88"/>
      <c r="AQ75" s="88"/>
      <c r="AR75" s="88"/>
      <c r="AS75" s="88"/>
      <c r="AT75" s="88"/>
      <c r="AU75" s="88"/>
      <c r="AV75" s="88"/>
      <c r="AW75" s="89"/>
    </row>
    <row r="76" spans="1:49">
      <c r="A76" s="193"/>
      <c r="B76" s="483"/>
      <c r="C76" s="185"/>
      <c r="D76" s="185"/>
      <c r="E76" s="194"/>
      <c r="F76" s="185"/>
      <c r="G76" s="512"/>
      <c r="H76" s="513"/>
      <c r="J76" s="87"/>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c r="AK76" s="88"/>
      <c r="AL76" s="88"/>
      <c r="AM76" s="88"/>
      <c r="AN76" s="88"/>
      <c r="AO76" s="88"/>
      <c r="AP76" s="88"/>
      <c r="AQ76" s="88"/>
      <c r="AR76" s="88"/>
      <c r="AS76" s="88"/>
      <c r="AT76" s="88"/>
      <c r="AU76" s="88"/>
      <c r="AV76" s="88"/>
      <c r="AW76" s="89"/>
    </row>
    <row r="77" spans="1:49">
      <c r="A77" s="193"/>
      <c r="B77" s="483"/>
      <c r="C77" s="185"/>
      <c r="D77" s="185"/>
      <c r="E77" s="194"/>
      <c r="F77" s="185"/>
      <c r="G77" s="512"/>
      <c r="H77" s="513"/>
      <c r="J77" s="87"/>
      <c r="K77" s="88"/>
      <c r="L77" s="88"/>
      <c r="M77" s="88"/>
      <c r="N77" s="88"/>
      <c r="O77" s="88"/>
      <c r="P77" s="88"/>
      <c r="Q77" s="88"/>
      <c r="R77" s="88"/>
      <c r="S77" s="88"/>
      <c r="T77" s="88"/>
      <c r="U77" s="88"/>
      <c r="V77" s="88"/>
      <c r="W77" s="88"/>
      <c r="X77" s="88"/>
      <c r="Y77" s="88"/>
      <c r="Z77" s="88"/>
      <c r="AA77" s="88"/>
      <c r="AB77" s="88"/>
      <c r="AC77" s="88"/>
      <c r="AD77" s="88"/>
      <c r="AE77" s="88"/>
      <c r="AF77" s="88"/>
      <c r="AG77" s="88"/>
      <c r="AH77" s="88"/>
      <c r="AI77" s="88"/>
      <c r="AJ77" s="88"/>
      <c r="AK77" s="88"/>
      <c r="AL77" s="88"/>
      <c r="AM77" s="88"/>
      <c r="AN77" s="88"/>
      <c r="AO77" s="88"/>
      <c r="AP77" s="88"/>
      <c r="AQ77" s="88"/>
      <c r="AR77" s="88"/>
      <c r="AS77" s="88"/>
      <c r="AT77" s="88"/>
      <c r="AU77" s="88"/>
      <c r="AV77" s="88"/>
      <c r="AW77" s="89"/>
    </row>
    <row r="78" spans="1:49" ht="13.5" thickBot="1">
      <c r="A78" s="193"/>
      <c r="B78" s="483"/>
      <c r="C78" s="185"/>
      <c r="D78" s="185"/>
      <c r="E78" s="194"/>
      <c r="F78" s="185"/>
      <c r="G78" s="512"/>
      <c r="H78" s="513"/>
      <c r="J78" s="87"/>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88"/>
      <c r="AT78" s="88"/>
      <c r="AU78" s="88"/>
      <c r="AV78" s="88"/>
      <c r="AW78" s="89"/>
    </row>
    <row r="79" spans="1:49">
      <c r="A79" s="517" t="s">
        <v>907</v>
      </c>
      <c r="B79" s="518"/>
      <c r="C79" s="519"/>
      <c r="D79" s="519"/>
      <c r="E79" s="520"/>
      <c r="F79" s="519"/>
      <c r="G79" s="523"/>
      <c r="H79" s="521"/>
      <c r="J79" s="87"/>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9"/>
    </row>
    <row r="80" spans="1:49">
      <c r="A80" s="514"/>
      <c r="B80" s="201"/>
      <c r="C80" s="187"/>
      <c r="D80" s="187"/>
      <c r="E80" s="515"/>
      <c r="F80" s="187"/>
      <c r="G80" s="524"/>
      <c r="H80" s="186"/>
      <c r="J80" s="87"/>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88"/>
      <c r="AQ80" s="88"/>
      <c r="AR80" s="88"/>
      <c r="AS80" s="88"/>
      <c r="AT80" s="88"/>
      <c r="AU80" s="88"/>
      <c r="AV80" s="88"/>
      <c r="AW80" s="89"/>
    </row>
    <row r="81" spans="1:49">
      <c r="A81" s="109" t="s">
        <v>701</v>
      </c>
      <c r="B81" s="111" t="s">
        <v>702</v>
      </c>
      <c r="C81" s="112"/>
      <c r="D81" s="112" t="s">
        <v>646</v>
      </c>
      <c r="E81" s="113"/>
      <c r="F81" s="112"/>
      <c r="G81" s="524"/>
      <c r="H81" s="93"/>
      <c r="J81" s="199">
        <f>+J$26</f>
        <v>2986.9850446807795</v>
      </c>
      <c r="K81" s="200">
        <f t="shared" ref="K81:U81" si="16">+K$26</f>
        <v>2661.428345249622</v>
      </c>
      <c r="L81" s="200">
        <f t="shared" si="16"/>
        <v>2906.1777198005261</v>
      </c>
      <c r="M81" s="200">
        <f t="shared" si="16"/>
        <v>2773.3297329294192</v>
      </c>
      <c r="N81" s="200">
        <f t="shared" si="16"/>
        <v>2825.3703949202732</v>
      </c>
      <c r="O81" s="200">
        <f t="shared" si="16"/>
        <v>2695.1290959485295</v>
      </c>
      <c r="P81" s="200">
        <f t="shared" si="16"/>
        <v>2784.9667324801471</v>
      </c>
      <c r="Q81" s="200">
        <f t="shared" si="16"/>
        <v>2825.3703949202732</v>
      </c>
      <c r="R81" s="200">
        <f t="shared" si="16"/>
        <v>2773.3297329294192</v>
      </c>
      <c r="S81" s="200">
        <f t="shared" si="16"/>
        <v>2906.1777198005261</v>
      </c>
      <c r="T81" s="200">
        <f t="shared" si="16"/>
        <v>2851.5303699103092</v>
      </c>
      <c r="U81" s="200">
        <f t="shared" si="16"/>
        <v>2986.9850446807795</v>
      </c>
      <c r="V81" s="88"/>
      <c r="W81" s="497">
        <f>SUM(J81:U81)</f>
        <v>33976.780328250607</v>
      </c>
      <c r="X81" s="88"/>
      <c r="Y81" s="88"/>
      <c r="Z81" s="88"/>
      <c r="AA81" s="88"/>
      <c r="AB81" s="88"/>
      <c r="AC81" s="88"/>
      <c r="AD81" s="88"/>
      <c r="AE81" s="88"/>
      <c r="AF81" s="88"/>
      <c r="AG81" s="88"/>
      <c r="AH81" s="88"/>
      <c r="AI81" s="88"/>
      <c r="AJ81" s="88"/>
      <c r="AK81" s="88"/>
      <c r="AL81" s="88"/>
      <c r="AM81" s="88"/>
      <c r="AN81" s="88"/>
      <c r="AO81" s="88"/>
      <c r="AP81" s="88"/>
      <c r="AQ81" s="88"/>
      <c r="AR81" s="88"/>
      <c r="AS81" s="88"/>
      <c r="AT81" s="88"/>
      <c r="AU81" s="88"/>
      <c r="AV81" s="88"/>
      <c r="AW81" s="89"/>
    </row>
    <row r="82" spans="1:49">
      <c r="A82" s="109" t="s">
        <v>901</v>
      </c>
      <c r="B82" s="111"/>
      <c r="C82" s="112"/>
      <c r="D82" s="112" t="s">
        <v>207</v>
      </c>
      <c r="E82" s="480">
        <v>35</v>
      </c>
      <c r="F82" s="112"/>
      <c r="G82" s="524"/>
      <c r="H82" s="93"/>
      <c r="J82" s="87"/>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88"/>
      <c r="AO82" s="88"/>
      <c r="AP82" s="88"/>
      <c r="AQ82" s="88"/>
      <c r="AR82" s="88"/>
      <c r="AS82" s="88"/>
      <c r="AT82" s="88"/>
      <c r="AU82" s="88"/>
      <c r="AV82" s="88"/>
      <c r="AW82" s="89"/>
    </row>
    <row r="83" spans="1:49">
      <c r="A83" s="109" t="s">
        <v>902</v>
      </c>
      <c r="B83" s="111"/>
      <c r="C83" s="112"/>
      <c r="D83" s="112" t="s">
        <v>218</v>
      </c>
      <c r="E83" s="113">
        <f>+W83</f>
        <v>777.56560202882554</v>
      </c>
      <c r="F83" s="112"/>
      <c r="G83" s="524"/>
      <c r="H83" s="93"/>
      <c r="J83" s="495">
        <f>+J81*($E82-J$12)*4.18/3600</f>
        <v>82.890494426027558</v>
      </c>
      <c r="K83" s="508">
        <f t="shared" ref="K83:U83" si="17">+K81*($E82-K$12)*4.18/3600</f>
        <v>73.238072347360841</v>
      </c>
      <c r="L83" s="508">
        <f t="shared" si="17"/>
        <v>76.598771978053534</v>
      </c>
      <c r="M83" s="508">
        <f t="shared" si="17"/>
        <v>66.012951337422763</v>
      </c>
      <c r="N83" s="508">
        <f t="shared" si="17"/>
        <v>61.67469642067077</v>
      </c>
      <c r="O83" s="508">
        <f t="shared" si="17"/>
        <v>50.69537829479183</v>
      </c>
      <c r="P83" s="508">
        <f t="shared" si="17"/>
        <v>44.301084695057796</v>
      </c>
      <c r="Q83" s="508">
        <f t="shared" si="17"/>
        <v>51.504932649177178</v>
      </c>
      <c r="R83" s="508">
        <f t="shared" si="17"/>
        <v>52.488346673170284</v>
      </c>
      <c r="S83" s="508">
        <f t="shared" si="17"/>
        <v>63.438630536890145</v>
      </c>
      <c r="T83" s="508">
        <f t="shared" si="17"/>
        <v>72.178570396585272</v>
      </c>
      <c r="U83" s="508">
        <f t="shared" si="17"/>
        <v>82.543672273617418</v>
      </c>
      <c r="V83" s="88"/>
      <c r="W83" s="497">
        <f>SUM(J83:U83)</f>
        <v>777.56560202882554</v>
      </c>
      <c r="X83" s="88"/>
      <c r="Y83" s="88"/>
      <c r="Z83" s="88"/>
      <c r="AA83" s="88"/>
      <c r="AB83" s="88"/>
      <c r="AC83" s="88"/>
      <c r="AD83" s="88"/>
      <c r="AE83" s="88"/>
      <c r="AF83" s="88"/>
      <c r="AG83" s="88"/>
      <c r="AH83" s="88"/>
      <c r="AI83" s="88"/>
      <c r="AJ83" s="88"/>
      <c r="AK83" s="88"/>
      <c r="AL83" s="88"/>
      <c r="AM83" s="88"/>
      <c r="AN83" s="88"/>
      <c r="AO83" s="88"/>
      <c r="AP83" s="88"/>
      <c r="AQ83" s="88"/>
      <c r="AR83" s="88"/>
      <c r="AS83" s="88"/>
      <c r="AT83" s="88"/>
      <c r="AU83" s="88"/>
      <c r="AV83" s="88"/>
      <c r="AW83" s="89"/>
    </row>
    <row r="84" spans="1:49">
      <c r="A84" s="109" t="s">
        <v>897</v>
      </c>
      <c r="B84" s="111"/>
      <c r="C84" s="112"/>
      <c r="D84" s="112" t="s">
        <v>615</v>
      </c>
      <c r="E84" s="113">
        <f>+E$15</f>
        <v>11</v>
      </c>
      <c r="F84" s="112"/>
      <c r="G84" s="524"/>
      <c r="H84" s="93"/>
      <c r="J84" s="495"/>
      <c r="K84" s="508"/>
      <c r="L84" s="508"/>
      <c r="M84" s="508"/>
      <c r="N84" s="508"/>
      <c r="O84" s="508"/>
      <c r="P84" s="508"/>
      <c r="Q84" s="508"/>
      <c r="R84" s="508"/>
      <c r="S84" s="508"/>
      <c r="T84" s="508"/>
      <c r="U84" s="508"/>
      <c r="V84" s="88"/>
      <c r="W84" s="497"/>
      <c r="X84" s="88"/>
      <c r="Y84" s="88"/>
      <c r="Z84" s="88"/>
      <c r="AA84" s="88"/>
      <c r="AB84" s="88"/>
      <c r="AC84" s="88"/>
      <c r="AD84" s="88"/>
      <c r="AE84" s="88"/>
      <c r="AF84" s="88"/>
      <c r="AG84" s="88"/>
      <c r="AH84" s="88"/>
      <c r="AI84" s="88"/>
      <c r="AJ84" s="88"/>
      <c r="AK84" s="88"/>
      <c r="AL84" s="88"/>
      <c r="AM84" s="88"/>
      <c r="AN84" s="88"/>
      <c r="AO84" s="88"/>
      <c r="AP84" s="88"/>
      <c r="AQ84" s="88"/>
      <c r="AR84" s="88"/>
      <c r="AS84" s="88"/>
      <c r="AT84" s="88"/>
      <c r="AU84" s="88"/>
      <c r="AV84" s="88"/>
      <c r="AW84" s="89"/>
    </row>
    <row r="85" spans="1:49">
      <c r="A85" s="109" t="s">
        <v>900</v>
      </c>
      <c r="B85" s="111"/>
      <c r="C85" s="112"/>
      <c r="D85" s="112"/>
      <c r="E85" s="94"/>
      <c r="F85" s="112"/>
      <c r="G85" s="524"/>
      <c r="H85" s="93"/>
      <c r="J85" s="87"/>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c r="AU85" s="88"/>
      <c r="AV85" s="88"/>
      <c r="AW85" s="89"/>
    </row>
    <row r="86" spans="1:49">
      <c r="A86" s="530" t="s">
        <v>863</v>
      </c>
      <c r="B86" s="111">
        <f>MATCH(A86,SAP_Database!$B$4:$B$7,0)</f>
        <v>4</v>
      </c>
      <c r="C86" s="112"/>
      <c r="D86" s="112"/>
      <c r="E86" s="113"/>
      <c r="F86" s="112"/>
      <c r="G86" s="524"/>
      <c r="H86" s="93"/>
      <c r="J86" s="87"/>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c r="AV86" s="88"/>
      <c r="AW86" s="89"/>
    </row>
    <row r="87" spans="1:49">
      <c r="A87" s="109" t="s">
        <v>898</v>
      </c>
      <c r="B87" s="111"/>
      <c r="C87" s="112"/>
      <c r="D87" s="112" t="s">
        <v>431</v>
      </c>
      <c r="E87" s="113">
        <f>INDEX(SAP_Database!$M$4:$M$7,B86,1)</f>
        <v>59.7</v>
      </c>
      <c r="F87" s="112"/>
      <c r="G87" s="524"/>
      <c r="H87" s="93"/>
      <c r="J87" s="87"/>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9"/>
    </row>
    <row r="88" spans="1:49">
      <c r="A88" s="109" t="s">
        <v>903</v>
      </c>
      <c r="B88" s="111"/>
      <c r="C88" s="112"/>
      <c r="D88" s="112" t="s">
        <v>20</v>
      </c>
      <c r="E88" s="113">
        <f>INDEX(SAP_Database!$D$4:$D$7,B86,1)</f>
        <v>0.95799999999999996</v>
      </c>
      <c r="F88" s="112"/>
      <c r="G88" s="524"/>
      <c r="H88" s="93"/>
      <c r="J88" s="87"/>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c r="AU88" s="88"/>
      <c r="AV88" s="88"/>
      <c r="AW88" s="89"/>
    </row>
    <row r="89" spans="1:49">
      <c r="A89" s="109"/>
      <c r="B89" s="111"/>
      <c r="C89" s="112"/>
      <c r="D89" s="112"/>
      <c r="E89" s="113"/>
      <c r="F89" s="112"/>
      <c r="G89" s="524"/>
      <c r="H89" s="93"/>
      <c r="J89" s="87"/>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9"/>
    </row>
    <row r="90" spans="1:49">
      <c r="A90" s="109" t="s">
        <v>904</v>
      </c>
      <c r="B90" s="111"/>
      <c r="C90" s="112"/>
      <c r="D90" s="112" t="s">
        <v>218</v>
      </c>
      <c r="E90" s="113">
        <f>+W90</f>
        <v>444.70998450593805</v>
      </c>
      <c r="F90" s="112"/>
      <c r="G90" s="524"/>
      <c r="H90" s="93"/>
      <c r="J90" s="494">
        <f>+J83*$E87/100*$E88</f>
        <v>47.407228915100234</v>
      </c>
      <c r="K90" s="487">
        <f t="shared" ref="K90:U90" si="18">+K83*$E87/100*$E88</f>
        <v>41.886757765336696</v>
      </c>
      <c r="L90" s="487">
        <f t="shared" si="18"/>
        <v>43.808829262320245</v>
      </c>
      <c r="M90" s="487">
        <f t="shared" si="18"/>
        <v>37.754523206606848</v>
      </c>
      <c r="N90" s="487">
        <f t="shared" si="18"/>
        <v>35.27336242508855</v>
      </c>
      <c r="O90" s="487">
        <f t="shared" si="18"/>
        <v>28.994004926627113</v>
      </c>
      <c r="P90" s="487">
        <f t="shared" si="18"/>
        <v>25.336942165305629</v>
      </c>
      <c r="Q90" s="487">
        <f t="shared" si="18"/>
        <v>29.457010110313309</v>
      </c>
      <c r="R90" s="487">
        <f t="shared" si="18"/>
        <v>30.019450159399589</v>
      </c>
      <c r="S90" s="487">
        <f t="shared" si="18"/>
        <v>36.282202208441433</v>
      </c>
      <c r="T90" s="487">
        <f t="shared" si="18"/>
        <v>41.280801052637429</v>
      </c>
      <c r="U90" s="487">
        <f t="shared" si="18"/>
        <v>47.208872308760917</v>
      </c>
      <c r="V90" s="88"/>
      <c r="W90" s="497">
        <f>SUM(J90:U90)</f>
        <v>444.70998450593805</v>
      </c>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c r="AV90" s="88"/>
      <c r="AW90" s="89"/>
    </row>
    <row r="91" spans="1:49">
      <c r="A91" s="109"/>
      <c r="B91" s="111"/>
      <c r="C91" s="112"/>
      <c r="D91" s="112" t="s">
        <v>431</v>
      </c>
      <c r="E91" s="557">
        <f>+E90/E$51</f>
        <v>0.2381675747659501</v>
      </c>
      <c r="F91" s="112"/>
      <c r="G91" s="524"/>
      <c r="H91" s="93"/>
      <c r="J91" s="188">
        <f>+J90/J$50</f>
        <v>0.24950950263170957</v>
      </c>
      <c r="K91" s="202">
        <f t="shared" ref="K91:U91" si="19">+K90/K$50</f>
        <v>0.25039442133974743</v>
      </c>
      <c r="L91" s="202">
        <f t="shared" si="19"/>
        <v>0.24869555345679722</v>
      </c>
      <c r="M91" s="202">
        <f t="shared" si="19"/>
        <v>0.24233794614825341</v>
      </c>
      <c r="N91" s="202">
        <f t="shared" si="19"/>
        <v>0.23696611843800661</v>
      </c>
      <c r="O91" s="202">
        <f t="shared" si="19"/>
        <v>0.22608937029259146</v>
      </c>
      <c r="P91" s="202">
        <f t="shared" si="19"/>
        <v>0.21138964191971613</v>
      </c>
      <c r="Q91" s="202">
        <f t="shared" si="19"/>
        <v>0.22174862741320442</v>
      </c>
      <c r="R91" s="202">
        <f t="shared" si="19"/>
        <v>0.22339748742065524</v>
      </c>
      <c r="S91" s="202">
        <f t="shared" si="19"/>
        <v>0.23377222443421294</v>
      </c>
      <c r="T91" s="202">
        <f t="shared" si="19"/>
        <v>0.24402742247447962</v>
      </c>
      <c r="U91" s="202">
        <f t="shared" si="19"/>
        <v>0.2491971519270112</v>
      </c>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88"/>
      <c r="AW91" s="89"/>
    </row>
    <row r="92" spans="1:49">
      <c r="A92" s="559" t="s">
        <v>910</v>
      </c>
      <c r="B92" s="560"/>
      <c r="C92" s="561"/>
      <c r="D92" s="561"/>
      <c r="E92" s="562">
        <f>+E91*100/E87</f>
        <v>0.39894066124949767</v>
      </c>
      <c r="F92" s="112"/>
      <c r="G92" s="524"/>
      <c r="H92" s="93"/>
      <c r="J92" s="87"/>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88"/>
      <c r="AW92" s="89"/>
    </row>
    <row r="93" spans="1:49">
      <c r="A93" s="109"/>
      <c r="B93" s="111"/>
      <c r="C93" s="112"/>
      <c r="D93" s="112"/>
      <c r="E93" s="113"/>
      <c r="F93" s="112"/>
      <c r="G93" s="524"/>
      <c r="H93" s="93"/>
      <c r="J93" s="87"/>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9"/>
    </row>
    <row r="94" spans="1:49">
      <c r="A94" s="109"/>
      <c r="B94" s="111"/>
      <c r="C94" s="112"/>
      <c r="D94" s="112"/>
      <c r="E94" s="113"/>
      <c r="F94" s="112"/>
      <c r="G94" s="524"/>
      <c r="H94" s="93"/>
      <c r="J94" s="87"/>
      <c r="K94" s="88"/>
      <c r="L94" s="88"/>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88"/>
      <c r="AO94" s="88"/>
      <c r="AP94" s="88"/>
      <c r="AQ94" s="88"/>
      <c r="AR94" s="88"/>
      <c r="AS94" s="88"/>
      <c r="AT94" s="88"/>
      <c r="AU94" s="88"/>
      <c r="AV94" s="88"/>
      <c r="AW94" s="89"/>
    </row>
    <row r="95" spans="1:49">
      <c r="A95" s="109"/>
      <c r="B95" s="111"/>
      <c r="C95" s="112"/>
      <c r="D95" s="112"/>
      <c r="E95" s="113"/>
      <c r="F95" s="112"/>
      <c r="G95" s="524"/>
      <c r="H95" s="93"/>
      <c r="J95" s="87"/>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c r="AU95" s="88"/>
      <c r="AV95" s="88"/>
      <c r="AW95" s="89"/>
    </row>
    <row r="96" spans="1:49">
      <c r="A96" s="109"/>
      <c r="B96" s="111"/>
      <c r="C96" s="112"/>
      <c r="D96" s="112"/>
      <c r="E96" s="113"/>
      <c r="F96" s="112"/>
      <c r="G96" s="524"/>
      <c r="H96" s="93"/>
      <c r="J96" s="87"/>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c r="AV96" s="88"/>
      <c r="AW96" s="89"/>
    </row>
    <row r="97" spans="1:49">
      <c r="A97" s="109"/>
      <c r="B97" s="111"/>
      <c r="C97" s="112"/>
      <c r="D97" s="112"/>
      <c r="E97" s="113"/>
      <c r="F97" s="112"/>
      <c r="G97" s="524"/>
      <c r="H97" s="93"/>
      <c r="J97" s="87"/>
      <c r="K97" s="88"/>
      <c r="L97" s="88"/>
      <c r="M97" s="88"/>
      <c r="N97" s="88"/>
      <c r="O97" s="88"/>
      <c r="P97" s="88"/>
      <c r="Q97" s="88"/>
      <c r="R97" s="88"/>
      <c r="S97" s="88"/>
      <c r="T97" s="88"/>
      <c r="U97" s="88"/>
      <c r="V97" s="88"/>
      <c r="W97" s="88"/>
      <c r="X97" s="88"/>
      <c r="Y97" s="88"/>
      <c r="Z97" s="88"/>
      <c r="AA97" s="88"/>
      <c r="AB97" s="88"/>
      <c r="AC97" s="88"/>
      <c r="AD97" s="88"/>
      <c r="AE97" s="88"/>
      <c r="AF97" s="88"/>
      <c r="AG97" s="88"/>
      <c r="AH97" s="88"/>
      <c r="AI97" s="88"/>
      <c r="AJ97" s="88"/>
      <c r="AK97" s="88"/>
      <c r="AL97" s="88"/>
      <c r="AM97" s="88"/>
      <c r="AN97" s="88"/>
      <c r="AO97" s="88"/>
      <c r="AP97" s="88"/>
      <c r="AQ97" s="88"/>
      <c r="AR97" s="88"/>
      <c r="AS97" s="88"/>
      <c r="AT97" s="88"/>
      <c r="AU97" s="88"/>
      <c r="AV97" s="88"/>
      <c r="AW97" s="89"/>
    </row>
    <row r="98" spans="1:49">
      <c r="A98" s="109"/>
      <c r="B98" s="111"/>
      <c r="C98" s="112"/>
      <c r="D98" s="112"/>
      <c r="E98" s="113"/>
      <c r="F98" s="112"/>
      <c r="G98" s="524"/>
      <c r="H98" s="93"/>
      <c r="J98" s="87"/>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8"/>
      <c r="AW98" s="89"/>
    </row>
    <row r="99" spans="1:49">
      <c r="A99" s="109"/>
      <c r="B99" s="111"/>
      <c r="C99" s="112"/>
      <c r="D99" s="112"/>
      <c r="E99" s="113"/>
      <c r="F99" s="112"/>
      <c r="G99" s="524"/>
      <c r="H99" s="93"/>
      <c r="J99" s="87"/>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8"/>
      <c r="AL99" s="88"/>
      <c r="AM99" s="88"/>
      <c r="AN99" s="88"/>
      <c r="AO99" s="88"/>
      <c r="AP99" s="88"/>
      <c r="AQ99" s="88"/>
      <c r="AR99" s="88"/>
      <c r="AS99" s="88"/>
      <c r="AT99" s="88"/>
      <c r="AU99" s="88"/>
      <c r="AV99" s="88"/>
      <c r="AW99" s="89"/>
    </row>
    <row r="100" spans="1:49">
      <c r="A100" s="109"/>
      <c r="B100" s="111"/>
      <c r="C100" s="112"/>
      <c r="D100" s="112"/>
      <c r="E100" s="113"/>
      <c r="F100" s="112"/>
      <c r="G100" s="524"/>
      <c r="H100" s="93"/>
      <c r="J100" s="87"/>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c r="AK100" s="88"/>
      <c r="AL100" s="88"/>
      <c r="AM100" s="88"/>
      <c r="AN100" s="88"/>
      <c r="AO100" s="88"/>
      <c r="AP100" s="88"/>
      <c r="AQ100" s="88"/>
      <c r="AR100" s="88"/>
      <c r="AS100" s="88"/>
      <c r="AT100" s="88"/>
      <c r="AU100" s="88"/>
      <c r="AV100" s="88"/>
      <c r="AW100" s="89"/>
    </row>
    <row r="101" spans="1:49">
      <c r="A101" s="109"/>
      <c r="B101" s="111"/>
      <c r="C101" s="112"/>
      <c r="D101" s="112"/>
      <c r="E101" s="113"/>
      <c r="F101" s="112"/>
      <c r="G101" s="524"/>
      <c r="H101" s="93"/>
      <c r="J101" s="87"/>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c r="AI101" s="88"/>
      <c r="AJ101" s="88"/>
      <c r="AK101" s="88"/>
      <c r="AL101" s="88"/>
      <c r="AM101" s="88"/>
      <c r="AN101" s="88"/>
      <c r="AO101" s="88"/>
      <c r="AP101" s="88"/>
      <c r="AQ101" s="88"/>
      <c r="AR101" s="88"/>
      <c r="AS101" s="88"/>
      <c r="AT101" s="88"/>
      <c r="AU101" s="88"/>
      <c r="AV101" s="88"/>
      <c r="AW101" s="89"/>
    </row>
    <row r="102" spans="1:49">
      <c r="A102" s="109"/>
      <c r="B102" s="111"/>
      <c r="C102" s="112"/>
      <c r="D102" s="112"/>
      <c r="E102" s="113"/>
      <c r="F102" s="112"/>
      <c r="G102" s="524"/>
      <c r="H102" s="93"/>
      <c r="J102" s="87"/>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88"/>
      <c r="AJ102" s="88"/>
      <c r="AK102" s="88"/>
      <c r="AL102" s="88"/>
      <c r="AM102" s="88"/>
      <c r="AN102" s="88"/>
      <c r="AO102" s="88"/>
      <c r="AP102" s="88"/>
      <c r="AQ102" s="88"/>
      <c r="AR102" s="88"/>
      <c r="AS102" s="88"/>
      <c r="AT102" s="88"/>
      <c r="AU102" s="88"/>
      <c r="AV102" s="88"/>
      <c r="AW102" s="89"/>
    </row>
    <row r="103" spans="1:49">
      <c r="A103" s="109"/>
      <c r="B103" s="111"/>
      <c r="C103" s="112"/>
      <c r="D103" s="112"/>
      <c r="E103" s="113"/>
      <c r="F103" s="112"/>
      <c r="G103" s="524"/>
      <c r="H103" s="93"/>
      <c r="J103" s="87"/>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c r="AK103" s="88"/>
      <c r="AL103" s="88"/>
      <c r="AM103" s="88"/>
      <c r="AN103" s="88"/>
      <c r="AO103" s="88"/>
      <c r="AP103" s="88"/>
      <c r="AQ103" s="88"/>
      <c r="AR103" s="88"/>
      <c r="AS103" s="88"/>
      <c r="AT103" s="88"/>
      <c r="AU103" s="88"/>
      <c r="AV103" s="88"/>
      <c r="AW103" s="89"/>
    </row>
    <row r="104" spans="1:49">
      <c r="A104" s="109"/>
      <c r="B104" s="111"/>
      <c r="C104" s="112"/>
      <c r="D104" s="112"/>
      <c r="E104" s="113"/>
      <c r="F104" s="112"/>
      <c r="G104" s="524"/>
      <c r="H104" s="93"/>
      <c r="J104" s="87"/>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88"/>
      <c r="AJ104" s="88"/>
      <c r="AK104" s="88"/>
      <c r="AL104" s="88"/>
      <c r="AM104" s="88"/>
      <c r="AN104" s="88"/>
      <c r="AO104" s="88"/>
      <c r="AP104" s="88"/>
      <c r="AQ104" s="88"/>
      <c r="AR104" s="88"/>
      <c r="AS104" s="88"/>
      <c r="AT104" s="88"/>
      <c r="AU104" s="88"/>
      <c r="AV104" s="88"/>
      <c r="AW104" s="89"/>
    </row>
    <row r="105" spans="1:49">
      <c r="A105" s="109"/>
      <c r="B105" s="111"/>
      <c r="C105" s="112"/>
      <c r="D105" s="112"/>
      <c r="E105" s="113"/>
      <c r="F105" s="112"/>
      <c r="G105" s="524"/>
      <c r="H105" s="93"/>
      <c r="J105" s="87"/>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8"/>
      <c r="AV105" s="88"/>
      <c r="AW105" s="89"/>
    </row>
    <row r="106" spans="1:49">
      <c r="A106" s="109"/>
      <c r="B106" s="111"/>
      <c r="C106" s="112"/>
      <c r="D106" s="112"/>
      <c r="E106" s="113"/>
      <c r="F106" s="112"/>
      <c r="G106" s="524"/>
      <c r="H106" s="93"/>
      <c r="J106" s="87"/>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c r="AI106" s="88"/>
      <c r="AJ106" s="88"/>
      <c r="AK106" s="88"/>
      <c r="AL106" s="88"/>
      <c r="AM106" s="88"/>
      <c r="AN106" s="88"/>
      <c r="AO106" s="88"/>
      <c r="AP106" s="88"/>
      <c r="AQ106" s="88"/>
      <c r="AR106" s="88"/>
      <c r="AS106" s="88"/>
      <c r="AT106" s="88"/>
      <c r="AU106" s="88"/>
      <c r="AV106" s="88"/>
      <c r="AW106" s="89"/>
    </row>
    <row r="107" spans="1:49" ht="13.5" thickBot="1">
      <c r="A107" s="522"/>
      <c r="B107" s="272"/>
      <c r="C107" s="275"/>
      <c r="D107" s="275"/>
      <c r="E107" s="274"/>
      <c r="F107" s="275"/>
      <c r="G107" s="525"/>
      <c r="H107" s="273"/>
      <c r="J107" s="87"/>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c r="AK107" s="88"/>
      <c r="AL107" s="88"/>
      <c r="AM107" s="88"/>
      <c r="AN107" s="88"/>
      <c r="AO107" s="88"/>
      <c r="AP107" s="88"/>
      <c r="AQ107" s="88"/>
      <c r="AR107" s="88"/>
      <c r="AS107" s="88"/>
      <c r="AT107" s="88"/>
      <c r="AU107" s="88"/>
      <c r="AV107" s="88"/>
      <c r="AW107" s="89"/>
    </row>
    <row r="108" spans="1:49">
      <c r="A108" s="517" t="s">
        <v>908</v>
      </c>
      <c r="B108" s="518"/>
      <c r="C108" s="519"/>
      <c r="D108" s="519"/>
      <c r="E108" s="520"/>
      <c r="F108" s="519"/>
      <c r="G108" s="523"/>
      <c r="H108" s="521"/>
      <c r="J108" s="87"/>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9"/>
    </row>
    <row r="109" spans="1:49">
      <c r="A109" s="514"/>
      <c r="B109" s="201"/>
      <c r="C109" s="187"/>
      <c r="D109" s="187"/>
      <c r="E109" s="515"/>
      <c r="F109" s="187"/>
      <c r="G109" s="524"/>
      <c r="H109" s="186"/>
      <c r="J109" s="87"/>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8"/>
      <c r="AV109" s="88"/>
      <c r="AW109" s="89"/>
    </row>
    <row r="110" spans="1:49">
      <c r="A110" s="109" t="s">
        <v>701</v>
      </c>
      <c r="B110" s="111" t="s">
        <v>702</v>
      </c>
      <c r="C110" s="112"/>
      <c r="D110" s="112" t="s">
        <v>646</v>
      </c>
      <c r="E110" s="113"/>
      <c r="F110" s="112"/>
      <c r="G110" s="524"/>
      <c r="H110" s="93"/>
      <c r="J110" s="199">
        <f>+J$26</f>
        <v>2986.9850446807795</v>
      </c>
      <c r="K110" s="200">
        <f t="shared" ref="K110:U110" si="20">+K$26</f>
        <v>2661.428345249622</v>
      </c>
      <c r="L110" s="200">
        <f t="shared" si="20"/>
        <v>2906.1777198005261</v>
      </c>
      <c r="M110" s="200">
        <f t="shared" si="20"/>
        <v>2773.3297329294192</v>
      </c>
      <c r="N110" s="200">
        <f t="shared" si="20"/>
        <v>2825.3703949202732</v>
      </c>
      <c r="O110" s="200">
        <f t="shared" si="20"/>
        <v>2695.1290959485295</v>
      </c>
      <c r="P110" s="200">
        <f t="shared" si="20"/>
        <v>2784.9667324801471</v>
      </c>
      <c r="Q110" s="200">
        <f t="shared" si="20"/>
        <v>2825.3703949202732</v>
      </c>
      <c r="R110" s="200">
        <f t="shared" si="20"/>
        <v>2773.3297329294192</v>
      </c>
      <c r="S110" s="200">
        <f t="shared" si="20"/>
        <v>2906.1777198005261</v>
      </c>
      <c r="T110" s="200">
        <f t="shared" si="20"/>
        <v>2851.5303699103092</v>
      </c>
      <c r="U110" s="200">
        <f t="shared" si="20"/>
        <v>2986.9850446807795</v>
      </c>
      <c r="V110" s="88"/>
      <c r="W110" s="497">
        <f>SUM(J110:U110)</f>
        <v>33976.780328250607</v>
      </c>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8"/>
      <c r="AV110" s="88"/>
      <c r="AW110" s="89"/>
    </row>
    <row r="111" spans="1:49">
      <c r="A111" s="109" t="s">
        <v>901</v>
      </c>
      <c r="B111" s="111"/>
      <c r="C111" s="112"/>
      <c r="D111" s="112" t="s">
        <v>207</v>
      </c>
      <c r="E111" s="558">
        <f>+$E$82</f>
        <v>35</v>
      </c>
      <c r="F111" s="112"/>
      <c r="G111" s="524"/>
      <c r="H111" s="93"/>
      <c r="J111" s="87"/>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c r="AV111" s="88"/>
      <c r="AW111" s="89"/>
    </row>
    <row r="112" spans="1:49">
      <c r="A112" s="109" t="s">
        <v>902</v>
      </c>
      <c r="B112" s="111"/>
      <c r="C112" s="112"/>
      <c r="D112" s="112" t="s">
        <v>218</v>
      </c>
      <c r="E112" s="113">
        <f>+W112</f>
        <v>777.56560202882554</v>
      </c>
      <c r="F112" s="112"/>
      <c r="G112" s="524"/>
      <c r="H112" s="93"/>
      <c r="J112" s="495">
        <f>+J110*($E111-J$12)*4.18/3600</f>
        <v>82.890494426027558</v>
      </c>
      <c r="K112" s="508">
        <f t="shared" ref="K112" si="21">+K110*($E111-K$12)*4.18/3600</f>
        <v>73.238072347360841</v>
      </c>
      <c r="L112" s="508">
        <f t="shared" ref="L112" si="22">+L110*($E111-L$12)*4.18/3600</f>
        <v>76.598771978053534</v>
      </c>
      <c r="M112" s="508">
        <f t="shared" ref="M112" si="23">+M110*($E111-M$12)*4.18/3600</f>
        <v>66.012951337422763</v>
      </c>
      <c r="N112" s="508">
        <f t="shared" ref="N112" si="24">+N110*($E111-N$12)*4.18/3600</f>
        <v>61.67469642067077</v>
      </c>
      <c r="O112" s="508">
        <f t="shared" ref="O112" si="25">+O110*($E111-O$12)*4.18/3600</f>
        <v>50.69537829479183</v>
      </c>
      <c r="P112" s="508">
        <f t="shared" ref="P112" si="26">+P110*($E111-P$12)*4.18/3600</f>
        <v>44.301084695057796</v>
      </c>
      <c r="Q112" s="508">
        <f t="shared" ref="Q112" si="27">+Q110*($E111-Q$12)*4.18/3600</f>
        <v>51.504932649177178</v>
      </c>
      <c r="R112" s="508">
        <f t="shared" ref="R112" si="28">+R110*($E111-R$12)*4.18/3600</f>
        <v>52.488346673170284</v>
      </c>
      <c r="S112" s="508">
        <f t="shared" ref="S112" si="29">+S110*($E111-S$12)*4.18/3600</f>
        <v>63.438630536890145</v>
      </c>
      <c r="T112" s="508">
        <f t="shared" ref="T112" si="30">+T110*($E111-T$12)*4.18/3600</f>
        <v>72.178570396585272</v>
      </c>
      <c r="U112" s="508">
        <f t="shared" ref="U112" si="31">+U110*($E111-U$12)*4.18/3600</f>
        <v>82.543672273617418</v>
      </c>
      <c r="V112" s="88"/>
      <c r="W112" s="497">
        <f>SUM(J112:U112)</f>
        <v>777.56560202882554</v>
      </c>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9"/>
    </row>
    <row r="113" spans="1:49">
      <c r="A113" s="109" t="s">
        <v>897</v>
      </c>
      <c r="B113" s="111"/>
      <c r="C113" s="112"/>
      <c r="D113" s="112" t="s">
        <v>615</v>
      </c>
      <c r="E113" s="113">
        <f>+E$15</f>
        <v>11</v>
      </c>
      <c r="F113" s="112"/>
      <c r="G113" s="524"/>
      <c r="H113" s="93"/>
      <c r="J113" s="495"/>
      <c r="K113" s="508"/>
      <c r="L113" s="508"/>
      <c r="M113" s="508"/>
      <c r="N113" s="508"/>
      <c r="O113" s="508"/>
      <c r="P113" s="508"/>
      <c r="Q113" s="508"/>
      <c r="R113" s="508"/>
      <c r="S113" s="508"/>
      <c r="T113" s="508"/>
      <c r="U113" s="508"/>
      <c r="V113" s="88"/>
      <c r="W113" s="497"/>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88"/>
      <c r="AW113" s="89"/>
    </row>
    <row r="114" spans="1:49">
      <c r="A114" s="109" t="s">
        <v>900</v>
      </c>
      <c r="B114" s="111"/>
      <c r="C114" s="112"/>
      <c r="D114" s="112"/>
      <c r="E114" s="94"/>
      <c r="F114" s="112"/>
      <c r="G114" s="524"/>
      <c r="H114" s="93"/>
      <c r="J114" s="87"/>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c r="AV114" s="88"/>
      <c r="AW114" s="89"/>
    </row>
    <row r="115" spans="1:49">
      <c r="A115" s="533" t="str">
        <f>+$A$86</f>
        <v>Zypho, PiPe 65 , System A</v>
      </c>
      <c r="B115" s="111">
        <f>+$B$86</f>
        <v>4</v>
      </c>
      <c r="C115" s="112"/>
      <c r="D115" s="112"/>
      <c r="E115" s="113"/>
      <c r="F115" s="112"/>
      <c r="G115" s="524"/>
      <c r="H115" s="93"/>
      <c r="J115" s="87"/>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88"/>
      <c r="AW115" s="89"/>
    </row>
    <row r="116" spans="1:49">
      <c r="A116" s="109" t="s">
        <v>898</v>
      </c>
      <c r="B116" s="111"/>
      <c r="C116" s="112"/>
      <c r="D116" s="112" t="s">
        <v>431</v>
      </c>
      <c r="E116" s="113">
        <f>INDEX(SAP_Database!$M$8:$M$11,B115,1)</f>
        <v>44.7</v>
      </c>
      <c r="F116" s="112"/>
      <c r="G116" s="524"/>
      <c r="H116" s="93"/>
      <c r="J116" s="87"/>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9"/>
    </row>
    <row r="117" spans="1:49">
      <c r="A117" s="109" t="s">
        <v>903</v>
      </c>
      <c r="B117" s="111"/>
      <c r="C117" s="112"/>
      <c r="D117" s="112" t="s">
        <v>20</v>
      </c>
      <c r="E117" s="113">
        <f>INDEX(SAP_Database!$D$8:$D$11,B115,1)</f>
        <v>0.93700000000000006</v>
      </c>
      <c r="F117" s="112"/>
      <c r="G117" s="524"/>
      <c r="H117" s="93"/>
      <c r="J117" s="87"/>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c r="AV117" s="88"/>
      <c r="AW117" s="89"/>
    </row>
    <row r="118" spans="1:49">
      <c r="A118" s="109"/>
      <c r="B118" s="111"/>
      <c r="C118" s="112"/>
      <c r="D118" s="112"/>
      <c r="E118" s="113"/>
      <c r="F118" s="112"/>
      <c r="G118" s="524"/>
      <c r="H118" s="93"/>
      <c r="J118" s="87"/>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88"/>
      <c r="AW118" s="89"/>
    </row>
    <row r="119" spans="1:49">
      <c r="A119" s="109" t="s">
        <v>904</v>
      </c>
      <c r="B119" s="111"/>
      <c r="C119" s="112"/>
      <c r="D119" s="112" t="s">
        <v>218</v>
      </c>
      <c r="E119" s="113">
        <f>+W119</f>
        <v>325.67479918815127</v>
      </c>
      <c r="F119" s="112"/>
      <c r="G119" s="524"/>
      <c r="H119" s="93"/>
      <c r="J119" s="494">
        <f>+J112*$E116/100*$E117</f>
        <v>34.717771794902966</v>
      </c>
      <c r="K119" s="487">
        <f t="shared" ref="K119:U119" si="32">+K112*$E116/100*$E117</f>
        <v>30.674960983896273</v>
      </c>
      <c r="L119" s="487">
        <f t="shared" si="32"/>
        <v>32.08255305651597</v>
      </c>
      <c r="M119" s="487">
        <f t="shared" si="32"/>
        <v>27.648798525214815</v>
      </c>
      <c r="N119" s="487">
        <f t="shared" si="32"/>
        <v>25.831768174137327</v>
      </c>
      <c r="O119" s="487">
        <f t="shared" si="32"/>
        <v>21.233201549612318</v>
      </c>
      <c r="P119" s="487">
        <f t="shared" si="32"/>
        <v>18.555022012593312</v>
      </c>
      <c r="Q119" s="487">
        <f t="shared" si="32"/>
        <v>21.572274485848723</v>
      </c>
      <c r="R119" s="487">
        <f t="shared" si="32"/>
        <v>21.984166632243973</v>
      </c>
      <c r="S119" s="487">
        <f t="shared" si="32"/>
        <v>26.570572575440536</v>
      </c>
      <c r="T119" s="487">
        <f t="shared" si="32"/>
        <v>30.23120024633538</v>
      </c>
      <c r="U119" s="487">
        <f t="shared" si="32"/>
        <v>34.572509151409648</v>
      </c>
      <c r="V119" s="88"/>
      <c r="W119" s="497">
        <f>SUM(J119:U119)</f>
        <v>325.67479918815127</v>
      </c>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9"/>
    </row>
    <row r="120" spans="1:49">
      <c r="A120" s="109"/>
      <c r="B120" s="111"/>
      <c r="C120" s="112"/>
      <c r="D120" s="112" t="s">
        <v>431</v>
      </c>
      <c r="E120" s="557">
        <f>+E119/E$51</f>
        <v>0.17441744010133439</v>
      </c>
      <c r="F120" s="112"/>
      <c r="G120" s="524"/>
      <c r="H120" s="93"/>
      <c r="J120" s="188">
        <f>+J119/J$50</f>
        <v>0.18272348271063502</v>
      </c>
      <c r="K120" s="202">
        <f t="shared" ref="K120" si="33">+K119/K$50</f>
        <v>0.18337153589715888</v>
      </c>
      <c r="L120" s="202">
        <f t="shared" ref="L120" si="34">+L119/L$50</f>
        <v>0.18212740269596331</v>
      </c>
      <c r="M120" s="202">
        <f t="shared" ref="M120" si="35">+M119/M$50</f>
        <v>0.17747153132885782</v>
      </c>
      <c r="N120" s="202">
        <f t="shared" ref="N120" si="36">+N119/N$50</f>
        <v>0.17353757668029826</v>
      </c>
      <c r="O120" s="202">
        <f t="shared" ref="O120" si="37">+O119/O$50</f>
        <v>0.16557219948730906</v>
      </c>
      <c r="P120" s="202">
        <f t="shared" ref="P120" si="38">+P119/P$50</f>
        <v>0.15480713629387713</v>
      </c>
      <c r="Q120" s="202">
        <f t="shared" ref="Q120" si="39">+Q119/Q$50</f>
        <v>0.16239333997251243</v>
      </c>
      <c r="R120" s="202">
        <f t="shared" ref="R120" si="40">+R119/R$50</f>
        <v>0.16360085086843373</v>
      </c>
      <c r="S120" s="202">
        <f t="shared" ref="S120" si="41">+S119/S$50</f>
        <v>0.17119858986967079</v>
      </c>
      <c r="T120" s="202">
        <f t="shared" ref="T120" si="42">+T119/T$50</f>
        <v>0.17870878680421692</v>
      </c>
      <c r="U120" s="202">
        <f t="shared" ref="U120" si="43">+U119/U$50</f>
        <v>0.18249473868290206</v>
      </c>
      <c r="V120" s="88"/>
      <c r="W120" s="88"/>
      <c r="X120" s="88"/>
      <c r="Y120" s="88"/>
      <c r="Z120" s="88"/>
      <c r="AA120" s="88"/>
      <c r="AB120" s="88"/>
      <c r="AC120" s="88"/>
      <c r="AD120" s="88"/>
      <c r="AE120" s="88"/>
      <c r="AF120" s="88"/>
      <c r="AG120" s="88"/>
      <c r="AH120" s="88"/>
      <c r="AI120" s="88"/>
      <c r="AJ120" s="88"/>
      <c r="AK120" s="88"/>
      <c r="AL120" s="88"/>
      <c r="AM120" s="88"/>
      <c r="AN120" s="88"/>
      <c r="AO120" s="88"/>
      <c r="AP120" s="88"/>
      <c r="AQ120" s="88"/>
      <c r="AR120" s="88"/>
      <c r="AS120" s="88"/>
      <c r="AT120" s="88"/>
      <c r="AU120" s="88"/>
      <c r="AV120" s="88"/>
      <c r="AW120" s="89"/>
    </row>
    <row r="121" spans="1:49">
      <c r="A121" s="559" t="s">
        <v>910</v>
      </c>
      <c r="B121" s="560"/>
      <c r="C121" s="561"/>
      <c r="D121" s="561"/>
      <c r="E121" s="562">
        <f>+E120*100/E116</f>
        <v>0.39019561543922682</v>
      </c>
      <c r="F121" s="112"/>
      <c r="G121" s="524"/>
      <c r="H121" s="93"/>
      <c r="J121" s="87"/>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88"/>
      <c r="AW121" s="89"/>
    </row>
    <row r="122" spans="1:49">
      <c r="A122" s="109"/>
      <c r="B122" s="111"/>
      <c r="C122" s="112"/>
      <c r="D122" s="112"/>
      <c r="E122" s="113"/>
      <c r="F122" s="112"/>
      <c r="G122" s="524"/>
      <c r="H122" s="93"/>
      <c r="J122" s="87"/>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c r="AI122" s="88"/>
      <c r="AJ122" s="88"/>
      <c r="AK122" s="88"/>
      <c r="AL122" s="88"/>
      <c r="AM122" s="88"/>
      <c r="AN122" s="88"/>
      <c r="AO122" s="88"/>
      <c r="AP122" s="88"/>
      <c r="AQ122" s="88"/>
      <c r="AR122" s="88"/>
      <c r="AS122" s="88"/>
      <c r="AT122" s="88"/>
      <c r="AU122" s="88"/>
      <c r="AV122" s="88"/>
      <c r="AW122" s="89"/>
    </row>
    <row r="123" spans="1:49">
      <c r="A123" s="109"/>
      <c r="B123" s="111"/>
      <c r="C123" s="112"/>
      <c r="D123" s="112"/>
      <c r="E123" s="113"/>
      <c r="F123" s="112"/>
      <c r="G123" s="524"/>
      <c r="H123" s="93"/>
      <c r="J123" s="87"/>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8"/>
      <c r="AV123" s="88"/>
      <c r="AW123" s="89"/>
    </row>
    <row r="124" spans="1:49">
      <c r="A124" s="109"/>
      <c r="B124" s="111"/>
      <c r="C124" s="112"/>
      <c r="D124" s="112"/>
      <c r="E124" s="113"/>
      <c r="F124" s="112"/>
      <c r="G124" s="524"/>
      <c r="H124" s="93"/>
      <c r="J124" s="87"/>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9"/>
    </row>
    <row r="125" spans="1:49">
      <c r="A125" s="109"/>
      <c r="B125" s="111"/>
      <c r="C125" s="112"/>
      <c r="D125" s="112"/>
      <c r="E125" s="113"/>
      <c r="F125" s="112"/>
      <c r="G125" s="524"/>
      <c r="H125" s="93"/>
      <c r="J125" s="87"/>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c r="AI125" s="88"/>
      <c r="AJ125" s="88"/>
      <c r="AK125" s="88"/>
      <c r="AL125" s="88"/>
      <c r="AM125" s="88"/>
      <c r="AN125" s="88"/>
      <c r="AO125" s="88"/>
      <c r="AP125" s="88"/>
      <c r="AQ125" s="88"/>
      <c r="AR125" s="88"/>
      <c r="AS125" s="88"/>
      <c r="AT125" s="88"/>
      <c r="AU125" s="88"/>
      <c r="AV125" s="88"/>
      <c r="AW125" s="89"/>
    </row>
    <row r="126" spans="1:49">
      <c r="A126" s="109"/>
      <c r="B126" s="111"/>
      <c r="C126" s="112"/>
      <c r="D126" s="112"/>
      <c r="E126" s="113"/>
      <c r="F126" s="112"/>
      <c r="G126" s="524"/>
      <c r="H126" s="93"/>
      <c r="J126" s="87"/>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8"/>
      <c r="AV126" s="88"/>
      <c r="AW126" s="89"/>
    </row>
    <row r="127" spans="1:49">
      <c r="A127" s="109"/>
      <c r="B127" s="111"/>
      <c r="C127" s="112"/>
      <c r="D127" s="112"/>
      <c r="E127" s="113"/>
      <c r="F127" s="112"/>
      <c r="G127" s="524"/>
      <c r="H127" s="93"/>
      <c r="J127" s="87"/>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c r="AV127" s="88"/>
      <c r="AW127" s="89"/>
    </row>
    <row r="128" spans="1:49">
      <c r="A128" s="109"/>
      <c r="B128" s="111"/>
      <c r="C128" s="112"/>
      <c r="D128" s="112"/>
      <c r="E128" s="113"/>
      <c r="F128" s="112"/>
      <c r="G128" s="524"/>
      <c r="H128" s="93"/>
      <c r="J128" s="87"/>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8"/>
      <c r="AV128" s="88"/>
      <c r="AW128" s="89"/>
    </row>
    <row r="129" spans="1:49">
      <c r="A129" s="109"/>
      <c r="B129" s="111"/>
      <c r="C129" s="112"/>
      <c r="D129" s="112"/>
      <c r="E129" s="113"/>
      <c r="F129" s="112"/>
      <c r="G129" s="524"/>
      <c r="H129" s="93"/>
      <c r="J129" s="87"/>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9"/>
    </row>
    <row r="130" spans="1:49">
      <c r="A130" s="109"/>
      <c r="B130" s="111"/>
      <c r="C130" s="112"/>
      <c r="D130" s="112"/>
      <c r="E130" s="113"/>
      <c r="F130" s="112"/>
      <c r="G130" s="524"/>
      <c r="H130" s="93"/>
      <c r="J130" s="87"/>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9"/>
    </row>
    <row r="131" spans="1:49">
      <c r="A131" s="109"/>
      <c r="B131" s="111"/>
      <c r="C131" s="112"/>
      <c r="D131" s="112"/>
      <c r="E131" s="113"/>
      <c r="F131" s="112"/>
      <c r="G131" s="524"/>
      <c r="H131" s="93"/>
      <c r="J131" s="87"/>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8"/>
      <c r="AV131" s="88"/>
      <c r="AW131" s="89"/>
    </row>
    <row r="132" spans="1:49">
      <c r="A132" s="109"/>
      <c r="B132" s="111"/>
      <c r="C132" s="112"/>
      <c r="D132" s="112"/>
      <c r="E132" s="113"/>
      <c r="F132" s="112"/>
      <c r="G132" s="524"/>
      <c r="H132" s="93"/>
      <c r="J132" s="87"/>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8"/>
      <c r="AV132" s="88"/>
      <c r="AW132" s="89"/>
    </row>
    <row r="133" spans="1:49">
      <c r="A133" s="109"/>
      <c r="B133" s="111"/>
      <c r="C133" s="112"/>
      <c r="D133" s="112"/>
      <c r="E133" s="113"/>
      <c r="F133" s="112"/>
      <c r="G133" s="524"/>
      <c r="H133" s="93"/>
      <c r="J133" s="87"/>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c r="AU133" s="88"/>
      <c r="AV133" s="88"/>
      <c r="AW133" s="89"/>
    </row>
    <row r="134" spans="1:49">
      <c r="A134" s="109"/>
      <c r="B134" s="111"/>
      <c r="C134" s="112"/>
      <c r="D134" s="112"/>
      <c r="E134" s="113"/>
      <c r="F134" s="112"/>
      <c r="G134" s="524"/>
      <c r="H134" s="93"/>
      <c r="J134" s="87"/>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c r="AU134" s="88"/>
      <c r="AV134" s="88"/>
      <c r="AW134" s="89"/>
    </row>
    <row r="135" spans="1:49">
      <c r="A135" s="109"/>
      <c r="B135" s="111"/>
      <c r="C135" s="112"/>
      <c r="D135" s="112"/>
      <c r="E135" s="113"/>
      <c r="F135" s="112"/>
      <c r="G135" s="524"/>
      <c r="H135" s="93"/>
      <c r="J135" s="87"/>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c r="AU135" s="88"/>
      <c r="AV135" s="88"/>
      <c r="AW135" s="89"/>
    </row>
    <row r="136" spans="1:49" ht="13.5" thickBot="1">
      <c r="A136" s="522"/>
      <c r="B136" s="272"/>
      <c r="C136" s="275"/>
      <c r="D136" s="275"/>
      <c r="E136" s="274"/>
      <c r="F136" s="275"/>
      <c r="G136" s="525"/>
      <c r="H136" s="273"/>
      <c r="J136" s="87"/>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c r="AU136" s="88"/>
      <c r="AV136" s="88"/>
      <c r="AW136" s="89"/>
    </row>
    <row r="137" spans="1:49">
      <c r="A137" s="517" t="s">
        <v>909</v>
      </c>
      <c r="B137" s="518"/>
      <c r="C137" s="519"/>
      <c r="D137" s="519"/>
      <c r="E137" s="520"/>
      <c r="F137" s="519"/>
      <c r="G137" s="523"/>
      <c r="H137" s="521"/>
      <c r="J137" s="87"/>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c r="AU137" s="88"/>
      <c r="AV137" s="88"/>
      <c r="AW137" s="89"/>
    </row>
    <row r="138" spans="1:49">
      <c r="A138" s="514"/>
      <c r="B138" s="201"/>
      <c r="C138" s="187"/>
      <c r="D138" s="187"/>
      <c r="E138" s="515"/>
      <c r="F138" s="187"/>
      <c r="G138" s="524"/>
      <c r="H138" s="186"/>
      <c r="J138" s="87"/>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8"/>
      <c r="AV138" s="88"/>
      <c r="AW138" s="89"/>
    </row>
    <row r="139" spans="1:49">
      <c r="A139" s="109" t="s">
        <v>701</v>
      </c>
      <c r="B139" s="111" t="s">
        <v>702</v>
      </c>
      <c r="C139" s="112"/>
      <c r="D139" s="112" t="s">
        <v>646</v>
      </c>
      <c r="E139" s="113"/>
      <c r="F139" s="112"/>
      <c r="G139" s="524"/>
      <c r="H139" s="93"/>
      <c r="J139" s="199">
        <f>+J$26</f>
        <v>2986.9850446807795</v>
      </c>
      <c r="K139" s="200">
        <f t="shared" ref="K139:U139" si="44">+K$26</f>
        <v>2661.428345249622</v>
      </c>
      <c r="L139" s="200">
        <f t="shared" si="44"/>
        <v>2906.1777198005261</v>
      </c>
      <c r="M139" s="200">
        <f t="shared" si="44"/>
        <v>2773.3297329294192</v>
      </c>
      <c r="N139" s="200">
        <f t="shared" si="44"/>
        <v>2825.3703949202732</v>
      </c>
      <c r="O139" s="200">
        <f t="shared" si="44"/>
        <v>2695.1290959485295</v>
      </c>
      <c r="P139" s="200">
        <f t="shared" si="44"/>
        <v>2784.9667324801471</v>
      </c>
      <c r="Q139" s="200">
        <f t="shared" si="44"/>
        <v>2825.3703949202732</v>
      </c>
      <c r="R139" s="200">
        <f t="shared" si="44"/>
        <v>2773.3297329294192</v>
      </c>
      <c r="S139" s="200">
        <f t="shared" si="44"/>
        <v>2906.1777198005261</v>
      </c>
      <c r="T139" s="200">
        <f t="shared" si="44"/>
        <v>2851.5303699103092</v>
      </c>
      <c r="U139" s="200">
        <f t="shared" si="44"/>
        <v>2986.9850446807795</v>
      </c>
      <c r="V139" s="88"/>
      <c r="W139" s="497">
        <f>SUM(J139:U139)</f>
        <v>33976.780328250607</v>
      </c>
      <c r="X139" s="88"/>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c r="AU139" s="88"/>
      <c r="AV139" s="88"/>
      <c r="AW139" s="89"/>
    </row>
    <row r="140" spans="1:49">
      <c r="A140" s="109" t="s">
        <v>901</v>
      </c>
      <c r="B140" s="111"/>
      <c r="C140" s="112"/>
      <c r="D140" s="112" t="s">
        <v>207</v>
      </c>
      <c r="E140" s="558">
        <f>+$E$82</f>
        <v>35</v>
      </c>
      <c r="F140" s="112"/>
      <c r="G140" s="524"/>
      <c r="H140" s="93"/>
      <c r="J140" s="87"/>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c r="AU140" s="88"/>
      <c r="AV140" s="88"/>
      <c r="AW140" s="89"/>
    </row>
    <row r="141" spans="1:49">
      <c r="A141" s="109" t="s">
        <v>902</v>
      </c>
      <c r="B141" s="111"/>
      <c r="C141" s="112"/>
      <c r="D141" s="112" t="s">
        <v>218</v>
      </c>
      <c r="E141" s="113">
        <f>+W141</f>
        <v>777.56560202882554</v>
      </c>
      <c r="F141" s="112"/>
      <c r="G141" s="524"/>
      <c r="H141" s="93"/>
      <c r="J141" s="495">
        <f>+J139*($E140-J$12)*4.18/3600</f>
        <v>82.890494426027558</v>
      </c>
      <c r="K141" s="508">
        <f t="shared" ref="K141" si="45">+K139*($E140-K$12)*4.18/3600</f>
        <v>73.238072347360841</v>
      </c>
      <c r="L141" s="508">
        <f t="shared" ref="L141" si="46">+L139*($E140-L$12)*4.18/3600</f>
        <v>76.598771978053534</v>
      </c>
      <c r="M141" s="508">
        <f t="shared" ref="M141" si="47">+M139*($E140-M$12)*4.18/3600</f>
        <v>66.012951337422763</v>
      </c>
      <c r="N141" s="508">
        <f t="shared" ref="N141" si="48">+N139*($E140-N$12)*4.18/3600</f>
        <v>61.67469642067077</v>
      </c>
      <c r="O141" s="508">
        <f t="shared" ref="O141" si="49">+O139*($E140-O$12)*4.18/3600</f>
        <v>50.69537829479183</v>
      </c>
      <c r="P141" s="508">
        <f t="shared" ref="P141" si="50">+P139*($E140-P$12)*4.18/3600</f>
        <v>44.301084695057796</v>
      </c>
      <c r="Q141" s="508">
        <f t="shared" ref="Q141" si="51">+Q139*($E140-Q$12)*4.18/3600</f>
        <v>51.504932649177178</v>
      </c>
      <c r="R141" s="508">
        <f t="shared" ref="R141" si="52">+R139*($E140-R$12)*4.18/3600</f>
        <v>52.488346673170284</v>
      </c>
      <c r="S141" s="508">
        <f t="shared" ref="S141" si="53">+S139*($E140-S$12)*4.18/3600</f>
        <v>63.438630536890145</v>
      </c>
      <c r="T141" s="508">
        <f t="shared" ref="T141" si="54">+T139*($E140-T$12)*4.18/3600</f>
        <v>72.178570396585272</v>
      </c>
      <c r="U141" s="508">
        <f t="shared" ref="U141" si="55">+U139*($E140-U$12)*4.18/3600</f>
        <v>82.543672273617418</v>
      </c>
      <c r="V141" s="88"/>
      <c r="W141" s="497">
        <f>SUM(J141:U141)</f>
        <v>777.56560202882554</v>
      </c>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89"/>
    </row>
    <row r="142" spans="1:49">
      <c r="A142" s="109" t="s">
        <v>897</v>
      </c>
      <c r="B142" s="111"/>
      <c r="C142" s="112"/>
      <c r="D142" s="112" t="s">
        <v>615</v>
      </c>
      <c r="E142" s="113">
        <f>+E$15</f>
        <v>11</v>
      </c>
      <c r="F142" s="112"/>
      <c r="G142" s="524"/>
      <c r="H142" s="93"/>
      <c r="J142" s="495"/>
      <c r="K142" s="508"/>
      <c r="L142" s="508"/>
      <c r="M142" s="508"/>
      <c r="N142" s="508"/>
      <c r="O142" s="508"/>
      <c r="P142" s="508"/>
      <c r="Q142" s="508"/>
      <c r="R142" s="508"/>
      <c r="S142" s="508"/>
      <c r="T142" s="508"/>
      <c r="U142" s="508"/>
      <c r="V142" s="88"/>
      <c r="W142" s="497"/>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9"/>
    </row>
    <row r="143" spans="1:49">
      <c r="A143" s="109" t="s">
        <v>900</v>
      </c>
      <c r="B143" s="111"/>
      <c r="C143" s="112"/>
      <c r="D143" s="112"/>
      <c r="E143" s="94"/>
      <c r="F143" s="112"/>
      <c r="G143" s="524"/>
      <c r="H143" s="93"/>
      <c r="J143" s="87"/>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c r="AU143" s="88"/>
      <c r="AV143" s="88"/>
      <c r="AW143" s="89"/>
    </row>
    <row r="144" spans="1:49">
      <c r="A144" s="533" t="str">
        <f>+$A$86</f>
        <v>Zypho, PiPe 65 , System A</v>
      </c>
      <c r="B144" s="111">
        <f>+$B$86</f>
        <v>4</v>
      </c>
      <c r="C144" s="112"/>
      <c r="D144" s="112"/>
      <c r="E144" s="113"/>
      <c r="F144" s="112"/>
      <c r="G144" s="524"/>
      <c r="H144" s="93"/>
      <c r="J144" s="87"/>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88"/>
      <c r="AW144" s="89"/>
    </row>
    <row r="145" spans="1:49">
      <c r="A145" s="109" t="s">
        <v>898</v>
      </c>
      <c r="B145" s="111"/>
      <c r="C145" s="112"/>
      <c r="D145" s="112" t="s">
        <v>431</v>
      </c>
      <c r="E145" s="113">
        <f>INDEX(SAP_Database!$M$12:$M$15,B144,1)</f>
        <v>53.4</v>
      </c>
      <c r="F145" s="112"/>
      <c r="G145" s="524"/>
      <c r="H145" s="93"/>
      <c r="J145" s="87"/>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c r="AV145" s="88"/>
      <c r="AW145" s="89"/>
    </row>
    <row r="146" spans="1:49">
      <c r="A146" s="109" t="s">
        <v>903</v>
      </c>
      <c r="B146" s="111"/>
      <c r="C146" s="112"/>
      <c r="D146" s="112" t="s">
        <v>20</v>
      </c>
      <c r="E146" s="113">
        <f>INDEX(SAP_Database!$D$12:$D$15,B144,1)</f>
        <v>0.95</v>
      </c>
      <c r="F146" s="112"/>
      <c r="G146" s="524"/>
      <c r="H146" s="93"/>
      <c r="J146" s="87"/>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c r="AV146" s="88"/>
      <c r="AW146" s="89"/>
    </row>
    <row r="147" spans="1:49">
      <c r="A147" s="109"/>
      <c r="B147" s="111"/>
      <c r="C147" s="112"/>
      <c r="D147" s="112"/>
      <c r="E147" s="113"/>
      <c r="F147" s="112"/>
      <c r="G147" s="524"/>
      <c r="H147" s="93"/>
      <c r="J147" s="87"/>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8"/>
      <c r="AV147" s="88"/>
      <c r="AW147" s="89"/>
    </row>
    <row r="148" spans="1:49">
      <c r="A148" s="109" t="s">
        <v>904</v>
      </c>
      <c r="B148" s="111"/>
      <c r="C148" s="112"/>
      <c r="D148" s="112" t="s">
        <v>218</v>
      </c>
      <c r="E148" s="113">
        <f>+W148</f>
        <v>394.45902990922309</v>
      </c>
      <c r="F148" s="112"/>
      <c r="G148" s="524"/>
      <c r="H148" s="93"/>
      <c r="J148" s="494">
        <f>+J141*$E145/100*$E146</f>
        <v>42.050347822323772</v>
      </c>
      <c r="K148" s="487">
        <f t="shared" ref="K148:U148" si="56">+K141*$E145/100*$E146</f>
        <v>37.153674101816158</v>
      </c>
      <c r="L148" s="487">
        <f t="shared" si="56"/>
        <v>38.858557024466556</v>
      </c>
      <c r="M148" s="487">
        <f t="shared" si="56"/>
        <v>33.48837021347456</v>
      </c>
      <c r="N148" s="487">
        <f t="shared" si="56"/>
        <v>31.287573494206278</v>
      </c>
      <c r="O148" s="487">
        <f t="shared" si="56"/>
        <v>25.717765408947894</v>
      </c>
      <c r="P148" s="487">
        <f t="shared" si="56"/>
        <v>22.47394026580282</v>
      </c>
      <c r="Q148" s="487">
        <f t="shared" si="56"/>
        <v>26.128452332927584</v>
      </c>
      <c r="R148" s="487">
        <f t="shared" si="56"/>
        <v>26.627338267299283</v>
      </c>
      <c r="S148" s="487">
        <f t="shared" si="56"/>
        <v>32.182417271364365</v>
      </c>
      <c r="T148" s="487">
        <f t="shared" si="56"/>
        <v>36.616188762187704</v>
      </c>
      <c r="U148" s="487">
        <f t="shared" si="56"/>
        <v>41.874404944406109</v>
      </c>
      <c r="V148" s="88"/>
      <c r="W148" s="497">
        <f>SUM(J148:U148)</f>
        <v>394.45902990922309</v>
      </c>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8"/>
      <c r="AV148" s="88"/>
      <c r="AW148" s="89"/>
    </row>
    <row r="149" spans="1:49">
      <c r="A149" s="109"/>
      <c r="B149" s="111"/>
      <c r="C149" s="112"/>
      <c r="D149" s="112" t="s">
        <v>431</v>
      </c>
      <c r="E149" s="557">
        <f>+E148/E$51</f>
        <v>0.21125532093097088</v>
      </c>
      <c r="F149" s="112"/>
      <c r="G149" s="524"/>
      <c r="H149" s="93"/>
      <c r="J149" s="188">
        <f>+J148/J$50</f>
        <v>0.22131564343125903</v>
      </c>
      <c r="K149" s="202">
        <f t="shared" ref="K149" si="57">+K148/K$50</f>
        <v>0.22210056885970192</v>
      </c>
      <c r="L149" s="202">
        <f t="shared" ref="L149" si="58">+L148/L$50</f>
        <v>0.22059366818195575</v>
      </c>
      <c r="M149" s="202">
        <f t="shared" ref="M149" si="59">+M148/M$50</f>
        <v>0.21495445229104629</v>
      </c>
      <c r="N149" s="202">
        <f t="shared" ref="N149" si="60">+N148/N$50</f>
        <v>0.21018962572710587</v>
      </c>
      <c r="O149" s="202">
        <f t="shared" ref="O149" si="61">+O148/O$50</f>
        <v>0.20054191897104109</v>
      </c>
      <c r="P149" s="202">
        <f t="shared" ref="P149" si="62">+P148/P$50</f>
        <v>0.18750321780417742</v>
      </c>
      <c r="Q149" s="202">
        <f t="shared" ref="Q149" si="63">+Q148/Q$50</f>
        <v>0.19669166760510731</v>
      </c>
      <c r="R149" s="202">
        <f t="shared" ref="R149" si="64">+R148/R$50</f>
        <v>0.19815421115406257</v>
      </c>
      <c r="S149" s="202">
        <f t="shared" ref="S149" si="65">+S148/S$50</f>
        <v>0.20735663259840645</v>
      </c>
      <c r="T149" s="202">
        <f t="shared" ref="T149" si="66">+T148/T$50</f>
        <v>0.21645302263108077</v>
      </c>
      <c r="U149" s="202">
        <f t="shared" ref="U149" si="67">+U148/U$50</f>
        <v>0.22103858746161698</v>
      </c>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88"/>
      <c r="AW149" s="89"/>
    </row>
    <row r="150" spans="1:49">
      <c r="A150" s="559" t="s">
        <v>910</v>
      </c>
      <c r="B150" s="560"/>
      <c r="C150" s="561"/>
      <c r="D150" s="561"/>
      <c r="E150" s="562">
        <f>+E149*100/E145</f>
        <v>0.39560921522653725</v>
      </c>
      <c r="F150" s="112"/>
      <c r="G150" s="524"/>
      <c r="H150" s="93"/>
      <c r="J150" s="87"/>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8"/>
      <c r="AV150" s="88"/>
      <c r="AW150" s="89"/>
    </row>
    <row r="151" spans="1:49">
      <c r="A151" s="109"/>
      <c r="B151" s="111"/>
      <c r="C151" s="112"/>
      <c r="D151" s="112"/>
      <c r="E151" s="113"/>
      <c r="F151" s="112"/>
      <c r="G151" s="524"/>
      <c r="H151" s="93"/>
      <c r="J151" s="87"/>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9"/>
    </row>
    <row r="152" spans="1:49">
      <c r="A152" s="109"/>
      <c r="B152" s="111"/>
      <c r="C152" s="112"/>
      <c r="D152" s="112"/>
      <c r="E152" s="113"/>
      <c r="F152" s="112"/>
      <c r="G152" s="524"/>
      <c r="H152" s="93"/>
      <c r="J152" s="87"/>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8"/>
      <c r="AV152" s="88"/>
      <c r="AW152" s="89"/>
    </row>
    <row r="153" spans="1:49">
      <c r="A153" s="109"/>
      <c r="B153" s="111"/>
      <c r="C153" s="112"/>
      <c r="D153" s="112"/>
      <c r="E153" s="113"/>
      <c r="F153" s="112"/>
      <c r="G153" s="524"/>
      <c r="H153" s="93"/>
      <c r="J153" s="87"/>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8"/>
      <c r="AV153" s="88"/>
      <c r="AW153" s="89"/>
    </row>
    <row r="154" spans="1:49">
      <c r="A154" s="109"/>
      <c r="B154" s="111"/>
      <c r="C154" s="112"/>
      <c r="D154" s="112"/>
      <c r="E154" s="113"/>
      <c r="F154" s="112"/>
      <c r="G154" s="524"/>
      <c r="H154" s="93"/>
      <c r="J154" s="87"/>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c r="AV154" s="88"/>
      <c r="AW154" s="89"/>
    </row>
    <row r="155" spans="1:49">
      <c r="A155" s="109"/>
      <c r="B155" s="111"/>
      <c r="C155" s="112"/>
      <c r="D155" s="112"/>
      <c r="E155" s="113"/>
      <c r="F155" s="112"/>
      <c r="G155" s="524"/>
      <c r="H155" s="93"/>
      <c r="J155" s="87"/>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c r="AV155" s="88"/>
      <c r="AW155" s="89"/>
    </row>
    <row r="156" spans="1:49">
      <c r="A156" s="109"/>
      <c r="B156" s="111"/>
      <c r="C156" s="112"/>
      <c r="D156" s="112"/>
      <c r="E156" s="113"/>
      <c r="F156" s="112"/>
      <c r="G156" s="524"/>
      <c r="H156" s="93"/>
      <c r="J156" s="87"/>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c r="AV156" s="88"/>
      <c r="AW156" s="89"/>
    </row>
    <row r="157" spans="1:49">
      <c r="A157" s="109"/>
      <c r="B157" s="111"/>
      <c r="C157" s="112"/>
      <c r="D157" s="112"/>
      <c r="E157" s="113"/>
      <c r="F157" s="112"/>
      <c r="G157" s="524"/>
      <c r="H157" s="93"/>
      <c r="J157" s="87"/>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c r="AV157" s="88"/>
      <c r="AW157" s="89"/>
    </row>
    <row r="158" spans="1:49">
      <c r="A158" s="109"/>
      <c r="B158" s="111"/>
      <c r="C158" s="112"/>
      <c r="D158" s="112"/>
      <c r="E158" s="113"/>
      <c r="F158" s="112"/>
      <c r="G158" s="524"/>
      <c r="H158" s="93"/>
      <c r="J158" s="87"/>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c r="AV158" s="88"/>
      <c r="AW158" s="89"/>
    </row>
    <row r="159" spans="1:49">
      <c r="A159" s="109"/>
      <c r="B159" s="111"/>
      <c r="C159" s="112"/>
      <c r="D159" s="112"/>
      <c r="E159" s="113"/>
      <c r="F159" s="112"/>
      <c r="G159" s="524"/>
      <c r="H159" s="93"/>
      <c r="J159" s="87"/>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9"/>
    </row>
    <row r="160" spans="1:49">
      <c r="A160" s="109"/>
      <c r="B160" s="111"/>
      <c r="C160" s="112"/>
      <c r="D160" s="112"/>
      <c r="E160" s="113"/>
      <c r="F160" s="112"/>
      <c r="G160" s="524"/>
      <c r="H160" s="93"/>
      <c r="J160" s="87"/>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c r="AV160" s="88"/>
      <c r="AW160" s="89"/>
    </row>
    <row r="161" spans="1:49">
      <c r="A161" s="109"/>
      <c r="B161" s="111"/>
      <c r="C161" s="112"/>
      <c r="D161" s="112"/>
      <c r="E161" s="113"/>
      <c r="F161" s="112"/>
      <c r="G161" s="524"/>
      <c r="H161" s="93"/>
      <c r="J161" s="87"/>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c r="AV161" s="88"/>
      <c r="AW161" s="89"/>
    </row>
    <row r="162" spans="1:49">
      <c r="A162" s="109"/>
      <c r="B162" s="111"/>
      <c r="C162" s="112"/>
      <c r="D162" s="112"/>
      <c r="E162" s="113"/>
      <c r="F162" s="112"/>
      <c r="G162" s="524"/>
      <c r="H162" s="93"/>
      <c r="J162" s="87"/>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c r="AV162" s="88"/>
      <c r="AW162" s="89"/>
    </row>
    <row r="163" spans="1:49">
      <c r="A163" s="109"/>
      <c r="B163" s="111"/>
      <c r="C163" s="112"/>
      <c r="D163" s="112"/>
      <c r="E163" s="113"/>
      <c r="F163" s="112"/>
      <c r="G163" s="524"/>
      <c r="H163" s="93"/>
      <c r="J163" s="87"/>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c r="AV163" s="88"/>
      <c r="AW163" s="89"/>
    </row>
    <row r="164" spans="1:49">
      <c r="A164" s="109"/>
      <c r="B164" s="111"/>
      <c r="C164" s="112"/>
      <c r="D164" s="112"/>
      <c r="E164" s="113"/>
      <c r="F164" s="112"/>
      <c r="G164" s="524"/>
      <c r="H164" s="93"/>
      <c r="J164" s="87"/>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9"/>
    </row>
    <row r="165" spans="1:49" ht="13.5" thickBot="1">
      <c r="A165" s="522"/>
      <c r="B165" s="272"/>
      <c r="C165" s="275"/>
      <c r="D165" s="275"/>
      <c r="E165" s="274"/>
      <c r="F165" s="275"/>
      <c r="G165" s="525"/>
      <c r="H165" s="273"/>
      <c r="J165" s="87"/>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9"/>
    </row>
    <row r="166" spans="1:49">
      <c r="A166" s="514"/>
      <c r="B166" s="201"/>
      <c r="C166" s="187"/>
      <c r="D166" s="187"/>
      <c r="E166" s="515"/>
      <c r="F166" s="187"/>
      <c r="G166" s="516"/>
      <c r="H166" s="186"/>
      <c r="J166" s="87"/>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9"/>
    </row>
    <row r="167" spans="1:49">
      <c r="A167" s="109"/>
      <c r="B167" s="111"/>
      <c r="C167" s="112"/>
      <c r="D167" s="112"/>
      <c r="E167" s="113"/>
      <c r="F167" s="112"/>
      <c r="G167" s="110"/>
      <c r="H167" s="93"/>
      <c r="J167" s="87"/>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9"/>
    </row>
    <row r="168" spans="1:49">
      <c r="A168" s="109"/>
      <c r="B168" s="111"/>
      <c r="C168" s="112"/>
      <c r="D168" s="112"/>
      <c r="E168" s="113"/>
      <c r="F168" s="112"/>
      <c r="G168" s="110"/>
      <c r="H168" s="93"/>
      <c r="J168" s="87"/>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c r="AV168" s="88"/>
      <c r="AW168" s="89"/>
    </row>
    <row r="169" spans="1:49">
      <c r="A169" s="109"/>
      <c r="B169" s="111"/>
      <c r="C169" s="112"/>
      <c r="D169" s="112"/>
      <c r="E169" s="113"/>
      <c r="F169" s="112"/>
      <c r="G169" s="110"/>
      <c r="H169" s="93"/>
      <c r="J169" s="87"/>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c r="AV169" s="88"/>
      <c r="AW169" s="89"/>
    </row>
    <row r="170" spans="1:49">
      <c r="A170" s="109"/>
      <c r="B170" s="111"/>
      <c r="C170" s="112"/>
      <c r="D170" s="112"/>
      <c r="E170" s="113"/>
      <c r="F170" s="112"/>
      <c r="G170" s="110"/>
      <c r="H170" s="93"/>
      <c r="J170" s="87"/>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9"/>
    </row>
    <row r="171" spans="1:49">
      <c r="A171" s="109"/>
      <c r="B171" s="111"/>
      <c r="C171" s="112"/>
      <c r="D171" s="112"/>
      <c r="E171" s="113"/>
      <c r="F171" s="112"/>
      <c r="G171" s="110"/>
      <c r="H171" s="93"/>
      <c r="J171" s="87"/>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9"/>
    </row>
    <row r="172" spans="1:49">
      <c r="A172" s="109"/>
      <c r="B172" s="111"/>
      <c r="C172" s="112"/>
      <c r="D172" s="112"/>
      <c r="E172" s="113"/>
      <c r="F172" s="112"/>
      <c r="G172" s="110"/>
      <c r="H172" s="93"/>
      <c r="J172" s="87"/>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9"/>
    </row>
    <row r="173" spans="1:49">
      <c r="A173" s="109"/>
      <c r="B173" s="111"/>
      <c r="C173" s="112"/>
      <c r="D173" s="112"/>
      <c r="E173" s="113"/>
      <c r="F173" s="112"/>
      <c r="G173" s="110"/>
      <c r="H173" s="93"/>
      <c r="J173" s="87"/>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c r="AV173" s="88"/>
      <c r="AW173" s="89"/>
    </row>
    <row r="174" spans="1:49">
      <c r="A174" s="109"/>
      <c r="B174" s="111"/>
      <c r="C174" s="112"/>
      <c r="D174" s="112"/>
      <c r="E174" s="113"/>
      <c r="F174" s="112"/>
      <c r="G174" s="110"/>
      <c r="H174" s="93"/>
      <c r="J174" s="87"/>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c r="AV174" s="88"/>
      <c r="AW174" s="89"/>
    </row>
    <row r="175" spans="1:49">
      <c r="A175" s="109"/>
      <c r="B175" s="111"/>
      <c r="C175" s="112"/>
      <c r="D175" s="112"/>
      <c r="E175" s="113"/>
      <c r="F175" s="112"/>
      <c r="G175" s="110"/>
      <c r="H175" s="93"/>
      <c r="J175" s="87"/>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c r="AV175" s="88"/>
      <c r="AW175" s="89"/>
    </row>
    <row r="176" spans="1:49">
      <c r="A176" s="109"/>
      <c r="B176" s="111"/>
      <c r="C176" s="112"/>
      <c r="D176" s="112"/>
      <c r="E176" s="113"/>
      <c r="F176" s="112"/>
      <c r="G176" s="110"/>
      <c r="H176" s="93"/>
      <c r="J176" s="87"/>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c r="AV176" s="88"/>
      <c r="AW176" s="89"/>
    </row>
  </sheetData>
  <mergeCells count="1">
    <mergeCell ref="A5:G5"/>
  </mergeCells>
  <conditionalFormatting sqref="G57:G59">
    <cfRule type="dataBar" priority="1">
      <dataBar>
        <cfvo type="num" val="0"/>
        <cfvo type="num" val="1"/>
        <color rgb="FF638EC6"/>
      </dataBar>
      <extLst>
        <ext xmlns:x14="http://schemas.microsoft.com/office/spreadsheetml/2009/9/main" uri="{B025F937-C7B1-47D3-B67F-A62EFF666E3E}">
          <x14:id>{B7A958C4-FAB9-4EA0-B09F-414959D9280A}</x14:id>
        </ext>
      </extLst>
    </cfRule>
    <cfRule type="dataBar" priority="2">
      <dataBar>
        <cfvo type="min"/>
        <cfvo type="max"/>
        <color rgb="FF638EC6"/>
      </dataBar>
      <extLst>
        <ext xmlns:x14="http://schemas.microsoft.com/office/spreadsheetml/2009/9/main" uri="{B025F937-C7B1-47D3-B67F-A62EFF666E3E}">
          <x14:id>{BAB11AF1-8B78-4816-90D1-C5F1D72ABD3C}</x14:id>
        </ext>
      </extLst>
    </cfRule>
  </conditionalFormatting>
  <dataValidations disablePrompts="1" count="2">
    <dataValidation type="list" allowBlank="1" showInputMessage="1" showErrorMessage="1" sqref="E12" xr:uid="{7F098C88-8B4E-4A21-B7CB-69F58E0CDC41}">
      <formula1>$E$10:$E$11</formula1>
    </dataValidation>
    <dataValidation type="list" allowBlank="1" showInputMessage="1" showErrorMessage="1" sqref="E33" xr:uid="{26346967-D4C5-4821-8126-E09D9FB8683A}">
      <formula1>$J$33:$K$33</formula1>
    </dataValidation>
  </dataValidations>
  <pageMargins left="0.75" right="0.75" top="1" bottom="1" header="0.5" footer="0.5"/>
  <pageSetup orientation="portrait" horizontalDpi="300" verticalDpi="300" r:id="rId1"/>
  <headerFooter alignWithMargins="0"/>
  <drawing r:id="rId2"/>
  <extLst>
    <ext xmlns:x14="http://schemas.microsoft.com/office/spreadsheetml/2009/9/main" uri="{78C0D931-6437-407d-A8EE-F0AAD7539E65}">
      <x14:conditionalFormattings>
        <x14:conditionalFormatting xmlns:xm="http://schemas.microsoft.com/office/excel/2006/main">
          <x14:cfRule type="dataBar" id="{B7A958C4-FAB9-4EA0-B09F-414959D9280A}">
            <x14:dataBar minLength="0" maxLength="100" gradient="0">
              <x14:cfvo type="num">
                <xm:f>0</xm:f>
              </x14:cfvo>
              <x14:cfvo type="num">
                <xm:f>1</xm:f>
              </x14:cfvo>
              <x14:negativeFillColor rgb="FFFF0000"/>
              <x14:axisColor rgb="FF000000"/>
            </x14:dataBar>
          </x14:cfRule>
          <x14:cfRule type="dataBar" id="{BAB11AF1-8B78-4816-90D1-C5F1D72ABD3C}">
            <x14:dataBar minLength="0" maxLength="100" border="1" negativeBarBorderColorSameAsPositive="0">
              <x14:cfvo type="autoMin"/>
              <x14:cfvo type="autoMax"/>
              <x14:borderColor rgb="FF638EC6"/>
              <x14:negativeFillColor rgb="FFFF0000"/>
              <x14:negativeBorderColor rgb="FFFF0000"/>
              <x14:axisColor rgb="FF000000"/>
            </x14:dataBar>
          </x14:cfRule>
          <xm:sqref>G57:G59</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r:uid="{AAFDA661-23B6-4DFE-9BDE-9245A177939B}">
          <x14:formula1>
            <xm:f>SAP_Database!$B$4:$B$7</xm:f>
          </x14:formula1>
          <xm:sqref>A86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5E09-2A10-4346-A6EE-B0562E171F89}">
  <dimension ref="B1:AH212"/>
  <sheetViews>
    <sheetView workbookViewId="0"/>
  </sheetViews>
  <sheetFormatPr defaultRowHeight="15"/>
  <cols>
    <col min="2" max="2" width="53.42578125" customWidth="1"/>
    <col min="3" max="3" width="10.28515625" customWidth="1"/>
    <col min="6" max="6" width="9.7109375" customWidth="1"/>
    <col min="14" max="15" width="9.140625" style="1"/>
  </cols>
  <sheetData>
    <row r="1" spans="2:34">
      <c r="F1" t="s">
        <v>897</v>
      </c>
      <c r="N1" s="532">
        <f>MATCH(M2,F2:K2,1)</f>
        <v>4</v>
      </c>
      <c r="O1" s="532">
        <f>+N1+1</f>
        <v>5</v>
      </c>
    </row>
    <row r="2" spans="2:34">
      <c r="F2" s="1">
        <v>5</v>
      </c>
      <c r="G2" s="1">
        <v>7</v>
      </c>
      <c r="H2" s="1">
        <v>9</v>
      </c>
      <c r="I2" s="1">
        <v>11</v>
      </c>
      <c r="J2" s="1">
        <v>13</v>
      </c>
      <c r="K2" s="1">
        <v>99999</v>
      </c>
      <c r="M2" s="531">
        <f>+UK_SAP!E84</f>
        <v>11</v>
      </c>
      <c r="N2" s="1">
        <f>INDEX($F2:$K2,1,N$1)</f>
        <v>11</v>
      </c>
      <c r="O2" s="1">
        <f>INDEX($F2:$K2,1,O$1)</f>
        <v>13</v>
      </c>
    </row>
    <row r="3" spans="2:34">
      <c r="F3" t="s">
        <v>898</v>
      </c>
    </row>
    <row r="4" spans="2:34">
      <c r="B4" s="534" t="s">
        <v>870</v>
      </c>
      <c r="C4" s="535" t="str">
        <f t="shared" ref="C4:C15" si="0">RIGHT(B4,1)</f>
        <v>A</v>
      </c>
      <c r="D4" s="535">
        <v>0.97899999999999998</v>
      </c>
      <c r="E4" s="536" t="s">
        <v>704</v>
      </c>
      <c r="F4" s="537">
        <v>43.7</v>
      </c>
      <c r="G4" s="537">
        <v>35.700000000000003</v>
      </c>
      <c r="H4" s="537">
        <v>30.2</v>
      </c>
      <c r="I4" s="537">
        <v>26.1</v>
      </c>
      <c r="J4" s="537">
        <v>23</v>
      </c>
      <c r="K4" s="537">
        <v>23</v>
      </c>
      <c r="L4" s="538"/>
      <c r="M4" s="537">
        <f>+N4+(O4-N4)*(M$2-N$2)/(O$2-N$2)</f>
        <v>26.1</v>
      </c>
      <c r="N4" s="537">
        <f t="shared" ref="N4:O15" si="1">INDEX($F4:$K4,1,N$1)</f>
        <v>26.1</v>
      </c>
      <c r="O4" s="539">
        <f t="shared" si="1"/>
        <v>23</v>
      </c>
      <c r="T4">
        <v>5</v>
      </c>
      <c r="U4">
        <v>7</v>
      </c>
      <c r="V4">
        <v>9</v>
      </c>
      <c r="W4">
        <v>11</v>
      </c>
      <c r="X4">
        <v>13</v>
      </c>
    </row>
    <row r="5" spans="2:34">
      <c r="B5" s="540" t="s">
        <v>707</v>
      </c>
      <c r="C5" s="526" t="str">
        <f t="shared" si="0"/>
        <v>A</v>
      </c>
      <c r="D5" s="528">
        <v>0.96</v>
      </c>
      <c r="E5" s="541" t="s">
        <v>704</v>
      </c>
      <c r="F5" s="1">
        <v>62.5</v>
      </c>
      <c r="G5" s="1">
        <v>54.3</v>
      </c>
      <c r="H5" s="1">
        <v>48</v>
      </c>
      <c r="I5" s="1">
        <v>43.1</v>
      </c>
      <c r="J5" s="1">
        <v>39</v>
      </c>
      <c r="K5" s="1">
        <v>39</v>
      </c>
      <c r="M5" s="1">
        <f t="shared" ref="M5:M15" si="2">+N5+(O5-N5)*(M$2-N$2)/(O$2-N$2)</f>
        <v>43.1</v>
      </c>
      <c r="N5" s="1">
        <f t="shared" si="1"/>
        <v>43.1</v>
      </c>
      <c r="O5" s="542">
        <f t="shared" si="1"/>
        <v>39</v>
      </c>
      <c r="T5">
        <v>43.7</v>
      </c>
      <c r="U5">
        <v>35.700000000000003</v>
      </c>
      <c r="V5">
        <v>30.2</v>
      </c>
      <c r="W5">
        <v>26.1</v>
      </c>
      <c r="X5">
        <v>23</v>
      </c>
    </row>
    <row r="6" spans="2:34">
      <c r="B6" s="543" t="s">
        <v>703</v>
      </c>
      <c r="C6" s="526" t="str">
        <f t="shared" si="0"/>
        <v>A</v>
      </c>
      <c r="D6" s="526">
        <v>0.97399999999999998</v>
      </c>
      <c r="E6" s="544" t="s">
        <v>704</v>
      </c>
      <c r="F6" s="1">
        <v>79.3</v>
      </c>
      <c r="G6" s="1">
        <v>73.2</v>
      </c>
      <c r="H6" s="1">
        <v>68</v>
      </c>
      <c r="I6" s="1">
        <v>63.5</v>
      </c>
      <c r="J6" s="1">
        <v>59.5</v>
      </c>
      <c r="K6" s="1">
        <v>59.5</v>
      </c>
      <c r="M6" s="1">
        <f t="shared" si="2"/>
        <v>63.5</v>
      </c>
      <c r="N6" s="1">
        <f t="shared" si="1"/>
        <v>63.5</v>
      </c>
      <c r="O6" s="542">
        <f t="shared" si="1"/>
        <v>59.5</v>
      </c>
      <c r="T6">
        <v>62.5</v>
      </c>
      <c r="U6">
        <v>54.3</v>
      </c>
      <c r="V6">
        <v>48</v>
      </c>
      <c r="W6">
        <v>43.1</v>
      </c>
      <c r="X6">
        <v>39</v>
      </c>
    </row>
    <row r="7" spans="2:34">
      <c r="B7" s="545" t="s">
        <v>863</v>
      </c>
      <c r="C7" s="546" t="str">
        <f t="shared" si="0"/>
        <v>A</v>
      </c>
      <c r="D7" s="547">
        <v>0.95799999999999996</v>
      </c>
      <c r="E7" s="548" t="s">
        <v>704</v>
      </c>
      <c r="F7" s="549">
        <v>76.5</v>
      </c>
      <c r="G7" s="549">
        <v>69.900000000000006</v>
      </c>
      <c r="H7" s="549">
        <v>64.400000000000006</v>
      </c>
      <c r="I7" s="549">
        <v>59.7</v>
      </c>
      <c r="J7" s="549">
        <v>55.6</v>
      </c>
      <c r="K7" s="549">
        <v>55.6</v>
      </c>
      <c r="L7" s="550"/>
      <c r="M7" s="549">
        <f t="shared" si="2"/>
        <v>59.7</v>
      </c>
      <c r="N7" s="549">
        <f t="shared" si="1"/>
        <v>59.7</v>
      </c>
      <c r="O7" s="551">
        <f t="shared" si="1"/>
        <v>55.6</v>
      </c>
      <c r="T7">
        <v>79.3</v>
      </c>
      <c r="U7">
        <v>73.2</v>
      </c>
      <c r="V7">
        <v>68</v>
      </c>
      <c r="W7">
        <v>63.5</v>
      </c>
      <c r="X7">
        <v>59.5</v>
      </c>
    </row>
    <row r="8" spans="2:34">
      <c r="B8" s="552" t="s">
        <v>871</v>
      </c>
      <c r="C8" s="535" t="str">
        <f t="shared" si="0"/>
        <v>B</v>
      </c>
      <c r="D8" s="553">
        <v>0.96699999999999997</v>
      </c>
      <c r="E8" s="554" t="s">
        <v>704</v>
      </c>
      <c r="F8" s="537">
        <v>33.700000000000003</v>
      </c>
      <c r="G8" s="537">
        <v>28.1</v>
      </c>
      <c r="H8" s="537">
        <v>24.2</v>
      </c>
      <c r="I8" s="537">
        <v>21.3</v>
      </c>
      <c r="J8" s="537">
        <v>19</v>
      </c>
      <c r="K8" s="537">
        <v>19</v>
      </c>
      <c r="L8" s="538"/>
      <c r="M8" s="537">
        <f t="shared" si="2"/>
        <v>21.3</v>
      </c>
      <c r="N8" s="537">
        <f t="shared" si="1"/>
        <v>21.3</v>
      </c>
      <c r="O8" s="539">
        <f t="shared" si="1"/>
        <v>19</v>
      </c>
      <c r="T8">
        <v>76.5</v>
      </c>
      <c r="U8">
        <v>69.900000000000006</v>
      </c>
      <c r="V8">
        <v>64.400000000000006</v>
      </c>
      <c r="W8">
        <v>59.7</v>
      </c>
      <c r="X8">
        <v>55.6</v>
      </c>
      <c r="AC8" s="595">
        <f>+F8/F4</f>
        <v>0.77116704805491987</v>
      </c>
      <c r="AD8" s="596">
        <f t="shared" ref="AD8:AH8" si="3">+G8/G4</f>
        <v>0.78711484593837533</v>
      </c>
      <c r="AE8" s="596">
        <f t="shared" si="3"/>
        <v>0.80132450331125826</v>
      </c>
      <c r="AF8" s="596">
        <f t="shared" si="3"/>
        <v>0.81609195402298851</v>
      </c>
      <c r="AG8" s="596">
        <f t="shared" si="3"/>
        <v>0.82608695652173914</v>
      </c>
      <c r="AH8" s="597">
        <f t="shared" si="3"/>
        <v>0.82608695652173914</v>
      </c>
    </row>
    <row r="9" spans="2:34">
      <c r="B9" s="540" t="s">
        <v>787</v>
      </c>
      <c r="C9" s="526" t="str">
        <f t="shared" si="0"/>
        <v>B</v>
      </c>
      <c r="D9" s="528">
        <v>0.93700000000000006</v>
      </c>
      <c r="E9" s="541" t="s">
        <v>704</v>
      </c>
      <c r="F9" s="1">
        <v>46.6</v>
      </c>
      <c r="G9" s="1">
        <v>41</v>
      </c>
      <c r="H9" s="1">
        <v>36.6</v>
      </c>
      <c r="I9" s="1">
        <v>33.200000000000003</v>
      </c>
      <c r="J9" s="1">
        <v>30.4</v>
      </c>
      <c r="K9" s="1">
        <v>30.4</v>
      </c>
      <c r="M9" s="1">
        <f t="shared" si="2"/>
        <v>33.200000000000003</v>
      </c>
      <c r="N9" s="1">
        <f t="shared" si="1"/>
        <v>33.200000000000003</v>
      </c>
      <c r="O9" s="542">
        <f t="shared" si="1"/>
        <v>30.4</v>
      </c>
      <c r="AC9" s="598">
        <f>+F9/F5</f>
        <v>0.74560000000000004</v>
      </c>
      <c r="AD9" s="531">
        <f t="shared" ref="AD9:AH9" si="4">+G9/G5</f>
        <v>0.75506445672191536</v>
      </c>
      <c r="AE9" s="531">
        <f t="shared" si="4"/>
        <v>0.76250000000000007</v>
      </c>
      <c r="AF9" s="531">
        <f t="shared" si="4"/>
        <v>0.77030162412993042</v>
      </c>
      <c r="AG9" s="531">
        <f t="shared" si="4"/>
        <v>0.77948717948717949</v>
      </c>
      <c r="AH9" s="599">
        <f t="shared" si="4"/>
        <v>0.77948717948717949</v>
      </c>
    </row>
    <row r="10" spans="2:34">
      <c r="B10" s="540" t="s">
        <v>705</v>
      </c>
      <c r="C10" s="526" t="str">
        <f t="shared" si="0"/>
        <v>B</v>
      </c>
      <c r="D10" s="528">
        <v>0.95899999999999996</v>
      </c>
      <c r="E10" s="541" t="s">
        <v>704</v>
      </c>
      <c r="F10" s="1">
        <v>57.6</v>
      </c>
      <c r="G10" s="1">
        <v>53.9</v>
      </c>
      <c r="H10" s="1">
        <v>50.4</v>
      </c>
      <c r="I10" s="1">
        <v>47.3</v>
      </c>
      <c r="J10" s="1">
        <v>44.6</v>
      </c>
      <c r="K10" s="1">
        <v>44.6</v>
      </c>
      <c r="M10" s="1">
        <f t="shared" si="2"/>
        <v>47.3</v>
      </c>
      <c r="N10" s="1">
        <f t="shared" si="1"/>
        <v>47.3</v>
      </c>
      <c r="O10" s="542">
        <f t="shared" si="1"/>
        <v>44.6</v>
      </c>
      <c r="AC10" s="598">
        <f>+F10/F6</f>
        <v>0.7263556116015133</v>
      </c>
      <c r="AD10" s="531">
        <f t="shared" ref="AD10:AH10" si="5">+G10/G6</f>
        <v>0.73633879781420764</v>
      </c>
      <c r="AE10" s="531">
        <f t="shared" si="5"/>
        <v>0.74117647058823533</v>
      </c>
      <c r="AF10" s="531">
        <f t="shared" si="5"/>
        <v>0.74488188976377945</v>
      </c>
      <c r="AG10" s="531">
        <f t="shared" si="5"/>
        <v>0.74957983193277311</v>
      </c>
      <c r="AH10" s="599">
        <f t="shared" si="5"/>
        <v>0.74957983193277311</v>
      </c>
    </row>
    <row r="11" spans="2:34">
      <c r="B11" s="555" t="s">
        <v>866</v>
      </c>
      <c r="C11" s="546" t="str">
        <f t="shared" si="0"/>
        <v>B</v>
      </c>
      <c r="D11" s="546">
        <v>0.93700000000000006</v>
      </c>
      <c r="E11" s="556" t="s">
        <v>704</v>
      </c>
      <c r="F11" s="549">
        <v>56</v>
      </c>
      <c r="G11" s="549">
        <v>51.7</v>
      </c>
      <c r="H11" s="549">
        <v>47.9</v>
      </c>
      <c r="I11" s="549">
        <v>44.7</v>
      </c>
      <c r="J11" s="549">
        <v>41.9</v>
      </c>
      <c r="K11" s="549">
        <v>41.9</v>
      </c>
      <c r="L11" s="550"/>
      <c r="M11" s="549">
        <f t="shared" si="2"/>
        <v>44.7</v>
      </c>
      <c r="N11" s="549">
        <f t="shared" si="1"/>
        <v>44.7</v>
      </c>
      <c r="O11" s="551">
        <f t="shared" si="1"/>
        <v>41.9</v>
      </c>
      <c r="AC11" s="600">
        <f>+F11/F7</f>
        <v>0.73202614379084963</v>
      </c>
      <c r="AD11" s="601">
        <f t="shared" ref="AD11:AH11" si="6">+G11/G7</f>
        <v>0.7396280400572246</v>
      </c>
      <c r="AE11" s="601">
        <f t="shared" si="6"/>
        <v>0.74378881987577627</v>
      </c>
      <c r="AF11" s="601">
        <f t="shared" si="6"/>
        <v>0.74874371859296485</v>
      </c>
      <c r="AG11" s="601">
        <f t="shared" si="6"/>
        <v>0.75359712230215825</v>
      </c>
      <c r="AH11" s="602">
        <f t="shared" si="6"/>
        <v>0.75359712230215825</v>
      </c>
    </row>
    <row r="12" spans="2:34">
      <c r="B12" s="534" t="s">
        <v>872</v>
      </c>
      <c r="C12" s="535" t="str">
        <f t="shared" si="0"/>
        <v>C</v>
      </c>
      <c r="D12" s="535">
        <v>0.97599999999999998</v>
      </c>
      <c r="E12" s="536" t="s">
        <v>704</v>
      </c>
      <c r="F12" s="537">
        <v>40.4</v>
      </c>
      <c r="G12" s="537">
        <v>33.5</v>
      </c>
      <c r="H12" s="537">
        <v>28.6</v>
      </c>
      <c r="I12" s="537">
        <v>24.9</v>
      </c>
      <c r="J12" s="537">
        <v>22.1</v>
      </c>
      <c r="K12" s="537">
        <v>22.1</v>
      </c>
      <c r="L12" s="538"/>
      <c r="M12" s="537">
        <f t="shared" si="2"/>
        <v>24.9</v>
      </c>
      <c r="N12" s="537">
        <f t="shared" si="1"/>
        <v>24.9</v>
      </c>
      <c r="O12" s="539">
        <f t="shared" si="1"/>
        <v>22.1</v>
      </c>
      <c r="AC12" s="595">
        <f>+F12/F4</f>
        <v>0.92448512585812348</v>
      </c>
      <c r="AD12" s="596">
        <f t="shared" ref="AD12:AH15" si="7">+G12/G4</f>
        <v>0.93837535014005591</v>
      </c>
      <c r="AE12" s="596">
        <f t="shared" si="7"/>
        <v>0.94701986754966894</v>
      </c>
      <c r="AF12" s="596">
        <f t="shared" si="7"/>
        <v>0.95402298850574707</v>
      </c>
      <c r="AG12" s="596">
        <f t="shared" si="7"/>
        <v>0.96086956521739142</v>
      </c>
      <c r="AH12" s="597">
        <f t="shared" si="7"/>
        <v>0.96086956521739142</v>
      </c>
    </row>
    <row r="13" spans="2:34">
      <c r="B13" s="540" t="s">
        <v>789</v>
      </c>
      <c r="C13" s="526" t="str">
        <f t="shared" si="0"/>
        <v>C</v>
      </c>
      <c r="D13" s="528">
        <v>0.95299999999999996</v>
      </c>
      <c r="E13" s="541" t="s">
        <v>704</v>
      </c>
      <c r="F13" s="1">
        <v>55.5</v>
      </c>
      <c r="G13" s="1">
        <v>49.1</v>
      </c>
      <c r="H13" s="1">
        <v>44</v>
      </c>
      <c r="I13" s="1">
        <v>39.799999999999997</v>
      </c>
      <c r="J13" s="1">
        <v>36.299999999999997</v>
      </c>
      <c r="K13" s="1">
        <v>36.299999999999997</v>
      </c>
      <c r="M13" s="1">
        <f t="shared" si="2"/>
        <v>39.799999999999997</v>
      </c>
      <c r="N13" s="1">
        <f t="shared" si="1"/>
        <v>39.799999999999997</v>
      </c>
      <c r="O13" s="542">
        <f t="shared" si="1"/>
        <v>36.299999999999997</v>
      </c>
      <c r="AC13" s="598">
        <f t="shared" ref="AC13:AC15" si="8">+F13/F5</f>
        <v>0.88800000000000001</v>
      </c>
      <c r="AD13" s="531">
        <f t="shared" si="7"/>
        <v>0.90423572744014735</v>
      </c>
      <c r="AE13" s="531">
        <f t="shared" si="7"/>
        <v>0.91666666666666663</v>
      </c>
      <c r="AF13" s="531">
        <f t="shared" si="7"/>
        <v>0.92343387470997673</v>
      </c>
      <c r="AG13" s="531">
        <f t="shared" si="7"/>
        <v>0.93076923076923068</v>
      </c>
      <c r="AH13" s="599">
        <f t="shared" si="7"/>
        <v>0.93076923076923068</v>
      </c>
    </row>
    <row r="14" spans="2:34">
      <c r="B14" s="543" t="s">
        <v>706</v>
      </c>
      <c r="C14" s="526" t="str">
        <f t="shared" si="0"/>
        <v>C</v>
      </c>
      <c r="D14" s="526">
        <v>0.96799999999999997</v>
      </c>
      <c r="E14" s="544" t="s">
        <v>704</v>
      </c>
      <c r="F14" s="1">
        <v>67.400000000000006</v>
      </c>
      <c r="G14" s="1">
        <v>63.4</v>
      </c>
      <c r="H14" s="1">
        <v>59.7</v>
      </c>
      <c r="I14" s="1">
        <v>56.3</v>
      </c>
      <c r="J14" s="1">
        <v>53.2</v>
      </c>
      <c r="K14" s="1">
        <v>53.2</v>
      </c>
      <c r="M14" s="1">
        <f t="shared" si="2"/>
        <v>56.3</v>
      </c>
      <c r="N14" s="1">
        <f t="shared" si="1"/>
        <v>56.3</v>
      </c>
      <c r="O14" s="542">
        <f t="shared" si="1"/>
        <v>53.2</v>
      </c>
      <c r="AC14" s="598">
        <f t="shared" si="8"/>
        <v>0.84993694829760413</v>
      </c>
      <c r="AD14" s="531">
        <f t="shared" si="7"/>
        <v>0.86612021857923494</v>
      </c>
      <c r="AE14" s="531">
        <f t="shared" si="7"/>
        <v>0.87794117647058822</v>
      </c>
      <c r="AF14" s="531">
        <f t="shared" si="7"/>
        <v>0.88661417322834646</v>
      </c>
      <c r="AG14" s="531">
        <f t="shared" si="7"/>
        <v>0.89411764705882357</v>
      </c>
      <c r="AH14" s="599">
        <f t="shared" si="7"/>
        <v>0.89411764705882357</v>
      </c>
    </row>
    <row r="15" spans="2:34">
      <c r="B15" s="545" t="s">
        <v>869</v>
      </c>
      <c r="C15" s="546" t="str">
        <f t="shared" si="0"/>
        <v>C</v>
      </c>
      <c r="D15" s="547">
        <v>0.95</v>
      </c>
      <c r="E15" s="548" t="s">
        <v>704</v>
      </c>
      <c r="F15" s="549">
        <v>65.599999999999994</v>
      </c>
      <c r="G15" s="549">
        <v>61.1</v>
      </c>
      <c r="H15" s="549">
        <v>57</v>
      </c>
      <c r="I15" s="549">
        <v>53.4</v>
      </c>
      <c r="J15" s="549">
        <v>50.2</v>
      </c>
      <c r="K15" s="549">
        <v>50.2</v>
      </c>
      <c r="L15" s="550"/>
      <c r="M15" s="549">
        <f t="shared" si="2"/>
        <v>53.4</v>
      </c>
      <c r="N15" s="549">
        <f t="shared" si="1"/>
        <v>53.4</v>
      </c>
      <c r="O15" s="551">
        <f t="shared" si="1"/>
        <v>50.2</v>
      </c>
      <c r="AC15" s="600">
        <f t="shared" si="8"/>
        <v>0.857516339869281</v>
      </c>
      <c r="AD15" s="601">
        <f t="shared" si="7"/>
        <v>0.87410586552217451</v>
      </c>
      <c r="AE15" s="601">
        <f t="shared" si="7"/>
        <v>0.8850931677018633</v>
      </c>
      <c r="AF15" s="601">
        <f t="shared" si="7"/>
        <v>0.89447236180904521</v>
      </c>
      <c r="AG15" s="601">
        <f t="shared" si="7"/>
        <v>0.90287769784172667</v>
      </c>
      <c r="AH15" s="602">
        <f t="shared" si="7"/>
        <v>0.90287769784172667</v>
      </c>
    </row>
    <row r="18" spans="2:24">
      <c r="F18" t="s">
        <v>897</v>
      </c>
    </row>
    <row r="19" spans="2:24">
      <c r="B19" t="s">
        <v>899</v>
      </c>
    </row>
    <row r="20" spans="2:24">
      <c r="B20" s="526" t="s">
        <v>870</v>
      </c>
      <c r="C20" s="526" t="str">
        <f t="shared" ref="C20:C51" si="9">RIGHT(B20,1)</f>
        <v>A</v>
      </c>
      <c r="D20" s="526">
        <v>0.97899999999999998</v>
      </c>
      <c r="E20" s="527" t="s">
        <v>704</v>
      </c>
      <c r="F20" s="1">
        <v>43.7</v>
      </c>
      <c r="G20" s="1">
        <v>35.700000000000003</v>
      </c>
      <c r="H20" s="1">
        <v>30.2</v>
      </c>
      <c r="I20" s="1">
        <v>26.1</v>
      </c>
      <c r="J20" s="1">
        <v>23</v>
      </c>
      <c r="K20" s="1">
        <v>23</v>
      </c>
    </row>
    <row r="21" spans="2:24">
      <c r="B21" s="528" t="s">
        <v>871</v>
      </c>
      <c r="C21" s="526" t="str">
        <f t="shared" si="9"/>
        <v>B</v>
      </c>
      <c r="D21" s="528">
        <v>0.96699999999999997</v>
      </c>
      <c r="E21" s="529" t="s">
        <v>704</v>
      </c>
      <c r="F21" s="1">
        <v>33.700000000000003</v>
      </c>
      <c r="G21" s="1">
        <v>28.1</v>
      </c>
      <c r="H21" s="1">
        <v>24.2</v>
      </c>
      <c r="I21" s="1">
        <v>21.3</v>
      </c>
      <c r="J21" s="1">
        <v>19</v>
      </c>
      <c r="K21" s="1">
        <v>19</v>
      </c>
    </row>
    <row r="22" spans="2:24">
      <c r="B22" s="526" t="s">
        <v>872</v>
      </c>
      <c r="C22" s="526" t="str">
        <f t="shared" si="9"/>
        <v>C</v>
      </c>
      <c r="D22" s="526">
        <v>0.97599999999999998</v>
      </c>
      <c r="E22" s="527" t="s">
        <v>704</v>
      </c>
      <c r="F22" s="1">
        <v>40.4</v>
      </c>
      <c r="G22" s="1">
        <v>33.5</v>
      </c>
      <c r="H22" s="1">
        <v>28.6</v>
      </c>
      <c r="I22" s="1">
        <v>24.9</v>
      </c>
      <c r="J22" s="1">
        <v>22.1</v>
      </c>
      <c r="K22" s="1">
        <v>22.1</v>
      </c>
    </row>
    <row r="23" spans="2:24">
      <c r="B23" s="528" t="s">
        <v>873</v>
      </c>
      <c r="C23" s="526" t="str">
        <f t="shared" si="9"/>
        <v>A</v>
      </c>
      <c r="D23" s="528">
        <v>0.95799999999999996</v>
      </c>
      <c r="E23" s="529" t="s">
        <v>704</v>
      </c>
      <c r="F23" s="1"/>
      <c r="G23" s="1"/>
      <c r="H23" s="1"/>
      <c r="I23" s="1"/>
      <c r="J23" s="1"/>
      <c r="K23" s="1"/>
    </row>
    <row r="24" spans="2:24">
      <c r="B24" s="526" t="s">
        <v>874</v>
      </c>
      <c r="C24" s="526" t="str">
        <f t="shared" si="9"/>
        <v>B</v>
      </c>
      <c r="D24" s="526">
        <v>0.93700000000000006</v>
      </c>
      <c r="E24" s="527" t="s">
        <v>704</v>
      </c>
      <c r="F24" s="1"/>
      <c r="H24" s="1"/>
      <c r="I24" s="1" t="s">
        <v>897</v>
      </c>
      <c r="J24" s="1"/>
      <c r="K24" s="1"/>
      <c r="L24" s="1"/>
    </row>
    <row r="25" spans="2:24">
      <c r="B25" s="528" t="s">
        <v>875</v>
      </c>
      <c r="C25" s="526" t="str">
        <f t="shared" si="9"/>
        <v>C</v>
      </c>
      <c r="D25" s="528">
        <v>0.95</v>
      </c>
      <c r="E25" s="529" t="s">
        <v>704</v>
      </c>
      <c r="F25" s="1"/>
      <c r="H25" s="1">
        <v>5</v>
      </c>
      <c r="I25" s="1">
        <v>7</v>
      </c>
      <c r="J25" s="1">
        <v>9</v>
      </c>
      <c r="K25" s="1">
        <v>11</v>
      </c>
      <c r="L25" s="1">
        <v>13</v>
      </c>
    </row>
    <row r="26" spans="2:24">
      <c r="B26" s="528" t="s">
        <v>707</v>
      </c>
      <c r="C26" s="526" t="str">
        <f t="shared" si="9"/>
        <v>A</v>
      </c>
      <c r="D26" s="528">
        <v>0.96</v>
      </c>
      <c r="E26" s="529" t="s">
        <v>704</v>
      </c>
      <c r="G26" t="s">
        <v>903</v>
      </c>
      <c r="I26" t="s">
        <v>898</v>
      </c>
    </row>
    <row r="27" spans="2:24">
      <c r="B27" s="528" t="s">
        <v>787</v>
      </c>
      <c r="C27" s="526" t="str">
        <f t="shared" si="9"/>
        <v>B</v>
      </c>
      <c r="D27" s="528">
        <v>0.93700000000000006</v>
      </c>
      <c r="E27" s="529" t="s">
        <v>704</v>
      </c>
      <c r="F27" t="s">
        <v>1022</v>
      </c>
      <c r="G27">
        <v>0.96</v>
      </c>
      <c r="H27" s="1">
        <v>62.5</v>
      </c>
      <c r="I27" s="1">
        <v>54.3</v>
      </c>
      <c r="J27" s="1">
        <v>48</v>
      </c>
      <c r="K27" s="1">
        <v>43.1</v>
      </c>
      <c r="L27" s="1">
        <v>39</v>
      </c>
      <c r="M27" s="1">
        <v>39</v>
      </c>
      <c r="S27" s="17">
        <f>1-0.2*(1-EXP(-S4/20))</f>
        <v>1</v>
      </c>
      <c r="T27" s="17">
        <f t="shared" ref="T27:X27" si="10">1-0.2*(1-EXP(-T4/20))</f>
        <v>0.95576015661428093</v>
      </c>
      <c r="U27" s="17">
        <f t="shared" si="10"/>
        <v>0.94093761794374264</v>
      </c>
      <c r="V27" s="17">
        <f t="shared" si="10"/>
        <v>0.92752563032435464</v>
      </c>
      <c r="W27" s="17">
        <f t="shared" si="10"/>
        <v>0.91538996207609735</v>
      </c>
      <c r="X27" s="17">
        <f t="shared" si="10"/>
        <v>0.90440915535220323</v>
      </c>
    </row>
    <row r="28" spans="2:24">
      <c r="B28" s="528" t="s">
        <v>789</v>
      </c>
      <c r="C28" s="526" t="str">
        <f t="shared" si="9"/>
        <v>C</v>
      </c>
      <c r="D28" s="528">
        <v>0.95299999999999996</v>
      </c>
      <c r="E28" s="529" t="s">
        <v>704</v>
      </c>
      <c r="F28" t="s">
        <v>1023</v>
      </c>
      <c r="G28">
        <v>0.93700000000000006</v>
      </c>
      <c r="H28" s="1">
        <v>46.6</v>
      </c>
      <c r="I28" s="1">
        <v>41</v>
      </c>
      <c r="J28" s="1">
        <v>36.6</v>
      </c>
      <c r="K28" s="1">
        <v>33.200000000000003</v>
      </c>
      <c r="L28" s="1">
        <v>30.4</v>
      </c>
      <c r="M28" s="1">
        <v>30.4</v>
      </c>
    </row>
    <row r="29" spans="2:24">
      <c r="B29" s="526" t="s">
        <v>708</v>
      </c>
      <c r="C29" s="526" t="str">
        <f t="shared" si="9"/>
        <v>A</v>
      </c>
      <c r="D29" s="526">
        <v>0.97399999999999998</v>
      </c>
      <c r="E29" s="527" t="s">
        <v>704</v>
      </c>
      <c r="F29" t="s">
        <v>1024</v>
      </c>
      <c r="G29">
        <v>0.95299999999999996</v>
      </c>
      <c r="H29" s="1">
        <v>55.5</v>
      </c>
      <c r="I29" s="1">
        <v>49.1</v>
      </c>
      <c r="J29" s="1">
        <v>44</v>
      </c>
      <c r="K29" s="1">
        <v>39.799999999999997</v>
      </c>
      <c r="L29" s="1">
        <v>36.299999999999997</v>
      </c>
      <c r="M29" s="1">
        <v>36.299999999999997</v>
      </c>
    </row>
    <row r="30" spans="2:24">
      <c r="B30" s="526" t="s">
        <v>788</v>
      </c>
      <c r="C30" s="526" t="str">
        <f t="shared" si="9"/>
        <v>B</v>
      </c>
      <c r="D30" s="526">
        <v>0.96</v>
      </c>
      <c r="E30" s="527" t="s">
        <v>704</v>
      </c>
    </row>
    <row r="31" spans="2:24">
      <c r="B31" s="526" t="s">
        <v>790</v>
      </c>
      <c r="C31" s="526" t="str">
        <f t="shared" si="9"/>
        <v>C</v>
      </c>
      <c r="D31" s="526">
        <v>0.96899999999999997</v>
      </c>
      <c r="E31" s="527" t="s">
        <v>704</v>
      </c>
    </row>
    <row r="32" spans="2:24">
      <c r="B32" s="528" t="s">
        <v>819</v>
      </c>
      <c r="C32" s="526" t="str">
        <f t="shared" si="9"/>
        <v>A</v>
      </c>
      <c r="D32" s="528">
        <v>0.93300000000000005</v>
      </c>
      <c r="E32" s="529" t="s">
        <v>704</v>
      </c>
    </row>
    <row r="33" spans="2:5">
      <c r="B33" s="528" t="s">
        <v>821</v>
      </c>
      <c r="C33" s="526" t="str">
        <f t="shared" si="9"/>
        <v>B</v>
      </c>
      <c r="D33" s="528">
        <v>0.90100000000000002</v>
      </c>
      <c r="E33" s="529" t="s">
        <v>704</v>
      </c>
    </row>
    <row r="34" spans="2:5">
      <c r="B34" s="528" t="s">
        <v>823</v>
      </c>
      <c r="C34" s="526" t="str">
        <f t="shared" si="9"/>
        <v>C</v>
      </c>
      <c r="D34" s="528">
        <v>0.93300000000000005</v>
      </c>
      <c r="E34" s="529" t="s">
        <v>704</v>
      </c>
    </row>
    <row r="35" spans="2:5">
      <c r="B35" s="526" t="s">
        <v>820</v>
      </c>
      <c r="C35" s="526" t="str">
        <f t="shared" si="9"/>
        <v>A</v>
      </c>
      <c r="D35" s="526">
        <v>0.92900000000000005</v>
      </c>
      <c r="E35" s="527" t="s">
        <v>704</v>
      </c>
    </row>
    <row r="36" spans="2:5">
      <c r="B36" s="526" t="s">
        <v>822</v>
      </c>
      <c r="C36" s="526" t="str">
        <f t="shared" si="9"/>
        <v>B</v>
      </c>
      <c r="D36" s="526">
        <v>0.89500000000000002</v>
      </c>
      <c r="E36" s="527" t="s">
        <v>704</v>
      </c>
    </row>
    <row r="37" spans="2:5">
      <c r="B37" s="526" t="s">
        <v>824</v>
      </c>
      <c r="C37" s="526" t="str">
        <f t="shared" si="9"/>
        <v>C</v>
      </c>
      <c r="D37" s="526">
        <v>0.92800000000000005</v>
      </c>
      <c r="E37" s="527" t="s">
        <v>704</v>
      </c>
    </row>
    <row r="38" spans="2:5">
      <c r="B38" s="526" t="s">
        <v>802</v>
      </c>
      <c r="C38" s="526" t="str">
        <f t="shared" si="9"/>
        <v>A</v>
      </c>
      <c r="D38" s="526">
        <v>0.97399999999999998</v>
      </c>
      <c r="E38" s="527" t="s">
        <v>704</v>
      </c>
    </row>
    <row r="39" spans="2:5">
      <c r="B39" s="528" t="s">
        <v>803</v>
      </c>
      <c r="C39" s="526" t="str">
        <f t="shared" si="9"/>
        <v>B</v>
      </c>
      <c r="D39" s="528">
        <v>0.96</v>
      </c>
      <c r="E39" s="529" t="s">
        <v>704</v>
      </c>
    </row>
    <row r="40" spans="2:5">
      <c r="B40" s="526" t="s">
        <v>804</v>
      </c>
      <c r="C40" s="526" t="str">
        <f t="shared" si="9"/>
        <v>C</v>
      </c>
      <c r="D40" s="526">
        <v>0.96899999999999997</v>
      </c>
      <c r="E40" s="527" t="s">
        <v>704</v>
      </c>
    </row>
    <row r="41" spans="2:5">
      <c r="B41" s="526" t="s">
        <v>876</v>
      </c>
      <c r="C41" s="526" t="str">
        <f t="shared" si="9"/>
        <v>A</v>
      </c>
      <c r="D41" s="526">
        <v>0.97199999999999998</v>
      </c>
      <c r="E41" s="527" t="s">
        <v>704</v>
      </c>
    </row>
    <row r="42" spans="2:5">
      <c r="B42" s="528" t="s">
        <v>877</v>
      </c>
      <c r="C42" s="526" t="str">
        <f t="shared" si="9"/>
        <v>B</v>
      </c>
      <c r="D42" s="528">
        <v>0.95699999999999996</v>
      </c>
      <c r="E42" s="529" t="s">
        <v>704</v>
      </c>
    </row>
    <row r="43" spans="2:5">
      <c r="B43" s="526" t="s">
        <v>878</v>
      </c>
      <c r="C43" s="526" t="str">
        <f t="shared" si="9"/>
        <v>C</v>
      </c>
      <c r="D43" s="526">
        <v>0.96599999999999997</v>
      </c>
      <c r="E43" s="527" t="s">
        <v>704</v>
      </c>
    </row>
    <row r="44" spans="2:5">
      <c r="B44" s="526" t="s">
        <v>756</v>
      </c>
      <c r="C44" s="526" t="str">
        <f t="shared" si="9"/>
        <v>A</v>
      </c>
      <c r="D44" s="526">
        <v>0.877</v>
      </c>
      <c r="E44" s="527" t="s">
        <v>704</v>
      </c>
    </row>
    <row r="45" spans="2:5">
      <c r="B45" s="528" t="s">
        <v>757</v>
      </c>
      <c r="C45" s="526" t="str">
        <f t="shared" si="9"/>
        <v>A</v>
      </c>
      <c r="D45" s="528">
        <v>0.874</v>
      </c>
      <c r="E45" s="529" t="s">
        <v>704</v>
      </c>
    </row>
    <row r="46" spans="2:5">
      <c r="B46" s="528" t="s">
        <v>749</v>
      </c>
      <c r="C46" s="526" t="str">
        <f t="shared" si="9"/>
        <v>A</v>
      </c>
      <c r="D46" s="528">
        <v>0.89800000000000002</v>
      </c>
      <c r="E46" s="529" t="s">
        <v>704</v>
      </c>
    </row>
    <row r="47" spans="2:5">
      <c r="B47" s="526" t="s">
        <v>750</v>
      </c>
      <c r="C47" s="526" t="str">
        <f t="shared" si="9"/>
        <v>A</v>
      </c>
      <c r="D47" s="526">
        <v>0.90300000000000002</v>
      </c>
      <c r="E47" s="527" t="s">
        <v>704</v>
      </c>
    </row>
    <row r="48" spans="2:5">
      <c r="B48" s="528" t="s">
        <v>751</v>
      </c>
      <c r="C48" s="526" t="str">
        <f t="shared" si="9"/>
        <v>A</v>
      </c>
      <c r="D48" s="528">
        <v>0.90300000000000002</v>
      </c>
      <c r="E48" s="529" t="s">
        <v>704</v>
      </c>
    </row>
    <row r="49" spans="2:5">
      <c r="B49" s="526" t="s">
        <v>752</v>
      </c>
      <c r="C49" s="526" t="str">
        <f t="shared" si="9"/>
        <v>A</v>
      </c>
      <c r="D49" s="526">
        <v>0.89800000000000002</v>
      </c>
      <c r="E49" s="527" t="s">
        <v>704</v>
      </c>
    </row>
    <row r="50" spans="2:5">
      <c r="B50" s="528" t="s">
        <v>753</v>
      </c>
      <c r="C50" s="526" t="str">
        <f t="shared" si="9"/>
        <v>A</v>
      </c>
      <c r="D50" s="528">
        <v>0.89</v>
      </c>
      <c r="E50" s="529" t="s">
        <v>704</v>
      </c>
    </row>
    <row r="51" spans="2:5">
      <c r="B51" s="526" t="s">
        <v>754</v>
      </c>
      <c r="C51" s="526" t="str">
        <f t="shared" si="9"/>
        <v>A</v>
      </c>
      <c r="D51" s="526">
        <v>0.88800000000000001</v>
      </c>
      <c r="E51" s="527" t="s">
        <v>704</v>
      </c>
    </row>
    <row r="52" spans="2:5">
      <c r="B52" s="528" t="s">
        <v>755</v>
      </c>
      <c r="C52" s="526" t="str">
        <f t="shared" ref="C52:C83" si="11">RIGHT(B52,1)</f>
        <v>A</v>
      </c>
      <c r="D52" s="528">
        <v>0.88300000000000001</v>
      </c>
      <c r="E52" s="529" t="s">
        <v>704</v>
      </c>
    </row>
    <row r="53" spans="2:5">
      <c r="B53" s="526" t="s">
        <v>770</v>
      </c>
      <c r="C53" s="526" t="str">
        <f t="shared" si="11"/>
        <v>A</v>
      </c>
      <c r="D53" s="526">
        <v>0.86499999999999999</v>
      </c>
      <c r="E53" s="527" t="s">
        <v>704</v>
      </c>
    </row>
    <row r="54" spans="2:5">
      <c r="B54" s="528" t="s">
        <v>771</v>
      </c>
      <c r="C54" s="526" t="str">
        <f t="shared" si="11"/>
        <v>A</v>
      </c>
      <c r="D54" s="528">
        <v>0.85799999999999998</v>
      </c>
      <c r="E54" s="529" t="s">
        <v>704</v>
      </c>
    </row>
    <row r="55" spans="2:5">
      <c r="B55" s="526" t="s">
        <v>758</v>
      </c>
      <c r="C55" s="526" t="str">
        <f t="shared" si="11"/>
        <v>A</v>
      </c>
      <c r="D55" s="526">
        <v>0.89600000000000002</v>
      </c>
      <c r="E55" s="527" t="s">
        <v>704</v>
      </c>
    </row>
    <row r="56" spans="2:5">
      <c r="B56" s="528" t="s">
        <v>759</v>
      </c>
      <c r="C56" s="526" t="str">
        <f t="shared" si="11"/>
        <v>A</v>
      </c>
      <c r="D56" s="528">
        <v>0.89500000000000002</v>
      </c>
      <c r="E56" s="529" t="s">
        <v>704</v>
      </c>
    </row>
    <row r="57" spans="2:5">
      <c r="B57" s="526" t="s">
        <v>760</v>
      </c>
      <c r="C57" s="526" t="str">
        <f t="shared" si="11"/>
        <v>A</v>
      </c>
      <c r="D57" s="526">
        <v>0.89400000000000002</v>
      </c>
      <c r="E57" s="527" t="s">
        <v>704</v>
      </c>
    </row>
    <row r="58" spans="2:5">
      <c r="B58" s="528" t="s">
        <v>761</v>
      </c>
      <c r="C58" s="526" t="str">
        <f t="shared" si="11"/>
        <v>A</v>
      </c>
      <c r="D58" s="528">
        <v>0.88900000000000001</v>
      </c>
      <c r="E58" s="529" t="s">
        <v>704</v>
      </c>
    </row>
    <row r="59" spans="2:5">
      <c r="B59" s="526" t="s">
        <v>762</v>
      </c>
      <c r="C59" s="526" t="str">
        <f t="shared" si="11"/>
        <v>A</v>
      </c>
      <c r="D59" s="526">
        <v>0.89100000000000001</v>
      </c>
      <c r="E59" s="527" t="s">
        <v>704</v>
      </c>
    </row>
    <row r="60" spans="2:5">
      <c r="B60" s="528" t="s">
        <v>763</v>
      </c>
      <c r="C60" s="526" t="str">
        <f t="shared" si="11"/>
        <v>A</v>
      </c>
      <c r="D60" s="528">
        <v>0.88500000000000001</v>
      </c>
      <c r="E60" s="529" t="s">
        <v>704</v>
      </c>
    </row>
    <row r="61" spans="2:5">
      <c r="B61" s="526" t="s">
        <v>764</v>
      </c>
      <c r="C61" s="526" t="str">
        <f t="shared" si="11"/>
        <v>A</v>
      </c>
      <c r="D61" s="526">
        <v>0.88100000000000001</v>
      </c>
      <c r="E61" s="527" t="s">
        <v>704</v>
      </c>
    </row>
    <row r="62" spans="2:5">
      <c r="B62" s="528" t="s">
        <v>765</v>
      </c>
      <c r="C62" s="526" t="str">
        <f t="shared" si="11"/>
        <v>A</v>
      </c>
      <c r="D62" s="528">
        <v>0.88500000000000001</v>
      </c>
      <c r="E62" s="529" t="s">
        <v>704</v>
      </c>
    </row>
    <row r="63" spans="2:5">
      <c r="B63" s="526" t="s">
        <v>766</v>
      </c>
      <c r="C63" s="526" t="str">
        <f t="shared" si="11"/>
        <v>A</v>
      </c>
      <c r="D63" s="526">
        <v>0.879</v>
      </c>
      <c r="E63" s="527" t="s">
        <v>704</v>
      </c>
    </row>
    <row r="64" spans="2:5">
      <c r="B64" s="528" t="s">
        <v>767</v>
      </c>
      <c r="C64" s="526" t="str">
        <f t="shared" si="11"/>
        <v>A</v>
      </c>
      <c r="D64" s="528">
        <v>0.878</v>
      </c>
      <c r="E64" s="529" t="s">
        <v>704</v>
      </c>
    </row>
    <row r="65" spans="2:5">
      <c r="B65" s="526" t="s">
        <v>768</v>
      </c>
      <c r="C65" s="526" t="str">
        <f t="shared" si="11"/>
        <v>A</v>
      </c>
      <c r="D65" s="526">
        <v>0.87</v>
      </c>
      <c r="E65" s="527" t="s">
        <v>704</v>
      </c>
    </row>
    <row r="66" spans="2:5">
      <c r="B66" s="528" t="s">
        <v>769</v>
      </c>
      <c r="C66" s="526" t="str">
        <f t="shared" si="11"/>
        <v>A</v>
      </c>
      <c r="D66" s="528">
        <v>0.86799999999999999</v>
      </c>
      <c r="E66" s="529" t="s">
        <v>704</v>
      </c>
    </row>
    <row r="67" spans="2:5">
      <c r="B67" s="528" t="s">
        <v>849</v>
      </c>
      <c r="C67" s="526" t="str">
        <f t="shared" si="11"/>
        <v>A</v>
      </c>
      <c r="D67" s="528">
        <v>0.95299999999999996</v>
      </c>
      <c r="E67" s="529" t="s">
        <v>704</v>
      </c>
    </row>
    <row r="68" spans="2:5">
      <c r="B68" s="526" t="s">
        <v>854</v>
      </c>
      <c r="C68" s="526" t="str">
        <f t="shared" si="11"/>
        <v>B</v>
      </c>
      <c r="D68" s="526">
        <v>0.92500000000000004</v>
      </c>
      <c r="E68" s="527" t="s">
        <v>704</v>
      </c>
    </row>
    <row r="69" spans="2:5">
      <c r="B69" s="526" t="s">
        <v>850</v>
      </c>
      <c r="C69" s="526" t="str">
        <f t="shared" si="11"/>
        <v>A</v>
      </c>
      <c r="D69" s="526">
        <v>0.95</v>
      </c>
      <c r="E69" s="527" t="s">
        <v>704</v>
      </c>
    </row>
    <row r="70" spans="2:5">
      <c r="B70" s="528" t="s">
        <v>855</v>
      </c>
      <c r="C70" s="526" t="str">
        <f t="shared" si="11"/>
        <v>B</v>
      </c>
      <c r="D70" s="528">
        <v>0.92200000000000004</v>
      </c>
      <c r="E70" s="529" t="s">
        <v>704</v>
      </c>
    </row>
    <row r="71" spans="2:5">
      <c r="B71" s="528" t="s">
        <v>851</v>
      </c>
      <c r="C71" s="526" t="str">
        <f t="shared" si="11"/>
        <v>A</v>
      </c>
      <c r="D71" s="528">
        <v>0.94699999999999995</v>
      </c>
      <c r="E71" s="529" t="s">
        <v>704</v>
      </c>
    </row>
    <row r="72" spans="2:5">
      <c r="B72" s="526" t="s">
        <v>856</v>
      </c>
      <c r="C72" s="526" t="str">
        <f t="shared" si="11"/>
        <v>B</v>
      </c>
      <c r="D72" s="526">
        <v>0.91800000000000004</v>
      </c>
      <c r="E72" s="527" t="s">
        <v>704</v>
      </c>
    </row>
    <row r="73" spans="2:5">
      <c r="B73" s="526" t="s">
        <v>720</v>
      </c>
      <c r="C73" s="526" t="str">
        <f t="shared" si="11"/>
        <v>A</v>
      </c>
      <c r="D73" s="526">
        <v>0.91300000000000003</v>
      </c>
      <c r="E73" s="527" t="s">
        <v>704</v>
      </c>
    </row>
    <row r="74" spans="2:5">
      <c r="B74" s="528" t="s">
        <v>721</v>
      </c>
      <c r="C74" s="526" t="str">
        <f t="shared" si="11"/>
        <v>A</v>
      </c>
      <c r="D74" s="528">
        <v>0.90700000000000003</v>
      </c>
      <c r="E74" s="529" t="s">
        <v>704</v>
      </c>
    </row>
    <row r="75" spans="2:5">
      <c r="B75" s="528" t="s">
        <v>709</v>
      </c>
      <c r="C75" s="526" t="str">
        <f t="shared" si="11"/>
        <v>A</v>
      </c>
      <c r="D75" s="528">
        <v>0.93300000000000005</v>
      </c>
      <c r="E75" s="529" t="s">
        <v>704</v>
      </c>
    </row>
    <row r="76" spans="2:5">
      <c r="B76" s="526" t="s">
        <v>710</v>
      </c>
      <c r="C76" s="526" t="str">
        <f t="shared" si="11"/>
        <v>A</v>
      </c>
      <c r="D76" s="526">
        <v>0.93600000000000005</v>
      </c>
      <c r="E76" s="527" t="s">
        <v>704</v>
      </c>
    </row>
    <row r="77" spans="2:5">
      <c r="B77" s="528" t="s">
        <v>711</v>
      </c>
      <c r="C77" s="526" t="str">
        <f t="shared" si="11"/>
        <v>A</v>
      </c>
      <c r="D77" s="528">
        <v>0.93300000000000005</v>
      </c>
      <c r="E77" s="529" t="s">
        <v>704</v>
      </c>
    </row>
    <row r="78" spans="2:5">
      <c r="B78" s="526" t="s">
        <v>712</v>
      </c>
      <c r="C78" s="526" t="str">
        <f t="shared" si="11"/>
        <v>A</v>
      </c>
      <c r="D78" s="526">
        <v>0.93300000000000005</v>
      </c>
      <c r="E78" s="527" t="s">
        <v>704</v>
      </c>
    </row>
    <row r="79" spans="2:5">
      <c r="B79" s="528" t="s">
        <v>713</v>
      </c>
      <c r="C79" s="526" t="str">
        <f t="shared" si="11"/>
        <v>A</v>
      </c>
      <c r="D79" s="528">
        <v>0.92800000000000005</v>
      </c>
      <c r="E79" s="529" t="s">
        <v>704</v>
      </c>
    </row>
    <row r="80" spans="2:5">
      <c r="B80" s="526" t="s">
        <v>714</v>
      </c>
      <c r="C80" s="526" t="str">
        <f t="shared" si="11"/>
        <v>A</v>
      </c>
      <c r="D80" s="526">
        <v>0.92600000000000005</v>
      </c>
      <c r="E80" s="527" t="s">
        <v>704</v>
      </c>
    </row>
    <row r="81" spans="2:5">
      <c r="B81" s="528" t="s">
        <v>715</v>
      </c>
      <c r="C81" s="526" t="str">
        <f t="shared" si="11"/>
        <v>A</v>
      </c>
      <c r="D81" s="528">
        <v>0.92900000000000005</v>
      </c>
      <c r="E81" s="529" t="s">
        <v>704</v>
      </c>
    </row>
    <row r="82" spans="2:5">
      <c r="B82" s="528" t="s">
        <v>811</v>
      </c>
      <c r="C82" s="526" t="str">
        <f t="shared" si="11"/>
        <v>B</v>
      </c>
      <c r="D82" s="528">
        <v>0.88800000000000001</v>
      </c>
      <c r="E82" s="529" t="s">
        <v>704</v>
      </c>
    </row>
    <row r="83" spans="2:5">
      <c r="B83" s="526" t="s">
        <v>716</v>
      </c>
      <c r="C83" s="526" t="str">
        <f t="shared" si="11"/>
        <v>A</v>
      </c>
      <c r="D83" s="526">
        <v>0.92700000000000005</v>
      </c>
      <c r="E83" s="527" t="s">
        <v>704</v>
      </c>
    </row>
    <row r="84" spans="2:5">
      <c r="B84" s="528" t="s">
        <v>717</v>
      </c>
      <c r="C84" s="526" t="str">
        <f t="shared" ref="C84:C115" si="12">RIGHT(B84,1)</f>
        <v>A</v>
      </c>
      <c r="D84" s="528">
        <v>0.92500000000000004</v>
      </c>
      <c r="E84" s="529" t="s">
        <v>704</v>
      </c>
    </row>
    <row r="85" spans="2:5">
      <c r="B85" s="526" t="s">
        <v>718</v>
      </c>
      <c r="C85" s="526" t="str">
        <f t="shared" si="12"/>
        <v>A</v>
      </c>
      <c r="D85" s="526">
        <v>0.92100000000000004</v>
      </c>
      <c r="E85" s="527" t="s">
        <v>704</v>
      </c>
    </row>
    <row r="86" spans="2:5">
      <c r="B86" s="526" t="s">
        <v>800</v>
      </c>
      <c r="C86" s="526" t="str">
        <f t="shared" si="12"/>
        <v>B</v>
      </c>
      <c r="D86" s="526">
        <v>0.876</v>
      </c>
      <c r="E86" s="527" t="s">
        <v>704</v>
      </c>
    </row>
    <row r="87" spans="2:5">
      <c r="B87" s="528" t="s">
        <v>719</v>
      </c>
      <c r="C87" s="526" t="str">
        <f t="shared" si="12"/>
        <v>A</v>
      </c>
      <c r="D87" s="528">
        <v>0.91700000000000004</v>
      </c>
      <c r="E87" s="529" t="s">
        <v>704</v>
      </c>
    </row>
    <row r="88" spans="2:5">
      <c r="B88" s="528" t="s">
        <v>733</v>
      </c>
      <c r="C88" s="526" t="str">
        <f t="shared" si="12"/>
        <v>A</v>
      </c>
      <c r="D88" s="528">
        <v>0.90200000000000002</v>
      </c>
      <c r="E88" s="529" t="s">
        <v>704</v>
      </c>
    </row>
    <row r="89" spans="2:5">
      <c r="B89" s="526" t="s">
        <v>734</v>
      </c>
      <c r="C89" s="526" t="str">
        <f t="shared" si="12"/>
        <v>A</v>
      </c>
      <c r="D89" s="526">
        <v>0.89600000000000002</v>
      </c>
      <c r="E89" s="527" t="s">
        <v>704</v>
      </c>
    </row>
    <row r="90" spans="2:5">
      <c r="B90" s="526" t="s">
        <v>722</v>
      </c>
      <c r="C90" s="526" t="str">
        <f t="shared" si="12"/>
        <v>A</v>
      </c>
      <c r="D90" s="526">
        <v>0.93600000000000005</v>
      </c>
      <c r="E90" s="527" t="s">
        <v>704</v>
      </c>
    </row>
    <row r="91" spans="2:5">
      <c r="B91" s="528" t="s">
        <v>723</v>
      </c>
      <c r="C91" s="526" t="str">
        <f t="shared" si="12"/>
        <v>A</v>
      </c>
      <c r="D91" s="528">
        <v>0.93300000000000005</v>
      </c>
      <c r="E91" s="529" t="s">
        <v>704</v>
      </c>
    </row>
    <row r="92" spans="2:5">
      <c r="B92" s="526" t="s">
        <v>724</v>
      </c>
      <c r="C92" s="526" t="str">
        <f t="shared" si="12"/>
        <v>A</v>
      </c>
      <c r="D92" s="526">
        <v>0.93500000000000005</v>
      </c>
      <c r="E92" s="527" t="s">
        <v>704</v>
      </c>
    </row>
    <row r="93" spans="2:5">
      <c r="B93" s="528" t="s">
        <v>725</v>
      </c>
      <c r="C93" s="526" t="str">
        <f t="shared" si="12"/>
        <v>A</v>
      </c>
      <c r="D93" s="528">
        <v>0.93300000000000005</v>
      </c>
      <c r="E93" s="529" t="s">
        <v>704</v>
      </c>
    </row>
    <row r="94" spans="2:5">
      <c r="B94" s="526" t="s">
        <v>726</v>
      </c>
      <c r="C94" s="526" t="str">
        <f t="shared" si="12"/>
        <v>A</v>
      </c>
      <c r="D94" s="526">
        <v>0.93200000000000005</v>
      </c>
      <c r="E94" s="527" t="s">
        <v>704</v>
      </c>
    </row>
    <row r="95" spans="2:5">
      <c r="B95" s="528" t="s">
        <v>727</v>
      </c>
      <c r="C95" s="526" t="str">
        <f t="shared" si="12"/>
        <v>A</v>
      </c>
      <c r="D95" s="528">
        <v>0.92500000000000004</v>
      </c>
      <c r="E95" s="529" t="s">
        <v>704</v>
      </c>
    </row>
    <row r="96" spans="2:5">
      <c r="B96" s="526" t="s">
        <v>728</v>
      </c>
      <c r="C96" s="526" t="str">
        <f t="shared" si="12"/>
        <v>A</v>
      </c>
      <c r="D96" s="526">
        <v>0.92700000000000005</v>
      </c>
      <c r="E96" s="527" t="s">
        <v>704</v>
      </c>
    </row>
    <row r="97" spans="2:5">
      <c r="B97" s="528" t="s">
        <v>729</v>
      </c>
      <c r="C97" s="526" t="str">
        <f t="shared" si="12"/>
        <v>A</v>
      </c>
      <c r="D97" s="528">
        <v>0.92100000000000004</v>
      </c>
      <c r="E97" s="529" t="s">
        <v>704</v>
      </c>
    </row>
    <row r="98" spans="2:5">
      <c r="B98" s="526" t="s">
        <v>730</v>
      </c>
      <c r="C98" s="526" t="str">
        <f t="shared" si="12"/>
        <v>A</v>
      </c>
      <c r="D98" s="526">
        <v>0.92200000000000004</v>
      </c>
      <c r="E98" s="527" t="s">
        <v>704</v>
      </c>
    </row>
    <row r="99" spans="2:5">
      <c r="B99" s="528" t="s">
        <v>731</v>
      </c>
      <c r="C99" s="526" t="str">
        <f t="shared" si="12"/>
        <v>A</v>
      </c>
      <c r="D99" s="528">
        <v>0.91200000000000003</v>
      </c>
      <c r="E99" s="529" t="s">
        <v>704</v>
      </c>
    </row>
    <row r="100" spans="2:5">
      <c r="B100" s="526" t="s">
        <v>732</v>
      </c>
      <c r="C100" s="526" t="str">
        <f t="shared" si="12"/>
        <v>A</v>
      </c>
      <c r="D100" s="526">
        <v>0.90800000000000003</v>
      </c>
      <c r="E100" s="527" t="s">
        <v>704</v>
      </c>
    </row>
    <row r="101" spans="2:5">
      <c r="B101" s="528" t="s">
        <v>747</v>
      </c>
      <c r="C101" s="526" t="str">
        <f t="shared" si="12"/>
        <v>A</v>
      </c>
      <c r="D101" s="528">
        <v>0.88400000000000001</v>
      </c>
      <c r="E101" s="529" t="s">
        <v>704</v>
      </c>
    </row>
    <row r="102" spans="2:5">
      <c r="B102" s="526" t="s">
        <v>748</v>
      </c>
      <c r="C102" s="526" t="str">
        <f t="shared" si="12"/>
        <v>A</v>
      </c>
      <c r="D102" s="526">
        <v>0.879</v>
      </c>
      <c r="E102" s="527" t="s">
        <v>704</v>
      </c>
    </row>
    <row r="103" spans="2:5">
      <c r="B103" s="528" t="s">
        <v>735</v>
      </c>
      <c r="C103" s="526" t="str">
        <f t="shared" si="12"/>
        <v>A</v>
      </c>
      <c r="D103" s="528">
        <v>0.92900000000000005</v>
      </c>
      <c r="E103" s="529" t="s">
        <v>704</v>
      </c>
    </row>
    <row r="104" spans="2:5">
      <c r="B104" s="526" t="s">
        <v>736</v>
      </c>
      <c r="C104" s="526" t="str">
        <f t="shared" si="12"/>
        <v>A</v>
      </c>
      <c r="D104" s="526">
        <v>0.93200000000000005</v>
      </c>
      <c r="E104" s="527" t="s">
        <v>704</v>
      </c>
    </row>
    <row r="105" spans="2:5">
      <c r="B105" s="528" t="s">
        <v>737</v>
      </c>
      <c r="C105" s="526" t="str">
        <f t="shared" si="12"/>
        <v>A</v>
      </c>
      <c r="D105" s="528">
        <v>0.93</v>
      </c>
      <c r="E105" s="529" t="s">
        <v>704</v>
      </c>
    </row>
    <row r="106" spans="2:5">
      <c r="B106" s="526" t="s">
        <v>738</v>
      </c>
      <c r="C106" s="526" t="str">
        <f t="shared" si="12"/>
        <v>A</v>
      </c>
      <c r="D106" s="526">
        <v>0.92600000000000005</v>
      </c>
      <c r="E106" s="527" t="s">
        <v>704</v>
      </c>
    </row>
    <row r="107" spans="2:5">
      <c r="B107" s="528" t="s">
        <v>739</v>
      </c>
      <c r="C107" s="526" t="str">
        <f t="shared" si="12"/>
        <v>A</v>
      </c>
      <c r="D107" s="528">
        <v>0.92200000000000004</v>
      </c>
      <c r="E107" s="529" t="s">
        <v>704</v>
      </c>
    </row>
    <row r="108" spans="2:5">
      <c r="B108" s="526" t="s">
        <v>740</v>
      </c>
      <c r="C108" s="526" t="str">
        <f t="shared" si="12"/>
        <v>A</v>
      </c>
      <c r="D108" s="526">
        <v>0.90900000000000003</v>
      </c>
      <c r="E108" s="527" t="s">
        <v>704</v>
      </c>
    </row>
    <row r="109" spans="2:5">
      <c r="B109" s="528" t="s">
        <v>741</v>
      </c>
      <c r="C109" s="526" t="str">
        <f t="shared" si="12"/>
        <v>A</v>
      </c>
      <c r="D109" s="528">
        <v>0.91500000000000004</v>
      </c>
      <c r="E109" s="529" t="s">
        <v>704</v>
      </c>
    </row>
    <row r="110" spans="2:5">
      <c r="B110" s="526" t="s">
        <v>742</v>
      </c>
      <c r="C110" s="526" t="str">
        <f t="shared" si="12"/>
        <v>A</v>
      </c>
      <c r="D110" s="526">
        <v>0.91400000000000003</v>
      </c>
      <c r="E110" s="527" t="s">
        <v>704</v>
      </c>
    </row>
    <row r="111" spans="2:5">
      <c r="B111" s="528" t="s">
        <v>801</v>
      </c>
      <c r="C111" s="526" t="str">
        <f t="shared" si="12"/>
        <v>B</v>
      </c>
      <c r="D111" s="528">
        <v>0.86499999999999999</v>
      </c>
      <c r="E111" s="529" t="s">
        <v>704</v>
      </c>
    </row>
    <row r="112" spans="2:5">
      <c r="B112" s="528" t="s">
        <v>743</v>
      </c>
      <c r="C112" s="526" t="str">
        <f t="shared" si="12"/>
        <v>A</v>
      </c>
      <c r="D112" s="528">
        <v>0.91100000000000003</v>
      </c>
      <c r="E112" s="529" t="s">
        <v>704</v>
      </c>
    </row>
    <row r="113" spans="2:5">
      <c r="B113" s="526" t="s">
        <v>744</v>
      </c>
      <c r="C113" s="526" t="str">
        <f t="shared" si="12"/>
        <v>A</v>
      </c>
      <c r="D113" s="526">
        <v>0.90400000000000003</v>
      </c>
      <c r="E113" s="527" t="s">
        <v>704</v>
      </c>
    </row>
    <row r="114" spans="2:5">
      <c r="B114" s="528" t="s">
        <v>745</v>
      </c>
      <c r="C114" s="526" t="str">
        <f t="shared" si="12"/>
        <v>A</v>
      </c>
      <c r="D114" s="528">
        <v>0.89900000000000002</v>
      </c>
      <c r="E114" s="529" t="s">
        <v>704</v>
      </c>
    </row>
    <row r="115" spans="2:5">
      <c r="B115" s="526" t="s">
        <v>812</v>
      </c>
      <c r="C115" s="526" t="str">
        <f t="shared" si="12"/>
        <v>B</v>
      </c>
      <c r="D115" s="526">
        <v>0.84199999999999997</v>
      </c>
      <c r="E115" s="527" t="s">
        <v>704</v>
      </c>
    </row>
    <row r="116" spans="2:5">
      <c r="B116" s="526" t="s">
        <v>746</v>
      </c>
      <c r="C116" s="526" t="str">
        <f t="shared" ref="C116:C147" si="13">RIGHT(B116,1)</f>
        <v>A</v>
      </c>
      <c r="D116" s="526">
        <v>0.89200000000000002</v>
      </c>
      <c r="E116" s="527" t="s">
        <v>704</v>
      </c>
    </row>
    <row r="117" spans="2:5">
      <c r="B117" s="526" t="s">
        <v>852</v>
      </c>
      <c r="C117" s="526" t="str">
        <f t="shared" si="13"/>
        <v>A</v>
      </c>
      <c r="D117" s="526">
        <v>0.95099999999999996</v>
      </c>
      <c r="E117" s="527" t="s">
        <v>704</v>
      </c>
    </row>
    <row r="118" spans="2:5">
      <c r="B118" s="528" t="s">
        <v>857</v>
      </c>
      <c r="C118" s="526" t="str">
        <f t="shared" si="13"/>
        <v>B</v>
      </c>
      <c r="D118" s="528">
        <v>0.92100000000000004</v>
      </c>
      <c r="E118" s="529" t="s">
        <v>704</v>
      </c>
    </row>
    <row r="119" spans="2:5">
      <c r="B119" s="528" t="s">
        <v>853</v>
      </c>
      <c r="C119" s="526" t="str">
        <f t="shared" si="13"/>
        <v>A</v>
      </c>
      <c r="D119" s="528">
        <v>0.94799999999999995</v>
      </c>
      <c r="E119" s="529" t="s">
        <v>704</v>
      </c>
    </row>
    <row r="120" spans="2:5">
      <c r="B120" s="526" t="s">
        <v>858</v>
      </c>
      <c r="C120" s="526" t="str">
        <f t="shared" si="13"/>
        <v>B</v>
      </c>
      <c r="D120" s="526">
        <v>0.91900000000000004</v>
      </c>
      <c r="E120" s="527" t="s">
        <v>704</v>
      </c>
    </row>
    <row r="121" spans="2:5">
      <c r="B121" s="528" t="s">
        <v>859</v>
      </c>
      <c r="C121" s="526" t="str">
        <f t="shared" si="13"/>
        <v>A</v>
      </c>
      <c r="D121" s="528">
        <v>0.94499999999999995</v>
      </c>
      <c r="E121" s="529" t="s">
        <v>704</v>
      </c>
    </row>
    <row r="122" spans="2:5">
      <c r="B122" s="526" t="s">
        <v>860</v>
      </c>
      <c r="C122" s="526" t="str">
        <f t="shared" si="13"/>
        <v>B</v>
      </c>
      <c r="D122" s="526">
        <v>0.91500000000000004</v>
      </c>
      <c r="E122" s="527" t="s">
        <v>704</v>
      </c>
    </row>
    <row r="123" spans="2:5">
      <c r="B123" s="526" t="s">
        <v>772</v>
      </c>
      <c r="C123" s="526" t="str">
        <f t="shared" si="13"/>
        <v>A</v>
      </c>
      <c r="D123" s="526">
        <v>0.97499999999999998</v>
      </c>
      <c r="E123" s="527" t="s">
        <v>704</v>
      </c>
    </row>
    <row r="124" spans="2:5">
      <c r="B124" s="528" t="s">
        <v>777</v>
      </c>
      <c r="C124" s="526" t="str">
        <f t="shared" si="13"/>
        <v>B</v>
      </c>
      <c r="D124" s="528">
        <v>0.96</v>
      </c>
      <c r="E124" s="529" t="s">
        <v>704</v>
      </c>
    </row>
    <row r="125" spans="2:5">
      <c r="B125" s="526" t="s">
        <v>782</v>
      </c>
      <c r="C125" s="526" t="str">
        <f t="shared" si="13"/>
        <v>C</v>
      </c>
      <c r="D125" s="526">
        <v>0.97</v>
      </c>
      <c r="E125" s="527" t="s">
        <v>704</v>
      </c>
    </row>
    <row r="126" spans="2:5">
      <c r="B126" s="528" t="s">
        <v>805</v>
      </c>
      <c r="C126" s="526" t="str">
        <f t="shared" si="13"/>
        <v>A</v>
      </c>
      <c r="D126" s="528">
        <v>0.97799999999999998</v>
      </c>
      <c r="E126" s="529" t="s">
        <v>704</v>
      </c>
    </row>
    <row r="127" spans="2:5">
      <c r="B127" s="528" t="s">
        <v>807</v>
      </c>
      <c r="C127" s="526" t="str">
        <f t="shared" si="13"/>
        <v>B</v>
      </c>
      <c r="D127" s="528">
        <v>0.96499999999999997</v>
      </c>
      <c r="E127" s="529" t="s">
        <v>704</v>
      </c>
    </row>
    <row r="128" spans="2:5">
      <c r="B128" s="528" t="s">
        <v>809</v>
      </c>
      <c r="C128" s="526" t="str">
        <f t="shared" si="13"/>
        <v>C</v>
      </c>
      <c r="D128" s="528">
        <v>0.97399999999999998</v>
      </c>
      <c r="E128" s="529" t="s">
        <v>704</v>
      </c>
    </row>
    <row r="129" spans="2:5">
      <c r="B129" s="528" t="s">
        <v>835</v>
      </c>
      <c r="C129" s="526" t="str">
        <f t="shared" si="13"/>
        <v>A</v>
      </c>
      <c r="D129" s="528">
        <v>0.97399999999999998</v>
      </c>
      <c r="E129" s="529" t="s">
        <v>704</v>
      </c>
    </row>
    <row r="130" spans="2:5">
      <c r="B130" s="526" t="s">
        <v>838</v>
      </c>
      <c r="C130" s="526" t="str">
        <f t="shared" si="13"/>
        <v>B</v>
      </c>
      <c r="D130" s="526">
        <v>0.96</v>
      </c>
      <c r="E130" s="527" t="s">
        <v>704</v>
      </c>
    </row>
    <row r="131" spans="2:5">
      <c r="B131" s="528" t="s">
        <v>841</v>
      </c>
      <c r="C131" s="526" t="str">
        <f t="shared" si="13"/>
        <v>C</v>
      </c>
      <c r="D131" s="528">
        <v>0.97</v>
      </c>
      <c r="E131" s="529" t="s">
        <v>704</v>
      </c>
    </row>
    <row r="132" spans="2:5">
      <c r="B132" s="526" t="s">
        <v>836</v>
      </c>
      <c r="C132" s="526" t="str">
        <f t="shared" si="13"/>
        <v>A</v>
      </c>
      <c r="D132" s="526">
        <v>0.96599999999999997</v>
      </c>
      <c r="E132" s="527" t="s">
        <v>704</v>
      </c>
    </row>
    <row r="133" spans="2:5">
      <c r="B133" s="528" t="s">
        <v>839</v>
      </c>
      <c r="C133" s="526" t="str">
        <f t="shared" si="13"/>
        <v>B</v>
      </c>
      <c r="D133" s="528">
        <v>0.94599999999999995</v>
      </c>
      <c r="E133" s="529" t="s">
        <v>704</v>
      </c>
    </row>
    <row r="134" spans="2:5">
      <c r="B134" s="526" t="s">
        <v>842</v>
      </c>
      <c r="C134" s="526" t="str">
        <f t="shared" si="13"/>
        <v>C</v>
      </c>
      <c r="D134" s="526">
        <v>0.95899999999999996</v>
      </c>
      <c r="E134" s="527" t="s">
        <v>704</v>
      </c>
    </row>
    <row r="135" spans="2:5">
      <c r="B135" s="526" t="s">
        <v>834</v>
      </c>
      <c r="C135" s="526" t="str">
        <f t="shared" si="13"/>
        <v>A</v>
      </c>
      <c r="D135" s="526">
        <v>0.97199999999999998</v>
      </c>
      <c r="E135" s="527" t="s">
        <v>704</v>
      </c>
    </row>
    <row r="136" spans="2:5">
      <c r="B136" s="528" t="s">
        <v>837</v>
      </c>
      <c r="C136" s="526" t="str">
        <f t="shared" si="13"/>
        <v>B</v>
      </c>
      <c r="D136" s="528">
        <v>0.95599999999999996</v>
      </c>
      <c r="E136" s="529" t="s">
        <v>704</v>
      </c>
    </row>
    <row r="137" spans="2:5">
      <c r="B137" s="526" t="s">
        <v>840</v>
      </c>
      <c r="C137" s="526" t="str">
        <f t="shared" si="13"/>
        <v>C</v>
      </c>
      <c r="D137" s="526">
        <v>0.96699999999999997</v>
      </c>
      <c r="E137" s="527" t="s">
        <v>704</v>
      </c>
    </row>
    <row r="138" spans="2:5">
      <c r="B138" s="526" t="s">
        <v>888</v>
      </c>
      <c r="C138" s="526" t="str">
        <f t="shared" si="13"/>
        <v>A</v>
      </c>
      <c r="D138" s="526">
        <v>0.94799999999999995</v>
      </c>
      <c r="E138" s="527" t="s">
        <v>704</v>
      </c>
    </row>
    <row r="139" spans="2:5">
      <c r="B139" s="528" t="s">
        <v>889</v>
      </c>
      <c r="C139" s="526" t="str">
        <f t="shared" si="13"/>
        <v>B</v>
      </c>
      <c r="D139" s="528">
        <v>0.92200000000000004</v>
      </c>
      <c r="E139" s="529" t="s">
        <v>704</v>
      </c>
    </row>
    <row r="140" spans="2:5">
      <c r="B140" s="526" t="s">
        <v>890</v>
      </c>
      <c r="C140" s="526" t="str">
        <f t="shared" si="13"/>
        <v>C</v>
      </c>
      <c r="D140" s="526">
        <v>0.93700000000000006</v>
      </c>
      <c r="E140" s="527" t="s">
        <v>704</v>
      </c>
    </row>
    <row r="141" spans="2:5">
      <c r="B141" s="528" t="s">
        <v>843</v>
      </c>
      <c r="C141" s="526" t="str">
        <f t="shared" si="13"/>
        <v>A</v>
      </c>
      <c r="D141" s="528">
        <v>0.97199999999999998</v>
      </c>
      <c r="E141" s="529" t="s">
        <v>704</v>
      </c>
    </row>
    <row r="142" spans="2:5">
      <c r="B142" s="528" t="s">
        <v>845</v>
      </c>
      <c r="C142" s="526" t="str">
        <f t="shared" si="13"/>
        <v>B</v>
      </c>
      <c r="D142" s="528">
        <v>0.95699999999999996</v>
      </c>
      <c r="E142" s="529" t="s">
        <v>704</v>
      </c>
    </row>
    <row r="143" spans="2:5">
      <c r="B143" s="528" t="s">
        <v>847</v>
      </c>
      <c r="C143" s="526" t="str">
        <f t="shared" si="13"/>
        <v>C</v>
      </c>
      <c r="D143" s="528">
        <v>0.96599999999999997</v>
      </c>
      <c r="E143" s="529" t="s">
        <v>704</v>
      </c>
    </row>
    <row r="144" spans="2:5">
      <c r="B144" s="526" t="s">
        <v>844</v>
      </c>
      <c r="C144" s="526" t="str">
        <f t="shared" si="13"/>
        <v>A</v>
      </c>
      <c r="D144" s="526">
        <v>0.97299999999999998</v>
      </c>
      <c r="E144" s="527" t="s">
        <v>704</v>
      </c>
    </row>
    <row r="145" spans="2:5">
      <c r="B145" s="526" t="s">
        <v>846</v>
      </c>
      <c r="C145" s="526" t="str">
        <f t="shared" si="13"/>
        <v>B</v>
      </c>
      <c r="D145" s="526">
        <v>0.95799999999999996</v>
      </c>
      <c r="E145" s="527" t="s">
        <v>704</v>
      </c>
    </row>
    <row r="146" spans="2:5">
      <c r="B146" s="526" t="s">
        <v>848</v>
      </c>
      <c r="C146" s="526" t="str">
        <f t="shared" si="13"/>
        <v>C</v>
      </c>
      <c r="D146" s="526">
        <v>0.96699999999999997</v>
      </c>
      <c r="E146" s="527" t="s">
        <v>704</v>
      </c>
    </row>
    <row r="147" spans="2:5">
      <c r="B147" s="528" t="s">
        <v>773</v>
      </c>
      <c r="C147" s="526" t="str">
        <f t="shared" si="13"/>
        <v>A</v>
      </c>
      <c r="D147" s="528">
        <v>0.97399999999999998</v>
      </c>
      <c r="E147" s="529" t="s">
        <v>704</v>
      </c>
    </row>
    <row r="148" spans="2:5">
      <c r="B148" s="526" t="s">
        <v>778</v>
      </c>
      <c r="C148" s="526" t="str">
        <f t="shared" ref="C148:C179" si="14">RIGHT(B148,1)</f>
        <v>B</v>
      </c>
      <c r="D148" s="526">
        <v>0.96</v>
      </c>
      <c r="E148" s="527" t="s">
        <v>704</v>
      </c>
    </row>
    <row r="149" spans="2:5">
      <c r="B149" s="528" t="s">
        <v>783</v>
      </c>
      <c r="C149" s="526" t="str">
        <f t="shared" si="14"/>
        <v>C</v>
      </c>
      <c r="D149" s="528">
        <v>0.96899999999999997</v>
      </c>
      <c r="E149" s="529" t="s">
        <v>704</v>
      </c>
    </row>
    <row r="150" spans="2:5">
      <c r="B150" s="528" t="s">
        <v>791</v>
      </c>
      <c r="C150" s="526" t="str">
        <f t="shared" si="14"/>
        <v>A</v>
      </c>
      <c r="D150" s="528">
        <v>0.97499999999999998</v>
      </c>
      <c r="E150" s="529" t="s">
        <v>704</v>
      </c>
    </row>
    <row r="151" spans="2:5">
      <c r="B151" s="528" t="s">
        <v>793</v>
      </c>
      <c r="C151" s="526" t="str">
        <f t="shared" si="14"/>
        <v>B</v>
      </c>
      <c r="D151" s="528">
        <v>0.96199999999999997</v>
      </c>
      <c r="E151" s="529" t="s">
        <v>704</v>
      </c>
    </row>
    <row r="152" spans="2:5">
      <c r="B152" s="528" t="s">
        <v>795</v>
      </c>
      <c r="C152" s="526" t="str">
        <f t="shared" si="14"/>
        <v>C</v>
      </c>
      <c r="D152" s="528">
        <v>0.97</v>
      </c>
      <c r="E152" s="529" t="s">
        <v>704</v>
      </c>
    </row>
    <row r="153" spans="2:5">
      <c r="B153" s="526" t="s">
        <v>806</v>
      </c>
      <c r="C153" s="526" t="str">
        <f t="shared" si="14"/>
        <v>A</v>
      </c>
      <c r="D153" s="526">
        <v>0.97199999999999998</v>
      </c>
      <c r="E153" s="527" t="s">
        <v>704</v>
      </c>
    </row>
    <row r="154" spans="2:5">
      <c r="B154" s="526" t="s">
        <v>808</v>
      </c>
      <c r="C154" s="526" t="str">
        <f t="shared" si="14"/>
        <v>B</v>
      </c>
      <c r="D154" s="526">
        <v>0.95699999999999996</v>
      </c>
      <c r="E154" s="527" t="s">
        <v>704</v>
      </c>
    </row>
    <row r="155" spans="2:5">
      <c r="B155" s="526" t="s">
        <v>810</v>
      </c>
      <c r="C155" s="526" t="str">
        <f t="shared" si="14"/>
        <v>C</v>
      </c>
      <c r="D155" s="526">
        <v>0.96699999999999997</v>
      </c>
      <c r="E155" s="527" t="s">
        <v>704</v>
      </c>
    </row>
    <row r="156" spans="2:5">
      <c r="B156" s="526" t="s">
        <v>774</v>
      </c>
      <c r="C156" s="526" t="str">
        <f t="shared" si="14"/>
        <v>A</v>
      </c>
      <c r="D156" s="526">
        <v>0.97499999999999998</v>
      </c>
      <c r="E156" s="527" t="s">
        <v>704</v>
      </c>
    </row>
    <row r="157" spans="2:5">
      <c r="B157" s="528" t="s">
        <v>779</v>
      </c>
      <c r="C157" s="526" t="str">
        <f t="shared" si="14"/>
        <v>B</v>
      </c>
      <c r="D157" s="528">
        <v>0.96199999999999997</v>
      </c>
      <c r="E157" s="529" t="s">
        <v>704</v>
      </c>
    </row>
    <row r="158" spans="2:5">
      <c r="B158" s="526" t="s">
        <v>784</v>
      </c>
      <c r="C158" s="526" t="str">
        <f t="shared" si="14"/>
        <v>C</v>
      </c>
      <c r="D158" s="526">
        <v>0.96899999999999997</v>
      </c>
      <c r="E158" s="527" t="s">
        <v>704</v>
      </c>
    </row>
    <row r="159" spans="2:5">
      <c r="B159" s="528" t="s">
        <v>775</v>
      </c>
      <c r="C159" s="526" t="str">
        <f t="shared" si="14"/>
        <v>A</v>
      </c>
      <c r="D159" s="528">
        <v>0.97899999999999998</v>
      </c>
      <c r="E159" s="529" t="s">
        <v>704</v>
      </c>
    </row>
    <row r="160" spans="2:5">
      <c r="B160" s="526" t="s">
        <v>780</v>
      </c>
      <c r="C160" s="526" t="str">
        <f t="shared" si="14"/>
        <v>B</v>
      </c>
      <c r="D160" s="526">
        <v>0.96799999999999997</v>
      </c>
      <c r="E160" s="527" t="s">
        <v>704</v>
      </c>
    </row>
    <row r="161" spans="2:5">
      <c r="B161" s="528" t="s">
        <v>785</v>
      </c>
      <c r="C161" s="526" t="str">
        <f t="shared" si="14"/>
        <v>C</v>
      </c>
      <c r="D161" s="528">
        <v>0.97699999999999998</v>
      </c>
      <c r="E161" s="529" t="s">
        <v>704</v>
      </c>
    </row>
    <row r="162" spans="2:5">
      <c r="B162" s="526" t="s">
        <v>776</v>
      </c>
      <c r="C162" s="526" t="str">
        <f t="shared" si="14"/>
        <v>A</v>
      </c>
      <c r="D162" s="526">
        <v>0.96799999999999997</v>
      </c>
      <c r="E162" s="527" t="s">
        <v>704</v>
      </c>
    </row>
    <row r="163" spans="2:5">
      <c r="B163" s="528" t="s">
        <v>781</v>
      </c>
      <c r="C163" s="526" t="str">
        <f t="shared" si="14"/>
        <v>B</v>
      </c>
      <c r="D163" s="528">
        <v>0.95</v>
      </c>
      <c r="E163" s="529" t="s">
        <v>704</v>
      </c>
    </row>
    <row r="164" spans="2:5">
      <c r="B164" s="526" t="s">
        <v>786</v>
      </c>
      <c r="C164" s="526" t="str">
        <f t="shared" si="14"/>
        <v>C</v>
      </c>
      <c r="D164" s="526">
        <v>0.96299999999999997</v>
      </c>
      <c r="E164" s="527" t="s">
        <v>704</v>
      </c>
    </row>
    <row r="165" spans="2:5">
      <c r="B165" s="526" t="s">
        <v>792</v>
      </c>
      <c r="C165" s="526" t="str">
        <f t="shared" si="14"/>
        <v>A</v>
      </c>
      <c r="D165" s="526">
        <v>0.97899999999999998</v>
      </c>
      <c r="E165" s="527" t="s">
        <v>704</v>
      </c>
    </row>
    <row r="166" spans="2:5">
      <c r="B166" s="526" t="s">
        <v>794</v>
      </c>
      <c r="C166" s="526" t="str">
        <f t="shared" si="14"/>
        <v>B</v>
      </c>
      <c r="D166" s="526">
        <v>0.96599999999999997</v>
      </c>
      <c r="E166" s="527" t="s">
        <v>704</v>
      </c>
    </row>
    <row r="167" spans="2:5">
      <c r="B167" s="526" t="s">
        <v>796</v>
      </c>
      <c r="C167" s="526" t="str">
        <f t="shared" si="14"/>
        <v>C</v>
      </c>
      <c r="D167" s="526">
        <v>0.97499999999999998</v>
      </c>
      <c r="E167" s="527" t="s">
        <v>704</v>
      </c>
    </row>
    <row r="168" spans="2:5">
      <c r="B168" s="526" t="s">
        <v>880</v>
      </c>
      <c r="C168" s="526" t="str">
        <f t="shared" si="14"/>
        <v>A</v>
      </c>
      <c r="D168" s="526">
        <v>0.95799999999999996</v>
      </c>
      <c r="E168" s="527" t="s">
        <v>704</v>
      </c>
    </row>
    <row r="169" spans="2:5">
      <c r="B169" s="526" t="s">
        <v>882</v>
      </c>
      <c r="C169" s="526" t="str">
        <f t="shared" si="14"/>
        <v>B</v>
      </c>
      <c r="D169" s="526">
        <v>0.93700000000000006</v>
      </c>
      <c r="E169" s="527" t="s">
        <v>704</v>
      </c>
    </row>
    <row r="170" spans="2:5">
      <c r="B170" s="526" t="s">
        <v>884</v>
      </c>
      <c r="C170" s="526" t="str">
        <f t="shared" si="14"/>
        <v>C</v>
      </c>
      <c r="D170" s="526">
        <v>0.94899999999999995</v>
      </c>
      <c r="E170" s="527" t="s">
        <v>704</v>
      </c>
    </row>
    <row r="171" spans="2:5">
      <c r="B171" s="528" t="s">
        <v>879</v>
      </c>
      <c r="C171" s="526" t="str">
        <f t="shared" si="14"/>
        <v>A</v>
      </c>
      <c r="D171" s="528">
        <v>0.94599999999999995</v>
      </c>
      <c r="E171" s="529" t="s">
        <v>704</v>
      </c>
    </row>
    <row r="172" spans="2:5">
      <c r="B172" s="528" t="s">
        <v>881</v>
      </c>
      <c r="C172" s="526" t="str">
        <f t="shared" si="14"/>
        <v>B</v>
      </c>
      <c r="D172" s="528">
        <v>0.91800000000000004</v>
      </c>
      <c r="E172" s="529" t="s">
        <v>704</v>
      </c>
    </row>
    <row r="173" spans="2:5">
      <c r="B173" s="528" t="s">
        <v>883</v>
      </c>
      <c r="C173" s="526" t="str">
        <f t="shared" si="14"/>
        <v>C</v>
      </c>
      <c r="D173" s="528">
        <v>0.93300000000000005</v>
      </c>
      <c r="E173" s="529" t="s">
        <v>704</v>
      </c>
    </row>
    <row r="174" spans="2:5">
      <c r="B174" s="526" t="s">
        <v>826</v>
      </c>
      <c r="C174" s="526" t="str">
        <f t="shared" si="14"/>
        <v>A</v>
      </c>
      <c r="D174" s="526">
        <v>0.98399999999999999</v>
      </c>
      <c r="E174" s="527" t="s">
        <v>704</v>
      </c>
    </row>
    <row r="175" spans="2:5">
      <c r="B175" s="528" t="s">
        <v>829</v>
      </c>
      <c r="C175" s="526" t="str">
        <f t="shared" si="14"/>
        <v>B</v>
      </c>
      <c r="D175" s="528">
        <v>0.97499999999999998</v>
      </c>
      <c r="E175" s="529" t="s">
        <v>704</v>
      </c>
    </row>
    <row r="176" spans="2:5">
      <c r="B176" s="526" t="s">
        <v>832</v>
      </c>
      <c r="C176" s="526" t="str">
        <f t="shared" si="14"/>
        <v>C</v>
      </c>
      <c r="D176" s="526">
        <v>0.98199999999999998</v>
      </c>
      <c r="E176" s="527" t="s">
        <v>704</v>
      </c>
    </row>
    <row r="177" spans="2:11">
      <c r="B177" s="528" t="s">
        <v>827</v>
      </c>
      <c r="C177" s="526" t="str">
        <f t="shared" si="14"/>
        <v>A</v>
      </c>
      <c r="D177" s="528">
        <v>0.98399999999999999</v>
      </c>
      <c r="E177" s="529" t="s">
        <v>704</v>
      </c>
    </row>
    <row r="178" spans="2:11">
      <c r="B178" s="526" t="s">
        <v>830</v>
      </c>
      <c r="C178" s="526" t="str">
        <f t="shared" si="14"/>
        <v>B</v>
      </c>
      <c r="D178" s="526">
        <v>0.97399999999999998</v>
      </c>
      <c r="E178" s="527" t="s">
        <v>704</v>
      </c>
    </row>
    <row r="179" spans="2:11">
      <c r="B179" s="528" t="s">
        <v>833</v>
      </c>
      <c r="C179" s="526" t="str">
        <f t="shared" si="14"/>
        <v>C</v>
      </c>
      <c r="D179" s="528">
        <v>0.98099999999999998</v>
      </c>
      <c r="E179" s="529" t="s">
        <v>704</v>
      </c>
    </row>
    <row r="180" spans="2:11">
      <c r="B180" s="528" t="s">
        <v>813</v>
      </c>
      <c r="C180" s="526" t="str">
        <f t="shared" ref="C180:C211" si="15">RIGHT(B180,1)</f>
        <v>A</v>
      </c>
      <c r="D180" s="528">
        <v>0.97299999999999998</v>
      </c>
      <c r="E180" s="529" t="s">
        <v>704</v>
      </c>
    </row>
    <row r="181" spans="2:11">
      <c r="B181" s="528" t="s">
        <v>815</v>
      </c>
      <c r="C181" s="526" t="str">
        <f t="shared" si="15"/>
        <v>B</v>
      </c>
      <c r="D181" s="528">
        <v>0.95799999999999996</v>
      </c>
      <c r="E181" s="529" t="s">
        <v>704</v>
      </c>
    </row>
    <row r="182" spans="2:11">
      <c r="B182" s="528" t="s">
        <v>817</v>
      </c>
      <c r="C182" s="526" t="str">
        <f t="shared" si="15"/>
        <v>C</v>
      </c>
      <c r="D182" s="528">
        <v>0.96699999999999997</v>
      </c>
      <c r="E182" s="529" t="s">
        <v>704</v>
      </c>
    </row>
    <row r="183" spans="2:11">
      <c r="B183" s="526" t="s">
        <v>814</v>
      </c>
      <c r="C183" s="526" t="str">
        <f t="shared" si="15"/>
        <v>A</v>
      </c>
      <c r="D183" s="526">
        <v>0.97299999999999998</v>
      </c>
      <c r="E183" s="527" t="s">
        <v>704</v>
      </c>
    </row>
    <row r="184" spans="2:11">
      <c r="B184" s="526" t="s">
        <v>816</v>
      </c>
      <c r="C184" s="526" t="str">
        <f t="shared" si="15"/>
        <v>B</v>
      </c>
      <c r="D184" s="526">
        <v>0.95899999999999996</v>
      </c>
      <c r="E184" s="527" t="s">
        <v>704</v>
      </c>
    </row>
    <row r="185" spans="2:11">
      <c r="B185" s="526" t="s">
        <v>818</v>
      </c>
      <c r="C185" s="526" t="str">
        <f t="shared" si="15"/>
        <v>C</v>
      </c>
      <c r="D185" s="526">
        <v>0.96699999999999997</v>
      </c>
      <c r="E185" s="527" t="s">
        <v>704</v>
      </c>
    </row>
    <row r="186" spans="2:11">
      <c r="B186" s="528" t="s">
        <v>825</v>
      </c>
      <c r="C186" s="526" t="str">
        <f t="shared" si="15"/>
        <v>A</v>
      </c>
      <c r="D186" s="528">
        <v>0.96099999999999997</v>
      </c>
      <c r="E186" s="529" t="s">
        <v>704</v>
      </c>
    </row>
    <row r="187" spans="2:11">
      <c r="B187" s="526" t="s">
        <v>828</v>
      </c>
      <c r="C187" s="526" t="str">
        <f t="shared" si="15"/>
        <v>B</v>
      </c>
      <c r="D187" s="526">
        <v>0.93899999999999995</v>
      </c>
      <c r="E187" s="527" t="s">
        <v>704</v>
      </c>
    </row>
    <row r="188" spans="2:11">
      <c r="B188" s="528" t="s">
        <v>831</v>
      </c>
      <c r="C188" s="526" t="str">
        <f t="shared" si="15"/>
        <v>C</v>
      </c>
      <c r="D188" s="528">
        <v>0.95099999999999996</v>
      </c>
      <c r="E188" s="529" t="s">
        <v>704</v>
      </c>
    </row>
    <row r="189" spans="2:11">
      <c r="B189" s="526" t="s">
        <v>703</v>
      </c>
      <c r="C189" s="526" t="str">
        <f t="shared" si="15"/>
        <v>A</v>
      </c>
      <c r="D189" s="526">
        <v>0.97399999999999998</v>
      </c>
      <c r="E189" s="527" t="s">
        <v>704</v>
      </c>
      <c r="F189">
        <v>79.3</v>
      </c>
      <c r="G189">
        <v>73.2</v>
      </c>
      <c r="H189">
        <v>68</v>
      </c>
      <c r="I189">
        <v>63.5</v>
      </c>
      <c r="K189">
        <v>59.5</v>
      </c>
    </row>
    <row r="190" spans="2:11">
      <c r="B190" s="528" t="s">
        <v>705</v>
      </c>
      <c r="C190" s="526" t="str">
        <f t="shared" si="15"/>
        <v>B</v>
      </c>
      <c r="D190" s="528">
        <v>0.95899999999999996</v>
      </c>
      <c r="E190" s="529" t="s">
        <v>704</v>
      </c>
      <c r="F190">
        <v>57.6</v>
      </c>
      <c r="G190">
        <v>53.9</v>
      </c>
      <c r="H190">
        <v>50.4</v>
      </c>
      <c r="I190">
        <v>47.3</v>
      </c>
      <c r="K190">
        <v>44.6</v>
      </c>
    </row>
    <row r="191" spans="2:11">
      <c r="B191" s="526" t="s">
        <v>706</v>
      </c>
      <c r="C191" s="526" t="str">
        <f t="shared" si="15"/>
        <v>C</v>
      </c>
      <c r="D191" s="526">
        <v>0.96799999999999997</v>
      </c>
      <c r="E191" s="527" t="s">
        <v>704</v>
      </c>
      <c r="F191">
        <v>67.400000000000006</v>
      </c>
      <c r="G191">
        <v>63.4</v>
      </c>
      <c r="H191">
        <v>59.7</v>
      </c>
      <c r="I191">
        <v>56.3</v>
      </c>
      <c r="K191">
        <v>53.2</v>
      </c>
    </row>
    <row r="192" spans="2:11">
      <c r="B192" s="528" t="s">
        <v>885</v>
      </c>
      <c r="C192" s="526" t="str">
        <f t="shared" si="15"/>
        <v>A</v>
      </c>
      <c r="D192" s="528">
        <v>0.97299999999999998</v>
      </c>
      <c r="E192" s="529" t="s">
        <v>704</v>
      </c>
    </row>
    <row r="193" spans="2:11">
      <c r="B193" s="526" t="s">
        <v>886</v>
      </c>
      <c r="C193" s="526" t="str">
        <f t="shared" si="15"/>
        <v>B</v>
      </c>
      <c r="D193" s="526">
        <v>0.95899999999999996</v>
      </c>
      <c r="E193" s="527" t="s">
        <v>704</v>
      </c>
    </row>
    <row r="194" spans="2:11">
      <c r="B194" s="528" t="s">
        <v>887</v>
      </c>
      <c r="C194" s="526" t="str">
        <f t="shared" si="15"/>
        <v>C</v>
      </c>
      <c r="D194" s="528">
        <v>0.96699999999999997</v>
      </c>
      <c r="E194" s="529" t="s">
        <v>704</v>
      </c>
    </row>
    <row r="195" spans="2:11">
      <c r="B195" s="528" t="s">
        <v>861</v>
      </c>
      <c r="C195" s="526" t="str">
        <f t="shared" si="15"/>
        <v>A</v>
      </c>
      <c r="D195" s="528">
        <v>0.97899999999999998</v>
      </c>
      <c r="E195" s="529" t="s">
        <v>704</v>
      </c>
    </row>
    <row r="196" spans="2:11">
      <c r="B196" s="526" t="s">
        <v>864</v>
      </c>
      <c r="C196" s="526" t="str">
        <f t="shared" si="15"/>
        <v>B</v>
      </c>
      <c r="D196" s="526">
        <v>0.96699999999999997</v>
      </c>
      <c r="E196" s="527" t="s">
        <v>704</v>
      </c>
    </row>
    <row r="197" spans="2:11">
      <c r="B197" s="528" t="s">
        <v>867</v>
      </c>
      <c r="C197" s="526" t="str">
        <f t="shared" si="15"/>
        <v>C</v>
      </c>
      <c r="D197" s="528">
        <v>0.97599999999999998</v>
      </c>
      <c r="E197" s="529" t="s">
        <v>704</v>
      </c>
    </row>
    <row r="198" spans="2:11">
      <c r="B198" s="526" t="s">
        <v>862</v>
      </c>
      <c r="C198" s="526" t="str">
        <f t="shared" si="15"/>
        <v>A</v>
      </c>
      <c r="D198" s="526">
        <v>0.98299999999999998</v>
      </c>
      <c r="E198" s="527" t="s">
        <v>704</v>
      </c>
    </row>
    <row r="199" spans="2:11">
      <c r="B199" s="528" t="s">
        <v>865</v>
      </c>
      <c r="C199" s="526" t="str">
        <f t="shared" si="15"/>
        <v>B</v>
      </c>
      <c r="D199" s="528">
        <v>0.97299999999999998</v>
      </c>
      <c r="E199" s="529" t="s">
        <v>704</v>
      </c>
    </row>
    <row r="200" spans="2:11">
      <c r="B200" s="526" t="s">
        <v>868</v>
      </c>
      <c r="C200" s="526" t="str">
        <f t="shared" si="15"/>
        <v>C</v>
      </c>
      <c r="D200" s="526">
        <v>0.98099999999999998</v>
      </c>
      <c r="E200" s="527" t="s">
        <v>704</v>
      </c>
    </row>
    <row r="201" spans="2:11">
      <c r="B201" s="528" t="s">
        <v>863</v>
      </c>
      <c r="C201" s="526" t="str">
        <f t="shared" si="15"/>
        <v>A</v>
      </c>
      <c r="D201" s="528">
        <v>0.95799999999999996</v>
      </c>
      <c r="E201" s="529" t="s">
        <v>704</v>
      </c>
      <c r="F201">
        <v>76.5</v>
      </c>
      <c r="G201">
        <v>69.900000000000006</v>
      </c>
      <c r="H201">
        <v>64.400000000000006</v>
      </c>
      <c r="I201">
        <v>59.7</v>
      </c>
      <c r="K201">
        <v>55.6</v>
      </c>
    </row>
    <row r="202" spans="2:11">
      <c r="B202" s="526" t="s">
        <v>866</v>
      </c>
      <c r="C202" s="526" t="str">
        <f t="shared" si="15"/>
        <v>B</v>
      </c>
      <c r="D202" s="526">
        <v>0.93700000000000006</v>
      </c>
      <c r="E202" s="527" t="s">
        <v>704</v>
      </c>
      <c r="F202">
        <v>56</v>
      </c>
      <c r="G202">
        <v>51.7</v>
      </c>
      <c r="H202">
        <v>47.9</v>
      </c>
      <c r="I202">
        <v>44.7</v>
      </c>
      <c r="K202">
        <v>41.9</v>
      </c>
    </row>
    <row r="203" spans="2:11">
      <c r="B203" s="528" t="s">
        <v>869</v>
      </c>
      <c r="C203" s="526" t="str">
        <f t="shared" si="15"/>
        <v>C</v>
      </c>
      <c r="D203" s="528">
        <v>0.95</v>
      </c>
      <c r="E203" s="529" t="s">
        <v>704</v>
      </c>
      <c r="F203">
        <v>65.599999999999994</v>
      </c>
      <c r="G203">
        <v>61.1</v>
      </c>
      <c r="H203">
        <v>57</v>
      </c>
      <c r="I203">
        <v>53.4</v>
      </c>
      <c r="K203">
        <v>50.2</v>
      </c>
    </row>
    <row r="204" spans="2:11">
      <c r="B204" s="526" t="s">
        <v>892</v>
      </c>
      <c r="C204" s="526" t="str">
        <f t="shared" si="15"/>
        <v>A</v>
      </c>
      <c r="D204" s="526">
        <v>0.97499999999999998</v>
      </c>
      <c r="E204" s="527" t="s">
        <v>704</v>
      </c>
    </row>
    <row r="205" spans="2:11">
      <c r="B205" s="526" t="s">
        <v>894</v>
      </c>
      <c r="C205" s="526" t="str">
        <f t="shared" si="15"/>
        <v>B</v>
      </c>
      <c r="D205" s="526">
        <v>0.96199999999999997</v>
      </c>
      <c r="E205" s="527" t="s">
        <v>704</v>
      </c>
    </row>
    <row r="206" spans="2:11">
      <c r="B206" s="526" t="s">
        <v>896</v>
      </c>
      <c r="C206" s="526" t="str">
        <f t="shared" si="15"/>
        <v>C</v>
      </c>
      <c r="D206" s="526">
        <v>0.96899999999999997</v>
      </c>
      <c r="E206" s="527" t="s">
        <v>704</v>
      </c>
    </row>
    <row r="207" spans="2:11">
      <c r="B207" s="528" t="s">
        <v>891</v>
      </c>
      <c r="C207" s="526" t="str">
        <f t="shared" si="15"/>
        <v>A</v>
      </c>
      <c r="D207" s="528">
        <v>0.98699999999999999</v>
      </c>
      <c r="E207" s="529" t="s">
        <v>704</v>
      </c>
    </row>
    <row r="208" spans="2:11">
      <c r="B208" s="528" t="s">
        <v>893</v>
      </c>
      <c r="C208" s="526" t="str">
        <f t="shared" si="15"/>
        <v>B</v>
      </c>
      <c r="D208" s="528">
        <v>0.97899999999999998</v>
      </c>
      <c r="E208" s="529" t="s">
        <v>704</v>
      </c>
    </row>
    <row r="209" spans="2:5">
      <c r="B209" s="528" t="s">
        <v>895</v>
      </c>
      <c r="C209" s="526" t="str">
        <f t="shared" si="15"/>
        <v>C</v>
      </c>
      <c r="D209" s="528">
        <v>0.98399999999999999</v>
      </c>
      <c r="E209" s="529" t="s">
        <v>704</v>
      </c>
    </row>
    <row r="210" spans="2:5">
      <c r="B210" s="528" t="s">
        <v>797</v>
      </c>
      <c r="C210" s="526" t="str">
        <f t="shared" si="15"/>
        <v>A</v>
      </c>
      <c r="D210" s="528">
        <v>0.98</v>
      </c>
      <c r="E210" s="529" t="s">
        <v>704</v>
      </c>
    </row>
    <row r="211" spans="2:5">
      <c r="B211" s="526" t="s">
        <v>798</v>
      </c>
      <c r="C211" s="526" t="str">
        <f t="shared" si="15"/>
        <v>B</v>
      </c>
      <c r="D211" s="526">
        <v>0.96899999999999997</v>
      </c>
      <c r="E211" s="527" t="s">
        <v>704</v>
      </c>
    </row>
    <row r="212" spans="2:5">
      <c r="B212" s="528" t="s">
        <v>799</v>
      </c>
      <c r="C212" s="526" t="str">
        <f t="shared" ref="C212" si="16">RIGHT(B212,1)</f>
        <v>C</v>
      </c>
      <c r="D212" s="528">
        <v>0.97699999999999998</v>
      </c>
      <c r="E212" s="529" t="s">
        <v>704</v>
      </c>
    </row>
  </sheetData>
  <sortState xmlns:xlrd2="http://schemas.microsoft.com/office/spreadsheetml/2017/richdata2" ref="B4:K15">
    <sortCondition ref="C4:C15"/>
  </sortState>
  <hyperlinks>
    <hyperlink ref="E189" r:id="rId1" display="https://www.ncm-pcdb.org.uk/sap/pcdbdetails.jsp?pid=33&amp;id=080003&amp;type=353&amp;mid=020064" xr:uid="{C791D8F2-C74D-425F-A7AF-ECFEAC618EDD}"/>
    <hyperlink ref="E190" r:id="rId2" display="https://www.ncm-pcdb.org.uk/sap/pcdbdetails.jsp?pid=33&amp;id=080004&amp;type=353&amp;mid=020064" xr:uid="{E9384184-FCC2-456E-B25D-4FA8660C837A}"/>
    <hyperlink ref="E191" r:id="rId3" display="https://www.ncm-pcdb.org.uk/sap/pcdbdetails.jsp?pid=33&amp;id=080005&amp;type=353&amp;mid=020064" xr:uid="{EF343ACC-547C-4C47-BA62-6BF24D60EB46}"/>
    <hyperlink ref="E26" r:id="rId4" display="https://www.ncm-pcdb.org.uk/sap/pcdbdetails.jsp?pid=33&amp;id=080006&amp;type=353&amp;mid=020064" xr:uid="{89659658-A23F-43A5-9DAF-F4B9F7729D8B}"/>
    <hyperlink ref="E29" r:id="rId5" display="https://www.ncm-pcdb.org.uk/sap/pcdbdetails.jsp?pid=33&amp;id=080007&amp;type=353&amp;mid=020064" xr:uid="{D7EBFCEF-0743-4100-9AA6-B9F6B3EDC7E6}"/>
    <hyperlink ref="E75" r:id="rId6" display="https://www.ncm-pcdb.org.uk/sap/pcdbdetails.jsp?pid=33&amp;id=080008&amp;type=353&amp;mid=020063" xr:uid="{7FBC1158-99AB-4B01-9BB5-D4B1CD17126E}"/>
    <hyperlink ref="E76" r:id="rId7" display="https://www.ncm-pcdb.org.uk/sap/pcdbdetails.jsp?pid=33&amp;id=080009&amp;type=353&amp;mid=020063" xr:uid="{DFBCF72B-0155-43B5-801C-D6A02C1ECA72}"/>
    <hyperlink ref="E77" r:id="rId8" display="https://www.ncm-pcdb.org.uk/sap/pcdbdetails.jsp?pid=33&amp;id=080010&amp;type=353&amp;mid=020063" xr:uid="{188B5D08-FC73-4894-A89D-46EF0182FA0A}"/>
    <hyperlink ref="E78" r:id="rId9" display="https://www.ncm-pcdb.org.uk/sap/pcdbdetails.jsp?pid=33&amp;id=080011&amp;type=353&amp;mid=020063" xr:uid="{65C8BCAA-A9A0-401F-9B32-8B0A2DEC3478}"/>
    <hyperlink ref="E79" r:id="rId10" display="https://www.ncm-pcdb.org.uk/sap/pcdbdetails.jsp?pid=33&amp;id=080012&amp;type=353&amp;mid=020063" xr:uid="{BA16282E-9526-4EB1-9A7E-C718545037BC}"/>
    <hyperlink ref="E80" r:id="rId11" display="https://www.ncm-pcdb.org.uk/sap/pcdbdetails.jsp?pid=33&amp;id=080013&amp;type=353&amp;mid=020063" xr:uid="{10B8F1B7-432A-43D7-B539-EF85A1A1E2F5}"/>
    <hyperlink ref="E81" r:id="rId12" display="https://www.ncm-pcdb.org.uk/sap/pcdbdetails.jsp?pid=33&amp;id=080014&amp;type=353&amp;mid=020063" xr:uid="{DAB5594B-2342-463E-A3C9-2B4D78B74E6E}"/>
    <hyperlink ref="E83" r:id="rId13" display="https://www.ncm-pcdb.org.uk/sap/pcdbdetails.jsp?pid=33&amp;id=080015&amp;type=353&amp;mid=020063" xr:uid="{FDC20F80-87B0-4307-B5A0-CE1717BCAA8E}"/>
    <hyperlink ref="E84" r:id="rId14" display="https://www.ncm-pcdb.org.uk/sap/pcdbdetails.jsp?pid=33&amp;id=080016&amp;type=353&amp;mid=020063" xr:uid="{0860778E-9A8D-4101-B7F4-0C42D53E609F}"/>
    <hyperlink ref="E85" r:id="rId15" display="https://www.ncm-pcdb.org.uk/sap/pcdbdetails.jsp?pid=33&amp;id=080017&amp;type=353&amp;mid=020063" xr:uid="{805D57E1-815D-4B03-A866-8DE6AC3C7D8C}"/>
    <hyperlink ref="E87" r:id="rId16" display="https://www.ncm-pcdb.org.uk/sap/pcdbdetails.jsp?pid=33&amp;id=080018&amp;type=353&amp;mid=020063" xr:uid="{7D4AA964-98B8-414D-A2E3-93BDAEC08E20}"/>
    <hyperlink ref="E73" r:id="rId17" display="https://www.ncm-pcdb.org.uk/sap/pcdbdetails.jsp?pid=33&amp;id=080019&amp;type=353&amp;mid=020063" xr:uid="{509050D6-A48E-47BA-9F84-05A00FD33B3E}"/>
    <hyperlink ref="E74" r:id="rId18" display="https://www.ncm-pcdb.org.uk/sap/pcdbdetails.jsp?pid=33&amp;id=080020&amp;type=353&amp;mid=020063" xr:uid="{006199EB-92F9-413F-A9E6-6B2523FC22FD}"/>
    <hyperlink ref="E90" r:id="rId19" display="https://www.ncm-pcdb.org.uk/sap/pcdbdetails.jsp?pid=33&amp;id=080021&amp;type=353&amp;mid=020063" xr:uid="{0642F4F0-8EBD-4C94-B2E3-9D0B33E31AB4}"/>
    <hyperlink ref="E91" r:id="rId20" display="https://www.ncm-pcdb.org.uk/sap/pcdbdetails.jsp?pid=33&amp;id=080022&amp;type=353&amp;mid=020063" xr:uid="{6EE23817-ED45-4591-A7DB-4C44B800BEEA}"/>
    <hyperlink ref="E92" r:id="rId21" display="https://www.ncm-pcdb.org.uk/sap/pcdbdetails.jsp?pid=33&amp;id=080023&amp;type=353&amp;mid=020063" xr:uid="{3354D10F-F900-48CF-878F-DF11F95446A4}"/>
    <hyperlink ref="E93" r:id="rId22" display="https://www.ncm-pcdb.org.uk/sap/pcdbdetails.jsp?pid=33&amp;id=080024&amp;type=353&amp;mid=020063" xr:uid="{56B56A86-30F0-4E29-9E30-E1D8A4F40DCE}"/>
    <hyperlink ref="E94" r:id="rId23" display="https://www.ncm-pcdb.org.uk/sap/pcdbdetails.jsp?pid=33&amp;id=080025&amp;type=353&amp;mid=020063" xr:uid="{7C516A89-0E39-42B1-9E59-82F63EE7575D}"/>
    <hyperlink ref="E95" r:id="rId24" display="https://www.ncm-pcdb.org.uk/sap/pcdbdetails.jsp?pid=33&amp;id=080026&amp;type=353&amp;mid=020063" xr:uid="{4A526ED4-2B15-4A05-9411-057AFDF6DBEE}"/>
    <hyperlink ref="E96" r:id="rId25" display="https://www.ncm-pcdb.org.uk/sap/pcdbdetails.jsp?pid=33&amp;id=080027&amp;type=353&amp;mid=020063" xr:uid="{C7B0408F-3BFD-49F1-9191-1EAA1C46BA74}"/>
    <hyperlink ref="E97" r:id="rId26" display="https://www.ncm-pcdb.org.uk/sap/pcdbdetails.jsp?pid=33&amp;id=080028&amp;type=353&amp;mid=020063" xr:uid="{FDD2756A-C47B-47CC-99D3-6D751710B498}"/>
    <hyperlink ref="E98" r:id="rId27" display="https://www.ncm-pcdb.org.uk/sap/pcdbdetails.jsp?pid=33&amp;id=080029&amp;type=353&amp;mid=020063" xr:uid="{36C9CF2C-0A33-47DE-A470-B21AB6BD1C0A}"/>
    <hyperlink ref="E99" r:id="rId28" display="https://www.ncm-pcdb.org.uk/sap/pcdbdetails.jsp?pid=33&amp;id=080030&amp;type=353&amp;mid=020063" xr:uid="{4613699B-F7D9-47F0-8FC1-52D3E2AF24EB}"/>
    <hyperlink ref="E100" r:id="rId29" display="https://www.ncm-pcdb.org.uk/sap/pcdbdetails.jsp?pid=33&amp;id=080031&amp;type=353&amp;mid=020063" xr:uid="{09D913FD-84AB-4B7E-BFA4-9EDDBC2A8969}"/>
    <hyperlink ref="E88" r:id="rId30" display="https://www.ncm-pcdb.org.uk/sap/pcdbdetails.jsp?pid=33&amp;id=080032&amp;type=353&amp;mid=020063" xr:uid="{B2A79DE2-E125-46A2-95BC-25AF92C1FDF5}"/>
    <hyperlink ref="E89" r:id="rId31" display="https://www.ncm-pcdb.org.uk/sap/pcdbdetails.jsp?pid=33&amp;id=080033&amp;type=353&amp;mid=020063" xr:uid="{44290339-E4E8-47F2-B6D9-C6B4F018EBBD}"/>
    <hyperlink ref="E103" r:id="rId32" display="https://www.ncm-pcdb.org.uk/sap/pcdbdetails.jsp?pid=33&amp;id=080034&amp;type=353&amp;mid=020063" xr:uid="{3C920EA1-7BB2-46EE-A718-72DB40EABA07}"/>
    <hyperlink ref="E104" r:id="rId33" display="https://www.ncm-pcdb.org.uk/sap/pcdbdetails.jsp?pid=33&amp;id=080035&amp;type=353&amp;mid=020063" xr:uid="{E4548720-3E6F-4D62-87D3-9A49789960EA}"/>
    <hyperlink ref="E105" r:id="rId34" display="https://www.ncm-pcdb.org.uk/sap/pcdbdetails.jsp?pid=33&amp;id=080036&amp;type=353&amp;mid=020063" xr:uid="{C5A5183F-333B-42DA-AE26-A1839266320A}"/>
    <hyperlink ref="E106" r:id="rId35" display="https://www.ncm-pcdb.org.uk/sap/pcdbdetails.jsp?pid=33&amp;id=080037&amp;type=353&amp;mid=020063" xr:uid="{65C26E54-F274-4C9C-9318-C0D477641059}"/>
    <hyperlink ref="E107" r:id="rId36" display="https://www.ncm-pcdb.org.uk/sap/pcdbdetails.jsp?pid=33&amp;id=080038&amp;type=353&amp;mid=020063" xr:uid="{987E0842-04EF-4EED-80A3-9451B44DB200}"/>
    <hyperlink ref="E108" r:id="rId37" display="https://www.ncm-pcdb.org.uk/sap/pcdbdetails.jsp?pid=33&amp;id=080039&amp;type=353&amp;mid=020063" xr:uid="{6CED2693-6E42-404B-B4CE-FE16A30F5DC9}"/>
    <hyperlink ref="E109" r:id="rId38" display="https://www.ncm-pcdb.org.uk/sap/pcdbdetails.jsp?pid=33&amp;id=080040&amp;type=353&amp;mid=020063" xr:uid="{3BB9BB4B-ED0A-46B4-9AD8-F1AF1F53C97E}"/>
    <hyperlink ref="E110" r:id="rId39" display="https://www.ncm-pcdb.org.uk/sap/pcdbdetails.jsp?pid=33&amp;id=080041&amp;type=353&amp;mid=020063" xr:uid="{433AB405-5291-43A0-95EA-37F0D912DEB3}"/>
    <hyperlink ref="E112" r:id="rId40" display="https://www.ncm-pcdb.org.uk/sap/pcdbdetails.jsp?pid=33&amp;id=080042&amp;type=353&amp;mid=020063" xr:uid="{3F8B7730-0DE2-4C0D-A724-2F7A6CA1C30B}"/>
    <hyperlink ref="E113" r:id="rId41" display="https://www.ncm-pcdb.org.uk/sap/pcdbdetails.jsp?pid=33&amp;id=080043&amp;type=353&amp;mid=020063" xr:uid="{F5170A88-1762-41A6-822E-7761E6BB25D6}"/>
    <hyperlink ref="E114" r:id="rId42" display="https://www.ncm-pcdb.org.uk/sap/pcdbdetails.jsp?pid=33&amp;id=080044&amp;type=353&amp;mid=020063" xr:uid="{D5434F1D-8476-4A09-9942-8C64F3A2CE33}"/>
    <hyperlink ref="E116" r:id="rId43" display="https://www.ncm-pcdb.org.uk/sap/pcdbdetails.jsp?pid=33&amp;id=080045&amp;type=353&amp;mid=020063" xr:uid="{1D94A641-C219-4B4F-B7BA-6EB1A730B0DA}"/>
    <hyperlink ref="E101" r:id="rId44" display="https://www.ncm-pcdb.org.uk/sap/pcdbdetails.jsp?pid=33&amp;id=080046&amp;type=353&amp;mid=020063" xr:uid="{D127E18C-DAB4-4411-B80A-82669F64BAFE}"/>
    <hyperlink ref="E102" r:id="rId45" display="https://www.ncm-pcdb.org.uk/sap/pcdbdetails.jsp?pid=33&amp;id=080047&amp;type=353&amp;mid=020063" xr:uid="{A75136CF-F4D5-4D73-B5CD-45E5FFA6AF05}"/>
    <hyperlink ref="E46" r:id="rId46" display="https://www.ncm-pcdb.org.uk/sap/pcdbdetails.jsp?pid=33&amp;id=080048&amp;type=353&amp;mid=020063" xr:uid="{12D4DCD5-5FD4-4632-8B86-1846181A1AE4}"/>
    <hyperlink ref="E47" r:id="rId47" display="https://www.ncm-pcdb.org.uk/sap/pcdbdetails.jsp?pid=33&amp;id=080049&amp;type=353&amp;mid=020063" xr:uid="{4C6EDA24-A2EA-4CD9-AB1D-932F5573EECE}"/>
    <hyperlink ref="E48" r:id="rId48" display="https://www.ncm-pcdb.org.uk/sap/pcdbdetails.jsp?pid=33&amp;id=080050&amp;type=353&amp;mid=020063" xr:uid="{C1EB2018-6F91-4C24-83B7-EA92FB349F98}"/>
    <hyperlink ref="E49" r:id="rId49" display="https://www.ncm-pcdb.org.uk/sap/pcdbdetails.jsp?pid=33&amp;id=080051&amp;type=353&amp;mid=020063" xr:uid="{7003BF25-99CF-4FC2-8B7B-E0BF27803B62}"/>
    <hyperlink ref="E50" r:id="rId50" display="https://www.ncm-pcdb.org.uk/sap/pcdbdetails.jsp?pid=33&amp;id=080052&amp;type=353&amp;mid=020063" xr:uid="{2FB85E02-4C3E-4E68-9435-5477F1B36B1E}"/>
    <hyperlink ref="E51" r:id="rId51" display="https://www.ncm-pcdb.org.uk/sap/pcdbdetails.jsp?pid=33&amp;id=080053&amp;type=353&amp;mid=020063" xr:uid="{E4F0A4FE-80DF-43F7-82FB-51E316F39A13}"/>
    <hyperlink ref="E52" r:id="rId52" display="https://www.ncm-pcdb.org.uk/sap/pcdbdetails.jsp?pid=33&amp;id=080054&amp;type=353&amp;mid=020063" xr:uid="{65093665-1CBC-40F9-B377-241489ED0AC5}"/>
    <hyperlink ref="E44" r:id="rId53" display="https://www.ncm-pcdb.org.uk/sap/pcdbdetails.jsp?pid=33&amp;id=080055&amp;type=353&amp;mid=020063" xr:uid="{A7C56BBC-47C1-470E-B01A-922CA69CCD1D}"/>
    <hyperlink ref="E45" r:id="rId54" display="https://www.ncm-pcdb.org.uk/sap/pcdbdetails.jsp?pid=33&amp;id=080056&amp;type=353&amp;mid=020063" xr:uid="{D7826CC8-1FA6-4C47-9783-95AA530900A5}"/>
    <hyperlink ref="E55" r:id="rId55" display="https://www.ncm-pcdb.org.uk/sap/pcdbdetails.jsp?pid=33&amp;id=080057&amp;type=353&amp;mid=020063" xr:uid="{7EDDC5E5-ED36-46C5-965B-4311A67CDA85}"/>
    <hyperlink ref="E56" r:id="rId56" display="https://www.ncm-pcdb.org.uk/sap/pcdbdetails.jsp?pid=33&amp;id=080058&amp;type=353&amp;mid=020063" xr:uid="{66516C7F-13F2-4EE4-9FD3-0A365080E7BF}"/>
    <hyperlink ref="E57" r:id="rId57" display="https://www.ncm-pcdb.org.uk/sap/pcdbdetails.jsp?pid=33&amp;id=080059&amp;type=353&amp;mid=020063" xr:uid="{13D2330E-1DBE-4B59-85B9-72C5163626C3}"/>
    <hyperlink ref="E58" r:id="rId58" display="https://www.ncm-pcdb.org.uk/sap/pcdbdetails.jsp?pid=33&amp;id=080060&amp;type=353&amp;mid=020063" xr:uid="{2A500FC5-E972-40FF-8F94-0636A11EB267}"/>
    <hyperlink ref="E59" r:id="rId59" display="https://www.ncm-pcdb.org.uk/sap/pcdbdetails.jsp?pid=33&amp;id=080061&amp;type=353&amp;mid=020063" xr:uid="{1A704FC2-594C-4FFA-AEB3-44F5379C3485}"/>
    <hyperlink ref="E60" r:id="rId60" display="https://www.ncm-pcdb.org.uk/sap/pcdbdetails.jsp?pid=33&amp;id=080062&amp;type=353&amp;mid=020063" xr:uid="{1EF21AAB-3DFF-481C-BFE1-975A41EF8E43}"/>
    <hyperlink ref="E61" r:id="rId61" display="https://www.ncm-pcdb.org.uk/sap/pcdbdetails.jsp?pid=33&amp;id=080063&amp;type=353&amp;mid=020063" xr:uid="{5B852036-34CE-441C-A165-AE88B1BBAEB7}"/>
    <hyperlink ref="E62" r:id="rId62" display="https://www.ncm-pcdb.org.uk/sap/pcdbdetails.jsp?pid=33&amp;id=080064&amp;type=353&amp;mid=020063" xr:uid="{0EBA87CE-9E00-46F7-9C0F-F5787B43D9AD}"/>
    <hyperlink ref="E63" r:id="rId63" display="https://www.ncm-pcdb.org.uk/sap/pcdbdetails.jsp?pid=33&amp;id=080065&amp;type=353&amp;mid=020063" xr:uid="{1D737938-CA3E-4AE6-BFE6-62357E45B906}"/>
    <hyperlink ref="E64" r:id="rId64" display="https://www.ncm-pcdb.org.uk/sap/pcdbdetails.jsp?pid=33&amp;id=080066&amp;type=353&amp;mid=020063" xr:uid="{0FB7B5EE-EEC5-437E-8DEE-A1DDDA64D3F6}"/>
    <hyperlink ref="E65" r:id="rId65" display="https://www.ncm-pcdb.org.uk/sap/pcdbdetails.jsp?pid=33&amp;id=080067&amp;type=353&amp;mid=020063" xr:uid="{4F841BEE-114F-4EE9-8AF4-312C7ED52ECA}"/>
    <hyperlink ref="E66" r:id="rId66" display="https://www.ncm-pcdb.org.uk/sap/pcdbdetails.jsp?pid=33&amp;id=080068&amp;type=353&amp;mid=020063" xr:uid="{CCF8A51B-FC7C-4FEC-AC1B-A4881FB278A5}"/>
    <hyperlink ref="E53" r:id="rId67" display="https://www.ncm-pcdb.org.uk/sap/pcdbdetails.jsp?pid=33&amp;id=080069&amp;type=353&amp;mid=020063" xr:uid="{51EDA430-BE3A-4687-AA88-92757731C59A}"/>
    <hyperlink ref="E54" r:id="rId68" display="https://www.ncm-pcdb.org.uk/sap/pcdbdetails.jsp?pid=33&amp;id=080070&amp;type=353&amp;mid=020063" xr:uid="{6BAAC28E-86E5-44CB-AE8B-43E4140A6406}"/>
    <hyperlink ref="E123" r:id="rId69" display="https://www.ncm-pcdb.org.uk/sap/pcdbdetails.jsp?pid=33&amp;id=080071&amp;type=353&amp;mid=020075" xr:uid="{E9D2E10A-64FB-472E-90D9-85E34949645B}"/>
    <hyperlink ref="E147" r:id="rId70" display="https://www.ncm-pcdb.org.uk/sap/pcdbdetails.jsp?pid=33&amp;id=080072&amp;type=353&amp;mid=020075" xr:uid="{ADCEA195-3DAB-46E2-B45A-2556FD683F83}"/>
    <hyperlink ref="E156" r:id="rId71" display="https://www.ncm-pcdb.org.uk/sap/pcdbdetails.jsp?pid=33&amp;id=080073&amp;type=353&amp;mid=020075" xr:uid="{F2D97607-E5D0-4161-8D1D-CA33C2DDA79D}"/>
    <hyperlink ref="E159" r:id="rId72" display="https://www.ncm-pcdb.org.uk/sap/pcdbdetails.jsp?pid=33&amp;id=080074&amp;type=353&amp;mid=020075" xr:uid="{2CF8F2C7-CCB6-4596-B060-306DE2792189}"/>
    <hyperlink ref="E162" r:id="rId73" display="https://www.ncm-pcdb.org.uk/sap/pcdbdetails.jsp?pid=33&amp;id=080075&amp;type=353&amp;mid=020075" xr:uid="{2637C88F-4E4A-4B82-94DA-A0427746C67A}"/>
    <hyperlink ref="E124" r:id="rId74" display="https://www.ncm-pcdb.org.uk/sap/pcdbdetails.jsp?pid=33&amp;id=080076&amp;type=353&amp;mid=020075" xr:uid="{D3E24368-D65F-4652-B1D9-775B71DA3F94}"/>
    <hyperlink ref="E148" r:id="rId75" display="https://www.ncm-pcdb.org.uk/sap/pcdbdetails.jsp?pid=33&amp;id=080077&amp;type=353&amp;mid=020075" xr:uid="{1DB3C936-46AE-40B6-ACF4-9BE2A358810A}"/>
    <hyperlink ref="E157" r:id="rId76" display="https://www.ncm-pcdb.org.uk/sap/pcdbdetails.jsp?pid=33&amp;id=080078&amp;type=353&amp;mid=020075" xr:uid="{6440B5CD-C618-42EB-B80F-980D032731D4}"/>
    <hyperlink ref="E160" r:id="rId77" display="https://www.ncm-pcdb.org.uk/sap/pcdbdetails.jsp?pid=33&amp;id=080079&amp;type=353&amp;mid=020075" xr:uid="{F1753666-9937-4E57-A7EB-F747538934FE}"/>
    <hyperlink ref="E163" r:id="rId78" display="https://www.ncm-pcdb.org.uk/sap/pcdbdetails.jsp?pid=33&amp;id=080080&amp;type=353&amp;mid=020075" xr:uid="{A3280869-2C78-40D2-BF75-008433E47D80}"/>
    <hyperlink ref="E125" r:id="rId79" display="https://www.ncm-pcdb.org.uk/sap/pcdbdetails.jsp?pid=33&amp;id=080081&amp;type=353&amp;mid=020075" xr:uid="{8A8F1FD3-60A0-4EFD-9167-27B27CA02A1A}"/>
    <hyperlink ref="E149" r:id="rId80" display="https://www.ncm-pcdb.org.uk/sap/pcdbdetails.jsp?pid=33&amp;id=080082&amp;type=353&amp;mid=020075" xr:uid="{A0081D1C-7A70-41FC-BAD8-17B36E23B142}"/>
    <hyperlink ref="E158" r:id="rId81" display="https://www.ncm-pcdb.org.uk/sap/pcdbdetails.jsp?pid=33&amp;id=080083&amp;type=353&amp;mid=020075" xr:uid="{B5835C35-E6BC-4791-9ACE-2CCE5CC0D0C0}"/>
    <hyperlink ref="E161" r:id="rId82" display="https://www.ncm-pcdb.org.uk/sap/pcdbdetails.jsp?pid=33&amp;id=080084&amp;type=353&amp;mid=020075" xr:uid="{7C46A6DF-9305-4DD3-93B2-3AA06D4E46D0}"/>
    <hyperlink ref="E164" r:id="rId83" display="https://www.ncm-pcdb.org.uk/sap/pcdbdetails.jsp?pid=33&amp;id=080085&amp;type=353&amp;mid=020075" xr:uid="{DC4BB864-8D3B-46AA-8B36-B0EAE9E925AC}"/>
    <hyperlink ref="E27" r:id="rId84" display="https://www.ncm-pcdb.org.uk/sap/pcdbdetails.jsp?pid=33&amp;id=080086&amp;type=353&amp;mid=020014" xr:uid="{9DE9D289-A530-49B1-842E-D4FE7308B679}"/>
    <hyperlink ref="E30" r:id="rId85" display="https://www.ncm-pcdb.org.uk/sap/pcdbdetails.jsp?pid=33&amp;id=080087&amp;type=353&amp;mid=020014" xr:uid="{F1402354-DF28-45F0-A0DF-3F2B362D18F9}"/>
    <hyperlink ref="E28" r:id="rId86" display="https://www.ncm-pcdb.org.uk/sap/pcdbdetails.jsp?pid=33&amp;id=080088&amp;type=353&amp;mid=020014" xr:uid="{62215547-884D-44D2-89F8-5C21AD76C90C}"/>
    <hyperlink ref="E31" r:id="rId87" display="https://www.ncm-pcdb.org.uk/sap/pcdbdetails.jsp?pid=33&amp;id=080089&amp;type=353&amp;mid=020014" xr:uid="{08D3E09B-F1EA-4E64-82AE-D8DFAA3763AE}"/>
    <hyperlink ref="E150" r:id="rId88" display="https://www.ncm-pcdb.org.uk/sap/pcdbdetails.jsp?pid=33&amp;id=080090&amp;type=353&amp;mid=020075" xr:uid="{9FEA6725-E4A6-4BC0-9D79-401EA2DB362B}"/>
    <hyperlink ref="E165" r:id="rId89" display="https://www.ncm-pcdb.org.uk/sap/pcdbdetails.jsp?pid=33&amp;id=080091&amp;type=353&amp;mid=020075" xr:uid="{4DF310C4-B563-49EC-AFCE-C1D975AA3ACF}"/>
    <hyperlink ref="E151" r:id="rId90" display="https://www.ncm-pcdb.org.uk/sap/pcdbdetails.jsp?pid=33&amp;id=080092&amp;type=353&amp;mid=020075" xr:uid="{95C2D20D-16A9-448F-9D17-7CECF990DC5F}"/>
    <hyperlink ref="E166" r:id="rId91" display="https://www.ncm-pcdb.org.uk/sap/pcdbdetails.jsp?pid=33&amp;id=080093&amp;type=353&amp;mid=020075" xr:uid="{B0289B7F-B95C-489C-89F5-343C551022F7}"/>
    <hyperlink ref="E152" r:id="rId92" display="https://www.ncm-pcdb.org.uk/sap/pcdbdetails.jsp?pid=33&amp;id=080094&amp;type=353&amp;mid=020075" xr:uid="{69CB7709-18E5-4A53-ADED-CF8CB91B4C15}"/>
    <hyperlink ref="E167" r:id="rId93" display="https://www.ncm-pcdb.org.uk/sap/pcdbdetails.jsp?pid=33&amp;id=080095&amp;type=353&amp;mid=020075" xr:uid="{CB3589D8-54D3-4D23-BB96-DC40F4ED9121}"/>
    <hyperlink ref="E210" r:id="rId94" display="https://www.ncm-pcdb.org.uk/sap/pcdbdetails.jsp?pid=33&amp;id=080100&amp;type=353&amp;mid=020142" xr:uid="{8BB287BC-0BC8-46D2-A250-C399780685BC}"/>
    <hyperlink ref="E211" r:id="rId95" display="https://www.ncm-pcdb.org.uk/sap/pcdbdetails.jsp?pid=33&amp;id=080101&amp;type=353&amp;mid=020142" xr:uid="{C7E2A997-ECB1-4045-B6EE-7F37579ED9BD}"/>
    <hyperlink ref="E212" r:id="rId96" display="https://www.ncm-pcdb.org.uk/sap/pcdbdetails.jsp?pid=33&amp;id=080102&amp;type=353&amp;mid=020142" xr:uid="{71C1154C-9B93-4074-865A-E936D1B3DFEF}"/>
    <hyperlink ref="E86" r:id="rId97" display="https://www.ncm-pcdb.org.uk/sap/pcdbdetails.jsp?pid=33&amp;id=080103&amp;type=353&amp;mid=020063" xr:uid="{26DF865E-9AC3-47AA-9D32-1042B124A2BD}"/>
    <hyperlink ref="E111" r:id="rId98" display="https://www.ncm-pcdb.org.uk/sap/pcdbdetails.jsp?pid=33&amp;id=080104&amp;type=353&amp;mid=020063" xr:uid="{D79B017F-D379-4D1C-973C-0AFA4BC9D9E9}"/>
    <hyperlink ref="E38" r:id="rId99" display="https://www.ncm-pcdb.org.uk/sap/pcdbdetails.jsp?pid=33&amp;id=080105&amp;type=353&amp;mid=020101" xr:uid="{2E5BB2F2-F512-4E93-B1A0-081DDF664993}"/>
    <hyperlink ref="E39" r:id="rId100" display="https://www.ncm-pcdb.org.uk/sap/pcdbdetails.jsp?pid=33&amp;id=080106&amp;type=353&amp;mid=020101" xr:uid="{53EF5BD2-CCA2-49DD-B964-56714E768193}"/>
    <hyperlink ref="E40" r:id="rId101" display="https://www.ncm-pcdb.org.uk/sap/pcdbdetails.jsp?pid=33&amp;id=080107&amp;type=353&amp;mid=020101" xr:uid="{8B900119-C991-41CD-850D-6F75DF3C7826}"/>
    <hyperlink ref="E126" r:id="rId102" display="https://www.ncm-pcdb.org.uk/sap/pcdbdetails.jsp?pid=33&amp;id=080108&amp;type=353&amp;mid=020075" xr:uid="{D4D3F069-C76F-4C1F-BFCB-2CDFA897C220}"/>
    <hyperlink ref="E153" r:id="rId103" display="https://www.ncm-pcdb.org.uk/sap/pcdbdetails.jsp?pid=33&amp;id=080109&amp;type=353&amp;mid=020075" xr:uid="{CBD93CBB-A0E2-4545-898C-1CB6DBB22A5C}"/>
    <hyperlink ref="E127" r:id="rId104" display="https://www.ncm-pcdb.org.uk/sap/pcdbdetails.jsp?pid=33&amp;id=080110&amp;type=353&amp;mid=020075" xr:uid="{6FD6459A-9A0A-4757-826E-3AFE014A15AE}"/>
    <hyperlink ref="E154" r:id="rId105" display="https://www.ncm-pcdb.org.uk/sap/pcdbdetails.jsp?pid=33&amp;id=080111&amp;type=353&amp;mid=020075" xr:uid="{B5157CD8-FEC2-4F1B-A233-7FF2CEABC90E}"/>
    <hyperlink ref="E128" r:id="rId106" display="https://www.ncm-pcdb.org.uk/sap/pcdbdetails.jsp?pid=33&amp;id=080112&amp;type=353&amp;mid=020075" xr:uid="{245C1358-7D4F-4DD6-BA2C-2CCF4F0947FF}"/>
    <hyperlink ref="E155" r:id="rId107" display="https://www.ncm-pcdb.org.uk/sap/pcdbdetails.jsp?pid=33&amp;id=080113&amp;type=353&amp;mid=020075" xr:uid="{DEE8B0F5-FC91-45B8-8D92-CADCE3CFD951}"/>
    <hyperlink ref="E82" r:id="rId108" display="https://www.ncm-pcdb.org.uk/sap/pcdbdetails.jsp?pid=33&amp;id=080114&amp;type=353&amp;mid=020063" xr:uid="{F4297D73-098A-4CD1-B299-2358F515A72E}"/>
    <hyperlink ref="E115" r:id="rId109" display="https://www.ncm-pcdb.org.uk/sap/pcdbdetails.jsp?pid=33&amp;id=080115&amp;type=353&amp;mid=020063" xr:uid="{3481F471-F3CF-44C5-B923-4ACD63E498BE}"/>
    <hyperlink ref="E180" r:id="rId110" display="https://www.ncm-pcdb.org.uk/sap/pcdbdetails.jsp?pid=33&amp;id=080116&amp;type=353&amp;mid=020064" xr:uid="{1A90A674-8870-4489-AAF4-21A00943F58F}"/>
    <hyperlink ref="E183" r:id="rId111" display="https://www.ncm-pcdb.org.uk/sap/pcdbdetails.jsp?pid=33&amp;id=080117&amp;type=353&amp;mid=020064" xr:uid="{03A3BDF9-81FE-4021-B595-0A1749E712B9}"/>
    <hyperlink ref="E181" r:id="rId112" display="https://www.ncm-pcdb.org.uk/sap/pcdbdetails.jsp?pid=33&amp;id=080118&amp;type=353&amp;mid=020064" xr:uid="{785A30B9-9FF9-474F-B8C5-87973C16B8BC}"/>
    <hyperlink ref="E184" r:id="rId113" display="https://www.ncm-pcdb.org.uk/sap/pcdbdetails.jsp?pid=33&amp;id=080119&amp;type=353&amp;mid=020064" xr:uid="{5BE53017-8635-4739-8113-A45AF406FC14}"/>
    <hyperlink ref="E182" r:id="rId114" display="https://www.ncm-pcdb.org.uk/sap/pcdbdetails.jsp?pid=33&amp;id=080120&amp;type=353&amp;mid=020064" xr:uid="{5339D2F9-48C9-4BA4-8C4F-B3265C29AF02}"/>
    <hyperlink ref="E185" r:id="rId115" display="https://www.ncm-pcdb.org.uk/sap/pcdbdetails.jsp?pid=33&amp;id=080121&amp;type=353&amp;mid=020064" xr:uid="{B3CD44E1-E5B7-40B3-B1E0-C59DC2DB58EC}"/>
    <hyperlink ref="E32" r:id="rId116" display="https://www.ncm-pcdb.org.uk/sap/pcdbdetails.jsp?pid=33&amp;id=080122&amp;type=353&amp;mid=020101" xr:uid="{695C278B-BD47-4C4F-9999-9709CB1533D5}"/>
    <hyperlink ref="E35" r:id="rId117" display="https://www.ncm-pcdb.org.uk/sap/pcdbdetails.jsp?pid=33&amp;id=080123&amp;type=353&amp;mid=020101" xr:uid="{708B31FD-DD56-4A2C-93E0-B65FD4E124E9}"/>
    <hyperlink ref="E33" r:id="rId118" display="https://www.ncm-pcdb.org.uk/sap/pcdbdetails.jsp?pid=33&amp;id=080124&amp;type=353&amp;mid=020101" xr:uid="{1C2CF585-B511-4401-9C32-110CBA59B8D7}"/>
    <hyperlink ref="E36" r:id="rId119" display="https://www.ncm-pcdb.org.uk/sap/pcdbdetails.jsp?pid=33&amp;id=080125&amp;type=353&amp;mid=020101" xr:uid="{8236BD8A-4502-4C64-971C-9E45E3386392}"/>
    <hyperlink ref="E34" r:id="rId120" display="https://www.ncm-pcdb.org.uk/sap/pcdbdetails.jsp?pid=33&amp;id=080126&amp;type=353&amp;mid=020101" xr:uid="{BC4B66DC-A5B9-4894-9AA9-B7405A772A99}"/>
    <hyperlink ref="E37" r:id="rId121" display="https://www.ncm-pcdb.org.uk/sap/pcdbdetails.jsp?pid=33&amp;id=080127&amp;type=353&amp;mid=020101" xr:uid="{6C8C2283-8947-4BFD-BA0B-BECBF5154A68}"/>
    <hyperlink ref="E186" r:id="rId122" display="https://www.ncm-pcdb.org.uk/sap/pcdbdetails.jsp?pid=33&amp;id=080128&amp;type=353&amp;mid=020064" xr:uid="{F31DD74F-2EC8-4833-A00F-BE907231A3C2}"/>
    <hyperlink ref="E174" r:id="rId123" display="https://www.ncm-pcdb.org.uk/sap/pcdbdetails.jsp?pid=33&amp;id=080129&amp;type=353&amp;mid=020064" xr:uid="{EB1115A1-7A09-4501-90E3-C47F82967A29}"/>
    <hyperlink ref="E177" r:id="rId124" display="https://www.ncm-pcdb.org.uk/sap/pcdbdetails.jsp?pid=33&amp;id=080130&amp;type=353&amp;mid=020064" xr:uid="{2D1FD4B2-2666-4B66-B0EF-13009E8BFF9E}"/>
    <hyperlink ref="E187" r:id="rId125" display="https://www.ncm-pcdb.org.uk/sap/pcdbdetails.jsp?pid=33&amp;id=080131&amp;type=353&amp;mid=020064" xr:uid="{8EE1CA33-7FF8-4D5D-AE06-C3B9FECDE8FF}"/>
    <hyperlink ref="E175" r:id="rId126" display="https://www.ncm-pcdb.org.uk/sap/pcdbdetails.jsp?pid=33&amp;id=080132&amp;type=353&amp;mid=020064" xr:uid="{DD0CCA1B-78B9-4684-9162-389A731C341B}"/>
    <hyperlink ref="E178" r:id="rId127" display="https://www.ncm-pcdb.org.uk/sap/pcdbdetails.jsp?pid=33&amp;id=080133&amp;type=353&amp;mid=020064" xr:uid="{7CBC4184-BBA4-41ED-84A2-3D2772ECF171}"/>
    <hyperlink ref="E188" r:id="rId128" display="https://www.ncm-pcdb.org.uk/sap/pcdbdetails.jsp?pid=33&amp;id=080134&amp;type=353&amp;mid=020064" xr:uid="{A3C0CF38-364E-4117-9E63-C5B493EBE2FA}"/>
    <hyperlink ref="E176" r:id="rId129" display="https://www.ncm-pcdb.org.uk/sap/pcdbdetails.jsp?pid=33&amp;id=080135&amp;type=353&amp;mid=020064" xr:uid="{67F17790-76AB-4DD6-8751-07E0D06BC713}"/>
    <hyperlink ref="E179" r:id="rId130" display="https://www.ncm-pcdb.org.uk/sap/pcdbdetails.jsp?pid=33&amp;id=080136&amp;type=353&amp;mid=020064" xr:uid="{6A4E996F-701A-47DB-B345-7224874381EA}"/>
    <hyperlink ref="E135" r:id="rId131" display="https://www.ncm-pcdb.org.uk/sap/pcdbdetails.jsp?pid=33&amp;id=080137&amp;type=353&amp;mid=020075" xr:uid="{C9B74056-3480-41A7-AA2D-6EC7FC4D10A3}"/>
    <hyperlink ref="E129" r:id="rId132" display="https://www.ncm-pcdb.org.uk/sap/pcdbdetails.jsp?pid=33&amp;id=080138&amp;type=353&amp;mid=020075" xr:uid="{AF0877E8-B2B5-4A7E-925A-5E7FEAAC9679}"/>
    <hyperlink ref="E132" r:id="rId133" display="https://www.ncm-pcdb.org.uk/sap/pcdbdetails.jsp?pid=33&amp;id=080139&amp;type=353&amp;mid=020075" xr:uid="{CFA413D6-CA48-4D86-91E1-ADB49DF605A3}"/>
    <hyperlink ref="E136" r:id="rId134" display="https://www.ncm-pcdb.org.uk/sap/pcdbdetails.jsp?pid=33&amp;id=080140&amp;type=353&amp;mid=020075" xr:uid="{282172AE-ACF8-420D-AED5-628A5A49D085}"/>
    <hyperlink ref="E130" r:id="rId135" display="https://www.ncm-pcdb.org.uk/sap/pcdbdetails.jsp?pid=33&amp;id=080141&amp;type=353&amp;mid=020075" xr:uid="{D12CCD5F-8421-4BF6-8451-25D7714234F3}"/>
    <hyperlink ref="E133" r:id="rId136" display="https://www.ncm-pcdb.org.uk/sap/pcdbdetails.jsp?pid=33&amp;id=080142&amp;type=353&amp;mid=020075" xr:uid="{0E81F3ED-03D2-4A8E-951E-F8052DF2C82B}"/>
    <hyperlink ref="E137" r:id="rId137" display="https://www.ncm-pcdb.org.uk/sap/pcdbdetails.jsp?pid=33&amp;id=080143&amp;type=353&amp;mid=020075" xr:uid="{7C101D48-45C2-4D5D-A01D-5DADE23B361B}"/>
    <hyperlink ref="E131" r:id="rId138" display="https://www.ncm-pcdb.org.uk/sap/pcdbdetails.jsp?pid=33&amp;id=080144&amp;type=353&amp;mid=020075" xr:uid="{A5AFABEE-1078-40BB-A3B2-FFCC91711C48}"/>
    <hyperlink ref="E134" r:id="rId139" display="https://www.ncm-pcdb.org.uk/sap/pcdbdetails.jsp?pid=33&amp;id=080145&amp;type=353&amp;mid=020075" xr:uid="{ADE235BE-CD5F-4A81-96C3-B15F7032510E}"/>
    <hyperlink ref="E141" r:id="rId140" display="https://www.ncm-pcdb.org.uk/sap/pcdbdetails.jsp?pid=33&amp;id=080146&amp;type=353&amp;mid=020075" xr:uid="{48F10381-BDF3-45E5-A4FC-709CE9F7B927}"/>
    <hyperlink ref="E144" r:id="rId141" display="https://www.ncm-pcdb.org.uk/sap/pcdbdetails.jsp?pid=33&amp;id=080147&amp;type=353&amp;mid=020075" xr:uid="{B55076E9-F5CC-471D-9C52-7783E1264065}"/>
    <hyperlink ref="E142" r:id="rId142" display="https://www.ncm-pcdb.org.uk/sap/pcdbdetails.jsp?pid=33&amp;id=080148&amp;type=353&amp;mid=020075" xr:uid="{8CA2A528-3322-42AC-B4CC-E6F155E4F50B}"/>
    <hyperlink ref="E145" r:id="rId143" display="https://www.ncm-pcdb.org.uk/sap/pcdbdetails.jsp?pid=33&amp;id=080149&amp;type=353&amp;mid=020075" xr:uid="{F93AAAC0-2231-4D61-AB5F-82110A30B1D3}"/>
    <hyperlink ref="E143" r:id="rId144" display="https://www.ncm-pcdb.org.uk/sap/pcdbdetails.jsp?pid=33&amp;id=080150&amp;type=353&amp;mid=020075" xr:uid="{09C1D540-7EE4-408D-919F-24E1F12A3963}"/>
    <hyperlink ref="E146" r:id="rId145" display="https://www.ncm-pcdb.org.uk/sap/pcdbdetails.jsp?pid=33&amp;id=080151&amp;type=353&amp;mid=020075" xr:uid="{4E08AFC4-640D-4AAE-8792-CB9DCE78F171}"/>
    <hyperlink ref="E67" r:id="rId146" display="https://www.ncm-pcdb.org.uk/sap/pcdbdetails.jsp?pid=33&amp;id=080152&amp;type=353&amp;mid=020063" xr:uid="{CBF1E482-A526-41B4-9C4B-146D52762F1B}"/>
    <hyperlink ref="E69" r:id="rId147" display="https://www.ncm-pcdb.org.uk/sap/pcdbdetails.jsp?pid=33&amp;id=080153&amp;type=353&amp;mid=020063" xr:uid="{034533EE-AA01-4E1B-9A3A-D5AC20AE974D}"/>
    <hyperlink ref="E71" r:id="rId148" display="https://www.ncm-pcdb.org.uk/sap/pcdbdetails.jsp?pid=33&amp;id=080154&amp;type=353&amp;mid=020063" xr:uid="{CD5AD10A-74B0-4929-8E92-C3DD3DEDCF6F}"/>
    <hyperlink ref="E117" r:id="rId149" display="https://www.ncm-pcdb.org.uk/sap/pcdbdetails.jsp?pid=33&amp;id=080155&amp;type=353&amp;mid=020063" xr:uid="{0E0585CE-B20B-4C27-82AE-A40CAD4D2852}"/>
    <hyperlink ref="E119" r:id="rId150" display="https://www.ncm-pcdb.org.uk/sap/pcdbdetails.jsp?pid=33&amp;id=080156&amp;type=353&amp;mid=020063" xr:uid="{650E9DC5-3F05-4E5B-A8A0-2D7D8CD66B6C}"/>
    <hyperlink ref="E68" r:id="rId151" display="https://www.ncm-pcdb.org.uk/sap/pcdbdetails.jsp?pid=33&amp;id=080157&amp;type=353&amp;mid=020063" xr:uid="{42226B1F-198A-47D7-AAED-AD8840F30313}"/>
    <hyperlink ref="E70" r:id="rId152" display="https://www.ncm-pcdb.org.uk/sap/pcdbdetails.jsp?pid=33&amp;id=080158&amp;type=353&amp;mid=020063" xr:uid="{4FF2F565-7858-432C-BF50-7CED5C313900}"/>
    <hyperlink ref="E72" r:id="rId153" display="https://www.ncm-pcdb.org.uk/sap/pcdbdetails.jsp?pid=33&amp;id=080159&amp;type=353&amp;mid=020063" xr:uid="{275E17D1-FE2F-42C2-956D-2469D3B9B95F}"/>
    <hyperlink ref="E118" r:id="rId154" display="https://www.ncm-pcdb.org.uk/sap/pcdbdetails.jsp?pid=33&amp;id=080160&amp;type=353&amp;mid=020063" xr:uid="{A8C59661-525C-498F-ACC0-5AE1CED8F83E}"/>
    <hyperlink ref="E120" r:id="rId155" display="https://www.ncm-pcdb.org.uk/sap/pcdbdetails.jsp?pid=33&amp;id=080161&amp;type=353&amp;mid=020063" xr:uid="{1E45B180-7A9B-49A2-AFC2-A9F0D82477EE}"/>
    <hyperlink ref="E121" r:id="rId156" display="https://www.ncm-pcdb.org.uk/sap/pcdbdetails.jsp?pid=33&amp;id=080162&amp;type=353&amp;mid=020062" xr:uid="{8D8E280C-E931-403C-8A6D-A6F5BA75C6C8}"/>
    <hyperlink ref="E122" r:id="rId157" display="https://www.ncm-pcdb.org.uk/sap/pcdbdetails.jsp?pid=33&amp;id=080163&amp;type=353&amp;mid=020062" xr:uid="{449B4A31-A7F6-48D9-838F-995960404D4E}"/>
    <hyperlink ref="E195" r:id="rId158" display="https://www.ncm-pcdb.org.uk/sap/pcdbdetails.jsp?pid=33&amp;id=080164&amp;type=353&amp;mid=020142" xr:uid="{9D2CFBE8-BEC2-4BEF-B8A7-96E0582DC259}"/>
    <hyperlink ref="E198" r:id="rId159" display="https://www.ncm-pcdb.org.uk/sap/pcdbdetails.jsp?pid=33&amp;id=080165&amp;type=353&amp;mid=020142" xr:uid="{C5481FB4-2798-4C8B-9651-472135D85F4B}"/>
    <hyperlink ref="E201" r:id="rId160" display="https://www.ncm-pcdb.org.uk/sap/pcdbdetails.jsp?pid=33&amp;id=080166&amp;type=353&amp;mid=020142" xr:uid="{AC4CC07F-5C46-4995-B829-8A871066C410}"/>
    <hyperlink ref="E196" r:id="rId161" display="https://www.ncm-pcdb.org.uk/sap/pcdbdetails.jsp?pid=33&amp;id=080167&amp;type=353&amp;mid=020142" xr:uid="{A93382C2-8D1D-47CA-92DC-6B23FF7B4AD1}"/>
    <hyperlink ref="E199" r:id="rId162" display="https://www.ncm-pcdb.org.uk/sap/pcdbdetails.jsp?pid=33&amp;id=080168&amp;type=353&amp;mid=020142" xr:uid="{147D6A08-5A8C-4070-864C-57C585922851}"/>
    <hyperlink ref="E202" r:id="rId163" display="https://www.ncm-pcdb.org.uk/sap/pcdbdetails.jsp?pid=33&amp;id=080169&amp;type=353&amp;mid=020142" xr:uid="{14D7EC95-7F94-4161-8553-C51B45A375EB}"/>
    <hyperlink ref="E197" r:id="rId164" display="https://www.ncm-pcdb.org.uk/sap/pcdbdetails.jsp?pid=33&amp;id=080170&amp;type=353&amp;mid=020142" xr:uid="{28DA851E-D401-439C-8987-BF493BCB6BE7}"/>
    <hyperlink ref="E200" r:id="rId165" display="https://www.ncm-pcdb.org.uk/sap/pcdbdetails.jsp?pid=33&amp;id=080171&amp;type=353&amp;mid=020142" xr:uid="{61C6951F-07B5-4856-87BA-EB7FEDF784DA}"/>
    <hyperlink ref="E203" r:id="rId166" display="https://www.ncm-pcdb.org.uk/sap/pcdbdetails.jsp?pid=33&amp;id=080172&amp;type=353&amp;mid=020142" xr:uid="{0CFF9637-83AD-4C43-9447-70A4D366A679}"/>
    <hyperlink ref="E20" r:id="rId167" display="https://www.ncm-pcdb.org.uk/sap/pcdbdetails.jsp?pid=33&amp;id=080173&amp;type=353&amp;mid=020101" xr:uid="{2F997630-5E99-4454-9038-8E4B42E071F1}"/>
    <hyperlink ref="E21" r:id="rId168" display="https://www.ncm-pcdb.org.uk/sap/pcdbdetails.jsp?pid=33&amp;id=080174&amp;type=353&amp;mid=020101" xr:uid="{E6441E9E-7066-4622-9D68-43A05686CA5C}"/>
    <hyperlink ref="E22" r:id="rId169" display="https://www.ncm-pcdb.org.uk/sap/pcdbdetails.jsp?pid=33&amp;id=080175&amp;type=353&amp;mid=020101" xr:uid="{4017DD41-8C11-454E-9E33-9CE049BC9016}"/>
    <hyperlink ref="E23" r:id="rId170" display="https://www.ncm-pcdb.org.uk/sap/pcdbdetails.jsp?pid=33&amp;id=080176&amp;type=353&amp;mid=020101" xr:uid="{E41678C4-3238-47AF-8CAB-2109A0E79565}"/>
    <hyperlink ref="E24" r:id="rId171" display="https://www.ncm-pcdb.org.uk/sap/pcdbdetails.jsp?pid=33&amp;id=080177&amp;type=353&amp;mid=020101" xr:uid="{1CA4CB61-9E50-4A6A-9656-64CD8DB21CC9}"/>
    <hyperlink ref="E25" r:id="rId172" display="https://www.ncm-pcdb.org.uk/sap/pcdbdetails.jsp?pid=33&amp;id=080178&amp;type=353&amp;mid=020101" xr:uid="{AFDBEBEC-E4E9-4A41-B08F-85D2BEB69CC7}"/>
    <hyperlink ref="E41" r:id="rId173" display="https://www.ncm-pcdb.org.uk/sap/pcdbdetails.jsp?pid=33&amp;id=080179&amp;type=353&amp;mid=020171" xr:uid="{9A010CBD-5402-472B-96FE-C28B79C13733}"/>
    <hyperlink ref="E42" r:id="rId174" display="https://www.ncm-pcdb.org.uk/sap/pcdbdetails.jsp?pid=33&amp;id=080180&amp;type=353&amp;mid=020171" xr:uid="{76FDA7A3-3842-4508-BADD-C45EAF2CFD3A}"/>
    <hyperlink ref="E43" r:id="rId175" display="https://www.ncm-pcdb.org.uk/sap/pcdbdetails.jsp?pid=33&amp;id=080181&amp;type=353&amp;mid=020171" xr:uid="{CA67E4C9-589E-4831-BDA5-17C926510F2B}"/>
    <hyperlink ref="E171" r:id="rId176" display="https://www.ncm-pcdb.org.uk/sap/pcdbdetails.jsp?pid=33&amp;id=080182&amp;type=353&amp;mid=020064" xr:uid="{F1493CBC-CD8E-4792-BB12-BA25E919AD18}"/>
    <hyperlink ref="E168" r:id="rId177" display="https://www.ncm-pcdb.org.uk/sap/pcdbdetails.jsp?pid=33&amp;id=080183&amp;type=353&amp;mid=020064" xr:uid="{C6059BBA-34F9-49AE-A25A-85B9C6528E26}"/>
    <hyperlink ref="E172" r:id="rId178" display="https://www.ncm-pcdb.org.uk/sap/pcdbdetails.jsp?pid=33&amp;id=080184&amp;type=353&amp;mid=020064" xr:uid="{6EE0ADC7-83E9-4EF8-AE87-89F6F106413D}"/>
    <hyperlink ref="E169" r:id="rId179" display="https://www.ncm-pcdb.org.uk/sap/pcdbdetails.jsp?pid=33&amp;id=080185&amp;type=353&amp;mid=020064" xr:uid="{8AA33BB3-B618-4581-9E93-19D25D99B0CB}"/>
    <hyperlink ref="E173" r:id="rId180" display="https://www.ncm-pcdb.org.uk/sap/pcdbdetails.jsp?pid=33&amp;id=080186&amp;type=353&amp;mid=020064" xr:uid="{8BEC6DBE-6204-462A-A2F4-0E8C24454108}"/>
    <hyperlink ref="E170" r:id="rId181" display="https://www.ncm-pcdb.org.uk/sap/pcdbdetails.jsp?pid=33&amp;id=080187&amp;type=353&amp;mid=020064" xr:uid="{E6A8F219-181C-4DB3-A20F-929DA91DB5F8}"/>
    <hyperlink ref="E192" r:id="rId182" display="https://www.ncm-pcdb.org.uk/sap/pcdbdetails.jsp?pid=33&amp;id=080188&amp;type=353&amp;mid=020064" xr:uid="{04EF4B11-1722-45AE-BAC1-2D5609DF4E5F}"/>
    <hyperlink ref="E193" r:id="rId183" display="https://www.ncm-pcdb.org.uk/sap/pcdbdetails.jsp?pid=33&amp;id=080189&amp;type=353&amp;mid=020064" xr:uid="{34F30206-8D8A-4BFF-AC10-A51EE6CEF577}"/>
    <hyperlink ref="E194" r:id="rId184" display="https://www.ncm-pcdb.org.uk/sap/pcdbdetails.jsp?pid=33&amp;id=080190&amp;type=353&amp;mid=020064" xr:uid="{437FF788-5627-4767-8197-2EE2410C5542}"/>
    <hyperlink ref="E138" r:id="rId185" display="https://www.ncm-pcdb.org.uk/sap/pcdbdetails.jsp?pid=33&amp;id=080191&amp;type=353&amp;mid=020075" xr:uid="{0E4620F8-343F-4277-932A-918051CFF90D}"/>
    <hyperlink ref="E139" r:id="rId186" display="https://www.ncm-pcdb.org.uk/sap/pcdbdetails.jsp?pid=33&amp;id=080192&amp;type=353&amp;mid=020075" xr:uid="{C72D1C1C-4B68-437D-ADEC-96A4D3235D25}"/>
    <hyperlink ref="E140" r:id="rId187" display="https://www.ncm-pcdb.org.uk/sap/pcdbdetails.jsp?pid=33&amp;id=080193&amp;type=353&amp;mid=020075" xr:uid="{52F4D71A-CA7F-4084-9BDE-60DDEC7F78E0}"/>
    <hyperlink ref="E207" r:id="rId188" display="https://www.ncm-pcdb.org.uk/sap/pcdbdetails.jsp?pid=33&amp;id=080194&amp;type=353&amp;mid=020142" xr:uid="{CEFE7E3F-055D-46E6-B34A-7840E34F3282}"/>
    <hyperlink ref="E204" r:id="rId189" display="https://www.ncm-pcdb.org.uk/sap/pcdbdetails.jsp?pid=33&amp;id=080195&amp;type=353&amp;mid=020142" xr:uid="{0B518AC2-DF29-4A42-8E7D-516B99481507}"/>
    <hyperlink ref="E208" r:id="rId190" display="https://www.ncm-pcdb.org.uk/sap/pcdbdetails.jsp?pid=33&amp;id=080196&amp;type=353&amp;mid=020142" xr:uid="{7EC8B762-FEED-44F8-AA93-5F17FA0CD836}"/>
    <hyperlink ref="E205" r:id="rId191" display="https://www.ncm-pcdb.org.uk/sap/pcdbdetails.jsp?pid=33&amp;id=080197&amp;type=353&amp;mid=020142" xr:uid="{E9320B4B-C52E-40B3-AE0F-EF88AC72D388}"/>
    <hyperlink ref="E209" r:id="rId192" display="https://www.ncm-pcdb.org.uk/sap/pcdbdetails.jsp?pid=33&amp;id=080198&amp;type=353&amp;mid=020142" xr:uid="{F21DC75B-91ED-4662-98EA-A73E50A69EEC}"/>
    <hyperlink ref="E206" r:id="rId193" display="https://www.ncm-pcdb.org.uk/sap/pcdbdetails.jsp?pid=33&amp;id=080199&amp;type=353&amp;mid=020142" xr:uid="{9D7D8ED3-FB39-4A98-B959-636B284B86CE}"/>
    <hyperlink ref="E4" r:id="rId194" display="https://www.ncm-pcdb.org.uk/sap/pcdbdetails.jsp?pid=33&amp;id=080173&amp;type=353&amp;mid=020101" xr:uid="{5A71D39A-EFE6-463A-9497-46AF3406A551}"/>
    <hyperlink ref="E8" r:id="rId195" display="https://www.ncm-pcdb.org.uk/sap/pcdbdetails.jsp?pid=33&amp;id=080174&amp;type=353&amp;mid=020101" xr:uid="{DB68F508-5C5B-42DE-90FE-5D95C5F51B51}"/>
    <hyperlink ref="E12" r:id="rId196" display="https://www.ncm-pcdb.org.uk/sap/pcdbdetails.jsp?pid=33&amp;id=080175&amp;type=353&amp;mid=020101" xr:uid="{1AA1B47D-5FD6-4E2F-B4BC-FFB0BBECB128}"/>
    <hyperlink ref="E5" r:id="rId197" display="https://www.ncm-pcdb.org.uk/sap/pcdbdetails.jsp?pid=33&amp;id=080006&amp;type=353&amp;mid=020064" xr:uid="{998C7AAF-5D53-45A6-B621-E580F731EDE6}"/>
    <hyperlink ref="E9" r:id="rId198" display="https://www.ncm-pcdb.org.uk/sap/pcdbdetails.jsp?pid=33&amp;id=080086&amp;type=353&amp;mid=020014" xr:uid="{BCD9021F-1C25-4241-B6A6-F0E0F0150D8A}"/>
    <hyperlink ref="E13" r:id="rId199" display="https://www.ncm-pcdb.org.uk/sap/pcdbdetails.jsp?pid=33&amp;id=080088&amp;type=353&amp;mid=020014" xr:uid="{4C71D8DC-8696-438A-9A45-E60A40141BE9}"/>
    <hyperlink ref="E6" r:id="rId200" display="https://www.ncm-pcdb.org.uk/sap/pcdbdetails.jsp?pid=33&amp;id=080003&amp;type=353&amp;mid=020064" xr:uid="{CD732D38-9C82-4DEF-A39E-E75D45A366D3}"/>
    <hyperlink ref="E10" r:id="rId201" display="https://www.ncm-pcdb.org.uk/sap/pcdbdetails.jsp?pid=33&amp;id=080004&amp;type=353&amp;mid=020064" xr:uid="{D9E1C89C-0130-43A4-904B-EA99D3D2FC49}"/>
    <hyperlink ref="E14" r:id="rId202" display="https://www.ncm-pcdb.org.uk/sap/pcdbdetails.jsp?pid=33&amp;id=080005&amp;type=353&amp;mid=020064" xr:uid="{461F2834-0B33-4651-8ABF-873205600B45}"/>
    <hyperlink ref="E7" r:id="rId203" display="https://www.ncm-pcdb.org.uk/sap/pcdbdetails.jsp?pid=33&amp;id=080166&amp;type=353&amp;mid=020142" xr:uid="{1D951C18-6724-4270-A5EA-7C1F1D7F856E}"/>
    <hyperlink ref="E11" r:id="rId204" display="https://www.ncm-pcdb.org.uk/sap/pcdbdetails.jsp?pid=33&amp;id=080169&amp;type=353&amp;mid=020142" xr:uid="{704DDD96-0E57-4F8B-94D6-C24790BB276A}"/>
    <hyperlink ref="E15" r:id="rId205" display="https://www.ncm-pcdb.org.uk/sap/pcdbdetails.jsp?pid=33&amp;id=080172&amp;type=353&amp;mid=020142" xr:uid="{7BC26D0A-AA0C-457D-9F63-9BF3B2CC098C}"/>
  </hyperlinks>
  <pageMargins left="0.7" right="0.7" top="0.75" bottom="0.75" header="0.3" footer="0.3"/>
  <drawing r:id="rId20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3176-83D8-469E-9A7D-5950A33FF8B6}">
  <dimension ref="D3:L40"/>
  <sheetViews>
    <sheetView workbookViewId="0"/>
  </sheetViews>
  <sheetFormatPr defaultRowHeight="15"/>
  <sheetData>
    <row r="3" spans="4:12">
      <c r="D3" t="s">
        <v>897</v>
      </c>
      <c r="E3" t="s">
        <v>615</v>
      </c>
      <c r="F3">
        <v>5</v>
      </c>
      <c r="G3">
        <v>7</v>
      </c>
      <c r="H3">
        <v>9</v>
      </c>
      <c r="I3">
        <v>11</v>
      </c>
      <c r="J3">
        <v>13</v>
      </c>
    </row>
    <row r="4" spans="4:12">
      <c r="D4" t="s">
        <v>1149</v>
      </c>
      <c r="E4" t="s">
        <v>431</v>
      </c>
      <c r="F4">
        <v>43.7</v>
      </c>
      <c r="G4">
        <v>35.700000000000003</v>
      </c>
      <c r="H4">
        <v>30.2</v>
      </c>
      <c r="I4">
        <v>26.1</v>
      </c>
      <c r="J4">
        <v>23</v>
      </c>
      <c r="L4">
        <f>+F4/100</f>
        <v>0.43700000000000006</v>
      </c>
    </row>
    <row r="5" spans="4:12">
      <c r="F5">
        <v>62.5</v>
      </c>
      <c r="G5">
        <v>54.3</v>
      </c>
      <c r="H5">
        <v>48</v>
      </c>
      <c r="I5">
        <v>43.1</v>
      </c>
      <c r="J5">
        <v>39</v>
      </c>
    </row>
    <row r="6" spans="4:12">
      <c r="F6">
        <v>79.3</v>
      </c>
      <c r="G6">
        <v>73.2</v>
      </c>
      <c r="H6">
        <v>68</v>
      </c>
      <c r="I6">
        <v>63.5</v>
      </c>
      <c r="J6">
        <v>59.5</v>
      </c>
    </row>
    <row r="7" spans="4:12">
      <c r="F7">
        <v>76.5</v>
      </c>
      <c r="G7">
        <v>69.900000000000006</v>
      </c>
      <c r="H7">
        <v>64.400000000000006</v>
      </c>
      <c r="I7">
        <v>59.7</v>
      </c>
      <c r="J7">
        <v>55.6</v>
      </c>
    </row>
    <row r="8" spans="4:12">
      <c r="F8">
        <v>33.700000000000003</v>
      </c>
      <c r="G8">
        <v>28.1</v>
      </c>
      <c r="H8">
        <v>24.2</v>
      </c>
      <c r="I8">
        <v>21.3</v>
      </c>
      <c r="J8">
        <v>19</v>
      </c>
    </row>
    <row r="9" spans="4:12">
      <c r="F9">
        <v>46.6</v>
      </c>
      <c r="G9">
        <v>41</v>
      </c>
      <c r="H9">
        <v>36.6</v>
      </c>
      <c r="I9">
        <v>33.200000000000003</v>
      </c>
      <c r="J9">
        <v>30.4</v>
      </c>
    </row>
    <row r="10" spans="4:12">
      <c r="F10">
        <v>57.6</v>
      </c>
      <c r="G10">
        <v>53.9</v>
      </c>
      <c r="H10">
        <v>50.4</v>
      </c>
      <c r="I10">
        <v>47.3</v>
      </c>
      <c r="J10">
        <v>44.6</v>
      </c>
    </row>
    <row r="11" spans="4:12">
      <c r="F11">
        <v>56</v>
      </c>
      <c r="G11">
        <v>51.7</v>
      </c>
      <c r="H11">
        <v>47.9</v>
      </c>
      <c r="I11">
        <v>44.7</v>
      </c>
      <c r="J11">
        <v>41.9</v>
      </c>
    </row>
    <row r="12" spans="4:12">
      <c r="F12">
        <v>40.4</v>
      </c>
      <c r="G12">
        <v>33.5</v>
      </c>
      <c r="H12">
        <v>28.6</v>
      </c>
      <c r="I12">
        <v>24.9</v>
      </c>
      <c r="J12">
        <v>22.1</v>
      </c>
    </row>
    <row r="13" spans="4:12">
      <c r="F13">
        <v>55.5</v>
      </c>
      <c r="G13">
        <v>49.1</v>
      </c>
      <c r="H13">
        <v>44</v>
      </c>
      <c r="I13">
        <v>39.799999999999997</v>
      </c>
      <c r="J13">
        <v>36.299999999999997</v>
      </c>
    </row>
    <row r="14" spans="4:12">
      <c r="F14">
        <v>67.400000000000006</v>
      </c>
      <c r="G14">
        <v>63.4</v>
      </c>
      <c r="H14">
        <v>59.7</v>
      </c>
      <c r="I14">
        <v>56.3</v>
      </c>
      <c r="J14">
        <v>53.2</v>
      </c>
    </row>
    <row r="15" spans="4:12">
      <c r="F15">
        <v>65.599999999999994</v>
      </c>
      <c r="G15">
        <v>61.1</v>
      </c>
      <c r="H15">
        <v>57</v>
      </c>
      <c r="I15">
        <v>53.4</v>
      </c>
      <c r="J15">
        <v>50.2</v>
      </c>
    </row>
    <row r="17" spans="4:10">
      <c r="D17" t="s">
        <v>1150</v>
      </c>
      <c r="F17" s="588">
        <f>+F4/(100-F4)</f>
        <v>0.77619893428063957</v>
      </c>
      <c r="G17" s="588">
        <f t="shared" ref="G17:J17" si="0">+G4/(100-G4)</f>
        <v>0.55520995334370149</v>
      </c>
      <c r="H17" s="588">
        <f t="shared" si="0"/>
        <v>0.43266475644699143</v>
      </c>
      <c r="I17" s="588">
        <f t="shared" si="0"/>
        <v>0.35317997293640052</v>
      </c>
      <c r="J17" s="588">
        <f t="shared" si="0"/>
        <v>0.29870129870129869</v>
      </c>
    </row>
    <row r="18" spans="4:10">
      <c r="F18" s="588">
        <f t="shared" ref="F18:J18" si="1">+F5/(100-F5)</f>
        <v>1.6666666666666667</v>
      </c>
      <c r="G18" s="588">
        <f t="shared" si="1"/>
        <v>1.1881838074398248</v>
      </c>
      <c r="H18" s="588">
        <f t="shared" si="1"/>
        <v>0.92307692307692313</v>
      </c>
      <c r="I18" s="588">
        <f t="shared" si="1"/>
        <v>0.75746924428822504</v>
      </c>
      <c r="J18" s="588">
        <f t="shared" si="1"/>
        <v>0.63934426229508201</v>
      </c>
    </row>
    <row r="19" spans="4:10">
      <c r="F19" s="588">
        <f t="shared" ref="F19:J19" si="2">+F6/(100-F6)</f>
        <v>3.8309178743961345</v>
      </c>
      <c r="G19" s="588">
        <f t="shared" si="2"/>
        <v>2.7313432835820901</v>
      </c>
      <c r="H19" s="588">
        <f t="shared" si="2"/>
        <v>2.125</v>
      </c>
      <c r="I19" s="588">
        <f t="shared" si="2"/>
        <v>1.7397260273972603</v>
      </c>
      <c r="J19" s="588">
        <f t="shared" si="2"/>
        <v>1.4691358024691359</v>
      </c>
    </row>
    <row r="20" spans="4:10">
      <c r="F20" s="588">
        <f t="shared" ref="F20:J20" si="3">+F7/(100-F7)</f>
        <v>3.2553191489361701</v>
      </c>
      <c r="G20" s="588">
        <f t="shared" si="3"/>
        <v>2.322259136212625</v>
      </c>
      <c r="H20" s="588">
        <f t="shared" si="3"/>
        <v>1.8089887640449442</v>
      </c>
      <c r="I20" s="588">
        <f t="shared" si="3"/>
        <v>1.4813895781637718</v>
      </c>
      <c r="J20" s="588">
        <f t="shared" si="3"/>
        <v>1.2522522522522523</v>
      </c>
    </row>
    <row r="21" spans="4:10">
      <c r="F21" s="588">
        <f t="shared" ref="F21:J21" si="4">+F8/(100-F8)</f>
        <v>0.50829562594268485</v>
      </c>
      <c r="G21" s="588">
        <f t="shared" si="4"/>
        <v>0.39082058414464532</v>
      </c>
      <c r="H21" s="588">
        <f t="shared" si="4"/>
        <v>0.31926121372031663</v>
      </c>
      <c r="I21" s="588">
        <f t="shared" si="4"/>
        <v>0.27064803049555275</v>
      </c>
      <c r="J21" s="588">
        <f t="shared" si="4"/>
        <v>0.23456790123456789</v>
      </c>
    </row>
    <row r="22" spans="4:10">
      <c r="F22" s="588">
        <f t="shared" ref="F22:J22" si="5">+F9/(100-F9)</f>
        <v>0.87265917602996257</v>
      </c>
      <c r="G22" s="588">
        <f t="shared" si="5"/>
        <v>0.69491525423728817</v>
      </c>
      <c r="H22" s="588">
        <f t="shared" si="5"/>
        <v>0.57728706624605686</v>
      </c>
      <c r="I22" s="588">
        <f t="shared" si="5"/>
        <v>0.49700598802395218</v>
      </c>
      <c r="J22" s="588">
        <f t="shared" si="5"/>
        <v>0.43678160919540232</v>
      </c>
    </row>
    <row r="23" spans="4:10">
      <c r="F23" s="588">
        <f t="shared" ref="F23:J23" si="6">+F10/(100-F10)</f>
        <v>1.358490566037736</v>
      </c>
      <c r="G23" s="588">
        <f t="shared" si="6"/>
        <v>1.1691973969631235</v>
      </c>
      <c r="H23" s="588">
        <f t="shared" si="6"/>
        <v>1.0161290322580645</v>
      </c>
      <c r="I23" s="588">
        <f t="shared" si="6"/>
        <v>0.89753320683111948</v>
      </c>
      <c r="J23" s="588">
        <f t="shared" si="6"/>
        <v>0.80505415162454874</v>
      </c>
    </row>
    <row r="24" spans="4:10">
      <c r="F24" s="588">
        <f t="shared" ref="F24:J24" si="7">+F11/(100-F11)</f>
        <v>1.2727272727272727</v>
      </c>
      <c r="G24" s="588">
        <f t="shared" si="7"/>
        <v>1.0703933747412009</v>
      </c>
      <c r="H24" s="588">
        <f t="shared" si="7"/>
        <v>0.91938579654510555</v>
      </c>
      <c r="I24" s="588">
        <f t="shared" si="7"/>
        <v>0.8083182640144666</v>
      </c>
      <c r="J24" s="588">
        <f t="shared" si="7"/>
        <v>0.72117039586919096</v>
      </c>
    </row>
    <row r="25" spans="4:10">
      <c r="F25" s="588">
        <f t="shared" ref="F25:J25" si="8">+F12/(100-F12)</f>
        <v>0.6778523489932885</v>
      </c>
      <c r="G25" s="588">
        <f t="shared" si="8"/>
        <v>0.50375939849624063</v>
      </c>
      <c r="H25" s="588">
        <f t="shared" si="8"/>
        <v>0.40056022408963582</v>
      </c>
      <c r="I25" s="588">
        <f t="shared" si="8"/>
        <v>0.33155792276964047</v>
      </c>
      <c r="J25" s="588">
        <f t="shared" si="8"/>
        <v>0.28369704749679076</v>
      </c>
    </row>
    <row r="26" spans="4:10">
      <c r="F26" s="588">
        <f t="shared" ref="F26:J26" si="9">+F13/(100-F13)</f>
        <v>1.247191011235955</v>
      </c>
      <c r="G26" s="588">
        <f t="shared" si="9"/>
        <v>0.96463654223968576</v>
      </c>
      <c r="H26" s="588">
        <f t="shared" si="9"/>
        <v>0.7857142857142857</v>
      </c>
      <c r="I26" s="588">
        <f t="shared" si="9"/>
        <v>0.66112956810631218</v>
      </c>
      <c r="J26" s="588">
        <f t="shared" si="9"/>
        <v>0.56985871271585553</v>
      </c>
    </row>
    <row r="27" spans="4:10">
      <c r="F27" s="588">
        <f t="shared" ref="F27:J27" si="10">+F14/(100-F14)</f>
        <v>2.0674846625766876</v>
      </c>
      <c r="G27" s="588">
        <f t="shared" si="10"/>
        <v>1.7322404371584699</v>
      </c>
      <c r="H27" s="588">
        <f t="shared" si="10"/>
        <v>1.4813895781637718</v>
      </c>
      <c r="I27" s="588">
        <f t="shared" si="10"/>
        <v>1.2883295194508009</v>
      </c>
      <c r="J27" s="588">
        <f t="shared" si="10"/>
        <v>1.1367521367521369</v>
      </c>
    </row>
    <row r="28" spans="4:10">
      <c r="F28" s="588">
        <f t="shared" ref="F28:J28" si="11">+F15/(100-F15)</f>
        <v>1.9069767441860461</v>
      </c>
      <c r="G28" s="588">
        <f t="shared" si="11"/>
        <v>1.5706940874035991</v>
      </c>
      <c r="H28" s="588">
        <f t="shared" si="11"/>
        <v>1.3255813953488371</v>
      </c>
      <c r="I28" s="588">
        <f t="shared" si="11"/>
        <v>1.1459227467811157</v>
      </c>
      <c r="J28" s="588">
        <f t="shared" si="11"/>
        <v>1.0080321285140563</v>
      </c>
    </row>
    <row r="29" spans="4:10">
      <c r="F29" s="588"/>
      <c r="G29" s="588"/>
      <c r="H29" s="588"/>
      <c r="I29" s="588"/>
      <c r="J29" s="588"/>
    </row>
    <row r="30" spans="4:10">
      <c r="D30" t="s">
        <v>1151</v>
      </c>
      <c r="F30" s="588">
        <f>+F17*F$3</f>
        <v>3.8809946714031978</v>
      </c>
      <c r="G30" s="588">
        <f t="shared" ref="G30:J30" si="12">+G17*G$3</f>
        <v>3.8864696734059105</v>
      </c>
      <c r="H30" s="588">
        <f t="shared" si="12"/>
        <v>3.8939828080229226</v>
      </c>
      <c r="I30" s="588">
        <f t="shared" si="12"/>
        <v>3.8849797023004058</v>
      </c>
      <c r="J30" s="588">
        <f t="shared" si="12"/>
        <v>3.883116883116883</v>
      </c>
    </row>
    <row r="31" spans="4:10">
      <c r="F31" s="588">
        <f t="shared" ref="F31:J31" si="13">+F18*F$3</f>
        <v>8.3333333333333339</v>
      </c>
      <c r="G31" s="588">
        <f t="shared" si="13"/>
        <v>8.3172866520787743</v>
      </c>
      <c r="H31" s="588">
        <f t="shared" si="13"/>
        <v>8.3076923076923084</v>
      </c>
      <c r="I31" s="588">
        <f t="shared" si="13"/>
        <v>8.3321616871704762</v>
      </c>
      <c r="J31" s="588">
        <f t="shared" si="13"/>
        <v>8.311475409836067</v>
      </c>
    </row>
    <row r="32" spans="4:10">
      <c r="F32" s="588">
        <f t="shared" ref="F32:J32" si="14">+F19*F$3</f>
        <v>19.154589371980673</v>
      </c>
      <c r="G32" s="588">
        <f t="shared" si="14"/>
        <v>19.119402985074629</v>
      </c>
      <c r="H32" s="588">
        <f t="shared" si="14"/>
        <v>19.125</v>
      </c>
      <c r="I32" s="588">
        <f t="shared" si="14"/>
        <v>19.136986301369863</v>
      </c>
      <c r="J32" s="588">
        <f t="shared" si="14"/>
        <v>19.098765432098766</v>
      </c>
    </row>
    <row r="33" spans="6:10">
      <c r="F33" s="588">
        <f t="shared" ref="F33:J33" si="15">+F20*F$3</f>
        <v>16.276595744680851</v>
      </c>
      <c r="G33" s="588">
        <f t="shared" si="15"/>
        <v>16.255813953488374</v>
      </c>
      <c r="H33" s="588">
        <f t="shared" si="15"/>
        <v>16.2808988764045</v>
      </c>
      <c r="I33" s="588">
        <f t="shared" si="15"/>
        <v>16.29528535980149</v>
      </c>
      <c r="J33" s="588">
        <f t="shared" si="15"/>
        <v>16.27927927927928</v>
      </c>
    </row>
    <row r="34" spans="6:10">
      <c r="F34" s="588">
        <f t="shared" ref="F34:J34" si="16">+F21*F$3</f>
        <v>2.5414781297134241</v>
      </c>
      <c r="G34" s="588">
        <f t="shared" si="16"/>
        <v>2.7357440890125173</v>
      </c>
      <c r="H34" s="588">
        <f t="shared" si="16"/>
        <v>2.8733509234828496</v>
      </c>
      <c r="I34" s="588">
        <f t="shared" si="16"/>
        <v>2.9771283354510802</v>
      </c>
      <c r="J34" s="588">
        <f t="shared" si="16"/>
        <v>3.0493827160493825</v>
      </c>
    </row>
    <row r="35" spans="6:10">
      <c r="F35" s="588">
        <f t="shared" ref="F35:J35" si="17">+F22*F$3</f>
        <v>4.3632958801498125</v>
      </c>
      <c r="G35" s="588">
        <f t="shared" si="17"/>
        <v>4.8644067796610173</v>
      </c>
      <c r="H35" s="588">
        <f t="shared" si="17"/>
        <v>5.1955835962145116</v>
      </c>
      <c r="I35" s="588">
        <f t="shared" si="17"/>
        <v>5.4670658682634743</v>
      </c>
      <c r="J35" s="588">
        <f t="shared" si="17"/>
        <v>5.6781609195402298</v>
      </c>
    </row>
    <row r="36" spans="6:10">
      <c r="F36" s="588">
        <f t="shared" ref="F36:J36" si="18">+F23*F$3</f>
        <v>6.7924528301886795</v>
      </c>
      <c r="G36" s="588">
        <f t="shared" si="18"/>
        <v>8.184381778741864</v>
      </c>
      <c r="H36" s="588">
        <f t="shared" si="18"/>
        <v>9.1451612903225801</v>
      </c>
      <c r="I36" s="588">
        <f t="shared" si="18"/>
        <v>9.8728652751423134</v>
      </c>
      <c r="J36" s="588">
        <f t="shared" si="18"/>
        <v>10.465703971119133</v>
      </c>
    </row>
    <row r="37" spans="6:10">
      <c r="F37" s="588">
        <f t="shared" ref="F37:J37" si="19">+F24*F$3</f>
        <v>6.3636363636363633</v>
      </c>
      <c r="G37" s="588">
        <f t="shared" si="19"/>
        <v>7.4927536231884062</v>
      </c>
      <c r="H37" s="588">
        <f t="shared" si="19"/>
        <v>8.2744721689059499</v>
      </c>
      <c r="I37" s="588">
        <f t="shared" si="19"/>
        <v>8.8915009041591322</v>
      </c>
      <c r="J37" s="588">
        <f t="shared" si="19"/>
        <v>9.3752151462994817</v>
      </c>
    </row>
    <row r="38" spans="6:10">
      <c r="F38" s="588">
        <f t="shared" ref="F38:J38" si="20">+F25*F$3</f>
        <v>3.3892617449664426</v>
      </c>
      <c r="G38" s="588">
        <f t="shared" si="20"/>
        <v>3.5263157894736845</v>
      </c>
      <c r="H38" s="588">
        <f t="shared" si="20"/>
        <v>3.6050420168067223</v>
      </c>
      <c r="I38" s="588">
        <f t="shared" si="20"/>
        <v>3.6471371504660453</v>
      </c>
      <c r="J38" s="588">
        <f t="shared" si="20"/>
        <v>3.6880616174582799</v>
      </c>
    </row>
    <row r="39" spans="6:10">
      <c r="F39" s="588">
        <f t="shared" ref="F39:J39" si="21">+F26*F$3</f>
        <v>6.2359550561797752</v>
      </c>
      <c r="G39" s="588">
        <f t="shared" si="21"/>
        <v>6.7524557956778004</v>
      </c>
      <c r="H39" s="588">
        <f t="shared" si="21"/>
        <v>7.0714285714285712</v>
      </c>
      <c r="I39" s="588">
        <f t="shared" si="21"/>
        <v>7.2724252491694337</v>
      </c>
      <c r="J39" s="588">
        <f t="shared" si="21"/>
        <v>7.408163265306122</v>
      </c>
    </row>
    <row r="40" spans="6:10">
      <c r="F40" s="588">
        <f t="shared" ref="F40:J40" si="22">+F27*F$3</f>
        <v>10.337423312883438</v>
      </c>
      <c r="G40" s="588">
        <f t="shared" si="22"/>
        <v>12.125683060109289</v>
      </c>
      <c r="H40" s="588">
        <f t="shared" si="22"/>
        <v>13.332506203473946</v>
      </c>
      <c r="I40" s="588">
        <f t="shared" si="22"/>
        <v>14.17162471395881</v>
      </c>
      <c r="J40" s="588">
        <f t="shared" si="22"/>
        <v>14.77777777777778</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93AB4-E148-4297-A1A7-FD8D454F41B9}">
  <dimension ref="A2:C9"/>
  <sheetViews>
    <sheetView workbookViewId="0"/>
  </sheetViews>
  <sheetFormatPr defaultColWidth="9.140625" defaultRowHeight="15"/>
  <cols>
    <col min="1" max="1" width="31" style="50" customWidth="1"/>
    <col min="2" max="2" width="9.140625" style="53"/>
    <col min="3" max="3" width="10.140625" style="53" customWidth="1"/>
    <col min="4" max="16384" width="9.140625" style="50"/>
  </cols>
  <sheetData>
    <row r="2" spans="1:3">
      <c r="A2" s="53" t="s">
        <v>897</v>
      </c>
      <c r="B2" s="53" t="s">
        <v>615</v>
      </c>
      <c r="C2" s="53">
        <v>12</v>
      </c>
    </row>
    <row r="3" spans="1:3">
      <c r="B3" s="53" t="s">
        <v>944</v>
      </c>
      <c r="C3" s="53">
        <f>+C2*60</f>
        <v>720</v>
      </c>
    </row>
    <row r="4" spans="1:3">
      <c r="A4" s="50" t="s">
        <v>945</v>
      </c>
      <c r="B4" s="53" t="s">
        <v>207</v>
      </c>
      <c r="C4" s="53">
        <v>35</v>
      </c>
    </row>
    <row r="5" spans="1:3">
      <c r="A5" s="50" t="s">
        <v>946</v>
      </c>
      <c r="B5" s="53" t="s">
        <v>207</v>
      </c>
      <c r="C5" s="53">
        <v>20</v>
      </c>
    </row>
    <row r="6" spans="1:3">
      <c r="A6" s="50" t="s">
        <v>947</v>
      </c>
      <c r="B6" s="53" t="s">
        <v>948</v>
      </c>
      <c r="C6" s="53">
        <v>0.5</v>
      </c>
    </row>
    <row r="7" spans="1:3">
      <c r="A7" s="50" t="s">
        <v>949</v>
      </c>
      <c r="B7" s="53" t="s">
        <v>950</v>
      </c>
      <c r="C7" s="53">
        <f>+C6*(C4-C5)</f>
        <v>7.5</v>
      </c>
    </row>
    <row r="8" spans="1:3">
      <c r="A8" s="50" t="s">
        <v>951</v>
      </c>
      <c r="B8" s="53" t="s">
        <v>952</v>
      </c>
      <c r="C8" s="53">
        <v>1.1599999999999999</v>
      </c>
    </row>
    <row r="9" spans="1:3">
      <c r="A9" s="50" t="s">
        <v>954</v>
      </c>
      <c r="B9" s="53" t="s">
        <v>953</v>
      </c>
      <c r="C9" s="580">
        <f>+C7/C8/C3</f>
        <v>8.9798850574712638E-3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CA76-15A6-4C20-BA70-770ACE45A0F9}">
  <dimension ref="B3:J19"/>
  <sheetViews>
    <sheetView workbookViewId="0"/>
  </sheetViews>
  <sheetFormatPr defaultRowHeight="15"/>
  <cols>
    <col min="2" max="2" width="25.140625" customWidth="1"/>
    <col min="3" max="3" width="24.28515625" customWidth="1"/>
  </cols>
  <sheetData>
    <row r="3" spans="2:10">
      <c r="C3" t="s">
        <v>990</v>
      </c>
      <c r="D3" s="589">
        <v>8</v>
      </c>
      <c r="E3" s="1">
        <f>+D3+2</f>
        <v>10</v>
      </c>
      <c r="F3" s="1">
        <f t="shared" ref="F3:J3" si="0">+E3+2</f>
        <v>12</v>
      </c>
      <c r="G3" s="1">
        <f t="shared" si="0"/>
        <v>14</v>
      </c>
      <c r="H3" s="1">
        <f t="shared" si="0"/>
        <v>16</v>
      </c>
      <c r="I3" s="1">
        <f t="shared" si="0"/>
        <v>18</v>
      </c>
      <c r="J3" s="1">
        <f t="shared" si="0"/>
        <v>20</v>
      </c>
    </row>
    <row r="4" spans="2:10">
      <c r="C4" t="s">
        <v>610</v>
      </c>
      <c r="D4" s="589">
        <v>40</v>
      </c>
      <c r="E4" s="1">
        <f>+D4</f>
        <v>40</v>
      </c>
      <c r="F4" s="1">
        <f t="shared" ref="F4:J4" si="1">+E4</f>
        <v>40</v>
      </c>
      <c r="G4" s="1">
        <f t="shared" si="1"/>
        <v>40</v>
      </c>
      <c r="H4" s="1">
        <f t="shared" si="1"/>
        <v>40</v>
      </c>
      <c r="I4" s="1">
        <f t="shared" si="1"/>
        <v>40</v>
      </c>
      <c r="J4" s="1">
        <f t="shared" si="1"/>
        <v>40</v>
      </c>
    </row>
    <row r="5" spans="2:10">
      <c r="C5" t="s">
        <v>987</v>
      </c>
      <c r="D5" s="589">
        <v>35</v>
      </c>
      <c r="E5" s="1">
        <f>+D5</f>
        <v>35</v>
      </c>
      <c r="F5" s="1">
        <f t="shared" ref="F5:J5" si="2">+E5</f>
        <v>35</v>
      </c>
      <c r="G5" s="1">
        <f t="shared" si="2"/>
        <v>35</v>
      </c>
      <c r="H5" s="1">
        <f t="shared" si="2"/>
        <v>35</v>
      </c>
      <c r="I5" s="1">
        <f t="shared" si="2"/>
        <v>35</v>
      </c>
      <c r="J5" s="1">
        <f t="shared" si="2"/>
        <v>35</v>
      </c>
    </row>
    <row r="6" spans="2:10">
      <c r="D6" s="1"/>
      <c r="E6" s="1"/>
      <c r="F6" s="1"/>
      <c r="G6" s="1"/>
      <c r="H6" s="1"/>
      <c r="I6" s="1"/>
      <c r="J6" s="1"/>
    </row>
    <row r="7" spans="2:10">
      <c r="B7" t="str">
        <f>"Draw-off "&amp;D4&amp;"°C - Drain "&amp;D5&amp;"°C"</f>
        <v>Draw-off 40°C - Drain 35°C</v>
      </c>
      <c r="C7" t="s">
        <v>989</v>
      </c>
      <c r="D7" s="590">
        <f>+(D5-D3)/(D4-D3)</f>
        <v>0.84375</v>
      </c>
      <c r="E7" s="590">
        <f t="shared" ref="E7:J7" si="3">+(E5-E3)/(E4-E3)</f>
        <v>0.83333333333333337</v>
      </c>
      <c r="F7" s="590">
        <f t="shared" si="3"/>
        <v>0.8214285714285714</v>
      </c>
      <c r="G7" s="590">
        <f t="shared" si="3"/>
        <v>0.80769230769230771</v>
      </c>
      <c r="H7" s="590">
        <f t="shared" si="3"/>
        <v>0.79166666666666663</v>
      </c>
      <c r="I7" s="590">
        <f t="shared" si="3"/>
        <v>0.77272727272727271</v>
      </c>
      <c r="J7" s="590">
        <f t="shared" si="3"/>
        <v>0.75</v>
      </c>
    </row>
    <row r="9" spans="2:10">
      <c r="C9" t="s">
        <v>319</v>
      </c>
      <c r="D9" s="589">
        <v>8</v>
      </c>
      <c r="E9" s="1">
        <f>+D9+2</f>
        <v>10</v>
      </c>
      <c r="F9" s="1">
        <f t="shared" ref="F9:J9" si="4">+E9+2</f>
        <v>12</v>
      </c>
      <c r="G9" s="1">
        <f t="shared" si="4"/>
        <v>14</v>
      </c>
      <c r="H9" s="1">
        <f t="shared" si="4"/>
        <v>16</v>
      </c>
      <c r="I9" s="1">
        <f t="shared" si="4"/>
        <v>18</v>
      </c>
      <c r="J9" s="1">
        <f t="shared" si="4"/>
        <v>20</v>
      </c>
    </row>
    <row r="10" spans="2:10">
      <c r="C10" t="s">
        <v>610</v>
      </c>
      <c r="D10" s="589">
        <v>41</v>
      </c>
      <c r="E10" s="1">
        <f>+D10</f>
        <v>41</v>
      </c>
      <c r="F10" s="1">
        <f t="shared" ref="F10:J10" si="5">+E10</f>
        <v>41</v>
      </c>
      <c r="G10" s="1">
        <f t="shared" si="5"/>
        <v>41</v>
      </c>
      <c r="H10" s="1">
        <f t="shared" si="5"/>
        <v>41</v>
      </c>
      <c r="I10" s="1">
        <f t="shared" si="5"/>
        <v>41</v>
      </c>
      <c r="J10" s="1">
        <f t="shared" si="5"/>
        <v>41</v>
      </c>
    </row>
    <row r="11" spans="2:10">
      <c r="C11" t="s">
        <v>987</v>
      </c>
      <c r="D11" s="589">
        <v>35</v>
      </c>
      <c r="E11" s="1">
        <f>+D11</f>
        <v>35</v>
      </c>
      <c r="F11" s="1">
        <f t="shared" ref="F11:J11" si="6">+E11</f>
        <v>35</v>
      </c>
      <c r="G11" s="1">
        <f t="shared" si="6"/>
        <v>35</v>
      </c>
      <c r="H11" s="1">
        <f t="shared" si="6"/>
        <v>35</v>
      </c>
      <c r="I11" s="1">
        <f t="shared" si="6"/>
        <v>35</v>
      </c>
      <c r="J11" s="1">
        <f t="shared" si="6"/>
        <v>35</v>
      </c>
    </row>
    <row r="12" spans="2:10">
      <c r="D12" s="1"/>
      <c r="E12" s="1"/>
      <c r="F12" s="1"/>
      <c r="G12" s="1"/>
      <c r="H12" s="1"/>
      <c r="I12" s="1"/>
      <c r="J12" s="1"/>
    </row>
    <row r="13" spans="2:10">
      <c r="B13" t="str">
        <f>"Draw-off "&amp;D10&amp;"°C - Drain "&amp;D11&amp;"°C"</f>
        <v>Draw-off 41°C - Drain 35°C</v>
      </c>
      <c r="C13" t="s">
        <v>988</v>
      </c>
      <c r="D13" s="590">
        <f>+(D11-D9)/(D10-D9)</f>
        <v>0.81818181818181823</v>
      </c>
      <c r="E13" s="590">
        <f t="shared" ref="E13:J13" si="7">+(E11-E9)/(E10-E9)</f>
        <v>0.80645161290322576</v>
      </c>
      <c r="F13" s="590">
        <f t="shared" si="7"/>
        <v>0.7931034482758621</v>
      </c>
      <c r="G13" s="590">
        <f t="shared" si="7"/>
        <v>0.77777777777777779</v>
      </c>
      <c r="H13" s="590">
        <f t="shared" si="7"/>
        <v>0.76</v>
      </c>
      <c r="I13" s="590">
        <f t="shared" si="7"/>
        <v>0.73913043478260865</v>
      </c>
      <c r="J13" s="590">
        <f t="shared" si="7"/>
        <v>0.7142857142857143</v>
      </c>
    </row>
    <row r="15" spans="2:10">
      <c r="C15" t="s">
        <v>319</v>
      </c>
      <c r="D15" s="589">
        <v>8</v>
      </c>
      <c r="E15" s="1">
        <f>+D15+2</f>
        <v>10</v>
      </c>
      <c r="F15" s="1">
        <f t="shared" ref="F15:J15" si="8">+E15+2</f>
        <v>12</v>
      </c>
      <c r="G15" s="1">
        <f t="shared" si="8"/>
        <v>14</v>
      </c>
      <c r="H15" s="1">
        <f t="shared" si="8"/>
        <v>16</v>
      </c>
      <c r="I15" s="1">
        <f t="shared" si="8"/>
        <v>18</v>
      </c>
      <c r="J15" s="1">
        <f t="shared" si="8"/>
        <v>20</v>
      </c>
    </row>
    <row r="16" spans="2:10">
      <c r="C16" t="s">
        <v>610</v>
      </c>
      <c r="D16" s="589">
        <v>40</v>
      </c>
      <c r="E16" s="1">
        <f>+D16</f>
        <v>40</v>
      </c>
      <c r="F16" s="1">
        <f t="shared" ref="F16:J16" si="9">+E16</f>
        <v>40</v>
      </c>
      <c r="G16" s="1">
        <f t="shared" si="9"/>
        <v>40</v>
      </c>
      <c r="H16" s="1">
        <f t="shared" si="9"/>
        <v>40</v>
      </c>
      <c r="I16" s="1">
        <f t="shared" si="9"/>
        <v>40</v>
      </c>
      <c r="J16" s="1">
        <f t="shared" si="9"/>
        <v>40</v>
      </c>
    </row>
    <row r="17" spans="2:10">
      <c r="C17" t="s">
        <v>987</v>
      </c>
      <c r="D17" s="589">
        <v>37</v>
      </c>
      <c r="E17" s="1">
        <f>+D17</f>
        <v>37</v>
      </c>
      <c r="F17" s="1">
        <f t="shared" ref="F17:J17" si="10">+E17</f>
        <v>37</v>
      </c>
      <c r="G17" s="1">
        <f t="shared" si="10"/>
        <v>37</v>
      </c>
      <c r="H17" s="1">
        <f t="shared" si="10"/>
        <v>37</v>
      </c>
      <c r="I17" s="1">
        <f t="shared" si="10"/>
        <v>37</v>
      </c>
      <c r="J17" s="1">
        <f t="shared" si="10"/>
        <v>37</v>
      </c>
    </row>
    <row r="18" spans="2:10">
      <c r="D18" s="1"/>
      <c r="E18" s="1"/>
      <c r="F18" s="1"/>
      <c r="G18" s="1"/>
      <c r="H18" s="1"/>
      <c r="I18" s="1"/>
      <c r="J18" s="1"/>
    </row>
    <row r="19" spans="2:10">
      <c r="B19" t="str">
        <f>"Draw-off "&amp;D16&amp;"°C - Drain "&amp;D17&amp;"°C"</f>
        <v>Draw-off 40°C - Drain 37°C</v>
      </c>
      <c r="C19" t="s">
        <v>988</v>
      </c>
      <c r="D19" s="590">
        <f>+(D17-D15)/(D16-D15)</f>
        <v>0.90625</v>
      </c>
      <c r="E19" s="590">
        <f t="shared" ref="E19:J19" si="11">+(E17-E15)/(E16-E15)</f>
        <v>0.9</v>
      </c>
      <c r="F19" s="590">
        <f t="shared" si="11"/>
        <v>0.8928571428571429</v>
      </c>
      <c r="G19" s="590">
        <f t="shared" si="11"/>
        <v>0.88461538461538458</v>
      </c>
      <c r="H19" s="590">
        <f t="shared" si="11"/>
        <v>0.875</v>
      </c>
      <c r="I19" s="590">
        <f t="shared" si="11"/>
        <v>0.86363636363636365</v>
      </c>
      <c r="J19" s="590">
        <f t="shared" si="11"/>
        <v>0.85</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4D554-6C2B-4276-9125-684D032495DD}">
  <dimension ref="A3:C51"/>
  <sheetViews>
    <sheetView workbookViewId="0"/>
  </sheetViews>
  <sheetFormatPr defaultRowHeight="15"/>
  <cols>
    <col min="1" max="1" width="59" customWidth="1"/>
  </cols>
  <sheetData>
    <row r="3" spans="1:3">
      <c r="A3" t="s">
        <v>993</v>
      </c>
      <c r="B3" t="s">
        <v>994</v>
      </c>
      <c r="C3">
        <v>5600</v>
      </c>
    </row>
    <row r="4" spans="1:3">
      <c r="A4" t="s">
        <v>995</v>
      </c>
      <c r="B4" t="s">
        <v>994</v>
      </c>
      <c r="C4">
        <v>1000</v>
      </c>
    </row>
    <row r="5" spans="1:3">
      <c r="A5" t="s">
        <v>996</v>
      </c>
      <c r="B5" t="s">
        <v>975</v>
      </c>
      <c r="C5">
        <v>1.7999999999999999E-2</v>
      </c>
    </row>
    <row r="6" spans="1:3">
      <c r="A6" t="s">
        <v>997</v>
      </c>
      <c r="B6" t="s">
        <v>998</v>
      </c>
      <c r="C6">
        <v>8.3140000000000001</v>
      </c>
    </row>
    <row r="7" spans="1:3">
      <c r="A7" t="s">
        <v>999</v>
      </c>
      <c r="B7" t="s">
        <v>207</v>
      </c>
      <c r="C7">
        <v>35</v>
      </c>
    </row>
    <row r="8" spans="1:3">
      <c r="B8" t="s">
        <v>1000</v>
      </c>
      <c r="C8">
        <f>+C7+273.15</f>
        <v>308.14999999999998</v>
      </c>
    </row>
    <row r="10" spans="1:3">
      <c r="A10" t="s">
        <v>991</v>
      </c>
      <c r="B10" t="s">
        <v>992</v>
      </c>
      <c r="C10" s="588">
        <f>+(C3-C4)*SQRT(C5/(2*3.1415*C6*C8))</f>
        <v>4.8643459956324211</v>
      </c>
    </row>
    <row r="21" spans="1:1">
      <c r="A21" s="591" t="s">
        <v>1001</v>
      </c>
    </row>
    <row r="22" spans="1:1">
      <c r="A22" s="592"/>
    </row>
    <row r="23" spans="1:1" ht="18.75">
      <c r="A23" s="593" t="s">
        <v>1002</v>
      </c>
    </row>
    <row r="24" spans="1:1">
      <c r="A24" s="592"/>
    </row>
    <row r="25" spans="1:1">
      <c r="A25" s="593" t="s">
        <v>1003</v>
      </c>
    </row>
    <row r="26" spans="1:1">
      <c r="A26" s="592"/>
    </row>
    <row r="27" spans="1:1" ht="18.75">
      <c r="A27" s="593" t="s">
        <v>1004</v>
      </c>
    </row>
    <row r="28" spans="1:1">
      <c r="A28" s="592"/>
    </row>
    <row r="29" spans="1:1">
      <c r="A29" s="593" t="s">
        <v>1005</v>
      </c>
    </row>
    <row r="30" spans="1:1">
      <c r="A30" s="592"/>
    </row>
    <row r="31" spans="1:1" ht="18.75">
      <c r="A31" s="593" t="s">
        <v>1006</v>
      </c>
    </row>
    <row r="32" spans="1:1">
      <c r="A32" s="592"/>
    </row>
    <row r="33" spans="1:3" ht="18.75">
      <c r="A33" s="593" t="s">
        <v>1007</v>
      </c>
    </row>
    <row r="34" spans="1:3">
      <c r="A34" s="592"/>
    </row>
    <row r="35" spans="1:3" ht="16.5">
      <c r="A35" s="593" t="s">
        <v>1008</v>
      </c>
    </row>
    <row r="36" spans="1:3">
      <c r="A36" s="592"/>
    </row>
    <row r="37" spans="1:3">
      <c r="A37" s="593" t="s">
        <v>1009</v>
      </c>
    </row>
    <row r="38" spans="1:3">
      <c r="A38" s="592"/>
    </row>
    <row r="39" spans="1:3" ht="16.5">
      <c r="A39" s="593" t="s">
        <v>1010</v>
      </c>
    </row>
    <row r="40" spans="1:3">
      <c r="A40" s="592"/>
    </row>
    <row r="41" spans="1:3" ht="45">
      <c r="A41" s="594" t="s">
        <v>1011</v>
      </c>
    </row>
    <row r="42" spans="1:3">
      <c r="A42" s="592"/>
    </row>
    <row r="43" spans="1:3">
      <c r="A43" s="594" t="s">
        <v>1012</v>
      </c>
    </row>
    <row r="46" spans="1:3">
      <c r="A46" t="s">
        <v>1013</v>
      </c>
      <c r="B46" t="s">
        <v>1014</v>
      </c>
      <c r="C46">
        <v>0</v>
      </c>
    </row>
    <row r="47" spans="1:3">
      <c r="A47" t="s">
        <v>1015</v>
      </c>
      <c r="B47" t="s">
        <v>1016</v>
      </c>
      <c r="C47">
        <f>25+19*C46</f>
        <v>25</v>
      </c>
    </row>
    <row r="48" spans="1:3">
      <c r="A48" t="s">
        <v>425</v>
      </c>
      <c r="B48" t="s">
        <v>214</v>
      </c>
      <c r="C48">
        <v>5</v>
      </c>
    </row>
    <row r="49" spans="1:3">
      <c r="A49" t="s">
        <v>1017</v>
      </c>
      <c r="B49" t="s">
        <v>1018</v>
      </c>
      <c r="C49">
        <v>3.6999999999999998E-2</v>
      </c>
    </row>
    <row r="50" spans="1:3">
      <c r="A50" t="s">
        <v>1019</v>
      </c>
      <c r="B50" t="s">
        <v>1018</v>
      </c>
      <c r="C50">
        <v>1.2999999999999999E-2</v>
      </c>
    </row>
    <row r="51" spans="1:3">
      <c r="A51" t="s">
        <v>1020</v>
      </c>
      <c r="B51" t="s">
        <v>1021</v>
      </c>
      <c r="C51">
        <f>+C47*C48*(C49-C50)</f>
        <v>3</v>
      </c>
    </row>
  </sheetData>
  <hyperlinks>
    <hyperlink ref="A41" r:id="rId1" tooltip="Moist air - humidity ratio" display="https://www.engineeringtoolbox.com/humidity-ratio-air-d_686.html" xr:uid="{B4AE9679-2B01-48F9-9BFB-29DEA41E3FE0}"/>
    <hyperlink ref="A43" r:id="rId2" tooltip="Moist air - humidity ratio" display="https://www.engineeringtoolbox.com/humidity-ratio-air-d_686.html" xr:uid="{C2433A4A-0105-445E-AEB7-EDBA5ABD00F5}"/>
  </hyperlinks>
  <pageMargins left="0.7" right="0.7" top="0.75" bottom="0.75" header="0.3" footer="0.3"/>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FC4D2-FD45-40E3-8517-26D5F632AC86}">
  <dimension ref="A3:E7"/>
  <sheetViews>
    <sheetView workbookViewId="0"/>
  </sheetViews>
  <sheetFormatPr defaultRowHeight="15"/>
  <cols>
    <col min="1" max="1" width="23" customWidth="1"/>
    <col min="3" max="5" width="9.140625" style="1"/>
  </cols>
  <sheetData>
    <row r="3" spans="1:3">
      <c r="A3" t="s">
        <v>974</v>
      </c>
      <c r="B3" s="1" t="s">
        <v>975</v>
      </c>
      <c r="C3" s="1">
        <v>8</v>
      </c>
    </row>
    <row r="4" spans="1:3">
      <c r="A4" t="s">
        <v>976</v>
      </c>
      <c r="C4" s="1" t="s">
        <v>977</v>
      </c>
    </row>
    <row r="5" spans="1:3">
      <c r="A5" t="s">
        <v>978</v>
      </c>
      <c r="B5" t="s">
        <v>979</v>
      </c>
      <c r="C5" s="1">
        <v>385</v>
      </c>
    </row>
    <row r="6" spans="1:3">
      <c r="A6" t="s">
        <v>980</v>
      </c>
      <c r="B6" t="s">
        <v>979</v>
      </c>
      <c r="C6" s="1">
        <v>4186</v>
      </c>
    </row>
    <row r="7" spans="1:3">
      <c r="A7" t="s">
        <v>981</v>
      </c>
      <c r="B7" t="s">
        <v>975</v>
      </c>
      <c r="C7" s="531">
        <f>+C3*C5/C6</f>
        <v>0.73578595317725748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73B33-1266-4603-92DA-6756C78B9BCF}">
  <sheetPr codeName="Foglio6">
    <tabColor theme="0"/>
  </sheetPr>
  <dimension ref="A1:AN322"/>
  <sheetViews>
    <sheetView workbookViewId="0"/>
  </sheetViews>
  <sheetFormatPr defaultColWidth="9.140625" defaultRowHeight="15"/>
  <cols>
    <col min="1" max="1" width="9.140625" style="53"/>
    <col min="2" max="2" width="18" style="53" customWidth="1"/>
    <col min="3" max="3" width="5.28515625" style="53" customWidth="1"/>
    <col min="4" max="4" width="20.42578125" style="53" customWidth="1"/>
    <col min="5" max="17" width="10.42578125" style="53" customWidth="1"/>
    <col min="18" max="39" width="11" style="53" customWidth="1"/>
    <col min="40" max="16384" width="9.140625" style="53"/>
  </cols>
  <sheetData>
    <row r="1" spans="2:17">
      <c r="B1" s="216"/>
      <c r="C1" s="216"/>
      <c r="D1" s="216"/>
      <c r="E1" s="216"/>
      <c r="F1" s="216"/>
      <c r="G1" s="216"/>
      <c r="H1" s="216"/>
      <c r="I1" s="216"/>
      <c r="J1" s="216"/>
      <c r="K1" s="216"/>
      <c r="L1" s="216"/>
      <c r="M1" s="216"/>
      <c r="N1" s="216"/>
      <c r="O1" s="216"/>
      <c r="P1" s="216"/>
      <c r="Q1" s="216"/>
    </row>
    <row r="2" spans="2:17">
      <c r="B2" s="216"/>
      <c r="C2" s="216"/>
      <c r="D2" s="216"/>
      <c r="E2" s="216"/>
      <c r="F2" s="216"/>
      <c r="G2" s="216"/>
      <c r="H2" s="216"/>
      <c r="I2" s="216"/>
      <c r="J2" s="216"/>
      <c r="K2" s="216"/>
      <c r="L2" s="216"/>
      <c r="M2" s="216"/>
      <c r="N2" s="216"/>
      <c r="O2" s="216"/>
      <c r="P2" s="216"/>
      <c r="Q2" s="216"/>
    </row>
    <row r="3" spans="2:17">
      <c r="B3" s="216"/>
      <c r="C3" s="216"/>
      <c r="D3" s="294" t="s">
        <v>455</v>
      </c>
      <c r="E3" s="216"/>
      <c r="F3" s="216"/>
      <c r="G3" s="216"/>
      <c r="H3" s="216"/>
      <c r="I3" s="216"/>
      <c r="J3" s="216"/>
      <c r="K3" s="216"/>
      <c r="L3" s="216"/>
      <c r="M3" s="216"/>
      <c r="N3" s="216"/>
      <c r="O3" s="216"/>
      <c r="P3" s="216"/>
      <c r="Q3" s="216"/>
    </row>
    <row r="4" spans="2:17">
      <c r="B4" s="216"/>
      <c r="C4" s="216"/>
      <c r="D4" s="327" t="s">
        <v>493</v>
      </c>
      <c r="E4" s="216"/>
      <c r="F4" s="216"/>
      <c r="G4" s="216"/>
      <c r="H4" s="216"/>
      <c r="I4" s="216"/>
      <c r="J4" s="216"/>
      <c r="K4" s="216"/>
      <c r="L4" s="216"/>
      <c r="M4" s="216"/>
      <c r="N4" s="216"/>
      <c r="O4" s="216"/>
      <c r="P4" s="216"/>
      <c r="Q4" s="216"/>
    </row>
    <row r="5" spans="2:17">
      <c r="B5" s="216"/>
      <c r="C5" s="216"/>
      <c r="D5" s="214"/>
      <c r="E5" s="295" t="s">
        <v>324</v>
      </c>
      <c r="F5" s="295" t="s">
        <v>325</v>
      </c>
      <c r="G5" s="295" t="s">
        <v>326</v>
      </c>
      <c r="H5" s="295" t="s">
        <v>327</v>
      </c>
      <c r="I5" s="295" t="s">
        <v>328</v>
      </c>
      <c r="J5" s="295" t="s">
        <v>329</v>
      </c>
      <c r="K5" s="295" t="s">
        <v>330</v>
      </c>
      <c r="L5" s="216"/>
      <c r="M5" s="216"/>
      <c r="N5" s="216"/>
      <c r="O5" s="216"/>
      <c r="P5" s="216"/>
      <c r="Q5" s="216"/>
    </row>
    <row r="6" spans="2:17" ht="24">
      <c r="B6" s="216"/>
      <c r="C6" s="216"/>
      <c r="D6" s="214"/>
      <c r="E6" s="296" t="s">
        <v>249</v>
      </c>
      <c r="F6" s="296" t="s">
        <v>331</v>
      </c>
      <c r="G6" s="296" t="s">
        <v>331</v>
      </c>
      <c r="H6" s="296" t="s">
        <v>331</v>
      </c>
      <c r="I6" s="296" t="s">
        <v>331</v>
      </c>
      <c r="J6" s="296" t="s">
        <v>331</v>
      </c>
      <c r="K6" s="296" t="s">
        <v>331</v>
      </c>
      <c r="L6" s="216"/>
      <c r="M6" s="216"/>
      <c r="N6" s="216"/>
      <c r="O6" s="216"/>
      <c r="P6" s="216"/>
      <c r="Q6" s="216"/>
    </row>
    <row r="7" spans="2:17">
      <c r="B7" s="216"/>
      <c r="C7" s="216"/>
      <c r="D7" s="296" t="s">
        <v>222</v>
      </c>
      <c r="E7" s="297">
        <v>0</v>
      </c>
      <c r="F7" s="297">
        <v>0</v>
      </c>
      <c r="G7" s="297">
        <v>0</v>
      </c>
      <c r="H7" s="297">
        <v>0</v>
      </c>
      <c r="I7" s="297">
        <v>0</v>
      </c>
      <c r="J7" s="297">
        <v>0</v>
      </c>
      <c r="K7" s="297">
        <v>0</v>
      </c>
      <c r="L7" s="216"/>
      <c r="M7" s="216"/>
      <c r="N7" s="216"/>
      <c r="O7" s="216"/>
      <c r="P7" s="216"/>
      <c r="Q7" s="216"/>
    </row>
    <row r="8" spans="2:17">
      <c r="B8" s="216"/>
      <c r="C8" s="216"/>
      <c r="D8" s="296" t="s">
        <v>223</v>
      </c>
      <c r="E8" s="297">
        <v>0</v>
      </c>
      <c r="F8" s="297">
        <v>0</v>
      </c>
      <c r="G8" s="297">
        <v>0</v>
      </c>
      <c r="H8" s="297">
        <v>0</v>
      </c>
      <c r="I8" s="297">
        <v>0</v>
      </c>
      <c r="J8" s="297">
        <v>0</v>
      </c>
      <c r="K8" s="297">
        <v>0</v>
      </c>
      <c r="L8" s="216"/>
      <c r="M8" s="216"/>
      <c r="N8" s="216"/>
      <c r="O8" s="216"/>
      <c r="P8" s="216"/>
      <c r="Q8" s="216"/>
    </row>
    <row r="9" spans="2:17">
      <c r="B9" s="216"/>
      <c r="C9" s="216"/>
      <c r="D9" s="296" t="s">
        <v>224</v>
      </c>
      <c r="E9" s="297">
        <v>0</v>
      </c>
      <c r="F9" s="297">
        <v>0</v>
      </c>
      <c r="G9" s="297">
        <v>0</v>
      </c>
      <c r="H9" s="297">
        <v>0</v>
      </c>
      <c r="I9" s="297">
        <v>0</v>
      </c>
      <c r="J9" s="297">
        <v>0</v>
      </c>
      <c r="K9" s="297">
        <v>0</v>
      </c>
      <c r="L9" s="216"/>
      <c r="M9" s="216"/>
      <c r="N9" s="216"/>
      <c r="O9" s="216"/>
      <c r="P9" s="216"/>
      <c r="Q9" s="216"/>
    </row>
    <row r="10" spans="2:17">
      <c r="B10" s="216"/>
      <c r="C10" s="216"/>
      <c r="D10" s="296" t="s">
        <v>225</v>
      </c>
      <c r="E10" s="297">
        <v>0</v>
      </c>
      <c r="F10" s="297">
        <v>0</v>
      </c>
      <c r="G10" s="297">
        <v>0</v>
      </c>
      <c r="H10" s="297">
        <v>0</v>
      </c>
      <c r="I10" s="297">
        <v>0</v>
      </c>
      <c r="J10" s="297">
        <v>0</v>
      </c>
      <c r="K10" s="297">
        <v>0</v>
      </c>
      <c r="L10" s="216"/>
      <c r="M10" s="216"/>
      <c r="N10" s="216"/>
      <c r="O10" s="216"/>
      <c r="P10" s="216"/>
      <c r="Q10" s="216"/>
    </row>
    <row r="11" spans="2:17">
      <c r="B11" s="216"/>
      <c r="C11" s="216"/>
      <c r="D11" s="296" t="s">
        <v>226</v>
      </c>
      <c r="E11" s="297">
        <v>0</v>
      </c>
      <c r="F11" s="297">
        <v>0</v>
      </c>
      <c r="G11" s="297">
        <v>0</v>
      </c>
      <c r="H11" s="297">
        <v>0</v>
      </c>
      <c r="I11" s="297">
        <v>0</v>
      </c>
      <c r="J11" s="297">
        <v>0</v>
      </c>
      <c r="K11" s="297">
        <v>0</v>
      </c>
      <c r="L11" s="216"/>
      <c r="M11" s="216"/>
      <c r="N11" s="216"/>
      <c r="O11" s="216"/>
      <c r="P11" s="216"/>
      <c r="Q11" s="216"/>
    </row>
    <row r="12" spans="2:17">
      <c r="B12" s="216"/>
      <c r="C12" s="216"/>
      <c r="D12" s="296" t="s">
        <v>227</v>
      </c>
      <c r="E12" s="297">
        <v>0</v>
      </c>
      <c r="F12" s="297">
        <v>0</v>
      </c>
      <c r="G12" s="297">
        <v>0</v>
      </c>
      <c r="H12" s="297">
        <v>0</v>
      </c>
      <c r="I12" s="297">
        <v>0</v>
      </c>
      <c r="J12" s="297">
        <v>0</v>
      </c>
      <c r="K12" s="297">
        <v>0</v>
      </c>
      <c r="L12" s="216"/>
      <c r="M12" s="216"/>
      <c r="N12" s="216"/>
      <c r="O12" s="216"/>
      <c r="P12" s="216"/>
      <c r="Q12" s="216"/>
    </row>
    <row r="13" spans="2:17">
      <c r="B13" s="216"/>
      <c r="C13" s="216"/>
      <c r="D13" s="296" t="s">
        <v>228</v>
      </c>
      <c r="E13" s="297">
        <v>0</v>
      </c>
      <c r="F13" s="297">
        <v>0</v>
      </c>
      <c r="G13" s="297">
        <v>0</v>
      </c>
      <c r="H13" s="297">
        <v>0</v>
      </c>
      <c r="I13" s="297">
        <v>0</v>
      </c>
      <c r="J13" s="297">
        <v>0</v>
      </c>
      <c r="K13" s="297">
        <v>0</v>
      </c>
      <c r="L13" s="216"/>
      <c r="M13" s="216"/>
      <c r="N13" s="216"/>
      <c r="O13" s="216"/>
      <c r="P13" s="216"/>
      <c r="Q13" s="216"/>
    </row>
    <row r="14" spans="2:17">
      <c r="B14" s="216"/>
      <c r="C14" s="216"/>
      <c r="D14" s="296" t="s">
        <v>229</v>
      </c>
      <c r="E14" s="297">
        <v>10</v>
      </c>
      <c r="F14" s="297">
        <v>25</v>
      </c>
      <c r="G14" s="297">
        <v>10</v>
      </c>
      <c r="H14" s="297">
        <v>27.5</v>
      </c>
      <c r="I14" s="297">
        <v>14.7</v>
      </c>
      <c r="J14" s="297">
        <v>33.799999999999997</v>
      </c>
      <c r="K14" s="297">
        <v>33.700000000000003</v>
      </c>
      <c r="L14" s="216"/>
      <c r="M14" s="216"/>
      <c r="N14" s="216"/>
      <c r="O14" s="216"/>
      <c r="P14" s="216"/>
      <c r="Q14" s="216"/>
    </row>
    <row r="15" spans="2:17">
      <c r="B15" s="216"/>
      <c r="C15" s="216"/>
      <c r="D15" s="296" t="s">
        <v>230</v>
      </c>
      <c r="E15" s="297">
        <v>5</v>
      </c>
      <c r="F15" s="297">
        <v>0</v>
      </c>
      <c r="G15" s="297">
        <v>5</v>
      </c>
      <c r="H15" s="297">
        <v>7.2</v>
      </c>
      <c r="I15" s="297">
        <v>33.6</v>
      </c>
      <c r="J15" s="297">
        <v>2.2000000000000002</v>
      </c>
      <c r="K15" s="297">
        <v>1.7</v>
      </c>
      <c r="L15" s="216"/>
      <c r="M15" s="216"/>
      <c r="N15" s="216"/>
      <c r="O15" s="216"/>
      <c r="P15" s="216"/>
      <c r="Q15" s="216"/>
    </row>
    <row r="16" spans="2:17">
      <c r="B16" s="216"/>
      <c r="C16" s="216"/>
      <c r="D16" s="296" t="s">
        <v>231</v>
      </c>
      <c r="E16" s="297">
        <v>5</v>
      </c>
      <c r="F16" s="297">
        <v>0</v>
      </c>
      <c r="G16" s="297">
        <v>5</v>
      </c>
      <c r="H16" s="297">
        <v>3.6</v>
      </c>
      <c r="I16" s="297">
        <v>1.8</v>
      </c>
      <c r="J16" s="297">
        <v>1.1000000000000001</v>
      </c>
      <c r="K16" s="297">
        <v>0.9</v>
      </c>
      <c r="L16" s="216"/>
      <c r="M16" s="216"/>
      <c r="N16" s="216"/>
      <c r="O16" s="216"/>
      <c r="P16" s="216"/>
      <c r="Q16" s="216"/>
    </row>
    <row r="17" spans="2:17">
      <c r="B17" s="216"/>
      <c r="C17" s="216"/>
      <c r="D17" s="296" t="s">
        <v>232</v>
      </c>
      <c r="E17" s="297">
        <v>0</v>
      </c>
      <c r="F17" s="297">
        <v>0</v>
      </c>
      <c r="G17" s="297">
        <v>0</v>
      </c>
      <c r="H17" s="297">
        <v>1.8</v>
      </c>
      <c r="I17" s="297">
        <v>0.9</v>
      </c>
      <c r="J17" s="297">
        <v>1.1000000000000001</v>
      </c>
      <c r="K17" s="297">
        <v>0.9</v>
      </c>
      <c r="L17" s="216"/>
      <c r="M17" s="216"/>
      <c r="N17" s="216"/>
      <c r="O17" s="216"/>
      <c r="P17" s="216"/>
      <c r="Q17" s="216"/>
    </row>
    <row r="18" spans="2:17">
      <c r="B18" s="216"/>
      <c r="C18" s="216"/>
      <c r="D18" s="296" t="s">
        <v>233</v>
      </c>
      <c r="E18" s="297">
        <v>10</v>
      </c>
      <c r="F18" s="297">
        <v>0</v>
      </c>
      <c r="G18" s="297">
        <v>10</v>
      </c>
      <c r="H18" s="297">
        <v>3.6</v>
      </c>
      <c r="I18" s="297">
        <v>1.8</v>
      </c>
      <c r="J18" s="297">
        <v>1.7</v>
      </c>
      <c r="K18" s="297">
        <v>1.3</v>
      </c>
      <c r="L18" s="216"/>
      <c r="M18" s="216"/>
      <c r="N18" s="216"/>
      <c r="O18" s="216"/>
      <c r="P18" s="216"/>
      <c r="Q18" s="216"/>
    </row>
    <row r="19" spans="2:17">
      <c r="B19" s="216"/>
      <c r="C19" s="216"/>
      <c r="D19" s="296" t="s">
        <v>234</v>
      </c>
      <c r="E19" s="297">
        <v>15</v>
      </c>
      <c r="F19" s="297">
        <v>25</v>
      </c>
      <c r="G19" s="297">
        <v>15</v>
      </c>
      <c r="H19" s="297">
        <v>5.4</v>
      </c>
      <c r="I19" s="297">
        <v>2.7</v>
      </c>
      <c r="J19" s="297">
        <v>3.9</v>
      </c>
      <c r="K19" s="297">
        <v>3</v>
      </c>
      <c r="L19" s="216"/>
      <c r="M19" s="216"/>
      <c r="N19" s="216"/>
      <c r="O19" s="216"/>
      <c r="P19" s="216"/>
      <c r="Q19" s="216"/>
    </row>
    <row r="20" spans="2:17">
      <c r="B20" s="216"/>
      <c r="C20" s="216"/>
      <c r="D20" s="296" t="s">
        <v>235</v>
      </c>
      <c r="E20" s="297">
        <v>0</v>
      </c>
      <c r="F20" s="297">
        <v>0</v>
      </c>
      <c r="G20" s="297">
        <v>0</v>
      </c>
      <c r="H20" s="297">
        <v>0</v>
      </c>
      <c r="I20" s="297">
        <v>0</v>
      </c>
      <c r="J20" s="297">
        <v>0</v>
      </c>
      <c r="K20" s="297">
        <v>0</v>
      </c>
      <c r="L20" s="216"/>
      <c r="M20" s="216"/>
      <c r="N20" s="216"/>
      <c r="O20" s="216"/>
      <c r="P20" s="216"/>
      <c r="Q20" s="216"/>
    </row>
    <row r="21" spans="2:17">
      <c r="B21" s="216"/>
      <c r="C21" s="216"/>
      <c r="D21" s="296" t="s">
        <v>236</v>
      </c>
      <c r="E21" s="297">
        <v>0</v>
      </c>
      <c r="F21" s="297">
        <v>0</v>
      </c>
      <c r="G21" s="297">
        <v>0</v>
      </c>
      <c r="H21" s="297">
        <v>1.8</v>
      </c>
      <c r="I21" s="297">
        <v>0.9</v>
      </c>
      <c r="J21" s="297">
        <v>0.6</v>
      </c>
      <c r="K21" s="297">
        <v>0.4</v>
      </c>
      <c r="L21" s="216"/>
      <c r="M21" s="216"/>
      <c r="N21" s="216"/>
      <c r="O21" s="216"/>
      <c r="P21" s="216"/>
      <c r="Q21" s="216"/>
    </row>
    <row r="22" spans="2:17">
      <c r="B22" s="216"/>
      <c r="C22" s="216"/>
      <c r="D22" s="296" t="s">
        <v>237</v>
      </c>
      <c r="E22" s="297">
        <v>0</v>
      </c>
      <c r="F22" s="297">
        <v>0</v>
      </c>
      <c r="G22" s="297">
        <v>0</v>
      </c>
      <c r="H22" s="297">
        <v>1.8</v>
      </c>
      <c r="I22" s="297">
        <v>0.9</v>
      </c>
      <c r="J22" s="297">
        <v>1.1000000000000001</v>
      </c>
      <c r="K22" s="297">
        <v>0.9</v>
      </c>
      <c r="L22" s="216"/>
      <c r="M22" s="216"/>
      <c r="N22" s="216"/>
      <c r="O22" s="216"/>
      <c r="P22" s="216"/>
      <c r="Q22" s="216"/>
    </row>
    <row r="23" spans="2:17">
      <c r="B23" s="216"/>
      <c r="C23" s="216"/>
      <c r="D23" s="296" t="s">
        <v>238</v>
      </c>
      <c r="E23" s="297">
        <v>0</v>
      </c>
      <c r="F23" s="297">
        <v>0</v>
      </c>
      <c r="G23" s="297">
        <v>0</v>
      </c>
      <c r="H23" s="297">
        <v>1.8</v>
      </c>
      <c r="I23" s="297">
        <v>0.9</v>
      </c>
      <c r="J23" s="297">
        <v>1.1000000000000001</v>
      </c>
      <c r="K23" s="297">
        <v>0.9</v>
      </c>
      <c r="L23" s="216"/>
      <c r="M23" s="216"/>
      <c r="N23" s="216"/>
      <c r="O23" s="216"/>
      <c r="P23" s="216"/>
      <c r="Q23" s="216"/>
    </row>
    <row r="24" spans="2:17">
      <c r="B24" s="216"/>
      <c r="C24" s="216"/>
      <c r="D24" s="296" t="s">
        <v>239</v>
      </c>
      <c r="E24" s="297">
        <v>0</v>
      </c>
      <c r="F24" s="297">
        <v>0</v>
      </c>
      <c r="G24" s="297">
        <v>0</v>
      </c>
      <c r="H24" s="297">
        <v>0</v>
      </c>
      <c r="I24" s="297">
        <v>0</v>
      </c>
      <c r="J24" s="297">
        <v>0.6</v>
      </c>
      <c r="K24" s="297">
        <v>0.4</v>
      </c>
      <c r="L24" s="216"/>
      <c r="M24" s="216"/>
      <c r="N24" s="216"/>
      <c r="O24" s="216"/>
      <c r="P24" s="216"/>
      <c r="Q24" s="216"/>
    </row>
    <row r="25" spans="2:17">
      <c r="B25" s="216"/>
      <c r="C25" s="216"/>
      <c r="D25" s="296" t="s">
        <v>240</v>
      </c>
      <c r="E25" s="297">
        <v>15</v>
      </c>
      <c r="F25" s="297">
        <v>0</v>
      </c>
      <c r="G25" s="297">
        <v>0</v>
      </c>
      <c r="H25" s="297">
        <v>5.4</v>
      </c>
      <c r="I25" s="297">
        <v>2.7</v>
      </c>
      <c r="J25" s="297">
        <v>1.7</v>
      </c>
      <c r="K25" s="297">
        <v>1.3</v>
      </c>
      <c r="L25" s="216"/>
      <c r="M25" s="216"/>
      <c r="N25" s="216"/>
      <c r="O25" s="216"/>
      <c r="P25" s="216"/>
      <c r="Q25" s="216"/>
    </row>
    <row r="26" spans="2:17">
      <c r="B26" s="216"/>
      <c r="C26" s="216"/>
      <c r="D26" s="296" t="s">
        <v>241</v>
      </c>
      <c r="E26" s="297">
        <v>10</v>
      </c>
      <c r="F26" s="297">
        <v>0</v>
      </c>
      <c r="G26" s="297">
        <v>10</v>
      </c>
      <c r="H26" s="297">
        <v>1.8</v>
      </c>
      <c r="I26" s="297">
        <v>0.9</v>
      </c>
      <c r="J26" s="297">
        <v>0.6</v>
      </c>
      <c r="K26" s="297">
        <v>0.4</v>
      </c>
      <c r="L26" s="216"/>
      <c r="M26" s="216"/>
      <c r="N26" s="216"/>
      <c r="O26" s="216"/>
      <c r="P26" s="216"/>
      <c r="Q26" s="216"/>
    </row>
    <row r="27" spans="2:17">
      <c r="B27" s="216"/>
      <c r="C27" s="216"/>
      <c r="D27" s="296" t="s">
        <v>242</v>
      </c>
      <c r="E27" s="297">
        <v>10</v>
      </c>
      <c r="F27" s="297">
        <v>50</v>
      </c>
      <c r="G27" s="298">
        <v>20</v>
      </c>
      <c r="H27" s="297">
        <v>12.6</v>
      </c>
      <c r="I27" s="297">
        <v>6.3</v>
      </c>
      <c r="J27" s="297">
        <v>27</v>
      </c>
      <c r="K27" s="297">
        <v>28.4</v>
      </c>
      <c r="L27" s="216"/>
      <c r="M27" s="216"/>
      <c r="N27" s="216"/>
      <c r="O27" s="216"/>
      <c r="P27" s="216"/>
      <c r="Q27" s="216"/>
    </row>
    <row r="28" spans="2:17">
      <c r="B28" s="216"/>
      <c r="C28" s="216"/>
      <c r="D28" s="296" t="s">
        <v>243</v>
      </c>
      <c r="E28" s="297">
        <v>20</v>
      </c>
      <c r="F28" s="297">
        <v>0</v>
      </c>
      <c r="G28" s="297">
        <v>25</v>
      </c>
      <c r="H28" s="297">
        <v>25.7</v>
      </c>
      <c r="I28" s="297">
        <v>31.8</v>
      </c>
      <c r="J28" s="297">
        <v>23.7</v>
      </c>
      <c r="K28" s="297">
        <v>25.9</v>
      </c>
      <c r="L28" s="216"/>
      <c r="M28" s="216"/>
      <c r="N28" s="216"/>
      <c r="O28" s="216"/>
      <c r="P28" s="216"/>
      <c r="Q28" s="216"/>
    </row>
    <row r="29" spans="2:17">
      <c r="B29" s="216"/>
      <c r="C29" s="216"/>
      <c r="D29" s="296" t="s">
        <v>244</v>
      </c>
      <c r="E29" s="297">
        <v>0</v>
      </c>
      <c r="F29" s="297">
        <v>0</v>
      </c>
      <c r="G29" s="297">
        <v>0</v>
      </c>
      <c r="H29" s="297">
        <v>0</v>
      </c>
      <c r="I29" s="297">
        <v>0</v>
      </c>
      <c r="J29" s="297">
        <v>0</v>
      </c>
      <c r="K29" s="297">
        <v>0</v>
      </c>
      <c r="L29" s="216"/>
      <c r="M29" s="216"/>
      <c r="N29" s="216"/>
      <c r="O29" s="216"/>
      <c r="P29" s="216"/>
      <c r="Q29" s="216"/>
    </row>
    <row r="30" spans="2:17">
      <c r="B30" s="216"/>
      <c r="C30" s="216"/>
      <c r="D30" s="296" t="s">
        <v>245</v>
      </c>
      <c r="E30" s="297">
        <v>0</v>
      </c>
      <c r="F30" s="297">
        <v>0</v>
      </c>
      <c r="G30" s="297">
        <v>0</v>
      </c>
      <c r="H30" s="297">
        <v>0</v>
      </c>
      <c r="I30" s="297">
        <v>0</v>
      </c>
      <c r="J30" s="297">
        <v>0</v>
      </c>
      <c r="K30" s="297">
        <v>0</v>
      </c>
      <c r="L30" s="216"/>
      <c r="M30" s="216"/>
      <c r="N30" s="216"/>
      <c r="O30" s="216"/>
      <c r="P30" s="216"/>
      <c r="Q30" s="216"/>
    </row>
    <row r="31" spans="2:17">
      <c r="B31" s="216"/>
      <c r="C31" s="216"/>
      <c r="D31" s="299" t="s">
        <v>396</v>
      </c>
      <c r="E31" s="300">
        <f>SUM(E7:E30)</f>
        <v>100</v>
      </c>
      <c r="F31" s="300">
        <f t="shared" ref="F31:K31" si="0">SUM(F7:F30)</f>
        <v>100</v>
      </c>
      <c r="G31" s="300">
        <f t="shared" si="0"/>
        <v>100</v>
      </c>
      <c r="H31" s="300">
        <f t="shared" si="0"/>
        <v>99.999999999999986</v>
      </c>
      <c r="I31" s="301">
        <f t="shared" si="0"/>
        <v>99.899999999999991</v>
      </c>
      <c r="J31" s="301">
        <f t="shared" si="0"/>
        <v>100.20000000000002</v>
      </c>
      <c r="K31" s="301">
        <f t="shared" si="0"/>
        <v>100.1</v>
      </c>
      <c r="L31" s="216"/>
      <c r="M31" s="124" t="s">
        <v>353</v>
      </c>
      <c r="N31" s="125"/>
      <c r="O31" s="125"/>
      <c r="P31" s="216"/>
      <c r="Q31" s="216"/>
    </row>
    <row r="32" spans="2:17">
      <c r="B32" s="216"/>
      <c r="C32" s="216"/>
      <c r="D32" s="216"/>
      <c r="E32" s="216"/>
      <c r="F32" s="216"/>
      <c r="G32" s="216"/>
      <c r="H32" s="216"/>
      <c r="I32" s="216"/>
      <c r="J32" s="216"/>
      <c r="K32" s="216"/>
      <c r="L32" s="216"/>
      <c r="M32" s="216"/>
      <c r="N32" s="216"/>
      <c r="O32" s="216"/>
      <c r="P32" s="216"/>
      <c r="Q32" s="216"/>
    </row>
    <row r="33" spans="2:17">
      <c r="B33" s="216"/>
      <c r="C33" s="216"/>
      <c r="D33" s="294" t="s">
        <v>456</v>
      </c>
      <c r="E33" s="216"/>
      <c r="F33" s="216"/>
      <c r="G33" s="216"/>
      <c r="H33" s="216"/>
      <c r="I33" s="216"/>
      <c r="J33" s="216"/>
      <c r="K33" s="216"/>
      <c r="L33" s="216"/>
      <c r="M33" s="216"/>
      <c r="N33" s="216"/>
      <c r="O33" s="216"/>
      <c r="P33" s="216"/>
      <c r="Q33" s="216"/>
    </row>
    <row r="34" spans="2:17">
      <c r="B34" s="216"/>
      <c r="C34" s="216"/>
      <c r="D34" s="327" t="s">
        <v>493</v>
      </c>
      <c r="E34" s="216"/>
      <c r="F34" s="216"/>
      <c r="G34" s="216"/>
      <c r="H34" s="216"/>
      <c r="I34" s="216"/>
      <c r="J34" s="216"/>
      <c r="K34" s="216"/>
      <c r="L34" s="216"/>
      <c r="M34" s="216"/>
      <c r="N34" s="216"/>
      <c r="O34" s="216"/>
      <c r="P34" s="216"/>
      <c r="Q34" s="216"/>
    </row>
    <row r="35" spans="2:17" ht="53.25" customHeight="1">
      <c r="B35" s="216"/>
      <c r="C35" s="216"/>
      <c r="D35" s="214"/>
      <c r="E35" s="295" t="s">
        <v>246</v>
      </c>
      <c r="F35" s="295" t="s">
        <v>337</v>
      </c>
      <c r="G35" s="295" t="s">
        <v>338</v>
      </c>
      <c r="H35" s="295" t="s">
        <v>247</v>
      </c>
      <c r="I35" s="295" t="s">
        <v>248</v>
      </c>
      <c r="J35" s="216"/>
      <c r="K35" s="216"/>
      <c r="L35" s="216"/>
      <c r="M35" s="216"/>
      <c r="N35" s="216"/>
      <c r="O35" s="216"/>
      <c r="P35" s="216"/>
      <c r="Q35" s="216"/>
    </row>
    <row r="36" spans="2:17" ht="24">
      <c r="B36" s="216"/>
      <c r="C36" s="216"/>
      <c r="D36" s="214"/>
      <c r="E36" s="296" t="s">
        <v>249</v>
      </c>
      <c r="F36" s="296" t="s">
        <v>331</v>
      </c>
      <c r="G36" s="296" t="s">
        <v>331</v>
      </c>
      <c r="H36" s="296" t="s">
        <v>331</v>
      </c>
      <c r="I36" s="296" t="s">
        <v>331</v>
      </c>
      <c r="J36" s="216"/>
      <c r="K36" s="216"/>
      <c r="L36" s="216"/>
      <c r="M36" s="216"/>
      <c r="N36" s="216"/>
      <c r="O36" s="216"/>
      <c r="P36" s="216"/>
      <c r="Q36" s="216"/>
    </row>
    <row r="37" spans="2:17">
      <c r="B37" s="216"/>
      <c r="C37" s="216"/>
      <c r="D37" s="296" t="s">
        <v>222</v>
      </c>
      <c r="E37" s="302">
        <v>1.8</v>
      </c>
      <c r="F37" s="302">
        <v>1</v>
      </c>
      <c r="G37" s="302">
        <v>0.3</v>
      </c>
      <c r="H37" s="302">
        <v>1.4</v>
      </c>
      <c r="I37" s="302">
        <v>0.4</v>
      </c>
      <c r="J37" s="216"/>
      <c r="K37" s="216"/>
      <c r="L37" s="216"/>
      <c r="M37" s="216"/>
      <c r="N37" s="216"/>
      <c r="O37" s="216"/>
      <c r="P37" s="216"/>
      <c r="Q37" s="216"/>
    </row>
    <row r="38" spans="2:17">
      <c r="B38" s="216"/>
      <c r="C38" s="216"/>
      <c r="D38" s="296" t="s">
        <v>223</v>
      </c>
      <c r="E38" s="302">
        <v>1</v>
      </c>
      <c r="F38" s="302">
        <v>1</v>
      </c>
      <c r="G38" s="302">
        <v>0.3</v>
      </c>
      <c r="H38" s="302">
        <v>1</v>
      </c>
      <c r="I38" s="302">
        <v>0.4</v>
      </c>
      <c r="J38" s="216"/>
      <c r="K38" s="216"/>
      <c r="L38" s="216"/>
      <c r="M38" s="216"/>
      <c r="N38" s="216"/>
      <c r="O38" s="216"/>
      <c r="P38" s="216"/>
      <c r="Q38" s="216"/>
    </row>
    <row r="39" spans="2:17">
      <c r="B39" s="216"/>
      <c r="C39" s="216"/>
      <c r="D39" s="296" t="s">
        <v>224</v>
      </c>
      <c r="E39" s="302">
        <v>0.6</v>
      </c>
      <c r="F39" s="302">
        <v>1</v>
      </c>
      <c r="G39" s="302">
        <v>0.4</v>
      </c>
      <c r="H39" s="302">
        <v>0.5</v>
      </c>
      <c r="I39" s="302">
        <v>0.5</v>
      </c>
      <c r="J39" s="216"/>
      <c r="K39" s="216"/>
      <c r="L39" s="216"/>
      <c r="M39" s="216"/>
      <c r="N39" s="216"/>
      <c r="O39" s="216"/>
      <c r="P39" s="216"/>
      <c r="Q39" s="216"/>
    </row>
    <row r="40" spans="2:17">
      <c r="B40" s="216"/>
      <c r="C40" s="216"/>
      <c r="D40" s="296" t="s">
        <v>225</v>
      </c>
      <c r="E40" s="302">
        <v>0.3</v>
      </c>
      <c r="F40" s="302">
        <v>0</v>
      </c>
      <c r="G40" s="302">
        <v>0.7</v>
      </c>
      <c r="H40" s="302">
        <v>0.6</v>
      </c>
      <c r="I40" s="302">
        <v>0.8</v>
      </c>
      <c r="J40" s="216"/>
      <c r="K40" s="216"/>
      <c r="L40" s="216"/>
      <c r="M40" s="216"/>
      <c r="N40" s="216"/>
      <c r="O40" s="216"/>
      <c r="P40" s="216"/>
      <c r="Q40" s="216"/>
    </row>
    <row r="41" spans="2:17">
      <c r="B41" s="216"/>
      <c r="C41" s="216"/>
      <c r="D41" s="296" t="s">
        <v>226</v>
      </c>
      <c r="E41" s="302">
        <v>0.4</v>
      </c>
      <c r="F41" s="302">
        <v>0</v>
      </c>
      <c r="G41" s="302">
        <v>1</v>
      </c>
      <c r="H41" s="302">
        <v>1.3</v>
      </c>
      <c r="I41" s="302">
        <v>1.2</v>
      </c>
      <c r="J41" s="216"/>
      <c r="K41" s="216"/>
      <c r="L41" s="216"/>
      <c r="M41" s="216"/>
      <c r="N41" s="216"/>
      <c r="O41" s="216"/>
      <c r="P41" s="216"/>
      <c r="Q41" s="216"/>
    </row>
    <row r="42" spans="2:17">
      <c r="B42" s="216"/>
      <c r="C42" s="216"/>
      <c r="D42" s="296" t="s">
        <v>227</v>
      </c>
      <c r="E42" s="302">
        <v>0.6</v>
      </c>
      <c r="F42" s="302">
        <v>1</v>
      </c>
      <c r="G42" s="302">
        <v>1.8</v>
      </c>
      <c r="H42" s="302">
        <v>3.4</v>
      </c>
      <c r="I42" s="302">
        <v>2.8</v>
      </c>
      <c r="J42" s="216"/>
      <c r="K42" s="216"/>
      <c r="L42" s="216"/>
      <c r="M42" s="216"/>
      <c r="N42" s="216"/>
      <c r="O42" s="216"/>
      <c r="P42" s="216"/>
      <c r="Q42" s="216"/>
    </row>
    <row r="43" spans="2:17">
      <c r="B43" s="216"/>
      <c r="C43" s="216"/>
      <c r="D43" s="296" t="s">
        <v>228</v>
      </c>
      <c r="E43" s="302">
        <v>2.4</v>
      </c>
      <c r="F43" s="302">
        <v>3</v>
      </c>
      <c r="G43" s="302">
        <v>9.3000000000000007</v>
      </c>
      <c r="H43" s="302">
        <v>5.8</v>
      </c>
      <c r="I43" s="302">
        <v>7.5</v>
      </c>
      <c r="J43" s="216"/>
      <c r="K43" s="216"/>
      <c r="L43" s="216"/>
      <c r="M43" s="216"/>
      <c r="N43" s="216"/>
      <c r="O43" s="216"/>
      <c r="P43" s="216"/>
      <c r="Q43" s="216"/>
    </row>
    <row r="44" spans="2:17">
      <c r="B44" s="216"/>
      <c r="C44" s="216"/>
      <c r="D44" s="296" t="s">
        <v>229</v>
      </c>
      <c r="E44" s="302">
        <v>4.7</v>
      </c>
      <c r="F44" s="302">
        <v>6</v>
      </c>
      <c r="G44" s="302">
        <v>15.7</v>
      </c>
      <c r="H44" s="302">
        <v>5.8</v>
      </c>
      <c r="I44" s="302">
        <v>10.5</v>
      </c>
      <c r="J44" s="216"/>
      <c r="K44" s="216"/>
      <c r="L44" s="216"/>
      <c r="M44" s="216"/>
      <c r="N44" s="216"/>
      <c r="O44" s="216"/>
      <c r="P44" s="216"/>
      <c r="Q44" s="216"/>
    </row>
    <row r="45" spans="2:17">
      <c r="B45" s="216"/>
      <c r="C45" s="216"/>
      <c r="D45" s="296" t="s">
        <v>230</v>
      </c>
      <c r="E45" s="302">
        <v>6.8</v>
      </c>
      <c r="F45" s="302">
        <v>8</v>
      </c>
      <c r="G45" s="302">
        <v>8.1</v>
      </c>
      <c r="H45" s="302">
        <v>6.2</v>
      </c>
      <c r="I45" s="302">
        <v>8</v>
      </c>
      <c r="J45" s="216"/>
      <c r="K45" s="216"/>
      <c r="L45" s="216"/>
      <c r="M45" s="216"/>
      <c r="N45" s="216"/>
      <c r="O45" s="216"/>
      <c r="P45" s="216"/>
      <c r="Q45" s="216"/>
    </row>
    <row r="46" spans="2:17">
      <c r="B46" s="216"/>
      <c r="C46" s="216"/>
      <c r="D46" s="296" t="s">
        <v>231</v>
      </c>
      <c r="E46" s="302">
        <v>5.7</v>
      </c>
      <c r="F46" s="302">
        <v>6</v>
      </c>
      <c r="G46" s="302">
        <v>7.5</v>
      </c>
      <c r="H46" s="302">
        <v>5.4</v>
      </c>
      <c r="I46" s="302">
        <v>7.5</v>
      </c>
      <c r="J46" s="216"/>
      <c r="K46" s="216"/>
      <c r="L46" s="216"/>
      <c r="M46" s="216"/>
      <c r="N46" s="216"/>
      <c r="O46" s="216"/>
      <c r="P46" s="216"/>
      <c r="Q46" s="216"/>
    </row>
    <row r="47" spans="2:17">
      <c r="B47" s="216"/>
      <c r="C47" s="216"/>
      <c r="D47" s="296" t="s">
        <v>232</v>
      </c>
      <c r="E47" s="302">
        <v>6.1</v>
      </c>
      <c r="F47" s="302">
        <v>5</v>
      </c>
      <c r="G47" s="302">
        <v>7</v>
      </c>
      <c r="H47" s="302">
        <v>5.0999999999999996</v>
      </c>
      <c r="I47" s="302">
        <v>7.5</v>
      </c>
      <c r="J47" s="216"/>
      <c r="K47" s="216"/>
      <c r="L47" s="216"/>
      <c r="M47" s="216"/>
      <c r="N47" s="216"/>
      <c r="O47" s="216"/>
      <c r="P47" s="216"/>
      <c r="Q47" s="216"/>
    </row>
    <row r="48" spans="2:17">
      <c r="B48" s="216"/>
      <c r="C48" s="216"/>
      <c r="D48" s="296" t="s">
        <v>233</v>
      </c>
      <c r="E48" s="302">
        <v>6.1</v>
      </c>
      <c r="F48" s="302">
        <v>5</v>
      </c>
      <c r="G48" s="302">
        <v>6.6</v>
      </c>
      <c r="H48" s="302">
        <v>4.7</v>
      </c>
      <c r="I48" s="302">
        <v>7</v>
      </c>
      <c r="J48" s="216"/>
      <c r="K48" s="216"/>
      <c r="L48" s="216"/>
      <c r="M48" s="216"/>
      <c r="N48" s="216"/>
      <c r="O48" s="216"/>
      <c r="P48" s="216"/>
      <c r="Q48" s="216"/>
    </row>
    <row r="49" spans="2:40">
      <c r="B49" s="216"/>
      <c r="C49" s="216"/>
      <c r="D49" s="296" t="s">
        <v>234</v>
      </c>
      <c r="E49" s="302">
        <v>6.3</v>
      </c>
      <c r="F49" s="302">
        <v>6</v>
      </c>
      <c r="G49" s="302">
        <v>7.1</v>
      </c>
      <c r="H49" s="302">
        <v>4.2</v>
      </c>
      <c r="I49" s="302">
        <v>7.5</v>
      </c>
      <c r="J49" s="216"/>
      <c r="K49" s="216"/>
      <c r="L49" s="216"/>
      <c r="M49" s="216"/>
      <c r="N49" s="216"/>
      <c r="O49" s="216"/>
      <c r="P49" s="216"/>
      <c r="Q49" s="216"/>
    </row>
    <row r="50" spans="2:40">
      <c r="B50" s="216"/>
      <c r="C50" s="216"/>
      <c r="D50" s="296" t="s">
        <v>235</v>
      </c>
      <c r="E50" s="302">
        <v>6.4</v>
      </c>
      <c r="F50" s="302">
        <v>6</v>
      </c>
      <c r="G50" s="302">
        <v>5.0999999999999996</v>
      </c>
      <c r="H50" s="302">
        <v>4.5</v>
      </c>
      <c r="I50" s="302">
        <v>5.5</v>
      </c>
      <c r="J50" s="216"/>
      <c r="K50" s="216"/>
      <c r="L50" s="216"/>
      <c r="M50" s="216"/>
      <c r="N50" s="216"/>
      <c r="O50" s="216"/>
      <c r="P50" s="216"/>
      <c r="Q50" s="216"/>
    </row>
    <row r="51" spans="2:40">
      <c r="B51" s="216"/>
      <c r="C51" s="216"/>
      <c r="D51" s="296" t="s">
        <v>236</v>
      </c>
      <c r="E51" s="302">
        <v>5.0999999999999996</v>
      </c>
      <c r="F51" s="302">
        <v>5</v>
      </c>
      <c r="G51" s="302">
        <v>3.8</v>
      </c>
      <c r="H51" s="302">
        <v>4.0999999999999996</v>
      </c>
      <c r="I51" s="302">
        <v>4.3</v>
      </c>
      <c r="J51" s="216"/>
      <c r="K51" s="216"/>
      <c r="L51" s="216"/>
      <c r="M51" s="216"/>
      <c r="N51" s="216"/>
      <c r="O51" s="216"/>
      <c r="P51" s="216"/>
      <c r="Q51" s="216"/>
    </row>
    <row r="52" spans="2:40">
      <c r="B52" s="216"/>
      <c r="C52" s="216"/>
      <c r="D52" s="296" t="s">
        <v>237</v>
      </c>
      <c r="E52" s="302">
        <v>4.4000000000000004</v>
      </c>
      <c r="F52" s="302">
        <v>4</v>
      </c>
      <c r="G52" s="302">
        <v>3.3</v>
      </c>
      <c r="H52" s="302">
        <v>4.3</v>
      </c>
      <c r="I52" s="302">
        <v>3.7</v>
      </c>
      <c r="J52" s="216"/>
      <c r="K52" s="216"/>
      <c r="L52" s="216"/>
      <c r="M52" s="216"/>
      <c r="N52" s="216"/>
      <c r="O52" s="216"/>
      <c r="P52" s="216"/>
      <c r="Q52" s="216"/>
    </row>
    <row r="53" spans="2:40">
      <c r="B53" s="216"/>
      <c r="C53" s="216"/>
      <c r="D53" s="296" t="s">
        <v>238</v>
      </c>
      <c r="E53" s="302">
        <v>4.3</v>
      </c>
      <c r="F53" s="302">
        <v>4</v>
      </c>
      <c r="G53" s="302">
        <v>4.0999999999999996</v>
      </c>
      <c r="H53" s="302">
        <v>5.3</v>
      </c>
      <c r="I53" s="302">
        <v>4.5</v>
      </c>
      <c r="J53" s="216"/>
      <c r="K53" s="216"/>
      <c r="L53" s="216"/>
      <c r="M53" s="216"/>
      <c r="N53" s="216"/>
      <c r="O53" s="216"/>
      <c r="P53" s="216"/>
      <c r="Q53" s="216"/>
    </row>
    <row r="54" spans="2:40">
      <c r="B54" s="216"/>
      <c r="C54" s="216"/>
      <c r="D54" s="296" t="s">
        <v>239</v>
      </c>
      <c r="E54" s="302">
        <v>4.7</v>
      </c>
      <c r="F54" s="302">
        <v>5</v>
      </c>
      <c r="G54" s="302">
        <v>2.9</v>
      </c>
      <c r="H54" s="302">
        <v>6</v>
      </c>
      <c r="I54" s="302">
        <v>3.2</v>
      </c>
      <c r="J54" s="216"/>
      <c r="K54" s="216"/>
      <c r="L54" s="216"/>
      <c r="M54" s="216"/>
      <c r="N54" s="216"/>
      <c r="O54" s="216"/>
      <c r="P54" s="216"/>
      <c r="Q54" s="216"/>
    </row>
    <row r="55" spans="2:40">
      <c r="B55" s="216"/>
      <c r="C55" s="216"/>
      <c r="D55" s="296" t="s">
        <v>240</v>
      </c>
      <c r="E55" s="302">
        <v>5.7</v>
      </c>
      <c r="F55" s="302">
        <v>6</v>
      </c>
      <c r="G55" s="302">
        <v>6.1</v>
      </c>
      <c r="H55" s="302">
        <v>6.6</v>
      </c>
      <c r="I55" s="302">
        <v>7</v>
      </c>
      <c r="J55" s="216"/>
      <c r="K55" s="216"/>
      <c r="L55" s="216"/>
      <c r="M55" s="216"/>
      <c r="N55" s="216"/>
      <c r="O55" s="216"/>
      <c r="P55" s="216"/>
      <c r="Q55" s="216"/>
    </row>
    <row r="56" spans="2:40">
      <c r="B56" s="216"/>
      <c r="C56" s="216"/>
      <c r="D56" s="296" t="s">
        <v>241</v>
      </c>
      <c r="E56" s="302">
        <v>6.5</v>
      </c>
      <c r="F56" s="302">
        <v>7</v>
      </c>
      <c r="G56" s="302">
        <v>4.0999999999999996</v>
      </c>
      <c r="H56" s="302">
        <v>6</v>
      </c>
      <c r="I56" s="302">
        <v>4.5</v>
      </c>
      <c r="J56" s="216"/>
      <c r="K56" s="216"/>
      <c r="L56" s="216"/>
      <c r="M56" s="216"/>
      <c r="N56" s="216"/>
      <c r="O56" s="216"/>
      <c r="P56" s="216"/>
      <c r="Q56" s="216"/>
    </row>
    <row r="57" spans="2:40">
      <c r="B57" s="216"/>
      <c r="C57" s="216"/>
      <c r="D57" s="296" t="s">
        <v>242</v>
      </c>
      <c r="E57" s="302">
        <v>6.6</v>
      </c>
      <c r="F57" s="302">
        <v>7</v>
      </c>
      <c r="G57" s="302">
        <v>1.4</v>
      </c>
      <c r="H57" s="302">
        <v>5.6</v>
      </c>
      <c r="I57" s="302">
        <v>2</v>
      </c>
      <c r="J57" s="216"/>
      <c r="K57" s="216"/>
      <c r="L57" s="216"/>
      <c r="M57" s="216"/>
      <c r="N57" s="216"/>
      <c r="O57" s="216"/>
      <c r="P57" s="216"/>
      <c r="Q57" s="216"/>
    </row>
    <row r="58" spans="2:40">
      <c r="B58" s="216"/>
      <c r="C58" s="216"/>
      <c r="D58" s="296" t="s">
        <v>243</v>
      </c>
      <c r="E58" s="302">
        <v>5.8</v>
      </c>
      <c r="F58" s="302">
        <v>6</v>
      </c>
      <c r="G58" s="302">
        <v>1.8</v>
      </c>
      <c r="H58" s="302">
        <v>5.4</v>
      </c>
      <c r="I58" s="302">
        <v>2</v>
      </c>
      <c r="J58" s="216"/>
      <c r="K58" s="216"/>
      <c r="L58" s="216"/>
      <c r="M58" s="216"/>
      <c r="N58" s="216"/>
      <c r="O58" s="216"/>
      <c r="P58" s="216"/>
      <c r="Q58" s="216"/>
    </row>
    <row r="59" spans="2:40">
      <c r="B59" s="216"/>
      <c r="C59" s="216"/>
      <c r="D59" s="296" t="s">
        <v>244</v>
      </c>
      <c r="E59" s="302">
        <v>4.5</v>
      </c>
      <c r="F59" s="302">
        <v>5</v>
      </c>
      <c r="G59" s="302">
        <v>0.9</v>
      </c>
      <c r="H59" s="302">
        <v>3.9</v>
      </c>
      <c r="I59" s="302">
        <v>1.2</v>
      </c>
      <c r="J59" s="216"/>
      <c r="K59" s="216"/>
      <c r="L59" s="216"/>
      <c r="M59" s="216"/>
      <c r="N59" s="216"/>
      <c r="O59" s="216"/>
      <c r="P59" s="216"/>
      <c r="Q59" s="216"/>
    </row>
    <row r="60" spans="2:40">
      <c r="B60" s="216"/>
      <c r="C60" s="216"/>
      <c r="D60" s="296" t="s">
        <v>245</v>
      </c>
      <c r="E60" s="302">
        <v>3.1</v>
      </c>
      <c r="F60" s="302">
        <v>2</v>
      </c>
      <c r="G60" s="302">
        <v>0.4</v>
      </c>
      <c r="H60" s="302">
        <v>2.8</v>
      </c>
      <c r="I60" s="302">
        <v>0.5</v>
      </c>
      <c r="J60" s="216"/>
      <c r="K60" s="216"/>
      <c r="L60" s="216"/>
      <c r="M60" s="216"/>
      <c r="N60" s="216"/>
      <c r="O60" s="216"/>
      <c r="P60" s="216"/>
      <c r="Q60" s="216"/>
    </row>
    <row r="61" spans="2:40">
      <c r="B61" s="216"/>
      <c r="C61" s="216"/>
      <c r="D61" s="299" t="s">
        <v>396</v>
      </c>
      <c r="E61" s="303">
        <f>SUM(E37:E60)</f>
        <v>99.899999999999977</v>
      </c>
      <c r="F61" s="304">
        <f t="shared" ref="F61:I61" si="1">SUM(F37:F60)</f>
        <v>100</v>
      </c>
      <c r="G61" s="303">
        <f t="shared" si="1"/>
        <v>99.699999999999989</v>
      </c>
      <c r="H61" s="303">
        <f t="shared" si="1"/>
        <v>99.899999999999991</v>
      </c>
      <c r="I61" s="304">
        <f t="shared" si="1"/>
        <v>100</v>
      </c>
      <c r="J61" s="216"/>
      <c r="K61" s="216"/>
      <c r="L61" s="216"/>
      <c r="M61" s="124" t="s">
        <v>353</v>
      </c>
      <c r="N61" s="125"/>
      <c r="O61" s="125"/>
      <c r="P61" s="216"/>
      <c r="Q61" s="216"/>
    </row>
    <row r="62" spans="2:40">
      <c r="B62" s="216"/>
      <c r="C62" s="216"/>
      <c r="D62" s="216"/>
      <c r="E62" s="305"/>
      <c r="F62" s="305"/>
      <c r="G62" s="305"/>
      <c r="H62" s="305"/>
      <c r="I62" s="305"/>
      <c r="J62" s="216"/>
      <c r="K62" s="216"/>
      <c r="L62" s="216"/>
      <c r="M62" s="216"/>
      <c r="N62" s="216"/>
      <c r="O62" s="216"/>
      <c r="P62" s="216"/>
      <c r="Q62" s="216"/>
    </row>
    <row r="63" spans="2:40">
      <c r="B63" s="216"/>
      <c r="C63" s="216"/>
      <c r="D63" s="306" t="s">
        <v>494</v>
      </c>
      <c r="E63" s="305"/>
      <c r="F63" s="305"/>
      <c r="G63" s="305"/>
      <c r="H63" s="305"/>
      <c r="I63" s="305"/>
      <c r="J63" s="216"/>
      <c r="K63" s="216"/>
      <c r="L63" s="216"/>
      <c r="M63" s="216"/>
      <c r="N63" s="216"/>
      <c r="O63" s="216"/>
      <c r="P63" s="216"/>
      <c r="Q63" s="216"/>
    </row>
    <row r="64" spans="2:40" ht="15.75" thickBot="1">
      <c r="B64" s="216"/>
      <c r="C64" s="216"/>
      <c r="D64" s="328" t="s">
        <v>495</v>
      </c>
      <c r="E64" s="305"/>
      <c r="F64" s="305"/>
      <c r="G64" s="305"/>
      <c r="H64" s="305"/>
      <c r="I64" s="305"/>
      <c r="J64" s="216"/>
      <c r="K64" s="216"/>
      <c r="L64" s="216"/>
      <c r="M64" s="216"/>
      <c r="N64" s="216"/>
      <c r="O64" s="216"/>
      <c r="P64" s="216"/>
      <c r="Q64" s="216"/>
      <c r="R64" s="216"/>
      <c r="S64" s="216"/>
      <c r="T64" s="216"/>
      <c r="U64" s="216"/>
      <c r="V64" s="216"/>
      <c r="W64" s="216"/>
      <c r="X64" s="216"/>
      <c r="Y64" s="216"/>
      <c r="Z64" s="216"/>
      <c r="AA64" s="216"/>
      <c r="AB64" s="216"/>
      <c r="AC64" s="216"/>
      <c r="AD64" s="216"/>
      <c r="AE64" s="216"/>
      <c r="AF64" s="216"/>
      <c r="AG64" s="216"/>
      <c r="AH64" s="216"/>
      <c r="AI64" s="216"/>
      <c r="AJ64" s="216"/>
      <c r="AK64" s="216"/>
      <c r="AL64" s="216"/>
      <c r="AM64" s="216"/>
      <c r="AN64" s="216"/>
    </row>
    <row r="65" spans="1:40" ht="55.5" customHeight="1" thickBot="1">
      <c r="A65" s="53" t="s">
        <v>395</v>
      </c>
      <c r="B65" s="307" t="s">
        <v>394</v>
      </c>
      <c r="C65" s="216"/>
      <c r="D65" s="308" t="s">
        <v>354</v>
      </c>
      <c r="E65" s="211"/>
      <c r="F65" s="211"/>
      <c r="G65" s="211"/>
      <c r="H65" s="211"/>
      <c r="I65" s="211"/>
      <c r="J65" s="211"/>
      <c r="K65" s="212"/>
      <c r="L65" s="308"/>
      <c r="M65" s="211"/>
      <c r="N65" s="211"/>
      <c r="O65" s="211"/>
      <c r="P65" s="212"/>
      <c r="Q65" s="213" t="s">
        <v>457</v>
      </c>
      <c r="R65" s="211"/>
      <c r="S65" s="211"/>
      <c r="T65" s="211"/>
      <c r="U65" s="211"/>
      <c r="V65" s="211"/>
      <c r="W65" s="211"/>
      <c r="X65" s="211"/>
      <c r="Y65" s="211"/>
      <c r="Z65" s="211"/>
      <c r="AA65" s="211"/>
      <c r="AB65" s="211"/>
      <c r="AC65" s="211"/>
      <c r="AD65" s="211"/>
      <c r="AE65" s="211"/>
      <c r="AF65" s="211"/>
      <c r="AG65" s="211"/>
      <c r="AH65" s="211"/>
      <c r="AI65" s="211"/>
      <c r="AJ65" s="211"/>
      <c r="AK65" s="211"/>
      <c r="AL65" s="211"/>
      <c r="AM65" s="212"/>
      <c r="AN65" s="216"/>
    </row>
    <row r="66" spans="1:40" ht="54" customHeight="1">
      <c r="A66" s="53" t="e">
        <f>+#REF!</f>
        <v>#REF!</v>
      </c>
      <c r="B66" s="153" t="e">
        <f>INDEX(E66:AM66,1,$A$66)</f>
        <v>#REF!</v>
      </c>
      <c r="C66" s="216"/>
      <c r="D66" s="289"/>
      <c r="E66" s="309" t="s">
        <v>324</v>
      </c>
      <c r="F66" s="309" t="s">
        <v>325</v>
      </c>
      <c r="G66" s="309" t="s">
        <v>326</v>
      </c>
      <c r="H66" s="309" t="s">
        <v>327</v>
      </c>
      <c r="I66" s="309" t="s">
        <v>328</v>
      </c>
      <c r="J66" s="309" t="s">
        <v>329</v>
      </c>
      <c r="K66" s="309" t="s">
        <v>330</v>
      </c>
      <c r="L66" s="309" t="s">
        <v>246</v>
      </c>
      <c r="M66" s="309" t="s">
        <v>337</v>
      </c>
      <c r="N66" s="309" t="s">
        <v>338</v>
      </c>
      <c r="O66" s="309" t="s">
        <v>247</v>
      </c>
      <c r="P66" s="309" t="s">
        <v>248</v>
      </c>
      <c r="Q66" s="210" t="s">
        <v>398</v>
      </c>
      <c r="R66" s="210" t="s">
        <v>508</v>
      </c>
      <c r="S66" s="210" t="s">
        <v>508</v>
      </c>
      <c r="T66" s="210" t="s">
        <v>364</v>
      </c>
      <c r="U66" s="210" t="s">
        <v>365</v>
      </c>
      <c r="V66" s="210" t="s">
        <v>366</v>
      </c>
      <c r="W66" s="210" t="s">
        <v>367</v>
      </c>
      <c r="X66" s="210" t="s">
        <v>368</v>
      </c>
      <c r="Y66" s="210" t="s">
        <v>369</v>
      </c>
      <c r="Z66" s="210" t="s">
        <v>370</v>
      </c>
      <c r="AA66" s="210" t="s">
        <v>371</v>
      </c>
      <c r="AB66" s="210" t="s">
        <v>372</v>
      </c>
      <c r="AC66" s="210" t="s">
        <v>373</v>
      </c>
      <c r="AD66" s="210" t="s">
        <v>374</v>
      </c>
      <c r="AE66" s="210" t="s">
        <v>375</v>
      </c>
      <c r="AF66" s="210" t="s">
        <v>376</v>
      </c>
      <c r="AG66" s="210" t="s">
        <v>377</v>
      </c>
      <c r="AH66" s="210" t="s">
        <v>378</v>
      </c>
      <c r="AI66" s="210" t="s">
        <v>379</v>
      </c>
      <c r="AJ66" s="210" t="s">
        <v>380</v>
      </c>
      <c r="AK66" s="210" t="s">
        <v>381</v>
      </c>
      <c r="AL66" s="210" t="s">
        <v>382</v>
      </c>
      <c r="AM66" s="210" t="s">
        <v>383</v>
      </c>
      <c r="AN66" s="312"/>
    </row>
    <row r="67" spans="1:40" ht="24.75" thickBot="1">
      <c r="B67" s="154" t="s">
        <v>397</v>
      </c>
      <c r="C67" s="216"/>
      <c r="D67" s="214"/>
      <c r="E67" s="296" t="s">
        <v>249</v>
      </c>
      <c r="F67" s="296" t="s">
        <v>331</v>
      </c>
      <c r="G67" s="296" t="s">
        <v>331</v>
      </c>
      <c r="H67" s="296" t="s">
        <v>331</v>
      </c>
      <c r="I67" s="296" t="s">
        <v>331</v>
      </c>
      <c r="J67" s="296" t="s">
        <v>331</v>
      </c>
      <c r="K67" s="296" t="s">
        <v>331</v>
      </c>
      <c r="L67" s="296" t="s">
        <v>249</v>
      </c>
      <c r="M67" s="296" t="s">
        <v>331</v>
      </c>
      <c r="N67" s="296" t="s">
        <v>331</v>
      </c>
      <c r="O67" s="296" t="s">
        <v>331</v>
      </c>
      <c r="P67" s="296" t="s">
        <v>331</v>
      </c>
      <c r="Q67" s="119" t="s">
        <v>331</v>
      </c>
      <c r="R67" s="119" t="s">
        <v>331</v>
      </c>
      <c r="S67" s="119" t="s">
        <v>331</v>
      </c>
      <c r="T67" s="119" t="s">
        <v>331</v>
      </c>
      <c r="U67" s="119" t="s">
        <v>331</v>
      </c>
      <c r="V67" s="119" t="s">
        <v>331</v>
      </c>
      <c r="W67" s="119" t="s">
        <v>331</v>
      </c>
      <c r="X67" s="119" t="s">
        <v>331</v>
      </c>
      <c r="Y67" s="119" t="s">
        <v>331</v>
      </c>
      <c r="Z67" s="119" t="s">
        <v>331</v>
      </c>
      <c r="AA67" s="119" t="s">
        <v>331</v>
      </c>
      <c r="AB67" s="119" t="s">
        <v>331</v>
      </c>
      <c r="AC67" s="119" t="s">
        <v>331</v>
      </c>
      <c r="AD67" s="119" t="s">
        <v>331</v>
      </c>
      <c r="AE67" s="119" t="s">
        <v>331</v>
      </c>
      <c r="AF67" s="119" t="s">
        <v>331</v>
      </c>
      <c r="AG67" s="119" t="s">
        <v>331</v>
      </c>
      <c r="AH67" s="119" t="s">
        <v>331</v>
      </c>
      <c r="AI67" s="119" t="s">
        <v>331</v>
      </c>
      <c r="AJ67" s="119" t="s">
        <v>331</v>
      </c>
      <c r="AK67" s="119" t="s">
        <v>331</v>
      </c>
      <c r="AL67" s="119" t="s">
        <v>331</v>
      </c>
      <c r="AM67" s="119" t="s">
        <v>331</v>
      </c>
      <c r="AN67" s="216"/>
    </row>
    <row r="68" spans="1:40">
      <c r="B68" s="150" t="e">
        <f t="shared" ref="B68:B92" si="2">INDEX(E68:AM68,1,$A$66)</f>
        <v>#REF!</v>
      </c>
      <c r="C68" s="216"/>
      <c r="D68" s="296" t="s">
        <v>222</v>
      </c>
      <c r="E68" s="297">
        <v>0</v>
      </c>
      <c r="F68" s="297">
        <v>0</v>
      </c>
      <c r="G68" s="297">
        <v>0</v>
      </c>
      <c r="H68" s="297">
        <v>0</v>
      </c>
      <c r="I68" s="297">
        <v>0</v>
      </c>
      <c r="J68" s="297">
        <v>0</v>
      </c>
      <c r="K68" s="297">
        <v>0</v>
      </c>
      <c r="L68" s="302">
        <v>1.8</v>
      </c>
      <c r="M68" s="302">
        <v>1</v>
      </c>
      <c r="N68" s="302">
        <v>0.3</v>
      </c>
      <c r="O68" s="302">
        <v>1.4</v>
      </c>
      <c r="P68" s="302">
        <v>0.4</v>
      </c>
      <c r="Q68" s="148">
        <v>0</v>
      </c>
      <c r="R68" s="148"/>
      <c r="S68" s="148"/>
      <c r="T68" s="148"/>
      <c r="U68" s="148"/>
      <c r="V68" s="148"/>
      <c r="W68" s="148"/>
      <c r="X68" s="148"/>
      <c r="Y68" s="148"/>
      <c r="Z68" s="148"/>
      <c r="AA68" s="148"/>
      <c r="AB68" s="148"/>
      <c r="AC68" s="148"/>
      <c r="AD68" s="148"/>
      <c r="AE68" s="148"/>
      <c r="AF68" s="148"/>
      <c r="AG68" s="148"/>
      <c r="AH68" s="148"/>
      <c r="AI68" s="148"/>
      <c r="AJ68" s="148"/>
      <c r="AK68" s="148"/>
      <c r="AL68" s="148"/>
      <c r="AM68" s="148"/>
      <c r="AN68" s="216"/>
    </row>
    <row r="69" spans="1:40">
      <c r="B69" s="151" t="e">
        <f t="shared" si="2"/>
        <v>#REF!</v>
      </c>
      <c r="C69" s="216"/>
      <c r="D69" s="296" t="s">
        <v>223</v>
      </c>
      <c r="E69" s="297">
        <v>0</v>
      </c>
      <c r="F69" s="297">
        <v>0</v>
      </c>
      <c r="G69" s="297">
        <v>0</v>
      </c>
      <c r="H69" s="297">
        <v>0</v>
      </c>
      <c r="I69" s="297">
        <v>0</v>
      </c>
      <c r="J69" s="297">
        <v>0</v>
      </c>
      <c r="K69" s="297">
        <v>0</v>
      </c>
      <c r="L69" s="302">
        <v>1</v>
      </c>
      <c r="M69" s="302">
        <v>1</v>
      </c>
      <c r="N69" s="302">
        <v>0.3</v>
      </c>
      <c r="O69" s="302">
        <v>1</v>
      </c>
      <c r="P69" s="302">
        <v>0.4</v>
      </c>
      <c r="Q69" s="148">
        <v>0</v>
      </c>
      <c r="R69" s="148"/>
      <c r="S69" s="148"/>
      <c r="T69" s="148"/>
      <c r="U69" s="148"/>
      <c r="V69" s="148"/>
      <c r="W69" s="148"/>
      <c r="X69" s="148"/>
      <c r="Y69" s="148"/>
      <c r="Z69" s="148"/>
      <c r="AA69" s="148"/>
      <c r="AB69" s="148"/>
      <c r="AC69" s="148"/>
      <c r="AD69" s="148"/>
      <c r="AE69" s="148"/>
      <c r="AF69" s="148"/>
      <c r="AG69" s="148"/>
      <c r="AH69" s="148"/>
      <c r="AI69" s="148"/>
      <c r="AJ69" s="148"/>
      <c r="AK69" s="148"/>
      <c r="AL69" s="148"/>
      <c r="AM69" s="148"/>
      <c r="AN69" s="216"/>
    </row>
    <row r="70" spans="1:40">
      <c r="B70" s="151" t="e">
        <f t="shared" si="2"/>
        <v>#REF!</v>
      </c>
      <c r="C70" s="216"/>
      <c r="D70" s="296" t="s">
        <v>224</v>
      </c>
      <c r="E70" s="297">
        <v>0</v>
      </c>
      <c r="F70" s="297">
        <v>0</v>
      </c>
      <c r="G70" s="297">
        <v>0</v>
      </c>
      <c r="H70" s="297">
        <v>0</v>
      </c>
      <c r="I70" s="297">
        <v>0</v>
      </c>
      <c r="J70" s="297">
        <v>0</v>
      </c>
      <c r="K70" s="297">
        <v>0</v>
      </c>
      <c r="L70" s="302">
        <v>0.6</v>
      </c>
      <c r="M70" s="302">
        <v>1</v>
      </c>
      <c r="N70" s="302">
        <v>0.4</v>
      </c>
      <c r="O70" s="302">
        <v>0.5</v>
      </c>
      <c r="P70" s="302">
        <v>0.5</v>
      </c>
      <c r="Q70" s="148">
        <v>0</v>
      </c>
      <c r="R70" s="148"/>
      <c r="S70" s="148"/>
      <c r="T70" s="148"/>
      <c r="U70" s="148"/>
      <c r="V70" s="148"/>
      <c r="W70" s="148"/>
      <c r="X70" s="148"/>
      <c r="Y70" s="148"/>
      <c r="Z70" s="148"/>
      <c r="AA70" s="148"/>
      <c r="AB70" s="148"/>
      <c r="AC70" s="148"/>
      <c r="AD70" s="148"/>
      <c r="AE70" s="148"/>
      <c r="AF70" s="148"/>
      <c r="AG70" s="148"/>
      <c r="AH70" s="148"/>
      <c r="AI70" s="148"/>
      <c r="AJ70" s="148"/>
      <c r="AK70" s="148"/>
      <c r="AL70" s="148"/>
      <c r="AM70" s="148"/>
      <c r="AN70" s="216"/>
    </row>
    <row r="71" spans="1:40">
      <c r="B71" s="151" t="e">
        <f t="shared" si="2"/>
        <v>#REF!</v>
      </c>
      <c r="C71" s="216"/>
      <c r="D71" s="296" t="s">
        <v>225</v>
      </c>
      <c r="E71" s="297">
        <v>0</v>
      </c>
      <c r="F71" s="297">
        <v>0</v>
      </c>
      <c r="G71" s="297">
        <v>0</v>
      </c>
      <c r="H71" s="297">
        <v>0</v>
      </c>
      <c r="I71" s="297">
        <v>0</v>
      </c>
      <c r="J71" s="297">
        <v>0</v>
      </c>
      <c r="K71" s="297">
        <v>0</v>
      </c>
      <c r="L71" s="302">
        <v>0.3</v>
      </c>
      <c r="M71" s="302">
        <v>0</v>
      </c>
      <c r="N71" s="302">
        <v>0.7</v>
      </c>
      <c r="O71" s="302">
        <v>0.6</v>
      </c>
      <c r="P71" s="302">
        <v>0.8</v>
      </c>
      <c r="Q71" s="148">
        <v>0</v>
      </c>
      <c r="R71" s="148"/>
      <c r="S71" s="148"/>
      <c r="T71" s="148"/>
      <c r="U71" s="148"/>
      <c r="V71" s="148"/>
      <c r="W71" s="148"/>
      <c r="X71" s="148"/>
      <c r="Y71" s="148"/>
      <c r="Z71" s="148"/>
      <c r="AA71" s="148"/>
      <c r="AB71" s="148"/>
      <c r="AC71" s="148"/>
      <c r="AD71" s="148"/>
      <c r="AE71" s="148"/>
      <c r="AF71" s="148"/>
      <c r="AG71" s="148"/>
      <c r="AH71" s="148"/>
      <c r="AI71" s="148"/>
      <c r="AJ71" s="148"/>
      <c r="AK71" s="148"/>
      <c r="AL71" s="148"/>
      <c r="AM71" s="148"/>
      <c r="AN71" s="216"/>
    </row>
    <row r="72" spans="1:40">
      <c r="B72" s="151" t="e">
        <f t="shared" si="2"/>
        <v>#REF!</v>
      </c>
      <c r="C72" s="216"/>
      <c r="D72" s="296" t="s">
        <v>226</v>
      </c>
      <c r="E72" s="297">
        <v>0</v>
      </c>
      <c r="F72" s="297">
        <v>0</v>
      </c>
      <c r="G72" s="297">
        <v>0</v>
      </c>
      <c r="H72" s="297">
        <v>0</v>
      </c>
      <c r="I72" s="297">
        <v>0</v>
      </c>
      <c r="J72" s="297">
        <v>0</v>
      </c>
      <c r="K72" s="297">
        <v>0</v>
      </c>
      <c r="L72" s="302">
        <v>0.4</v>
      </c>
      <c r="M72" s="302">
        <v>0</v>
      </c>
      <c r="N72" s="302">
        <v>1</v>
      </c>
      <c r="O72" s="302">
        <v>1.3</v>
      </c>
      <c r="P72" s="302">
        <v>1.2</v>
      </c>
      <c r="Q72" s="148">
        <v>0</v>
      </c>
      <c r="R72" s="148"/>
      <c r="S72" s="148"/>
      <c r="T72" s="148"/>
      <c r="U72" s="148"/>
      <c r="V72" s="148"/>
      <c r="W72" s="148"/>
      <c r="X72" s="148"/>
      <c r="Y72" s="148"/>
      <c r="Z72" s="148"/>
      <c r="AA72" s="148"/>
      <c r="AB72" s="148"/>
      <c r="AC72" s="148"/>
      <c r="AD72" s="148"/>
      <c r="AE72" s="148"/>
      <c r="AF72" s="148"/>
      <c r="AG72" s="148"/>
      <c r="AH72" s="148"/>
      <c r="AI72" s="148"/>
      <c r="AJ72" s="148"/>
      <c r="AK72" s="148"/>
      <c r="AL72" s="148"/>
      <c r="AM72" s="148"/>
      <c r="AN72" s="216"/>
    </row>
    <row r="73" spans="1:40">
      <c r="B73" s="151" t="e">
        <f t="shared" si="2"/>
        <v>#REF!</v>
      </c>
      <c r="C73" s="216"/>
      <c r="D73" s="296" t="s">
        <v>227</v>
      </c>
      <c r="E73" s="297">
        <v>0</v>
      </c>
      <c r="F73" s="297">
        <v>0</v>
      </c>
      <c r="G73" s="297">
        <v>0</v>
      </c>
      <c r="H73" s="297">
        <v>0</v>
      </c>
      <c r="I73" s="297">
        <v>0</v>
      </c>
      <c r="J73" s="297">
        <v>0</v>
      </c>
      <c r="K73" s="297">
        <v>0</v>
      </c>
      <c r="L73" s="302">
        <v>0.6</v>
      </c>
      <c r="M73" s="302">
        <v>1</v>
      </c>
      <c r="N73" s="302">
        <v>1.8</v>
      </c>
      <c r="O73" s="302">
        <v>3.4</v>
      </c>
      <c r="P73" s="302">
        <v>2.8</v>
      </c>
      <c r="Q73" s="148">
        <v>0</v>
      </c>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216"/>
    </row>
    <row r="74" spans="1:40">
      <c r="B74" s="151" t="e">
        <f t="shared" si="2"/>
        <v>#REF!</v>
      </c>
      <c r="C74" s="216"/>
      <c r="D74" s="296" t="s">
        <v>228</v>
      </c>
      <c r="E74" s="297">
        <v>0</v>
      </c>
      <c r="F74" s="297">
        <v>0</v>
      </c>
      <c r="G74" s="297">
        <v>0</v>
      </c>
      <c r="H74" s="297">
        <v>0</v>
      </c>
      <c r="I74" s="297">
        <v>0</v>
      </c>
      <c r="J74" s="297">
        <v>0</v>
      </c>
      <c r="K74" s="297">
        <v>0</v>
      </c>
      <c r="L74" s="302">
        <v>2.4</v>
      </c>
      <c r="M74" s="302">
        <v>3</v>
      </c>
      <c r="N74" s="302">
        <v>9.3000000000000007</v>
      </c>
      <c r="O74" s="302">
        <v>5.8</v>
      </c>
      <c r="P74" s="302">
        <v>7.5</v>
      </c>
      <c r="Q74" s="148">
        <v>0</v>
      </c>
      <c r="R74" s="148"/>
      <c r="S74" s="148"/>
      <c r="T74" s="148"/>
      <c r="U74" s="148"/>
      <c r="V74" s="148"/>
      <c r="W74" s="148"/>
      <c r="X74" s="148"/>
      <c r="Y74" s="148"/>
      <c r="Z74" s="148"/>
      <c r="AA74" s="148"/>
      <c r="AB74" s="148"/>
      <c r="AC74" s="148"/>
      <c r="AD74" s="148"/>
      <c r="AE74" s="148"/>
      <c r="AF74" s="148"/>
      <c r="AG74" s="148"/>
      <c r="AH74" s="148"/>
      <c r="AI74" s="148"/>
      <c r="AJ74" s="148"/>
      <c r="AK74" s="148"/>
      <c r="AL74" s="148"/>
      <c r="AM74" s="148"/>
      <c r="AN74" s="216"/>
    </row>
    <row r="75" spans="1:40">
      <c r="B75" s="151" t="e">
        <f t="shared" si="2"/>
        <v>#REF!</v>
      </c>
      <c r="C75" s="216"/>
      <c r="D75" s="296" t="s">
        <v>229</v>
      </c>
      <c r="E75" s="297">
        <v>10</v>
      </c>
      <c r="F75" s="297">
        <v>25</v>
      </c>
      <c r="G75" s="297">
        <v>10</v>
      </c>
      <c r="H75" s="297">
        <v>27.5</v>
      </c>
      <c r="I75" s="297">
        <v>14.7</v>
      </c>
      <c r="J75" s="297">
        <v>33.799999999999997</v>
      </c>
      <c r="K75" s="297">
        <v>33.700000000000003</v>
      </c>
      <c r="L75" s="302">
        <v>4.7</v>
      </c>
      <c r="M75" s="302">
        <v>6</v>
      </c>
      <c r="N75" s="302">
        <v>15.7</v>
      </c>
      <c r="O75" s="302">
        <v>5.8</v>
      </c>
      <c r="P75" s="302">
        <v>10.5</v>
      </c>
      <c r="Q75" s="148">
        <v>0</v>
      </c>
      <c r="R75" s="148"/>
      <c r="S75" s="148"/>
      <c r="T75" s="148"/>
      <c r="U75" s="148"/>
      <c r="V75" s="148"/>
      <c r="W75" s="148"/>
      <c r="X75" s="148"/>
      <c r="Y75" s="148"/>
      <c r="Z75" s="148"/>
      <c r="AA75" s="148"/>
      <c r="AB75" s="148"/>
      <c r="AC75" s="148"/>
      <c r="AD75" s="148"/>
      <c r="AE75" s="148"/>
      <c r="AF75" s="148"/>
      <c r="AG75" s="148"/>
      <c r="AH75" s="148"/>
      <c r="AI75" s="148"/>
      <c r="AJ75" s="148"/>
      <c r="AK75" s="148"/>
      <c r="AL75" s="148"/>
      <c r="AM75" s="148"/>
      <c r="AN75" s="216"/>
    </row>
    <row r="76" spans="1:40">
      <c r="B76" s="151" t="e">
        <f t="shared" si="2"/>
        <v>#REF!</v>
      </c>
      <c r="C76" s="216"/>
      <c r="D76" s="296" t="s">
        <v>230</v>
      </c>
      <c r="E76" s="297">
        <v>5</v>
      </c>
      <c r="F76" s="297">
        <v>0</v>
      </c>
      <c r="G76" s="297">
        <v>5</v>
      </c>
      <c r="H76" s="297">
        <v>7.2</v>
      </c>
      <c r="I76" s="297">
        <v>33.6</v>
      </c>
      <c r="J76" s="297">
        <v>2.2000000000000002</v>
      </c>
      <c r="K76" s="297">
        <v>1.7</v>
      </c>
      <c r="L76" s="302">
        <v>6.8</v>
      </c>
      <c r="M76" s="302">
        <v>8</v>
      </c>
      <c r="N76" s="302">
        <v>8.1</v>
      </c>
      <c r="O76" s="302">
        <v>6.2</v>
      </c>
      <c r="P76" s="302">
        <v>8</v>
      </c>
      <c r="Q76" s="148">
        <v>5</v>
      </c>
      <c r="R76" s="148"/>
      <c r="S76" s="148"/>
      <c r="T76" s="148"/>
      <c r="U76" s="148"/>
      <c r="V76" s="148"/>
      <c r="W76" s="148"/>
      <c r="X76" s="148"/>
      <c r="Y76" s="148"/>
      <c r="Z76" s="148"/>
      <c r="AA76" s="148"/>
      <c r="AB76" s="148"/>
      <c r="AC76" s="148"/>
      <c r="AD76" s="148"/>
      <c r="AE76" s="148"/>
      <c r="AF76" s="148"/>
      <c r="AG76" s="148"/>
      <c r="AH76" s="148"/>
      <c r="AI76" s="148"/>
      <c r="AJ76" s="148"/>
      <c r="AK76" s="148"/>
      <c r="AL76" s="148"/>
      <c r="AM76" s="148"/>
      <c r="AN76" s="216"/>
    </row>
    <row r="77" spans="1:40">
      <c r="B77" s="151" t="e">
        <f t="shared" si="2"/>
        <v>#REF!</v>
      </c>
      <c r="C77" s="216"/>
      <c r="D77" s="296" t="s">
        <v>231</v>
      </c>
      <c r="E77" s="297">
        <v>5</v>
      </c>
      <c r="F77" s="297">
        <v>0</v>
      </c>
      <c r="G77" s="297">
        <v>5</v>
      </c>
      <c r="H77" s="297">
        <v>3.6</v>
      </c>
      <c r="I77" s="297">
        <v>1.8</v>
      </c>
      <c r="J77" s="297">
        <v>1.1000000000000001</v>
      </c>
      <c r="K77" s="297">
        <v>0.9</v>
      </c>
      <c r="L77" s="302">
        <v>5.7</v>
      </c>
      <c r="M77" s="302">
        <v>6</v>
      </c>
      <c r="N77" s="302">
        <v>7.5</v>
      </c>
      <c r="O77" s="302">
        <v>5.4</v>
      </c>
      <c r="P77" s="302">
        <v>7.5</v>
      </c>
      <c r="Q77" s="148">
        <v>10</v>
      </c>
      <c r="R77" s="148"/>
      <c r="S77" s="148"/>
      <c r="T77" s="148"/>
      <c r="U77" s="148"/>
      <c r="V77" s="148"/>
      <c r="W77" s="148"/>
      <c r="X77" s="148"/>
      <c r="Y77" s="148"/>
      <c r="Z77" s="148"/>
      <c r="AA77" s="148"/>
      <c r="AB77" s="148"/>
      <c r="AC77" s="148"/>
      <c r="AD77" s="148"/>
      <c r="AE77" s="148"/>
      <c r="AF77" s="148"/>
      <c r="AG77" s="148"/>
      <c r="AH77" s="148"/>
      <c r="AI77" s="148"/>
      <c r="AJ77" s="148"/>
      <c r="AK77" s="148"/>
      <c r="AL77" s="148"/>
      <c r="AM77" s="148"/>
      <c r="AN77" s="216"/>
    </row>
    <row r="78" spans="1:40">
      <c r="B78" s="151" t="e">
        <f t="shared" si="2"/>
        <v>#REF!</v>
      </c>
      <c r="C78" s="216"/>
      <c r="D78" s="296" t="s">
        <v>232</v>
      </c>
      <c r="E78" s="297">
        <v>0</v>
      </c>
      <c r="F78" s="297">
        <v>0</v>
      </c>
      <c r="G78" s="297">
        <v>0</v>
      </c>
      <c r="H78" s="297">
        <v>1.8</v>
      </c>
      <c r="I78" s="297">
        <v>0.9</v>
      </c>
      <c r="J78" s="297">
        <v>1.1000000000000001</v>
      </c>
      <c r="K78" s="297">
        <v>0.9</v>
      </c>
      <c r="L78" s="302">
        <v>6.1</v>
      </c>
      <c r="M78" s="302">
        <v>5</v>
      </c>
      <c r="N78" s="302">
        <v>7</v>
      </c>
      <c r="O78" s="302">
        <v>5.0999999999999996</v>
      </c>
      <c r="P78" s="302">
        <v>7.5</v>
      </c>
      <c r="Q78" s="148">
        <v>10</v>
      </c>
      <c r="R78" s="148"/>
      <c r="S78" s="148"/>
      <c r="T78" s="148"/>
      <c r="U78" s="148"/>
      <c r="V78" s="148"/>
      <c r="W78" s="148"/>
      <c r="X78" s="148"/>
      <c r="Y78" s="148"/>
      <c r="Z78" s="148"/>
      <c r="AA78" s="148"/>
      <c r="AB78" s="148"/>
      <c r="AC78" s="148"/>
      <c r="AD78" s="148"/>
      <c r="AE78" s="148"/>
      <c r="AF78" s="148"/>
      <c r="AG78" s="148"/>
      <c r="AH78" s="148"/>
      <c r="AI78" s="148"/>
      <c r="AJ78" s="148"/>
      <c r="AK78" s="148"/>
      <c r="AL78" s="148"/>
      <c r="AM78" s="148"/>
      <c r="AN78" s="216"/>
    </row>
    <row r="79" spans="1:40">
      <c r="B79" s="151" t="e">
        <f t="shared" si="2"/>
        <v>#REF!</v>
      </c>
      <c r="C79" s="216"/>
      <c r="D79" s="296" t="s">
        <v>233</v>
      </c>
      <c r="E79" s="297">
        <v>10</v>
      </c>
      <c r="F79" s="297">
        <v>0</v>
      </c>
      <c r="G79" s="297">
        <v>10</v>
      </c>
      <c r="H79" s="297">
        <v>3.6</v>
      </c>
      <c r="I79" s="297">
        <v>1.8</v>
      </c>
      <c r="J79" s="297">
        <v>1.7</v>
      </c>
      <c r="K79" s="297">
        <v>1.3</v>
      </c>
      <c r="L79" s="302">
        <v>6.1</v>
      </c>
      <c r="M79" s="302">
        <v>5</v>
      </c>
      <c r="N79" s="302">
        <v>6.6</v>
      </c>
      <c r="O79" s="302">
        <v>4.7</v>
      </c>
      <c r="P79" s="302">
        <v>7</v>
      </c>
      <c r="Q79" s="148">
        <v>10</v>
      </c>
      <c r="R79" s="148"/>
      <c r="S79" s="148"/>
      <c r="T79" s="148"/>
      <c r="U79" s="148"/>
      <c r="V79" s="148"/>
      <c r="W79" s="148"/>
      <c r="X79" s="148"/>
      <c r="Y79" s="148"/>
      <c r="Z79" s="148"/>
      <c r="AA79" s="148"/>
      <c r="AB79" s="148"/>
      <c r="AC79" s="148"/>
      <c r="AD79" s="148"/>
      <c r="AE79" s="148"/>
      <c r="AF79" s="148"/>
      <c r="AG79" s="148"/>
      <c r="AH79" s="148"/>
      <c r="AI79" s="148"/>
      <c r="AJ79" s="148"/>
      <c r="AK79" s="148"/>
      <c r="AL79" s="148"/>
      <c r="AM79" s="148"/>
      <c r="AN79" s="216"/>
    </row>
    <row r="80" spans="1:40">
      <c r="B80" s="151" t="e">
        <f t="shared" si="2"/>
        <v>#REF!</v>
      </c>
      <c r="C80" s="216"/>
      <c r="D80" s="296" t="s">
        <v>234</v>
      </c>
      <c r="E80" s="297">
        <v>15</v>
      </c>
      <c r="F80" s="297">
        <v>25</v>
      </c>
      <c r="G80" s="297">
        <v>15</v>
      </c>
      <c r="H80" s="297">
        <v>5.4</v>
      </c>
      <c r="I80" s="297">
        <v>2.7</v>
      </c>
      <c r="J80" s="297">
        <v>3.9</v>
      </c>
      <c r="K80" s="297">
        <v>3</v>
      </c>
      <c r="L80" s="302">
        <v>6.3</v>
      </c>
      <c r="M80" s="302">
        <v>6</v>
      </c>
      <c r="N80" s="302">
        <v>7.1</v>
      </c>
      <c r="O80" s="302">
        <v>4.2</v>
      </c>
      <c r="P80" s="302">
        <v>7.5</v>
      </c>
      <c r="Q80" s="148">
        <v>20</v>
      </c>
      <c r="R80" s="148"/>
      <c r="S80" s="148"/>
      <c r="T80" s="148"/>
      <c r="U80" s="148"/>
      <c r="V80" s="148"/>
      <c r="W80" s="148"/>
      <c r="X80" s="148"/>
      <c r="Y80" s="148"/>
      <c r="Z80" s="148"/>
      <c r="AA80" s="148"/>
      <c r="AB80" s="148"/>
      <c r="AC80" s="148"/>
      <c r="AD80" s="148"/>
      <c r="AE80" s="148"/>
      <c r="AF80" s="148"/>
      <c r="AG80" s="148"/>
      <c r="AH80" s="148"/>
      <c r="AI80" s="148"/>
      <c r="AJ80" s="148"/>
      <c r="AK80" s="148"/>
      <c r="AL80" s="148"/>
      <c r="AM80" s="148"/>
      <c r="AN80" s="216"/>
    </row>
    <row r="81" spans="2:40">
      <c r="B81" s="151" t="e">
        <f t="shared" si="2"/>
        <v>#REF!</v>
      </c>
      <c r="C81" s="216"/>
      <c r="D81" s="296" t="s">
        <v>235</v>
      </c>
      <c r="E81" s="297">
        <v>0</v>
      </c>
      <c r="F81" s="297">
        <v>0</v>
      </c>
      <c r="G81" s="297">
        <v>0</v>
      </c>
      <c r="H81" s="297">
        <v>0</v>
      </c>
      <c r="I81" s="297">
        <v>0</v>
      </c>
      <c r="J81" s="297">
        <v>0</v>
      </c>
      <c r="K81" s="297">
        <v>0</v>
      </c>
      <c r="L81" s="302">
        <v>6.4</v>
      </c>
      <c r="M81" s="302">
        <v>6</v>
      </c>
      <c r="N81" s="302">
        <v>5.0999999999999996</v>
      </c>
      <c r="O81" s="302">
        <v>4.5</v>
      </c>
      <c r="P81" s="302">
        <v>5.5</v>
      </c>
      <c r="Q81" s="148">
        <v>10</v>
      </c>
      <c r="R81" s="148"/>
      <c r="S81" s="148"/>
      <c r="T81" s="148"/>
      <c r="U81" s="148"/>
      <c r="V81" s="148"/>
      <c r="W81" s="148"/>
      <c r="X81" s="148"/>
      <c r="Y81" s="148"/>
      <c r="Z81" s="148"/>
      <c r="AA81" s="148"/>
      <c r="AB81" s="148"/>
      <c r="AC81" s="148"/>
      <c r="AD81" s="148"/>
      <c r="AE81" s="148"/>
      <c r="AF81" s="148"/>
      <c r="AG81" s="148"/>
      <c r="AH81" s="148"/>
      <c r="AI81" s="148"/>
      <c r="AJ81" s="148"/>
      <c r="AK81" s="148"/>
      <c r="AL81" s="148"/>
      <c r="AM81" s="148"/>
      <c r="AN81" s="216"/>
    </row>
    <row r="82" spans="2:40">
      <c r="B82" s="151" t="e">
        <f t="shared" si="2"/>
        <v>#REF!</v>
      </c>
      <c r="C82" s="216"/>
      <c r="D82" s="296" t="s">
        <v>236</v>
      </c>
      <c r="E82" s="297">
        <v>0</v>
      </c>
      <c r="F82" s="297">
        <v>0</v>
      </c>
      <c r="G82" s="297">
        <v>0</v>
      </c>
      <c r="H82" s="297">
        <v>1.8</v>
      </c>
      <c r="I82" s="297">
        <v>0.9</v>
      </c>
      <c r="J82" s="297">
        <v>0.6</v>
      </c>
      <c r="K82" s="297">
        <v>0.4</v>
      </c>
      <c r="L82" s="302">
        <v>5.0999999999999996</v>
      </c>
      <c r="M82" s="302">
        <v>5</v>
      </c>
      <c r="N82" s="302">
        <v>3.8</v>
      </c>
      <c r="O82" s="302">
        <v>4.0999999999999996</v>
      </c>
      <c r="P82" s="302">
        <v>4.3</v>
      </c>
      <c r="Q82" s="148">
        <v>10</v>
      </c>
      <c r="R82" s="148"/>
      <c r="S82" s="148"/>
      <c r="T82" s="148"/>
      <c r="U82" s="148"/>
      <c r="V82" s="148"/>
      <c r="W82" s="148"/>
      <c r="X82" s="148"/>
      <c r="Y82" s="148"/>
      <c r="Z82" s="148"/>
      <c r="AA82" s="148"/>
      <c r="AB82" s="148"/>
      <c r="AC82" s="148"/>
      <c r="AD82" s="148"/>
      <c r="AE82" s="148"/>
      <c r="AF82" s="148"/>
      <c r="AG82" s="148"/>
      <c r="AH82" s="148"/>
      <c r="AI82" s="148"/>
      <c r="AJ82" s="148"/>
      <c r="AK82" s="148"/>
      <c r="AL82" s="148"/>
      <c r="AM82" s="148"/>
      <c r="AN82" s="216"/>
    </row>
    <row r="83" spans="2:40">
      <c r="B83" s="151" t="e">
        <f t="shared" si="2"/>
        <v>#REF!</v>
      </c>
      <c r="C83" s="216"/>
      <c r="D83" s="296" t="s">
        <v>237</v>
      </c>
      <c r="E83" s="297">
        <v>0</v>
      </c>
      <c r="F83" s="297">
        <v>0</v>
      </c>
      <c r="G83" s="297">
        <v>0</v>
      </c>
      <c r="H83" s="297">
        <v>1.8</v>
      </c>
      <c r="I83" s="297">
        <v>0.9</v>
      </c>
      <c r="J83" s="297">
        <v>1.1000000000000001</v>
      </c>
      <c r="K83" s="297">
        <v>0.9</v>
      </c>
      <c r="L83" s="302">
        <v>4.4000000000000004</v>
      </c>
      <c r="M83" s="302">
        <v>4</v>
      </c>
      <c r="N83" s="302">
        <v>3.3</v>
      </c>
      <c r="O83" s="302">
        <v>4.3</v>
      </c>
      <c r="P83" s="302">
        <v>3.7</v>
      </c>
      <c r="Q83" s="148">
        <v>10</v>
      </c>
      <c r="R83" s="148"/>
      <c r="S83" s="148"/>
      <c r="T83" s="148"/>
      <c r="U83" s="148"/>
      <c r="V83" s="148"/>
      <c r="W83" s="148"/>
      <c r="X83" s="148"/>
      <c r="Y83" s="148"/>
      <c r="Z83" s="148"/>
      <c r="AA83" s="148"/>
      <c r="AB83" s="148"/>
      <c r="AC83" s="148"/>
      <c r="AD83" s="148"/>
      <c r="AE83" s="148"/>
      <c r="AF83" s="148"/>
      <c r="AG83" s="148"/>
      <c r="AH83" s="148"/>
      <c r="AI83" s="148"/>
      <c r="AJ83" s="148"/>
      <c r="AK83" s="148"/>
      <c r="AL83" s="148"/>
      <c r="AM83" s="148"/>
      <c r="AN83" s="216"/>
    </row>
    <row r="84" spans="2:40">
      <c r="B84" s="151" t="e">
        <f t="shared" si="2"/>
        <v>#REF!</v>
      </c>
      <c r="C84" s="216"/>
      <c r="D84" s="296" t="s">
        <v>238</v>
      </c>
      <c r="E84" s="297">
        <v>0</v>
      </c>
      <c r="F84" s="297">
        <v>0</v>
      </c>
      <c r="G84" s="297">
        <v>0</v>
      </c>
      <c r="H84" s="297">
        <v>1.8</v>
      </c>
      <c r="I84" s="297">
        <v>0.9</v>
      </c>
      <c r="J84" s="297">
        <v>1.1000000000000001</v>
      </c>
      <c r="K84" s="297">
        <v>0.9</v>
      </c>
      <c r="L84" s="302">
        <v>4.3</v>
      </c>
      <c r="M84" s="302">
        <v>4</v>
      </c>
      <c r="N84" s="302">
        <v>4.0999999999999996</v>
      </c>
      <c r="O84" s="302">
        <v>5.3</v>
      </c>
      <c r="P84" s="302">
        <v>4.5</v>
      </c>
      <c r="Q84" s="148">
        <v>10</v>
      </c>
      <c r="R84" s="148"/>
      <c r="S84" s="148"/>
      <c r="T84" s="148"/>
      <c r="U84" s="148"/>
      <c r="V84" s="148"/>
      <c r="W84" s="148"/>
      <c r="X84" s="148"/>
      <c r="Y84" s="148"/>
      <c r="Z84" s="148"/>
      <c r="AA84" s="148"/>
      <c r="AB84" s="148"/>
      <c r="AC84" s="148"/>
      <c r="AD84" s="148"/>
      <c r="AE84" s="148"/>
      <c r="AF84" s="148"/>
      <c r="AG84" s="148"/>
      <c r="AH84" s="148"/>
      <c r="AI84" s="148"/>
      <c r="AJ84" s="148"/>
      <c r="AK84" s="148"/>
      <c r="AL84" s="148"/>
      <c r="AM84" s="148"/>
      <c r="AN84" s="216"/>
    </row>
    <row r="85" spans="2:40">
      <c r="B85" s="151" t="e">
        <f t="shared" si="2"/>
        <v>#REF!</v>
      </c>
      <c r="C85" s="216"/>
      <c r="D85" s="296" t="s">
        <v>239</v>
      </c>
      <c r="E85" s="297">
        <v>0</v>
      </c>
      <c r="F85" s="297">
        <v>0</v>
      </c>
      <c r="G85" s="297">
        <v>0</v>
      </c>
      <c r="H85" s="297">
        <v>0</v>
      </c>
      <c r="I85" s="297">
        <v>0</v>
      </c>
      <c r="J85" s="297">
        <v>0.6</v>
      </c>
      <c r="K85" s="297">
        <v>0.4</v>
      </c>
      <c r="L85" s="302">
        <v>4.7</v>
      </c>
      <c r="M85" s="302">
        <v>5</v>
      </c>
      <c r="N85" s="302">
        <v>2.9</v>
      </c>
      <c r="O85" s="302">
        <v>6</v>
      </c>
      <c r="P85" s="302">
        <v>3.2</v>
      </c>
      <c r="Q85" s="148">
        <v>5</v>
      </c>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216"/>
    </row>
    <row r="86" spans="2:40">
      <c r="B86" s="151" t="e">
        <f t="shared" si="2"/>
        <v>#REF!</v>
      </c>
      <c r="C86" s="216"/>
      <c r="D86" s="296" t="s">
        <v>240</v>
      </c>
      <c r="E86" s="297">
        <v>15</v>
      </c>
      <c r="F86" s="297">
        <v>0</v>
      </c>
      <c r="G86" s="297">
        <v>0</v>
      </c>
      <c r="H86" s="297">
        <v>5.4</v>
      </c>
      <c r="I86" s="297">
        <v>2.7</v>
      </c>
      <c r="J86" s="297">
        <v>1.7</v>
      </c>
      <c r="K86" s="297">
        <v>1.3</v>
      </c>
      <c r="L86" s="302">
        <v>5.7</v>
      </c>
      <c r="M86" s="302">
        <v>6</v>
      </c>
      <c r="N86" s="302">
        <v>6.1</v>
      </c>
      <c r="O86" s="302">
        <v>6.6</v>
      </c>
      <c r="P86" s="302">
        <v>7</v>
      </c>
      <c r="Q86" s="148">
        <v>0</v>
      </c>
      <c r="R86" s="148"/>
      <c r="S86" s="148"/>
      <c r="T86" s="148"/>
      <c r="U86" s="148"/>
      <c r="V86" s="148"/>
      <c r="W86" s="148"/>
      <c r="X86" s="148"/>
      <c r="Y86" s="148"/>
      <c r="Z86" s="148"/>
      <c r="AA86" s="148"/>
      <c r="AB86" s="148"/>
      <c r="AC86" s="148"/>
      <c r="AD86" s="148"/>
      <c r="AE86" s="148"/>
      <c r="AF86" s="148"/>
      <c r="AG86" s="148"/>
      <c r="AH86" s="148"/>
      <c r="AI86" s="148"/>
      <c r="AJ86" s="148"/>
      <c r="AK86" s="148"/>
      <c r="AL86" s="148"/>
      <c r="AM86" s="148"/>
      <c r="AN86" s="216"/>
    </row>
    <row r="87" spans="2:40">
      <c r="B87" s="151" t="e">
        <f t="shared" si="2"/>
        <v>#REF!</v>
      </c>
      <c r="C87" s="216"/>
      <c r="D87" s="296" t="s">
        <v>241</v>
      </c>
      <c r="E87" s="297">
        <v>10</v>
      </c>
      <c r="F87" s="297">
        <v>0</v>
      </c>
      <c r="G87" s="297">
        <v>10</v>
      </c>
      <c r="H87" s="297">
        <v>1.8</v>
      </c>
      <c r="I87" s="297">
        <v>0.9</v>
      </c>
      <c r="J87" s="297">
        <v>0.6</v>
      </c>
      <c r="K87" s="297">
        <v>0.4</v>
      </c>
      <c r="L87" s="302">
        <v>6.5</v>
      </c>
      <c r="M87" s="302">
        <v>7</v>
      </c>
      <c r="N87" s="310">
        <v>4.4000000000000004</v>
      </c>
      <c r="O87" s="302">
        <v>6</v>
      </c>
      <c r="P87" s="302">
        <v>4.5</v>
      </c>
      <c r="Q87" s="148">
        <v>0</v>
      </c>
      <c r="R87" s="148"/>
      <c r="S87" s="148"/>
      <c r="T87" s="148"/>
      <c r="U87" s="148"/>
      <c r="V87" s="148"/>
      <c r="W87" s="148"/>
      <c r="X87" s="148"/>
      <c r="Y87" s="148"/>
      <c r="Z87" s="148"/>
      <c r="AA87" s="148"/>
      <c r="AB87" s="148"/>
      <c r="AC87" s="148"/>
      <c r="AD87" s="148"/>
      <c r="AE87" s="148"/>
      <c r="AF87" s="148"/>
      <c r="AG87" s="148"/>
      <c r="AH87" s="148"/>
      <c r="AI87" s="148"/>
      <c r="AJ87" s="148"/>
      <c r="AK87" s="148"/>
      <c r="AL87" s="148"/>
      <c r="AM87" s="148"/>
      <c r="AN87" s="216"/>
    </row>
    <row r="88" spans="2:40">
      <c r="B88" s="151" t="e">
        <f t="shared" si="2"/>
        <v>#REF!</v>
      </c>
      <c r="C88" s="216"/>
      <c r="D88" s="296" t="s">
        <v>242</v>
      </c>
      <c r="E88" s="297">
        <v>10</v>
      </c>
      <c r="F88" s="297">
        <v>50</v>
      </c>
      <c r="G88" s="298">
        <v>20</v>
      </c>
      <c r="H88" s="297">
        <v>12.6</v>
      </c>
      <c r="I88" s="311">
        <v>6.4</v>
      </c>
      <c r="J88" s="297">
        <v>27</v>
      </c>
      <c r="K88" s="297">
        <v>28.4</v>
      </c>
      <c r="L88" s="302">
        <v>6.6</v>
      </c>
      <c r="M88" s="302">
        <v>7</v>
      </c>
      <c r="N88" s="302">
        <v>1.4</v>
      </c>
      <c r="O88" s="310">
        <v>5.7</v>
      </c>
      <c r="P88" s="302">
        <v>2</v>
      </c>
      <c r="Q88" s="148">
        <v>0</v>
      </c>
      <c r="R88" s="148"/>
      <c r="S88" s="148"/>
      <c r="T88" s="148"/>
      <c r="U88" s="148"/>
      <c r="V88" s="148"/>
      <c r="W88" s="148"/>
      <c r="X88" s="148"/>
      <c r="Y88" s="148"/>
      <c r="Z88" s="148"/>
      <c r="AA88" s="148"/>
      <c r="AB88" s="148"/>
      <c r="AC88" s="148"/>
      <c r="AD88" s="148"/>
      <c r="AE88" s="148"/>
      <c r="AF88" s="148"/>
      <c r="AG88" s="148"/>
      <c r="AH88" s="148"/>
      <c r="AI88" s="148"/>
      <c r="AJ88" s="148"/>
      <c r="AK88" s="148"/>
      <c r="AL88" s="148"/>
      <c r="AM88" s="148"/>
      <c r="AN88" s="216"/>
    </row>
    <row r="89" spans="2:40">
      <c r="B89" s="151" t="e">
        <f t="shared" si="2"/>
        <v>#REF!</v>
      </c>
      <c r="C89" s="216"/>
      <c r="D89" s="296" t="s">
        <v>243</v>
      </c>
      <c r="E89" s="297">
        <v>20</v>
      </c>
      <c r="F89" s="297">
        <v>0</v>
      </c>
      <c r="G89" s="297">
        <v>25</v>
      </c>
      <c r="H89" s="297">
        <v>25.7</v>
      </c>
      <c r="I89" s="297">
        <v>31.8</v>
      </c>
      <c r="J89" s="311">
        <v>23.5</v>
      </c>
      <c r="K89" s="311">
        <v>25.8</v>
      </c>
      <c r="L89" s="310">
        <v>5.9</v>
      </c>
      <c r="M89" s="302">
        <v>6</v>
      </c>
      <c r="N89" s="302">
        <v>1.8</v>
      </c>
      <c r="O89" s="302">
        <v>5.4</v>
      </c>
      <c r="P89" s="302">
        <v>2</v>
      </c>
      <c r="Q89" s="148">
        <v>0</v>
      </c>
      <c r="R89" s="148"/>
      <c r="S89" s="148"/>
      <c r="T89" s="148"/>
      <c r="U89" s="148"/>
      <c r="V89" s="148"/>
      <c r="W89" s="148"/>
      <c r="X89" s="148"/>
      <c r="Y89" s="148"/>
      <c r="Z89" s="148"/>
      <c r="AA89" s="148"/>
      <c r="AB89" s="148"/>
      <c r="AC89" s="148"/>
      <c r="AD89" s="148"/>
      <c r="AE89" s="148"/>
      <c r="AF89" s="148"/>
      <c r="AG89" s="148"/>
      <c r="AH89" s="148"/>
      <c r="AI89" s="148"/>
      <c r="AJ89" s="148"/>
      <c r="AK89" s="148"/>
      <c r="AL89" s="148"/>
      <c r="AM89" s="148"/>
      <c r="AN89" s="216"/>
    </row>
    <row r="90" spans="2:40">
      <c r="B90" s="151" t="e">
        <f t="shared" si="2"/>
        <v>#REF!</v>
      </c>
      <c r="C90" s="216"/>
      <c r="D90" s="296" t="s">
        <v>244</v>
      </c>
      <c r="E90" s="297">
        <v>0</v>
      </c>
      <c r="F90" s="297">
        <v>0</v>
      </c>
      <c r="G90" s="297">
        <v>0</v>
      </c>
      <c r="H90" s="297">
        <v>0</v>
      </c>
      <c r="I90" s="297">
        <v>0</v>
      </c>
      <c r="J90" s="297">
        <v>0</v>
      </c>
      <c r="K90" s="297">
        <v>0</v>
      </c>
      <c r="L90" s="302">
        <v>4.5</v>
      </c>
      <c r="M90" s="302">
        <v>5</v>
      </c>
      <c r="N90" s="302">
        <v>0.9</v>
      </c>
      <c r="O90" s="302">
        <v>3.9</v>
      </c>
      <c r="P90" s="302">
        <v>1.2</v>
      </c>
      <c r="Q90" s="148">
        <v>0</v>
      </c>
      <c r="R90" s="148"/>
      <c r="S90" s="148"/>
      <c r="T90" s="148"/>
      <c r="U90" s="148"/>
      <c r="V90" s="148"/>
      <c r="W90" s="148"/>
      <c r="X90" s="148"/>
      <c r="Y90" s="148"/>
      <c r="Z90" s="148"/>
      <c r="AA90" s="148"/>
      <c r="AB90" s="148"/>
      <c r="AC90" s="148"/>
      <c r="AD90" s="148"/>
      <c r="AE90" s="148"/>
      <c r="AF90" s="148"/>
      <c r="AG90" s="148"/>
      <c r="AH90" s="148"/>
      <c r="AI90" s="148"/>
      <c r="AJ90" s="148"/>
      <c r="AK90" s="148"/>
      <c r="AL90" s="148"/>
      <c r="AM90" s="148"/>
      <c r="AN90" s="216"/>
    </row>
    <row r="91" spans="2:40" ht="15.75" thickBot="1">
      <c r="B91" s="152" t="e">
        <f t="shared" si="2"/>
        <v>#REF!</v>
      </c>
      <c r="C91" s="216"/>
      <c r="D91" s="296" t="s">
        <v>245</v>
      </c>
      <c r="E91" s="297">
        <v>0</v>
      </c>
      <c r="F91" s="297">
        <v>0</v>
      </c>
      <c r="G91" s="297">
        <v>0</v>
      </c>
      <c r="H91" s="297">
        <v>0</v>
      </c>
      <c r="I91" s="297">
        <v>0</v>
      </c>
      <c r="J91" s="297">
        <v>0</v>
      </c>
      <c r="K91" s="297">
        <v>0</v>
      </c>
      <c r="L91" s="302">
        <v>3.1</v>
      </c>
      <c r="M91" s="302">
        <v>2</v>
      </c>
      <c r="N91" s="302">
        <v>0.4</v>
      </c>
      <c r="O91" s="302">
        <v>2.8</v>
      </c>
      <c r="P91" s="302">
        <v>0.5</v>
      </c>
      <c r="Q91" s="148">
        <v>0</v>
      </c>
      <c r="R91" s="148"/>
      <c r="S91" s="148"/>
      <c r="T91" s="148"/>
      <c r="U91" s="148"/>
      <c r="V91" s="148"/>
      <c r="W91" s="148"/>
      <c r="X91" s="148"/>
      <c r="Y91" s="148"/>
      <c r="Z91" s="148"/>
      <c r="AA91" s="148"/>
      <c r="AB91" s="148"/>
      <c r="AC91" s="148"/>
      <c r="AD91" s="148"/>
      <c r="AE91" s="148"/>
      <c r="AF91" s="148"/>
      <c r="AG91" s="148"/>
      <c r="AH91" s="148"/>
      <c r="AI91" s="148"/>
      <c r="AJ91" s="148"/>
      <c r="AK91" s="148"/>
      <c r="AL91" s="148"/>
      <c r="AM91" s="148"/>
      <c r="AN91" s="216"/>
    </row>
    <row r="92" spans="2:40" ht="15.75" thickBot="1">
      <c r="B92" s="155" t="e">
        <f t="shared" si="2"/>
        <v>#REF!</v>
      </c>
      <c r="C92" s="216"/>
      <c r="D92" s="214" t="s">
        <v>396</v>
      </c>
      <c r="E92" s="304">
        <f>SUM(E68:E91)</f>
        <v>100</v>
      </c>
      <c r="F92" s="304">
        <f t="shared" ref="F92" si="3">SUM(F68:F91)</f>
        <v>100</v>
      </c>
      <c r="G92" s="304">
        <f t="shared" ref="G92" si="4">SUM(G68:G91)</f>
        <v>100</v>
      </c>
      <c r="H92" s="304">
        <f t="shared" ref="H92" si="5">SUM(H68:H91)</f>
        <v>99.999999999999986</v>
      </c>
      <c r="I92" s="304">
        <f t="shared" ref="I92" si="6">SUM(I68:I91)</f>
        <v>99.999999999999986</v>
      </c>
      <c r="J92" s="304">
        <f t="shared" ref="J92" si="7">SUM(J68:J91)</f>
        <v>100.00000000000001</v>
      </c>
      <c r="K92" s="304">
        <f t="shared" ref="K92" si="8">SUM(K68:K91)</f>
        <v>99.999999999999986</v>
      </c>
      <c r="L92" s="304">
        <f>SUM(L68:L91)</f>
        <v>99.999999999999986</v>
      </c>
      <c r="M92" s="304">
        <f t="shared" ref="M92" si="9">SUM(M68:M91)</f>
        <v>100</v>
      </c>
      <c r="N92" s="304">
        <f t="shared" ref="N92" si="10">SUM(N68:N91)</f>
        <v>100</v>
      </c>
      <c r="O92" s="304">
        <f t="shared" ref="O92" si="11">SUM(O68:O91)</f>
        <v>100</v>
      </c>
      <c r="P92" s="304">
        <f t="shared" ref="P92" si="12">SUM(P68:P91)</f>
        <v>100</v>
      </c>
      <c r="Q92" s="120">
        <f t="shared" ref="Q92" si="13">SUM(Q68:Q91)</f>
        <v>100</v>
      </c>
      <c r="R92" s="120">
        <f t="shared" ref="R92" si="14">SUM(R68:R91)</f>
        <v>0</v>
      </c>
      <c r="S92" s="120">
        <f t="shared" ref="S92" si="15">SUM(S68:S91)</f>
        <v>0</v>
      </c>
      <c r="T92" s="120">
        <f t="shared" ref="T92" si="16">SUM(T68:T91)</f>
        <v>0</v>
      </c>
      <c r="U92" s="120">
        <f t="shared" ref="U92" si="17">SUM(U68:U91)</f>
        <v>0</v>
      </c>
      <c r="V92" s="120">
        <f t="shared" ref="V92" si="18">SUM(V68:V91)</f>
        <v>0</v>
      </c>
      <c r="W92" s="120">
        <f t="shared" ref="W92" si="19">SUM(W68:W91)</f>
        <v>0</v>
      </c>
      <c r="X92" s="120">
        <f t="shared" ref="X92" si="20">SUM(X68:X91)</f>
        <v>0</v>
      </c>
      <c r="Y92" s="120">
        <f t="shared" ref="Y92" si="21">SUM(Y68:Y91)</f>
        <v>0</v>
      </c>
      <c r="Z92" s="120">
        <f t="shared" ref="Z92" si="22">SUM(Z68:Z91)</f>
        <v>0</v>
      </c>
      <c r="AA92" s="120">
        <f t="shared" ref="AA92" si="23">SUM(AA68:AA91)</f>
        <v>0</v>
      </c>
      <c r="AB92" s="120">
        <f t="shared" ref="AB92" si="24">SUM(AB68:AB91)</f>
        <v>0</v>
      </c>
      <c r="AC92" s="120">
        <f t="shared" ref="AC92" si="25">SUM(AC68:AC91)</f>
        <v>0</v>
      </c>
      <c r="AD92" s="120">
        <f t="shared" ref="AD92" si="26">SUM(AD68:AD91)</f>
        <v>0</v>
      </c>
      <c r="AE92" s="120">
        <f t="shared" ref="AE92" si="27">SUM(AE68:AE91)</f>
        <v>0</v>
      </c>
      <c r="AF92" s="120">
        <f t="shared" ref="AF92" si="28">SUM(AF68:AF91)</f>
        <v>0</v>
      </c>
      <c r="AG92" s="120">
        <f t="shared" ref="AG92" si="29">SUM(AG68:AG91)</f>
        <v>0</v>
      </c>
      <c r="AH92" s="120">
        <f t="shared" ref="AH92" si="30">SUM(AH68:AH91)</f>
        <v>0</v>
      </c>
      <c r="AI92" s="120">
        <f t="shared" ref="AI92" si="31">SUM(AI68:AI91)</f>
        <v>0</v>
      </c>
      <c r="AJ92" s="120">
        <f t="shared" ref="AJ92" si="32">SUM(AJ68:AJ91)</f>
        <v>0</v>
      </c>
      <c r="AK92" s="120">
        <f t="shared" ref="AK92" si="33">SUM(AK68:AK91)</f>
        <v>0</v>
      </c>
      <c r="AL92" s="120">
        <f t="shared" ref="AL92" si="34">SUM(AL68:AL91)</f>
        <v>0</v>
      </c>
      <c r="AM92" s="120">
        <f t="shared" ref="AM92" si="35">SUM(AM68:AM91)</f>
        <v>0</v>
      </c>
      <c r="AN92" s="216"/>
    </row>
    <row r="93" spans="2:40">
      <c r="B93" s="216"/>
      <c r="C93" s="216"/>
      <c r="D93" s="216"/>
      <c r="E93" s="216"/>
      <c r="F93" s="216"/>
      <c r="G93" s="216"/>
      <c r="H93" s="216"/>
      <c r="I93" s="216"/>
      <c r="J93" s="216"/>
      <c r="K93" s="216"/>
      <c r="L93" s="216"/>
      <c r="M93" s="216"/>
      <c r="N93" s="216"/>
      <c r="O93" s="216"/>
      <c r="P93" s="216"/>
      <c r="Q93" s="216"/>
      <c r="R93" s="216"/>
      <c r="S93" s="216"/>
      <c r="T93" s="216"/>
      <c r="U93" s="216"/>
      <c r="V93" s="216"/>
      <c r="W93" s="216"/>
      <c r="X93" s="216"/>
      <c r="Y93" s="216"/>
      <c r="Z93" s="216"/>
      <c r="AA93" s="216"/>
      <c r="AB93" s="216"/>
      <c r="AC93" s="216"/>
      <c r="AD93" s="216"/>
      <c r="AE93" s="216"/>
      <c r="AF93" s="216"/>
      <c r="AG93" s="216"/>
      <c r="AH93" s="216"/>
      <c r="AI93" s="216"/>
      <c r="AJ93" s="216"/>
      <c r="AK93" s="216"/>
      <c r="AL93" s="216"/>
      <c r="AM93" s="216"/>
      <c r="AN93" s="216"/>
    </row>
    <row r="94" spans="2:40" ht="15.75" thickBot="1">
      <c r="B94" s="216"/>
      <c r="C94" s="216"/>
      <c r="D94" s="306" t="s">
        <v>361</v>
      </c>
      <c r="E94" s="216"/>
      <c r="F94" s="216"/>
      <c r="G94" s="216"/>
      <c r="H94" s="216"/>
      <c r="I94" s="216"/>
      <c r="J94" s="216"/>
      <c r="K94" s="216"/>
      <c r="L94" s="216"/>
      <c r="M94" s="216"/>
      <c r="N94" s="216"/>
      <c r="O94" s="216"/>
      <c r="P94" s="216"/>
      <c r="Q94" s="216"/>
      <c r="R94" s="216"/>
      <c r="S94" s="216"/>
      <c r="T94" s="216"/>
      <c r="U94" s="216"/>
      <c r="V94" s="216"/>
      <c r="W94" s="216"/>
      <c r="X94" s="216"/>
      <c r="Y94" s="216"/>
      <c r="Z94" s="216"/>
      <c r="AA94" s="216"/>
      <c r="AB94" s="216"/>
      <c r="AC94" s="216"/>
      <c r="AD94" s="216"/>
      <c r="AE94" s="216"/>
      <c r="AF94" s="216"/>
      <c r="AG94" s="216"/>
      <c r="AH94" s="216"/>
      <c r="AI94" s="216"/>
      <c r="AJ94" s="216"/>
      <c r="AK94" s="216"/>
      <c r="AL94" s="216"/>
      <c r="AM94" s="216"/>
      <c r="AN94" s="216"/>
    </row>
    <row r="95" spans="2:40" ht="45.75" customHeight="1">
      <c r="B95" s="153" t="e">
        <f>INDEX(E95:AM95,1,$A$66)</f>
        <v>#REF!</v>
      </c>
      <c r="C95" s="216"/>
      <c r="D95" s="214"/>
      <c r="E95" s="295" t="s">
        <v>324</v>
      </c>
      <c r="F95" s="295" t="s">
        <v>325</v>
      </c>
      <c r="G95" s="295" t="s">
        <v>326</v>
      </c>
      <c r="H95" s="295" t="s">
        <v>327</v>
      </c>
      <c r="I95" s="295" t="s">
        <v>328</v>
      </c>
      <c r="J95" s="295" t="s">
        <v>329</v>
      </c>
      <c r="K95" s="295" t="s">
        <v>330</v>
      </c>
      <c r="L95" s="295" t="s">
        <v>246</v>
      </c>
      <c r="M95" s="295" t="s">
        <v>337</v>
      </c>
      <c r="N95" s="295" t="s">
        <v>338</v>
      </c>
      <c r="O95" s="295" t="s">
        <v>247</v>
      </c>
      <c r="P95" s="295" t="s">
        <v>248</v>
      </c>
      <c r="Q95" s="149" t="str">
        <f>+Q66</f>
        <v>IT 
office long week</v>
      </c>
      <c r="R95" s="149" t="str">
        <f t="shared" ref="R95:AM95" si="36">+R66</f>
        <v>Void</v>
      </c>
      <c r="S95" s="149" t="str">
        <f t="shared" si="36"/>
        <v>Void</v>
      </c>
      <c r="T95" s="149" t="str">
        <f t="shared" si="36"/>
        <v>Your profile 1</v>
      </c>
      <c r="U95" s="149" t="str">
        <f t="shared" si="36"/>
        <v>Your profile 2</v>
      </c>
      <c r="V95" s="149" t="str">
        <f t="shared" si="36"/>
        <v>Your profile 3</v>
      </c>
      <c r="W95" s="149" t="str">
        <f t="shared" si="36"/>
        <v>Your profile 4</v>
      </c>
      <c r="X95" s="149" t="str">
        <f t="shared" si="36"/>
        <v>Your profile 5</v>
      </c>
      <c r="Y95" s="149" t="str">
        <f t="shared" si="36"/>
        <v>Your profile 6</v>
      </c>
      <c r="Z95" s="149" t="str">
        <f t="shared" si="36"/>
        <v>Your profile 7</v>
      </c>
      <c r="AA95" s="149" t="str">
        <f t="shared" si="36"/>
        <v>Your profile 8</v>
      </c>
      <c r="AB95" s="149" t="str">
        <f t="shared" si="36"/>
        <v>Your profile 9</v>
      </c>
      <c r="AC95" s="149" t="str">
        <f t="shared" si="36"/>
        <v>Your profile 10</v>
      </c>
      <c r="AD95" s="149" t="str">
        <f t="shared" si="36"/>
        <v>Your profile 11</v>
      </c>
      <c r="AE95" s="149" t="str">
        <f t="shared" si="36"/>
        <v>Your profile 12</v>
      </c>
      <c r="AF95" s="149" t="str">
        <f t="shared" si="36"/>
        <v>Your profile 13</v>
      </c>
      <c r="AG95" s="149" t="str">
        <f t="shared" si="36"/>
        <v>Your profile 14</v>
      </c>
      <c r="AH95" s="149" t="str">
        <f t="shared" si="36"/>
        <v>Your profile 15</v>
      </c>
      <c r="AI95" s="149" t="str">
        <f t="shared" si="36"/>
        <v>Your profile 16</v>
      </c>
      <c r="AJ95" s="149" t="str">
        <f t="shared" si="36"/>
        <v>Your profile 17</v>
      </c>
      <c r="AK95" s="149" t="str">
        <f t="shared" si="36"/>
        <v>Your profile 18</v>
      </c>
      <c r="AL95" s="149" t="str">
        <f t="shared" si="36"/>
        <v>Your profile 19</v>
      </c>
      <c r="AM95" s="149" t="str">
        <f t="shared" si="36"/>
        <v>Your profile 20</v>
      </c>
      <c r="AN95" s="216"/>
    </row>
    <row r="96" spans="2:40" ht="24.75" thickBot="1">
      <c r="B96" s="154" t="s">
        <v>397</v>
      </c>
      <c r="C96" s="216"/>
      <c r="D96" s="214"/>
      <c r="E96" s="296" t="s">
        <v>249</v>
      </c>
      <c r="F96" s="296" t="s">
        <v>331</v>
      </c>
      <c r="G96" s="296" t="s">
        <v>331</v>
      </c>
      <c r="H96" s="296" t="s">
        <v>331</v>
      </c>
      <c r="I96" s="296" t="s">
        <v>331</v>
      </c>
      <c r="J96" s="296" t="s">
        <v>331</v>
      </c>
      <c r="K96" s="296" t="s">
        <v>331</v>
      </c>
      <c r="L96" s="296" t="s">
        <v>249</v>
      </c>
      <c r="M96" s="296" t="s">
        <v>331</v>
      </c>
      <c r="N96" s="296" t="s">
        <v>331</v>
      </c>
      <c r="O96" s="296" t="s">
        <v>331</v>
      </c>
      <c r="P96" s="296" t="s">
        <v>331</v>
      </c>
      <c r="Q96" s="119" t="s">
        <v>331</v>
      </c>
      <c r="R96" s="119" t="s">
        <v>331</v>
      </c>
      <c r="S96" s="119" t="s">
        <v>331</v>
      </c>
      <c r="T96" s="119" t="s">
        <v>331</v>
      </c>
      <c r="U96" s="119" t="s">
        <v>331</v>
      </c>
      <c r="V96" s="119" t="s">
        <v>331</v>
      </c>
      <c r="W96" s="119" t="s">
        <v>331</v>
      </c>
      <c r="X96" s="119" t="s">
        <v>331</v>
      </c>
      <c r="Y96" s="119" t="s">
        <v>331</v>
      </c>
      <c r="Z96" s="119" t="s">
        <v>331</v>
      </c>
      <c r="AA96" s="119" t="s">
        <v>331</v>
      </c>
      <c r="AB96" s="119" t="s">
        <v>331</v>
      </c>
      <c r="AC96" s="119" t="s">
        <v>331</v>
      </c>
      <c r="AD96" s="119" t="s">
        <v>331</v>
      </c>
      <c r="AE96" s="119" t="s">
        <v>331</v>
      </c>
      <c r="AF96" s="119" t="s">
        <v>331</v>
      </c>
      <c r="AG96" s="119" t="s">
        <v>331</v>
      </c>
      <c r="AH96" s="119" t="s">
        <v>331</v>
      </c>
      <c r="AI96" s="119" t="s">
        <v>331</v>
      </c>
      <c r="AJ96" s="119" t="s">
        <v>331</v>
      </c>
      <c r="AK96" s="119" t="s">
        <v>331</v>
      </c>
      <c r="AL96" s="119" t="s">
        <v>331</v>
      </c>
      <c r="AM96" s="119" t="s">
        <v>331</v>
      </c>
      <c r="AN96" s="216"/>
    </row>
    <row r="97" spans="2:40">
      <c r="B97" s="150" t="e">
        <f t="shared" ref="B97:B121" si="37">INDEX(E97:AM97,1,$A$66)</f>
        <v>#REF!</v>
      </c>
      <c r="C97" s="216"/>
      <c r="D97" s="296" t="s">
        <v>222</v>
      </c>
      <c r="E97" s="297">
        <v>0</v>
      </c>
      <c r="F97" s="297">
        <v>0</v>
      </c>
      <c r="G97" s="297">
        <v>0</v>
      </c>
      <c r="H97" s="297">
        <v>0</v>
      </c>
      <c r="I97" s="297">
        <v>0</v>
      </c>
      <c r="J97" s="297">
        <v>0</v>
      </c>
      <c r="K97" s="297">
        <v>0</v>
      </c>
      <c r="L97" s="302">
        <v>1.8</v>
      </c>
      <c r="M97" s="302">
        <v>1</v>
      </c>
      <c r="N97" s="302">
        <v>0.3</v>
      </c>
      <c r="O97" s="302">
        <v>1.4</v>
      </c>
      <c r="P97" s="302">
        <v>0.4</v>
      </c>
      <c r="Q97" s="148">
        <v>0</v>
      </c>
      <c r="R97" s="148"/>
      <c r="S97" s="148"/>
      <c r="T97" s="148"/>
      <c r="U97" s="148"/>
      <c r="V97" s="148"/>
      <c r="W97" s="148"/>
      <c r="X97" s="148"/>
      <c r="Y97" s="148"/>
      <c r="Z97" s="148"/>
      <c r="AA97" s="148"/>
      <c r="AB97" s="148"/>
      <c r="AC97" s="148"/>
      <c r="AD97" s="148"/>
      <c r="AE97" s="148"/>
      <c r="AF97" s="148"/>
      <c r="AG97" s="148"/>
      <c r="AH97" s="148"/>
      <c r="AI97" s="148"/>
      <c r="AJ97" s="148"/>
      <c r="AK97" s="148"/>
      <c r="AL97" s="148"/>
      <c r="AM97" s="148"/>
      <c r="AN97" s="216"/>
    </row>
    <row r="98" spans="2:40">
      <c r="B98" s="151" t="e">
        <f t="shared" si="37"/>
        <v>#REF!</v>
      </c>
      <c r="C98" s="216"/>
      <c r="D98" s="296" t="s">
        <v>223</v>
      </c>
      <c r="E98" s="297">
        <v>0</v>
      </c>
      <c r="F98" s="297">
        <v>0</v>
      </c>
      <c r="G98" s="297">
        <v>0</v>
      </c>
      <c r="H98" s="297">
        <v>0</v>
      </c>
      <c r="I98" s="297">
        <v>0</v>
      </c>
      <c r="J98" s="297">
        <v>0</v>
      </c>
      <c r="K98" s="297">
        <v>0</v>
      </c>
      <c r="L98" s="302">
        <v>1</v>
      </c>
      <c r="M98" s="302">
        <v>1</v>
      </c>
      <c r="N98" s="302">
        <v>0.3</v>
      </c>
      <c r="O98" s="302">
        <v>1</v>
      </c>
      <c r="P98" s="302">
        <v>0.4</v>
      </c>
      <c r="Q98" s="148">
        <v>0</v>
      </c>
      <c r="R98" s="148"/>
      <c r="S98" s="148"/>
      <c r="T98" s="148"/>
      <c r="U98" s="148"/>
      <c r="V98" s="148"/>
      <c r="W98" s="148"/>
      <c r="X98" s="148"/>
      <c r="Y98" s="148"/>
      <c r="Z98" s="148"/>
      <c r="AA98" s="148"/>
      <c r="AB98" s="148"/>
      <c r="AC98" s="148"/>
      <c r="AD98" s="148"/>
      <c r="AE98" s="148"/>
      <c r="AF98" s="148"/>
      <c r="AG98" s="148"/>
      <c r="AH98" s="148"/>
      <c r="AI98" s="148"/>
      <c r="AJ98" s="148"/>
      <c r="AK98" s="148"/>
      <c r="AL98" s="148"/>
      <c r="AM98" s="148"/>
      <c r="AN98" s="216"/>
    </row>
    <row r="99" spans="2:40">
      <c r="B99" s="151" t="e">
        <f t="shared" si="37"/>
        <v>#REF!</v>
      </c>
      <c r="C99" s="216"/>
      <c r="D99" s="296" t="s">
        <v>224</v>
      </c>
      <c r="E99" s="297">
        <v>0</v>
      </c>
      <c r="F99" s="297">
        <v>0</v>
      </c>
      <c r="G99" s="297">
        <v>0</v>
      </c>
      <c r="H99" s="297">
        <v>0</v>
      </c>
      <c r="I99" s="297">
        <v>0</v>
      </c>
      <c r="J99" s="297">
        <v>0</v>
      </c>
      <c r="K99" s="297">
        <v>0</v>
      </c>
      <c r="L99" s="302">
        <v>0.6</v>
      </c>
      <c r="M99" s="302">
        <v>1</v>
      </c>
      <c r="N99" s="302">
        <v>0.4</v>
      </c>
      <c r="O99" s="302">
        <v>0.5</v>
      </c>
      <c r="P99" s="302">
        <v>0.5</v>
      </c>
      <c r="Q99" s="148">
        <v>0</v>
      </c>
      <c r="R99" s="148"/>
      <c r="S99" s="148"/>
      <c r="T99" s="148"/>
      <c r="U99" s="148"/>
      <c r="V99" s="148"/>
      <c r="W99" s="148"/>
      <c r="X99" s="148"/>
      <c r="Y99" s="148"/>
      <c r="Z99" s="148"/>
      <c r="AA99" s="148"/>
      <c r="AB99" s="148"/>
      <c r="AC99" s="148"/>
      <c r="AD99" s="148"/>
      <c r="AE99" s="148"/>
      <c r="AF99" s="148"/>
      <c r="AG99" s="148"/>
      <c r="AH99" s="148"/>
      <c r="AI99" s="148"/>
      <c r="AJ99" s="148"/>
      <c r="AK99" s="148"/>
      <c r="AL99" s="148"/>
      <c r="AM99" s="148"/>
      <c r="AN99" s="216"/>
    </row>
    <row r="100" spans="2:40">
      <c r="B100" s="151" t="e">
        <f t="shared" si="37"/>
        <v>#REF!</v>
      </c>
      <c r="C100" s="216"/>
      <c r="D100" s="296" t="s">
        <v>225</v>
      </c>
      <c r="E100" s="297">
        <v>0</v>
      </c>
      <c r="F100" s="297">
        <v>0</v>
      </c>
      <c r="G100" s="297">
        <v>0</v>
      </c>
      <c r="H100" s="297">
        <v>0</v>
      </c>
      <c r="I100" s="297">
        <v>0</v>
      </c>
      <c r="J100" s="297">
        <v>0</v>
      </c>
      <c r="K100" s="297">
        <v>0</v>
      </c>
      <c r="L100" s="302">
        <v>0.3</v>
      </c>
      <c r="M100" s="302">
        <v>0</v>
      </c>
      <c r="N100" s="302">
        <v>0.7</v>
      </c>
      <c r="O100" s="302">
        <v>0.6</v>
      </c>
      <c r="P100" s="302">
        <v>0.8</v>
      </c>
      <c r="Q100" s="148">
        <v>0</v>
      </c>
      <c r="R100" s="148"/>
      <c r="S100" s="148"/>
      <c r="T100" s="148"/>
      <c r="U100" s="148"/>
      <c r="V100" s="148"/>
      <c r="W100" s="148"/>
      <c r="X100" s="148"/>
      <c r="Y100" s="148"/>
      <c r="Z100" s="148"/>
      <c r="AA100" s="148"/>
      <c r="AB100" s="148"/>
      <c r="AC100" s="148"/>
      <c r="AD100" s="148"/>
      <c r="AE100" s="148"/>
      <c r="AF100" s="148"/>
      <c r="AG100" s="148"/>
      <c r="AH100" s="148"/>
      <c r="AI100" s="148"/>
      <c r="AJ100" s="148"/>
      <c r="AK100" s="148"/>
      <c r="AL100" s="148"/>
      <c r="AM100" s="148"/>
      <c r="AN100" s="216"/>
    </row>
    <row r="101" spans="2:40">
      <c r="B101" s="151" t="e">
        <f t="shared" si="37"/>
        <v>#REF!</v>
      </c>
      <c r="C101" s="216"/>
      <c r="D101" s="296" t="s">
        <v>226</v>
      </c>
      <c r="E101" s="297">
        <v>0</v>
      </c>
      <c r="F101" s="297">
        <v>0</v>
      </c>
      <c r="G101" s="297">
        <v>0</v>
      </c>
      <c r="H101" s="297">
        <v>0</v>
      </c>
      <c r="I101" s="297">
        <v>0</v>
      </c>
      <c r="J101" s="297">
        <v>0</v>
      </c>
      <c r="K101" s="297">
        <v>0</v>
      </c>
      <c r="L101" s="302">
        <v>0.4</v>
      </c>
      <c r="M101" s="302">
        <v>0</v>
      </c>
      <c r="N101" s="302">
        <v>1</v>
      </c>
      <c r="O101" s="302">
        <v>1.3</v>
      </c>
      <c r="P101" s="302">
        <v>1.2</v>
      </c>
      <c r="Q101" s="148">
        <v>0</v>
      </c>
      <c r="R101" s="148"/>
      <c r="S101" s="148"/>
      <c r="T101" s="148"/>
      <c r="U101" s="148"/>
      <c r="V101" s="148"/>
      <c r="W101" s="148"/>
      <c r="X101" s="148"/>
      <c r="Y101" s="148"/>
      <c r="Z101" s="148"/>
      <c r="AA101" s="148"/>
      <c r="AB101" s="148"/>
      <c r="AC101" s="148"/>
      <c r="AD101" s="148"/>
      <c r="AE101" s="148"/>
      <c r="AF101" s="148"/>
      <c r="AG101" s="148"/>
      <c r="AH101" s="148"/>
      <c r="AI101" s="148"/>
      <c r="AJ101" s="148"/>
      <c r="AK101" s="148"/>
      <c r="AL101" s="148"/>
      <c r="AM101" s="148"/>
      <c r="AN101" s="216"/>
    </row>
    <row r="102" spans="2:40">
      <c r="B102" s="151" t="e">
        <f t="shared" si="37"/>
        <v>#REF!</v>
      </c>
      <c r="C102" s="216"/>
      <c r="D102" s="296" t="s">
        <v>227</v>
      </c>
      <c r="E102" s="297">
        <v>0</v>
      </c>
      <c r="F102" s="297">
        <v>0</v>
      </c>
      <c r="G102" s="297">
        <v>0</v>
      </c>
      <c r="H102" s="297">
        <v>0</v>
      </c>
      <c r="I102" s="297">
        <v>0</v>
      </c>
      <c r="J102" s="297">
        <v>0</v>
      </c>
      <c r="K102" s="297">
        <v>0</v>
      </c>
      <c r="L102" s="302">
        <v>0.6</v>
      </c>
      <c r="M102" s="302">
        <v>1</v>
      </c>
      <c r="N102" s="302">
        <v>1.8</v>
      </c>
      <c r="O102" s="302">
        <v>3.4</v>
      </c>
      <c r="P102" s="302">
        <v>2.8</v>
      </c>
      <c r="Q102" s="148">
        <v>0</v>
      </c>
      <c r="R102" s="148"/>
      <c r="S102" s="148"/>
      <c r="T102" s="148"/>
      <c r="U102" s="148"/>
      <c r="V102" s="148"/>
      <c r="W102" s="148"/>
      <c r="X102" s="148"/>
      <c r="Y102" s="148"/>
      <c r="Z102" s="148"/>
      <c r="AA102" s="148"/>
      <c r="AB102" s="148"/>
      <c r="AC102" s="148"/>
      <c r="AD102" s="148"/>
      <c r="AE102" s="148"/>
      <c r="AF102" s="148"/>
      <c r="AG102" s="148"/>
      <c r="AH102" s="148"/>
      <c r="AI102" s="148"/>
      <c r="AJ102" s="148"/>
      <c r="AK102" s="148"/>
      <c r="AL102" s="148"/>
      <c r="AM102" s="148"/>
      <c r="AN102" s="216"/>
    </row>
    <row r="103" spans="2:40">
      <c r="B103" s="151" t="e">
        <f t="shared" si="37"/>
        <v>#REF!</v>
      </c>
      <c r="C103" s="216"/>
      <c r="D103" s="296" t="s">
        <v>228</v>
      </c>
      <c r="E103" s="297">
        <v>0</v>
      </c>
      <c r="F103" s="297">
        <v>0</v>
      </c>
      <c r="G103" s="297">
        <v>0</v>
      </c>
      <c r="H103" s="297">
        <v>0</v>
      </c>
      <c r="I103" s="297">
        <v>0</v>
      </c>
      <c r="J103" s="297">
        <v>0</v>
      </c>
      <c r="K103" s="297">
        <v>0</v>
      </c>
      <c r="L103" s="302">
        <v>2.4</v>
      </c>
      <c r="M103" s="302">
        <v>3</v>
      </c>
      <c r="N103" s="302">
        <v>9.3000000000000007</v>
      </c>
      <c r="O103" s="302">
        <v>5.8</v>
      </c>
      <c r="P103" s="302">
        <v>7.5</v>
      </c>
      <c r="Q103" s="148">
        <v>0</v>
      </c>
      <c r="R103" s="148"/>
      <c r="S103" s="148"/>
      <c r="T103" s="148"/>
      <c r="U103" s="148"/>
      <c r="V103" s="148"/>
      <c r="W103" s="148"/>
      <c r="X103" s="148"/>
      <c r="Y103" s="148"/>
      <c r="Z103" s="148"/>
      <c r="AA103" s="148"/>
      <c r="AB103" s="148"/>
      <c r="AC103" s="148"/>
      <c r="AD103" s="148"/>
      <c r="AE103" s="148"/>
      <c r="AF103" s="148"/>
      <c r="AG103" s="148"/>
      <c r="AH103" s="148"/>
      <c r="AI103" s="148"/>
      <c r="AJ103" s="148"/>
      <c r="AK103" s="148"/>
      <c r="AL103" s="148"/>
      <c r="AM103" s="148"/>
      <c r="AN103" s="216"/>
    </row>
    <row r="104" spans="2:40">
      <c r="B104" s="151" t="e">
        <f t="shared" si="37"/>
        <v>#REF!</v>
      </c>
      <c r="C104" s="216"/>
      <c r="D104" s="296" t="s">
        <v>229</v>
      </c>
      <c r="E104" s="297">
        <v>10</v>
      </c>
      <c r="F104" s="297">
        <v>25</v>
      </c>
      <c r="G104" s="297">
        <v>10</v>
      </c>
      <c r="H104" s="297">
        <v>27.5</v>
      </c>
      <c r="I104" s="297">
        <v>14.7</v>
      </c>
      <c r="J104" s="297">
        <v>33.799999999999997</v>
      </c>
      <c r="K104" s="297">
        <v>33.700000000000003</v>
      </c>
      <c r="L104" s="302">
        <v>4.7</v>
      </c>
      <c r="M104" s="302">
        <v>6</v>
      </c>
      <c r="N104" s="302">
        <v>15.7</v>
      </c>
      <c r="O104" s="302">
        <v>5.8</v>
      </c>
      <c r="P104" s="302">
        <v>10.5</v>
      </c>
      <c r="Q104" s="148">
        <v>0</v>
      </c>
      <c r="R104" s="148"/>
      <c r="S104" s="148"/>
      <c r="T104" s="148"/>
      <c r="U104" s="148"/>
      <c r="V104" s="148"/>
      <c r="W104" s="148"/>
      <c r="X104" s="148"/>
      <c r="Y104" s="148"/>
      <c r="Z104" s="148"/>
      <c r="AA104" s="148"/>
      <c r="AB104" s="148"/>
      <c r="AC104" s="148"/>
      <c r="AD104" s="148"/>
      <c r="AE104" s="148"/>
      <c r="AF104" s="148"/>
      <c r="AG104" s="148"/>
      <c r="AH104" s="148"/>
      <c r="AI104" s="148"/>
      <c r="AJ104" s="148"/>
      <c r="AK104" s="148"/>
      <c r="AL104" s="148"/>
      <c r="AM104" s="148"/>
      <c r="AN104" s="216"/>
    </row>
    <row r="105" spans="2:40">
      <c r="B105" s="151" t="e">
        <f t="shared" si="37"/>
        <v>#REF!</v>
      </c>
      <c r="C105" s="216"/>
      <c r="D105" s="296" t="s">
        <v>230</v>
      </c>
      <c r="E105" s="297">
        <v>5</v>
      </c>
      <c r="F105" s="297">
        <v>0</v>
      </c>
      <c r="G105" s="297">
        <v>5</v>
      </c>
      <c r="H105" s="297">
        <v>7.2</v>
      </c>
      <c r="I105" s="297">
        <v>33.6</v>
      </c>
      <c r="J105" s="297">
        <v>2.2000000000000002</v>
      </c>
      <c r="K105" s="297">
        <v>1.7</v>
      </c>
      <c r="L105" s="302">
        <v>6.8</v>
      </c>
      <c r="M105" s="302">
        <v>8</v>
      </c>
      <c r="N105" s="302">
        <v>8.1</v>
      </c>
      <c r="O105" s="302">
        <v>6.2</v>
      </c>
      <c r="P105" s="302">
        <v>8</v>
      </c>
      <c r="Q105" s="148">
        <v>5</v>
      </c>
      <c r="R105" s="148"/>
      <c r="S105" s="148"/>
      <c r="T105" s="148"/>
      <c r="U105" s="148"/>
      <c r="V105" s="148"/>
      <c r="W105" s="148"/>
      <c r="X105" s="148"/>
      <c r="Y105" s="148"/>
      <c r="Z105" s="148"/>
      <c r="AA105" s="148"/>
      <c r="AB105" s="148"/>
      <c r="AC105" s="148"/>
      <c r="AD105" s="148"/>
      <c r="AE105" s="148"/>
      <c r="AF105" s="148"/>
      <c r="AG105" s="148"/>
      <c r="AH105" s="148"/>
      <c r="AI105" s="148"/>
      <c r="AJ105" s="148"/>
      <c r="AK105" s="148"/>
      <c r="AL105" s="148"/>
      <c r="AM105" s="148"/>
      <c r="AN105" s="216"/>
    </row>
    <row r="106" spans="2:40">
      <c r="B106" s="151" t="e">
        <f t="shared" si="37"/>
        <v>#REF!</v>
      </c>
      <c r="C106" s="216"/>
      <c r="D106" s="296" t="s">
        <v>231</v>
      </c>
      <c r="E106" s="297">
        <v>5</v>
      </c>
      <c r="F106" s="297">
        <v>0</v>
      </c>
      <c r="G106" s="297">
        <v>5</v>
      </c>
      <c r="H106" s="297">
        <v>3.6</v>
      </c>
      <c r="I106" s="297">
        <v>1.8</v>
      </c>
      <c r="J106" s="297">
        <v>1.1000000000000001</v>
      </c>
      <c r="K106" s="297">
        <v>0.9</v>
      </c>
      <c r="L106" s="302">
        <v>5.7</v>
      </c>
      <c r="M106" s="302">
        <v>6</v>
      </c>
      <c r="N106" s="302">
        <v>7.5</v>
      </c>
      <c r="O106" s="302">
        <v>5.4</v>
      </c>
      <c r="P106" s="302">
        <v>7.5</v>
      </c>
      <c r="Q106" s="148">
        <v>10</v>
      </c>
      <c r="R106" s="148"/>
      <c r="S106" s="148"/>
      <c r="T106" s="148"/>
      <c r="U106" s="148"/>
      <c r="V106" s="148"/>
      <c r="W106" s="148"/>
      <c r="X106" s="148"/>
      <c r="Y106" s="148"/>
      <c r="Z106" s="148"/>
      <c r="AA106" s="148"/>
      <c r="AB106" s="148"/>
      <c r="AC106" s="148"/>
      <c r="AD106" s="148"/>
      <c r="AE106" s="148"/>
      <c r="AF106" s="148"/>
      <c r="AG106" s="148"/>
      <c r="AH106" s="148"/>
      <c r="AI106" s="148"/>
      <c r="AJ106" s="148"/>
      <c r="AK106" s="148"/>
      <c r="AL106" s="148"/>
      <c r="AM106" s="148"/>
      <c r="AN106" s="216"/>
    </row>
    <row r="107" spans="2:40">
      <c r="B107" s="151" t="e">
        <f t="shared" si="37"/>
        <v>#REF!</v>
      </c>
      <c r="C107" s="216"/>
      <c r="D107" s="296" t="s">
        <v>232</v>
      </c>
      <c r="E107" s="297">
        <v>0</v>
      </c>
      <c r="F107" s="297">
        <v>0</v>
      </c>
      <c r="G107" s="297">
        <v>0</v>
      </c>
      <c r="H107" s="297">
        <v>1.8</v>
      </c>
      <c r="I107" s="297">
        <v>0.9</v>
      </c>
      <c r="J107" s="297">
        <v>1.1000000000000001</v>
      </c>
      <c r="K107" s="297">
        <v>0.9</v>
      </c>
      <c r="L107" s="302">
        <v>6.1</v>
      </c>
      <c r="M107" s="302">
        <v>5</v>
      </c>
      <c r="N107" s="302">
        <v>7</v>
      </c>
      <c r="O107" s="302">
        <v>5.0999999999999996</v>
      </c>
      <c r="P107" s="302">
        <v>7.5</v>
      </c>
      <c r="Q107" s="148">
        <v>10</v>
      </c>
      <c r="R107" s="148"/>
      <c r="S107" s="148"/>
      <c r="T107" s="148"/>
      <c r="U107" s="148"/>
      <c r="V107" s="148"/>
      <c r="W107" s="148"/>
      <c r="X107" s="148"/>
      <c r="Y107" s="148"/>
      <c r="Z107" s="148"/>
      <c r="AA107" s="148"/>
      <c r="AB107" s="148"/>
      <c r="AC107" s="148"/>
      <c r="AD107" s="148"/>
      <c r="AE107" s="148"/>
      <c r="AF107" s="148"/>
      <c r="AG107" s="148"/>
      <c r="AH107" s="148"/>
      <c r="AI107" s="148"/>
      <c r="AJ107" s="148"/>
      <c r="AK107" s="148"/>
      <c r="AL107" s="148"/>
      <c r="AM107" s="148"/>
      <c r="AN107" s="216"/>
    </row>
    <row r="108" spans="2:40">
      <c r="B108" s="151" t="e">
        <f t="shared" si="37"/>
        <v>#REF!</v>
      </c>
      <c r="C108" s="216"/>
      <c r="D108" s="296" t="s">
        <v>233</v>
      </c>
      <c r="E108" s="297">
        <v>10</v>
      </c>
      <c r="F108" s="297">
        <v>0</v>
      </c>
      <c r="G108" s="297">
        <v>10</v>
      </c>
      <c r="H108" s="297">
        <v>3.6</v>
      </c>
      <c r="I108" s="297">
        <v>1.8</v>
      </c>
      <c r="J108" s="297">
        <v>1.7</v>
      </c>
      <c r="K108" s="297">
        <v>1.3</v>
      </c>
      <c r="L108" s="302">
        <v>6.1</v>
      </c>
      <c r="M108" s="302">
        <v>5</v>
      </c>
      <c r="N108" s="302">
        <v>6.6</v>
      </c>
      <c r="O108" s="302">
        <v>4.7</v>
      </c>
      <c r="P108" s="302">
        <v>7</v>
      </c>
      <c r="Q108" s="148">
        <v>10</v>
      </c>
      <c r="R108" s="148"/>
      <c r="S108" s="148"/>
      <c r="T108" s="148"/>
      <c r="U108" s="148"/>
      <c r="V108" s="148"/>
      <c r="W108" s="148"/>
      <c r="X108" s="148"/>
      <c r="Y108" s="148"/>
      <c r="Z108" s="148"/>
      <c r="AA108" s="148"/>
      <c r="AB108" s="148"/>
      <c r="AC108" s="148"/>
      <c r="AD108" s="148"/>
      <c r="AE108" s="148"/>
      <c r="AF108" s="148"/>
      <c r="AG108" s="148"/>
      <c r="AH108" s="148"/>
      <c r="AI108" s="148"/>
      <c r="AJ108" s="148"/>
      <c r="AK108" s="148"/>
      <c r="AL108" s="148"/>
      <c r="AM108" s="148"/>
      <c r="AN108" s="216"/>
    </row>
    <row r="109" spans="2:40">
      <c r="B109" s="151" t="e">
        <f t="shared" si="37"/>
        <v>#REF!</v>
      </c>
      <c r="C109" s="216"/>
      <c r="D109" s="296" t="s">
        <v>234</v>
      </c>
      <c r="E109" s="297">
        <v>15</v>
      </c>
      <c r="F109" s="297">
        <v>25</v>
      </c>
      <c r="G109" s="297">
        <v>15</v>
      </c>
      <c r="H109" s="297">
        <v>5.4</v>
      </c>
      <c r="I109" s="297">
        <v>2.7</v>
      </c>
      <c r="J109" s="297">
        <v>3.9</v>
      </c>
      <c r="K109" s="297">
        <v>3</v>
      </c>
      <c r="L109" s="302">
        <v>6.3</v>
      </c>
      <c r="M109" s="302">
        <v>6</v>
      </c>
      <c r="N109" s="302">
        <v>7.1</v>
      </c>
      <c r="O109" s="302">
        <v>4.2</v>
      </c>
      <c r="P109" s="302">
        <v>7.5</v>
      </c>
      <c r="Q109" s="148">
        <v>5</v>
      </c>
      <c r="R109" s="148"/>
      <c r="S109" s="148"/>
      <c r="T109" s="148"/>
      <c r="U109" s="148"/>
      <c r="V109" s="148"/>
      <c r="W109" s="148"/>
      <c r="X109" s="148"/>
      <c r="Y109" s="148"/>
      <c r="Z109" s="148"/>
      <c r="AA109" s="148"/>
      <c r="AB109" s="148"/>
      <c r="AC109" s="148"/>
      <c r="AD109" s="148"/>
      <c r="AE109" s="148"/>
      <c r="AF109" s="148"/>
      <c r="AG109" s="148"/>
      <c r="AH109" s="148"/>
      <c r="AI109" s="148"/>
      <c r="AJ109" s="148"/>
      <c r="AK109" s="148"/>
      <c r="AL109" s="148"/>
      <c r="AM109" s="148"/>
      <c r="AN109" s="216"/>
    </row>
    <row r="110" spans="2:40">
      <c r="B110" s="151" t="e">
        <f t="shared" si="37"/>
        <v>#REF!</v>
      </c>
      <c r="C110" s="216"/>
      <c r="D110" s="296" t="s">
        <v>235</v>
      </c>
      <c r="E110" s="297">
        <v>0</v>
      </c>
      <c r="F110" s="297">
        <v>0</v>
      </c>
      <c r="G110" s="297">
        <v>0</v>
      </c>
      <c r="H110" s="297">
        <v>0</v>
      </c>
      <c r="I110" s="297">
        <v>0</v>
      </c>
      <c r="J110" s="297">
        <v>0</v>
      </c>
      <c r="K110" s="297">
        <v>0</v>
      </c>
      <c r="L110" s="302">
        <v>6.4</v>
      </c>
      <c r="M110" s="302">
        <v>6</v>
      </c>
      <c r="N110" s="302">
        <v>5.0999999999999996</v>
      </c>
      <c r="O110" s="302">
        <v>4.5</v>
      </c>
      <c r="P110" s="302">
        <v>5.5</v>
      </c>
      <c r="Q110" s="148">
        <v>0</v>
      </c>
      <c r="R110" s="148"/>
      <c r="S110" s="148"/>
      <c r="T110" s="148"/>
      <c r="U110" s="148"/>
      <c r="V110" s="148"/>
      <c r="W110" s="148"/>
      <c r="X110" s="148"/>
      <c r="Y110" s="148"/>
      <c r="Z110" s="148"/>
      <c r="AA110" s="148"/>
      <c r="AB110" s="148"/>
      <c r="AC110" s="148"/>
      <c r="AD110" s="148"/>
      <c r="AE110" s="148"/>
      <c r="AF110" s="148"/>
      <c r="AG110" s="148"/>
      <c r="AH110" s="148"/>
      <c r="AI110" s="148"/>
      <c r="AJ110" s="148"/>
      <c r="AK110" s="148"/>
      <c r="AL110" s="148"/>
      <c r="AM110" s="148"/>
      <c r="AN110" s="216"/>
    </row>
    <row r="111" spans="2:40">
      <c r="B111" s="151" t="e">
        <f t="shared" si="37"/>
        <v>#REF!</v>
      </c>
      <c r="C111" s="216"/>
      <c r="D111" s="296" t="s">
        <v>236</v>
      </c>
      <c r="E111" s="297">
        <v>0</v>
      </c>
      <c r="F111" s="297">
        <v>0</v>
      </c>
      <c r="G111" s="297">
        <v>0</v>
      </c>
      <c r="H111" s="297">
        <v>1.8</v>
      </c>
      <c r="I111" s="297">
        <v>0.9</v>
      </c>
      <c r="J111" s="297">
        <v>0.6</v>
      </c>
      <c r="K111" s="297">
        <v>0.4</v>
      </c>
      <c r="L111" s="302">
        <v>5.0999999999999996</v>
      </c>
      <c r="M111" s="302">
        <v>5</v>
      </c>
      <c r="N111" s="302">
        <v>3.8</v>
      </c>
      <c r="O111" s="302">
        <v>4.0999999999999996</v>
      </c>
      <c r="P111" s="302">
        <v>4.3</v>
      </c>
      <c r="Q111" s="148">
        <v>0</v>
      </c>
      <c r="R111" s="148"/>
      <c r="S111" s="148"/>
      <c r="T111" s="148"/>
      <c r="U111" s="148"/>
      <c r="V111" s="148"/>
      <c r="W111" s="148"/>
      <c r="X111" s="148"/>
      <c r="Y111" s="148"/>
      <c r="Z111" s="148"/>
      <c r="AA111" s="148"/>
      <c r="AB111" s="148"/>
      <c r="AC111" s="148"/>
      <c r="AD111" s="148"/>
      <c r="AE111" s="148"/>
      <c r="AF111" s="148"/>
      <c r="AG111" s="148"/>
      <c r="AH111" s="148"/>
      <c r="AI111" s="148"/>
      <c r="AJ111" s="148"/>
      <c r="AK111" s="148"/>
      <c r="AL111" s="148"/>
      <c r="AM111" s="148"/>
      <c r="AN111" s="216"/>
    </row>
    <row r="112" spans="2:40">
      <c r="B112" s="151" t="e">
        <f t="shared" si="37"/>
        <v>#REF!</v>
      </c>
      <c r="C112" s="216"/>
      <c r="D112" s="296" t="s">
        <v>237</v>
      </c>
      <c r="E112" s="297">
        <v>0</v>
      </c>
      <c r="F112" s="297">
        <v>0</v>
      </c>
      <c r="G112" s="297">
        <v>0</v>
      </c>
      <c r="H112" s="297">
        <v>1.8</v>
      </c>
      <c r="I112" s="297">
        <v>0.9</v>
      </c>
      <c r="J112" s="297">
        <v>1.1000000000000001</v>
      </c>
      <c r="K112" s="297">
        <v>0.9</v>
      </c>
      <c r="L112" s="302">
        <v>4.4000000000000004</v>
      </c>
      <c r="M112" s="302">
        <v>4</v>
      </c>
      <c r="N112" s="302">
        <v>3.3</v>
      </c>
      <c r="O112" s="302">
        <v>4.3</v>
      </c>
      <c r="P112" s="302">
        <v>3.7</v>
      </c>
      <c r="Q112" s="148">
        <v>0</v>
      </c>
      <c r="R112" s="148"/>
      <c r="S112" s="148"/>
      <c r="T112" s="148"/>
      <c r="U112" s="148"/>
      <c r="V112" s="148"/>
      <c r="W112" s="148"/>
      <c r="X112" s="148"/>
      <c r="Y112" s="148"/>
      <c r="Z112" s="148"/>
      <c r="AA112" s="148"/>
      <c r="AB112" s="148"/>
      <c r="AC112" s="148"/>
      <c r="AD112" s="148"/>
      <c r="AE112" s="148"/>
      <c r="AF112" s="148"/>
      <c r="AG112" s="148"/>
      <c r="AH112" s="148"/>
      <c r="AI112" s="148"/>
      <c r="AJ112" s="148"/>
      <c r="AK112" s="148"/>
      <c r="AL112" s="148"/>
      <c r="AM112" s="148"/>
      <c r="AN112" s="216"/>
    </row>
    <row r="113" spans="2:40">
      <c r="B113" s="151" t="e">
        <f t="shared" si="37"/>
        <v>#REF!</v>
      </c>
      <c r="C113" s="216"/>
      <c r="D113" s="296" t="s">
        <v>238</v>
      </c>
      <c r="E113" s="297">
        <v>0</v>
      </c>
      <c r="F113" s="297">
        <v>0</v>
      </c>
      <c r="G113" s="297">
        <v>0</v>
      </c>
      <c r="H113" s="297">
        <v>1.8</v>
      </c>
      <c r="I113" s="297">
        <v>0.9</v>
      </c>
      <c r="J113" s="297">
        <v>1.1000000000000001</v>
      </c>
      <c r="K113" s="297">
        <v>0.9</v>
      </c>
      <c r="L113" s="302">
        <v>4.3</v>
      </c>
      <c r="M113" s="302">
        <v>4</v>
      </c>
      <c r="N113" s="302">
        <v>4.0999999999999996</v>
      </c>
      <c r="O113" s="302">
        <v>5.3</v>
      </c>
      <c r="P113" s="302">
        <v>4.5</v>
      </c>
      <c r="Q113" s="148">
        <v>0</v>
      </c>
      <c r="R113" s="148"/>
      <c r="S113" s="148"/>
      <c r="T113" s="148"/>
      <c r="U113" s="148"/>
      <c r="V113" s="148"/>
      <c r="W113" s="148"/>
      <c r="X113" s="148"/>
      <c r="Y113" s="148"/>
      <c r="Z113" s="148"/>
      <c r="AA113" s="148"/>
      <c r="AB113" s="148"/>
      <c r="AC113" s="148"/>
      <c r="AD113" s="148"/>
      <c r="AE113" s="148"/>
      <c r="AF113" s="148"/>
      <c r="AG113" s="148"/>
      <c r="AH113" s="148"/>
      <c r="AI113" s="148"/>
      <c r="AJ113" s="148"/>
      <c r="AK113" s="148"/>
      <c r="AL113" s="148"/>
      <c r="AM113" s="148"/>
      <c r="AN113" s="216"/>
    </row>
    <row r="114" spans="2:40">
      <c r="B114" s="151" t="e">
        <f t="shared" si="37"/>
        <v>#REF!</v>
      </c>
      <c r="C114" s="216"/>
      <c r="D114" s="296" t="s">
        <v>239</v>
      </c>
      <c r="E114" s="297">
        <v>0</v>
      </c>
      <c r="F114" s="297">
        <v>0</v>
      </c>
      <c r="G114" s="297">
        <v>0</v>
      </c>
      <c r="H114" s="297">
        <v>0</v>
      </c>
      <c r="I114" s="297">
        <v>0</v>
      </c>
      <c r="J114" s="297">
        <v>0.6</v>
      </c>
      <c r="K114" s="297">
        <v>0.4</v>
      </c>
      <c r="L114" s="302">
        <v>4.7</v>
      </c>
      <c r="M114" s="302">
        <v>5</v>
      </c>
      <c r="N114" s="302">
        <v>2.9</v>
      </c>
      <c r="O114" s="302">
        <v>6</v>
      </c>
      <c r="P114" s="302">
        <v>3.2</v>
      </c>
      <c r="Q114" s="148">
        <v>0</v>
      </c>
      <c r="R114" s="148"/>
      <c r="S114" s="148"/>
      <c r="T114" s="148"/>
      <c r="U114" s="148"/>
      <c r="V114" s="148"/>
      <c r="W114" s="148"/>
      <c r="X114" s="148"/>
      <c r="Y114" s="148"/>
      <c r="Z114" s="148"/>
      <c r="AA114" s="148"/>
      <c r="AB114" s="148"/>
      <c r="AC114" s="148"/>
      <c r="AD114" s="148"/>
      <c r="AE114" s="148"/>
      <c r="AF114" s="148"/>
      <c r="AG114" s="148"/>
      <c r="AH114" s="148"/>
      <c r="AI114" s="148"/>
      <c r="AJ114" s="148"/>
      <c r="AK114" s="148"/>
      <c r="AL114" s="148"/>
      <c r="AM114" s="148"/>
      <c r="AN114" s="216"/>
    </row>
    <row r="115" spans="2:40">
      <c r="B115" s="151" t="e">
        <f t="shared" si="37"/>
        <v>#REF!</v>
      </c>
      <c r="C115" s="216"/>
      <c r="D115" s="296" t="s">
        <v>240</v>
      </c>
      <c r="E115" s="297">
        <v>15</v>
      </c>
      <c r="F115" s="297">
        <v>0</v>
      </c>
      <c r="G115" s="297">
        <v>0</v>
      </c>
      <c r="H115" s="297">
        <v>5.4</v>
      </c>
      <c r="I115" s="297">
        <v>2.7</v>
      </c>
      <c r="J115" s="297">
        <v>1.7</v>
      </c>
      <c r="K115" s="297">
        <v>1.3</v>
      </c>
      <c r="L115" s="302">
        <v>5.7</v>
      </c>
      <c r="M115" s="302">
        <v>6</v>
      </c>
      <c r="N115" s="302">
        <v>6.1</v>
      </c>
      <c r="O115" s="302">
        <v>6.6</v>
      </c>
      <c r="P115" s="302">
        <v>7</v>
      </c>
      <c r="Q115" s="148">
        <v>0</v>
      </c>
      <c r="R115" s="148"/>
      <c r="S115" s="148"/>
      <c r="T115" s="148"/>
      <c r="U115" s="148"/>
      <c r="V115" s="148"/>
      <c r="W115" s="148"/>
      <c r="X115" s="148"/>
      <c r="Y115" s="148"/>
      <c r="Z115" s="148"/>
      <c r="AA115" s="148"/>
      <c r="AB115" s="148"/>
      <c r="AC115" s="148"/>
      <c r="AD115" s="148"/>
      <c r="AE115" s="148"/>
      <c r="AF115" s="148"/>
      <c r="AG115" s="148"/>
      <c r="AH115" s="148"/>
      <c r="AI115" s="148"/>
      <c r="AJ115" s="148"/>
      <c r="AK115" s="148"/>
      <c r="AL115" s="148"/>
      <c r="AM115" s="148"/>
      <c r="AN115" s="216"/>
    </row>
    <row r="116" spans="2:40">
      <c r="B116" s="151" t="e">
        <f t="shared" si="37"/>
        <v>#REF!</v>
      </c>
      <c r="C116" s="216"/>
      <c r="D116" s="296" t="s">
        <v>241</v>
      </c>
      <c r="E116" s="297">
        <v>10</v>
      </c>
      <c r="F116" s="297">
        <v>0</v>
      </c>
      <c r="G116" s="297">
        <v>10</v>
      </c>
      <c r="H116" s="297">
        <v>1.8</v>
      </c>
      <c r="I116" s="297">
        <v>0.9</v>
      </c>
      <c r="J116" s="297">
        <v>0.6</v>
      </c>
      <c r="K116" s="297">
        <v>0.4</v>
      </c>
      <c r="L116" s="302">
        <v>6.5</v>
      </c>
      <c r="M116" s="302">
        <v>7</v>
      </c>
      <c r="N116" s="310">
        <v>4.4000000000000004</v>
      </c>
      <c r="O116" s="302">
        <v>6</v>
      </c>
      <c r="P116" s="302">
        <v>4.5</v>
      </c>
      <c r="Q116" s="148">
        <v>0</v>
      </c>
      <c r="R116" s="148"/>
      <c r="S116" s="148"/>
      <c r="T116" s="148"/>
      <c r="U116" s="148"/>
      <c r="V116" s="148"/>
      <c r="W116" s="148"/>
      <c r="X116" s="148"/>
      <c r="Y116" s="148"/>
      <c r="Z116" s="148"/>
      <c r="AA116" s="148"/>
      <c r="AB116" s="148"/>
      <c r="AC116" s="148"/>
      <c r="AD116" s="148"/>
      <c r="AE116" s="148"/>
      <c r="AF116" s="148"/>
      <c r="AG116" s="148"/>
      <c r="AH116" s="148"/>
      <c r="AI116" s="148"/>
      <c r="AJ116" s="148"/>
      <c r="AK116" s="148"/>
      <c r="AL116" s="148"/>
      <c r="AM116" s="148"/>
      <c r="AN116" s="216"/>
    </row>
    <row r="117" spans="2:40">
      <c r="B117" s="151" t="e">
        <f t="shared" si="37"/>
        <v>#REF!</v>
      </c>
      <c r="C117" s="216"/>
      <c r="D117" s="296" t="s">
        <v>242</v>
      </c>
      <c r="E117" s="297">
        <v>10</v>
      </c>
      <c r="F117" s="297">
        <v>50</v>
      </c>
      <c r="G117" s="298">
        <v>20</v>
      </c>
      <c r="H117" s="297">
        <v>12.6</v>
      </c>
      <c r="I117" s="311">
        <v>6.4</v>
      </c>
      <c r="J117" s="297">
        <v>27</v>
      </c>
      <c r="K117" s="297">
        <v>28.4</v>
      </c>
      <c r="L117" s="302">
        <v>6.6</v>
      </c>
      <c r="M117" s="302">
        <v>7</v>
      </c>
      <c r="N117" s="302">
        <v>1.4</v>
      </c>
      <c r="O117" s="310">
        <v>5.7</v>
      </c>
      <c r="P117" s="302">
        <v>2</v>
      </c>
      <c r="Q117" s="148">
        <v>0</v>
      </c>
      <c r="R117" s="148"/>
      <c r="S117" s="148"/>
      <c r="T117" s="148"/>
      <c r="U117" s="148"/>
      <c r="V117" s="148"/>
      <c r="W117" s="148"/>
      <c r="X117" s="148"/>
      <c r="Y117" s="148"/>
      <c r="Z117" s="148"/>
      <c r="AA117" s="148"/>
      <c r="AB117" s="148"/>
      <c r="AC117" s="148"/>
      <c r="AD117" s="148"/>
      <c r="AE117" s="148"/>
      <c r="AF117" s="148"/>
      <c r="AG117" s="148"/>
      <c r="AH117" s="148"/>
      <c r="AI117" s="148"/>
      <c r="AJ117" s="148"/>
      <c r="AK117" s="148"/>
      <c r="AL117" s="148"/>
      <c r="AM117" s="148"/>
      <c r="AN117" s="216"/>
    </row>
    <row r="118" spans="2:40">
      <c r="B118" s="151" t="e">
        <f t="shared" si="37"/>
        <v>#REF!</v>
      </c>
      <c r="C118" s="216"/>
      <c r="D118" s="296" t="s">
        <v>243</v>
      </c>
      <c r="E118" s="297">
        <v>20</v>
      </c>
      <c r="F118" s="297">
        <v>0</v>
      </c>
      <c r="G118" s="297">
        <v>25</v>
      </c>
      <c r="H118" s="297">
        <v>25.7</v>
      </c>
      <c r="I118" s="297">
        <v>31.8</v>
      </c>
      <c r="J118" s="311">
        <v>23.5</v>
      </c>
      <c r="K118" s="311">
        <v>25.8</v>
      </c>
      <c r="L118" s="310">
        <v>5.9</v>
      </c>
      <c r="M118" s="302">
        <v>6</v>
      </c>
      <c r="N118" s="302">
        <v>1.8</v>
      </c>
      <c r="O118" s="302">
        <v>5.4</v>
      </c>
      <c r="P118" s="302">
        <v>2</v>
      </c>
      <c r="Q118" s="148">
        <v>0</v>
      </c>
      <c r="R118" s="148"/>
      <c r="S118" s="148"/>
      <c r="T118" s="148"/>
      <c r="U118" s="148"/>
      <c r="V118" s="148"/>
      <c r="W118" s="148"/>
      <c r="X118" s="148"/>
      <c r="Y118" s="148"/>
      <c r="Z118" s="148"/>
      <c r="AA118" s="148"/>
      <c r="AB118" s="148"/>
      <c r="AC118" s="148"/>
      <c r="AD118" s="148"/>
      <c r="AE118" s="148"/>
      <c r="AF118" s="148"/>
      <c r="AG118" s="148"/>
      <c r="AH118" s="148"/>
      <c r="AI118" s="148"/>
      <c r="AJ118" s="148"/>
      <c r="AK118" s="148"/>
      <c r="AL118" s="148"/>
      <c r="AM118" s="148"/>
      <c r="AN118" s="216"/>
    </row>
    <row r="119" spans="2:40">
      <c r="B119" s="151" t="e">
        <f t="shared" si="37"/>
        <v>#REF!</v>
      </c>
      <c r="C119" s="216"/>
      <c r="D119" s="296" t="s">
        <v>244</v>
      </c>
      <c r="E119" s="297">
        <v>0</v>
      </c>
      <c r="F119" s="297">
        <v>0</v>
      </c>
      <c r="G119" s="297">
        <v>0</v>
      </c>
      <c r="H119" s="297">
        <v>0</v>
      </c>
      <c r="I119" s="297">
        <v>0</v>
      </c>
      <c r="J119" s="297">
        <v>0</v>
      </c>
      <c r="K119" s="297">
        <v>0</v>
      </c>
      <c r="L119" s="302">
        <v>4.5</v>
      </c>
      <c r="M119" s="302">
        <v>5</v>
      </c>
      <c r="N119" s="302">
        <v>0.9</v>
      </c>
      <c r="O119" s="302">
        <v>3.9</v>
      </c>
      <c r="P119" s="302">
        <v>1.2</v>
      </c>
      <c r="Q119" s="148">
        <v>0</v>
      </c>
      <c r="R119" s="148"/>
      <c r="S119" s="148"/>
      <c r="T119" s="148"/>
      <c r="U119" s="148"/>
      <c r="V119" s="148"/>
      <c r="W119" s="148"/>
      <c r="X119" s="148"/>
      <c r="Y119" s="148"/>
      <c r="Z119" s="148"/>
      <c r="AA119" s="148"/>
      <c r="AB119" s="148"/>
      <c r="AC119" s="148"/>
      <c r="AD119" s="148"/>
      <c r="AE119" s="148"/>
      <c r="AF119" s="148"/>
      <c r="AG119" s="148"/>
      <c r="AH119" s="148"/>
      <c r="AI119" s="148"/>
      <c r="AJ119" s="148"/>
      <c r="AK119" s="148"/>
      <c r="AL119" s="148"/>
      <c r="AM119" s="148"/>
      <c r="AN119" s="216"/>
    </row>
    <row r="120" spans="2:40" ht="15.75" thickBot="1">
      <c r="B120" s="152" t="e">
        <f t="shared" si="37"/>
        <v>#REF!</v>
      </c>
      <c r="C120" s="216"/>
      <c r="D120" s="296" t="s">
        <v>245</v>
      </c>
      <c r="E120" s="297">
        <v>0</v>
      </c>
      <c r="F120" s="297">
        <v>0</v>
      </c>
      <c r="G120" s="297">
        <v>0</v>
      </c>
      <c r="H120" s="297">
        <v>0</v>
      </c>
      <c r="I120" s="297">
        <v>0</v>
      </c>
      <c r="J120" s="297">
        <v>0</v>
      </c>
      <c r="K120" s="297">
        <v>0</v>
      </c>
      <c r="L120" s="302">
        <v>3.1</v>
      </c>
      <c r="M120" s="302">
        <v>2</v>
      </c>
      <c r="N120" s="302">
        <v>0.4</v>
      </c>
      <c r="O120" s="302">
        <v>2.8</v>
      </c>
      <c r="P120" s="302">
        <v>0.5</v>
      </c>
      <c r="Q120" s="148">
        <v>0</v>
      </c>
      <c r="R120" s="148"/>
      <c r="S120" s="148"/>
      <c r="T120" s="148"/>
      <c r="U120" s="148"/>
      <c r="V120" s="148"/>
      <c r="W120" s="148"/>
      <c r="X120" s="148"/>
      <c r="Y120" s="148"/>
      <c r="Z120" s="148"/>
      <c r="AA120" s="148"/>
      <c r="AB120" s="148"/>
      <c r="AC120" s="148"/>
      <c r="AD120" s="148"/>
      <c r="AE120" s="148"/>
      <c r="AF120" s="148"/>
      <c r="AG120" s="148"/>
      <c r="AH120" s="148"/>
      <c r="AI120" s="148"/>
      <c r="AJ120" s="148"/>
      <c r="AK120" s="148"/>
      <c r="AL120" s="148"/>
      <c r="AM120" s="148"/>
      <c r="AN120" s="216"/>
    </row>
    <row r="121" spans="2:40" ht="15.75" thickBot="1">
      <c r="B121" s="155" t="e">
        <f t="shared" si="37"/>
        <v>#REF!</v>
      </c>
      <c r="C121" s="216"/>
      <c r="D121" s="214" t="s">
        <v>396</v>
      </c>
      <c r="E121" s="304">
        <f>SUM(E97:E120)</f>
        <v>100</v>
      </c>
      <c r="F121" s="304">
        <f t="shared" ref="F121" si="38">SUM(F97:F120)</f>
        <v>100</v>
      </c>
      <c r="G121" s="304">
        <f t="shared" ref="G121" si="39">SUM(G97:G120)</f>
        <v>100</v>
      </c>
      <c r="H121" s="304">
        <f t="shared" ref="H121" si="40">SUM(H97:H120)</f>
        <v>99.999999999999986</v>
      </c>
      <c r="I121" s="304">
        <f t="shared" ref="I121" si="41">SUM(I97:I120)</f>
        <v>99.999999999999986</v>
      </c>
      <c r="J121" s="304">
        <f t="shared" ref="J121" si="42">SUM(J97:J120)</f>
        <v>100.00000000000001</v>
      </c>
      <c r="K121" s="304">
        <f t="shared" ref="K121" si="43">SUM(K97:K120)</f>
        <v>99.999999999999986</v>
      </c>
      <c r="L121" s="304">
        <f>SUM(L97:L120)</f>
        <v>99.999999999999986</v>
      </c>
      <c r="M121" s="304">
        <f t="shared" ref="M121" si="44">SUM(M97:M120)</f>
        <v>100</v>
      </c>
      <c r="N121" s="304">
        <f t="shared" ref="N121" si="45">SUM(N97:N120)</f>
        <v>100</v>
      </c>
      <c r="O121" s="304">
        <f t="shared" ref="O121" si="46">SUM(O97:O120)</f>
        <v>100</v>
      </c>
      <c r="P121" s="304">
        <f t="shared" ref="P121" si="47">SUM(P97:P120)</f>
        <v>100</v>
      </c>
      <c r="Q121" s="120">
        <f t="shared" ref="Q121" si="48">SUM(Q97:Q120)</f>
        <v>40</v>
      </c>
      <c r="R121" s="120">
        <f t="shared" ref="R121" si="49">SUM(R97:R120)</f>
        <v>0</v>
      </c>
      <c r="S121" s="120">
        <f t="shared" ref="S121" si="50">SUM(S97:S120)</f>
        <v>0</v>
      </c>
      <c r="T121" s="120">
        <f t="shared" ref="T121" si="51">SUM(T97:T120)</f>
        <v>0</v>
      </c>
      <c r="U121" s="120">
        <f t="shared" ref="U121" si="52">SUM(U97:U120)</f>
        <v>0</v>
      </c>
      <c r="V121" s="120">
        <f t="shared" ref="V121" si="53">SUM(V97:V120)</f>
        <v>0</v>
      </c>
      <c r="W121" s="120">
        <f t="shared" ref="W121" si="54">SUM(W97:W120)</f>
        <v>0</v>
      </c>
      <c r="X121" s="120">
        <f t="shared" ref="X121" si="55">SUM(X97:X120)</f>
        <v>0</v>
      </c>
      <c r="Y121" s="120">
        <f t="shared" ref="Y121" si="56">SUM(Y97:Y120)</f>
        <v>0</v>
      </c>
      <c r="Z121" s="120">
        <f t="shared" ref="Z121" si="57">SUM(Z97:Z120)</f>
        <v>0</v>
      </c>
      <c r="AA121" s="120">
        <f t="shared" ref="AA121" si="58">SUM(AA97:AA120)</f>
        <v>0</v>
      </c>
      <c r="AB121" s="120">
        <f t="shared" ref="AB121" si="59">SUM(AB97:AB120)</f>
        <v>0</v>
      </c>
      <c r="AC121" s="120">
        <f t="shared" ref="AC121" si="60">SUM(AC97:AC120)</f>
        <v>0</v>
      </c>
      <c r="AD121" s="120">
        <f t="shared" ref="AD121" si="61">SUM(AD97:AD120)</f>
        <v>0</v>
      </c>
      <c r="AE121" s="120">
        <f t="shared" ref="AE121" si="62">SUM(AE97:AE120)</f>
        <v>0</v>
      </c>
      <c r="AF121" s="120">
        <f t="shared" ref="AF121" si="63">SUM(AF97:AF120)</f>
        <v>0</v>
      </c>
      <c r="AG121" s="120">
        <f t="shared" ref="AG121" si="64">SUM(AG97:AG120)</f>
        <v>0</v>
      </c>
      <c r="AH121" s="120">
        <f t="shared" ref="AH121" si="65">SUM(AH97:AH120)</f>
        <v>0</v>
      </c>
      <c r="AI121" s="120">
        <f t="shared" ref="AI121" si="66">SUM(AI97:AI120)</f>
        <v>0</v>
      </c>
      <c r="AJ121" s="120">
        <f t="shared" ref="AJ121" si="67">SUM(AJ97:AJ120)</f>
        <v>0</v>
      </c>
      <c r="AK121" s="120">
        <f t="shared" ref="AK121" si="68">SUM(AK97:AK120)</f>
        <v>0</v>
      </c>
      <c r="AL121" s="120">
        <f t="shared" ref="AL121" si="69">SUM(AL97:AL120)</f>
        <v>0</v>
      </c>
      <c r="AM121" s="120">
        <f t="shared" ref="AM121" si="70">SUM(AM97:AM120)</f>
        <v>0</v>
      </c>
      <c r="AN121" s="216"/>
    </row>
    <row r="122" spans="2:40">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c r="AH122" s="216"/>
      <c r="AI122" s="216"/>
      <c r="AJ122" s="216"/>
      <c r="AK122" s="216"/>
      <c r="AL122" s="216"/>
      <c r="AM122" s="216"/>
      <c r="AN122" s="216"/>
    </row>
    <row r="123" spans="2:40" ht="15.75" thickBot="1">
      <c r="B123" s="216"/>
      <c r="C123" s="216"/>
      <c r="D123" s="306" t="s">
        <v>362</v>
      </c>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c r="AH123" s="216"/>
      <c r="AI123" s="216"/>
      <c r="AJ123" s="216"/>
      <c r="AK123" s="216"/>
      <c r="AL123" s="216"/>
      <c r="AM123" s="216"/>
      <c r="AN123" s="216"/>
    </row>
    <row r="124" spans="2:40" ht="45">
      <c r="B124" s="153" t="e">
        <f>INDEX(E124:AM124,1,$A$66)</f>
        <v>#REF!</v>
      </c>
      <c r="C124" s="216"/>
      <c r="D124" s="214"/>
      <c r="E124" s="295" t="s">
        <v>324</v>
      </c>
      <c r="F124" s="295" t="s">
        <v>325</v>
      </c>
      <c r="G124" s="295" t="s">
        <v>326</v>
      </c>
      <c r="H124" s="295" t="s">
        <v>327</v>
      </c>
      <c r="I124" s="295" t="s">
        <v>328</v>
      </c>
      <c r="J124" s="295" t="s">
        <v>329</v>
      </c>
      <c r="K124" s="295" t="s">
        <v>330</v>
      </c>
      <c r="L124" s="295" t="s">
        <v>246</v>
      </c>
      <c r="M124" s="295" t="s">
        <v>337</v>
      </c>
      <c r="N124" s="295" t="s">
        <v>338</v>
      </c>
      <c r="O124" s="295" t="s">
        <v>247</v>
      </c>
      <c r="P124" s="295" t="s">
        <v>248</v>
      </c>
      <c r="Q124" s="149" t="str">
        <f>+Q66</f>
        <v>IT 
office long week</v>
      </c>
      <c r="R124" s="149" t="s">
        <v>363</v>
      </c>
      <c r="S124" s="149" t="s">
        <v>363</v>
      </c>
      <c r="T124" s="149" t="s">
        <v>364</v>
      </c>
      <c r="U124" s="149" t="s">
        <v>365</v>
      </c>
      <c r="V124" s="149" t="s">
        <v>366</v>
      </c>
      <c r="W124" s="149" t="s">
        <v>367</v>
      </c>
      <c r="X124" s="149" t="s">
        <v>368</v>
      </c>
      <c r="Y124" s="149" t="s">
        <v>369</v>
      </c>
      <c r="Z124" s="149" t="s">
        <v>370</v>
      </c>
      <c r="AA124" s="149" t="s">
        <v>371</v>
      </c>
      <c r="AB124" s="149" t="s">
        <v>372</v>
      </c>
      <c r="AC124" s="149" t="s">
        <v>373</v>
      </c>
      <c r="AD124" s="149" t="s">
        <v>374</v>
      </c>
      <c r="AE124" s="149" t="s">
        <v>375</v>
      </c>
      <c r="AF124" s="149" t="s">
        <v>376</v>
      </c>
      <c r="AG124" s="149" t="s">
        <v>377</v>
      </c>
      <c r="AH124" s="149" t="s">
        <v>378</v>
      </c>
      <c r="AI124" s="149" t="s">
        <v>379</v>
      </c>
      <c r="AJ124" s="149" t="s">
        <v>380</v>
      </c>
      <c r="AK124" s="149" t="s">
        <v>381</v>
      </c>
      <c r="AL124" s="149" t="s">
        <v>382</v>
      </c>
      <c r="AM124" s="149" t="s">
        <v>383</v>
      </c>
      <c r="AN124" s="216"/>
    </row>
    <row r="125" spans="2:40" ht="24.75" thickBot="1">
      <c r="B125" s="154" t="s">
        <v>397</v>
      </c>
      <c r="C125" s="216"/>
      <c r="D125" s="214"/>
      <c r="E125" s="296" t="s">
        <v>249</v>
      </c>
      <c r="F125" s="296" t="s">
        <v>331</v>
      </c>
      <c r="G125" s="296" t="s">
        <v>331</v>
      </c>
      <c r="H125" s="296" t="s">
        <v>331</v>
      </c>
      <c r="I125" s="296" t="s">
        <v>331</v>
      </c>
      <c r="J125" s="296" t="s">
        <v>331</v>
      </c>
      <c r="K125" s="296" t="s">
        <v>331</v>
      </c>
      <c r="L125" s="296" t="s">
        <v>249</v>
      </c>
      <c r="M125" s="296" t="s">
        <v>331</v>
      </c>
      <c r="N125" s="296" t="s">
        <v>331</v>
      </c>
      <c r="O125" s="296" t="s">
        <v>331</v>
      </c>
      <c r="P125" s="296" t="s">
        <v>331</v>
      </c>
      <c r="Q125" s="119" t="s">
        <v>331</v>
      </c>
      <c r="R125" s="119" t="s">
        <v>331</v>
      </c>
      <c r="S125" s="119" t="s">
        <v>331</v>
      </c>
      <c r="T125" s="119" t="s">
        <v>331</v>
      </c>
      <c r="U125" s="119" t="s">
        <v>331</v>
      </c>
      <c r="V125" s="119" t="s">
        <v>331</v>
      </c>
      <c r="W125" s="119" t="s">
        <v>331</v>
      </c>
      <c r="X125" s="119" t="s">
        <v>331</v>
      </c>
      <c r="Y125" s="119" t="s">
        <v>331</v>
      </c>
      <c r="Z125" s="119" t="s">
        <v>331</v>
      </c>
      <c r="AA125" s="119" t="s">
        <v>331</v>
      </c>
      <c r="AB125" s="119" t="s">
        <v>331</v>
      </c>
      <c r="AC125" s="119" t="s">
        <v>331</v>
      </c>
      <c r="AD125" s="119" t="s">
        <v>331</v>
      </c>
      <c r="AE125" s="119" t="s">
        <v>331</v>
      </c>
      <c r="AF125" s="119" t="s">
        <v>331</v>
      </c>
      <c r="AG125" s="119" t="s">
        <v>331</v>
      </c>
      <c r="AH125" s="119" t="s">
        <v>331</v>
      </c>
      <c r="AI125" s="119" t="s">
        <v>331</v>
      </c>
      <c r="AJ125" s="119" t="s">
        <v>331</v>
      </c>
      <c r="AK125" s="119" t="s">
        <v>331</v>
      </c>
      <c r="AL125" s="119" t="s">
        <v>331</v>
      </c>
      <c r="AM125" s="119" t="s">
        <v>331</v>
      </c>
      <c r="AN125" s="216"/>
    </row>
    <row r="126" spans="2:40">
      <c r="B126" s="150" t="e">
        <f t="shared" ref="B126:B150" si="71">INDEX(E126:AM126,1,$A$66)</f>
        <v>#REF!</v>
      </c>
      <c r="C126" s="216"/>
      <c r="D126" s="296" t="s">
        <v>222</v>
      </c>
      <c r="E126" s="297">
        <v>0</v>
      </c>
      <c r="F126" s="297">
        <v>0</v>
      </c>
      <c r="G126" s="297">
        <v>0</v>
      </c>
      <c r="H126" s="297">
        <v>0</v>
      </c>
      <c r="I126" s="297">
        <v>0</v>
      </c>
      <c r="J126" s="297">
        <v>0</v>
      </c>
      <c r="K126" s="297">
        <v>0</v>
      </c>
      <c r="L126" s="302">
        <v>1.8</v>
      </c>
      <c r="M126" s="302">
        <v>1</v>
      </c>
      <c r="N126" s="302">
        <v>0.3</v>
      </c>
      <c r="O126" s="302">
        <v>1.4</v>
      </c>
      <c r="P126" s="302">
        <v>0.4</v>
      </c>
      <c r="Q126" s="148">
        <v>0</v>
      </c>
      <c r="R126" s="148"/>
      <c r="S126" s="148"/>
      <c r="T126" s="148"/>
      <c r="U126" s="148"/>
      <c r="V126" s="148"/>
      <c r="W126" s="148"/>
      <c r="X126" s="148"/>
      <c r="Y126" s="148"/>
      <c r="Z126" s="148"/>
      <c r="AA126" s="148"/>
      <c r="AB126" s="148"/>
      <c r="AC126" s="148"/>
      <c r="AD126" s="148"/>
      <c r="AE126" s="148"/>
      <c r="AF126" s="148"/>
      <c r="AG126" s="148"/>
      <c r="AH126" s="148"/>
      <c r="AI126" s="148"/>
      <c r="AJ126" s="148"/>
      <c r="AK126" s="148"/>
      <c r="AL126" s="148"/>
      <c r="AM126" s="148"/>
      <c r="AN126" s="216"/>
    </row>
    <row r="127" spans="2:40">
      <c r="B127" s="151" t="e">
        <f t="shared" si="71"/>
        <v>#REF!</v>
      </c>
      <c r="C127" s="216"/>
      <c r="D127" s="296" t="s">
        <v>223</v>
      </c>
      <c r="E127" s="297">
        <v>0</v>
      </c>
      <c r="F127" s="297">
        <v>0</v>
      </c>
      <c r="G127" s="297">
        <v>0</v>
      </c>
      <c r="H127" s="297">
        <v>0</v>
      </c>
      <c r="I127" s="297">
        <v>0</v>
      </c>
      <c r="J127" s="297">
        <v>0</v>
      </c>
      <c r="K127" s="297">
        <v>0</v>
      </c>
      <c r="L127" s="302">
        <v>1</v>
      </c>
      <c r="M127" s="302">
        <v>1</v>
      </c>
      <c r="N127" s="302">
        <v>0.3</v>
      </c>
      <c r="O127" s="302">
        <v>1</v>
      </c>
      <c r="P127" s="302">
        <v>0.4</v>
      </c>
      <c r="Q127" s="148">
        <v>0</v>
      </c>
      <c r="R127" s="148"/>
      <c r="S127" s="148"/>
      <c r="T127" s="148"/>
      <c r="U127" s="148"/>
      <c r="V127" s="148"/>
      <c r="W127" s="148"/>
      <c r="X127" s="148"/>
      <c r="Y127" s="148"/>
      <c r="Z127" s="148"/>
      <c r="AA127" s="148"/>
      <c r="AB127" s="148"/>
      <c r="AC127" s="148"/>
      <c r="AD127" s="148"/>
      <c r="AE127" s="148"/>
      <c r="AF127" s="148"/>
      <c r="AG127" s="148"/>
      <c r="AH127" s="148"/>
      <c r="AI127" s="148"/>
      <c r="AJ127" s="148"/>
      <c r="AK127" s="148"/>
      <c r="AL127" s="148"/>
      <c r="AM127" s="148"/>
      <c r="AN127" s="216"/>
    </row>
    <row r="128" spans="2:40">
      <c r="B128" s="151" t="e">
        <f t="shared" si="71"/>
        <v>#REF!</v>
      </c>
      <c r="C128" s="216"/>
      <c r="D128" s="296" t="s">
        <v>224</v>
      </c>
      <c r="E128" s="297">
        <v>0</v>
      </c>
      <c r="F128" s="297">
        <v>0</v>
      </c>
      <c r="G128" s="297">
        <v>0</v>
      </c>
      <c r="H128" s="297">
        <v>0</v>
      </c>
      <c r="I128" s="297">
        <v>0</v>
      </c>
      <c r="J128" s="297">
        <v>0</v>
      </c>
      <c r="K128" s="297">
        <v>0</v>
      </c>
      <c r="L128" s="302">
        <v>0.6</v>
      </c>
      <c r="M128" s="302">
        <v>1</v>
      </c>
      <c r="N128" s="302">
        <v>0.4</v>
      </c>
      <c r="O128" s="302">
        <v>0.5</v>
      </c>
      <c r="P128" s="302">
        <v>0.5</v>
      </c>
      <c r="Q128" s="148">
        <v>0</v>
      </c>
      <c r="R128" s="148"/>
      <c r="S128" s="148"/>
      <c r="T128" s="148"/>
      <c r="U128" s="148"/>
      <c r="V128" s="148"/>
      <c r="W128" s="148"/>
      <c r="X128" s="148"/>
      <c r="Y128" s="148"/>
      <c r="Z128" s="148"/>
      <c r="AA128" s="148"/>
      <c r="AB128" s="148"/>
      <c r="AC128" s="148"/>
      <c r="AD128" s="148"/>
      <c r="AE128" s="148"/>
      <c r="AF128" s="148"/>
      <c r="AG128" s="148"/>
      <c r="AH128" s="148"/>
      <c r="AI128" s="148"/>
      <c r="AJ128" s="148"/>
      <c r="AK128" s="148"/>
      <c r="AL128" s="148"/>
      <c r="AM128" s="148"/>
      <c r="AN128" s="216"/>
    </row>
    <row r="129" spans="2:40">
      <c r="B129" s="151" t="e">
        <f t="shared" si="71"/>
        <v>#REF!</v>
      </c>
      <c r="C129" s="216"/>
      <c r="D129" s="296" t="s">
        <v>225</v>
      </c>
      <c r="E129" s="297">
        <v>0</v>
      </c>
      <c r="F129" s="297">
        <v>0</v>
      </c>
      <c r="G129" s="297">
        <v>0</v>
      </c>
      <c r="H129" s="297">
        <v>0</v>
      </c>
      <c r="I129" s="297">
        <v>0</v>
      </c>
      <c r="J129" s="297">
        <v>0</v>
      </c>
      <c r="K129" s="297">
        <v>0</v>
      </c>
      <c r="L129" s="302">
        <v>0.3</v>
      </c>
      <c r="M129" s="302">
        <v>0</v>
      </c>
      <c r="N129" s="302">
        <v>0.7</v>
      </c>
      <c r="O129" s="302">
        <v>0.6</v>
      </c>
      <c r="P129" s="302">
        <v>0.8</v>
      </c>
      <c r="Q129" s="148">
        <v>0</v>
      </c>
      <c r="R129" s="148"/>
      <c r="S129" s="148"/>
      <c r="T129" s="148"/>
      <c r="U129" s="148"/>
      <c r="V129" s="148"/>
      <c r="W129" s="148"/>
      <c r="X129" s="148"/>
      <c r="Y129" s="148"/>
      <c r="Z129" s="148"/>
      <c r="AA129" s="148"/>
      <c r="AB129" s="148"/>
      <c r="AC129" s="148"/>
      <c r="AD129" s="148"/>
      <c r="AE129" s="148"/>
      <c r="AF129" s="148"/>
      <c r="AG129" s="148"/>
      <c r="AH129" s="148"/>
      <c r="AI129" s="148"/>
      <c r="AJ129" s="148"/>
      <c r="AK129" s="148"/>
      <c r="AL129" s="148"/>
      <c r="AM129" s="148"/>
      <c r="AN129" s="216"/>
    </row>
    <row r="130" spans="2:40">
      <c r="B130" s="151" t="e">
        <f t="shared" si="71"/>
        <v>#REF!</v>
      </c>
      <c r="C130" s="216"/>
      <c r="D130" s="296" t="s">
        <v>226</v>
      </c>
      <c r="E130" s="297">
        <v>0</v>
      </c>
      <c r="F130" s="297">
        <v>0</v>
      </c>
      <c r="G130" s="297">
        <v>0</v>
      </c>
      <c r="H130" s="297">
        <v>0</v>
      </c>
      <c r="I130" s="297">
        <v>0</v>
      </c>
      <c r="J130" s="297">
        <v>0</v>
      </c>
      <c r="K130" s="297">
        <v>0</v>
      </c>
      <c r="L130" s="302">
        <v>0.4</v>
      </c>
      <c r="M130" s="302">
        <v>0</v>
      </c>
      <c r="N130" s="302">
        <v>1</v>
      </c>
      <c r="O130" s="302">
        <v>1.3</v>
      </c>
      <c r="P130" s="302">
        <v>1.2</v>
      </c>
      <c r="Q130" s="148">
        <v>0</v>
      </c>
      <c r="R130" s="148"/>
      <c r="S130" s="148"/>
      <c r="T130" s="148"/>
      <c r="U130" s="148"/>
      <c r="V130" s="148"/>
      <c r="W130" s="148"/>
      <c r="X130" s="148"/>
      <c r="Y130" s="148"/>
      <c r="Z130" s="148"/>
      <c r="AA130" s="148"/>
      <c r="AB130" s="148"/>
      <c r="AC130" s="148"/>
      <c r="AD130" s="148"/>
      <c r="AE130" s="148"/>
      <c r="AF130" s="148"/>
      <c r="AG130" s="148"/>
      <c r="AH130" s="148"/>
      <c r="AI130" s="148"/>
      <c r="AJ130" s="148"/>
      <c r="AK130" s="148"/>
      <c r="AL130" s="148"/>
      <c r="AM130" s="148"/>
      <c r="AN130" s="216"/>
    </row>
    <row r="131" spans="2:40">
      <c r="B131" s="151" t="e">
        <f t="shared" si="71"/>
        <v>#REF!</v>
      </c>
      <c r="C131" s="216"/>
      <c r="D131" s="296" t="s">
        <v>227</v>
      </c>
      <c r="E131" s="297">
        <v>0</v>
      </c>
      <c r="F131" s="297">
        <v>0</v>
      </c>
      <c r="G131" s="297">
        <v>0</v>
      </c>
      <c r="H131" s="297">
        <v>0</v>
      </c>
      <c r="I131" s="297">
        <v>0</v>
      </c>
      <c r="J131" s="297">
        <v>0</v>
      </c>
      <c r="K131" s="297">
        <v>0</v>
      </c>
      <c r="L131" s="302">
        <v>0.6</v>
      </c>
      <c r="M131" s="302">
        <v>1</v>
      </c>
      <c r="N131" s="302">
        <v>1.8</v>
      </c>
      <c r="O131" s="302">
        <v>3.4</v>
      </c>
      <c r="P131" s="302">
        <v>2.8</v>
      </c>
      <c r="Q131" s="148">
        <v>0</v>
      </c>
      <c r="R131" s="148"/>
      <c r="S131" s="148"/>
      <c r="T131" s="148"/>
      <c r="U131" s="148"/>
      <c r="V131" s="148"/>
      <c r="W131" s="148"/>
      <c r="X131" s="148"/>
      <c r="Y131" s="148"/>
      <c r="Z131" s="148"/>
      <c r="AA131" s="148"/>
      <c r="AB131" s="148"/>
      <c r="AC131" s="148"/>
      <c r="AD131" s="148"/>
      <c r="AE131" s="148"/>
      <c r="AF131" s="148"/>
      <c r="AG131" s="148"/>
      <c r="AH131" s="148"/>
      <c r="AI131" s="148"/>
      <c r="AJ131" s="148"/>
      <c r="AK131" s="148"/>
      <c r="AL131" s="148"/>
      <c r="AM131" s="148"/>
      <c r="AN131" s="216"/>
    </row>
    <row r="132" spans="2:40">
      <c r="B132" s="151" t="e">
        <f t="shared" si="71"/>
        <v>#REF!</v>
      </c>
      <c r="C132" s="216"/>
      <c r="D132" s="296" t="s">
        <v>228</v>
      </c>
      <c r="E132" s="297">
        <v>0</v>
      </c>
      <c r="F132" s="297">
        <v>0</v>
      </c>
      <c r="G132" s="297">
        <v>0</v>
      </c>
      <c r="H132" s="297">
        <v>0</v>
      </c>
      <c r="I132" s="297">
        <v>0</v>
      </c>
      <c r="J132" s="297">
        <v>0</v>
      </c>
      <c r="K132" s="297">
        <v>0</v>
      </c>
      <c r="L132" s="302">
        <v>2.4</v>
      </c>
      <c r="M132" s="302">
        <v>3</v>
      </c>
      <c r="N132" s="302">
        <v>9.3000000000000007</v>
      </c>
      <c r="O132" s="302">
        <v>5.8</v>
      </c>
      <c r="P132" s="302">
        <v>7.5</v>
      </c>
      <c r="Q132" s="148">
        <v>0</v>
      </c>
      <c r="R132" s="148"/>
      <c r="S132" s="148"/>
      <c r="T132" s="148"/>
      <c r="U132" s="148"/>
      <c r="V132" s="148"/>
      <c r="W132" s="148"/>
      <c r="X132" s="148"/>
      <c r="Y132" s="148"/>
      <c r="Z132" s="148"/>
      <c r="AA132" s="148"/>
      <c r="AB132" s="148"/>
      <c r="AC132" s="148"/>
      <c r="AD132" s="148"/>
      <c r="AE132" s="148"/>
      <c r="AF132" s="148"/>
      <c r="AG132" s="148"/>
      <c r="AH132" s="148"/>
      <c r="AI132" s="148"/>
      <c r="AJ132" s="148"/>
      <c r="AK132" s="148"/>
      <c r="AL132" s="148"/>
      <c r="AM132" s="148"/>
      <c r="AN132" s="216"/>
    </row>
    <row r="133" spans="2:40">
      <c r="B133" s="151" t="e">
        <f t="shared" si="71"/>
        <v>#REF!</v>
      </c>
      <c r="C133" s="216"/>
      <c r="D133" s="296" t="s">
        <v>229</v>
      </c>
      <c r="E133" s="297">
        <v>10</v>
      </c>
      <c r="F133" s="297">
        <v>25</v>
      </c>
      <c r="G133" s="297">
        <v>10</v>
      </c>
      <c r="H133" s="297">
        <v>27.5</v>
      </c>
      <c r="I133" s="297">
        <v>14.7</v>
      </c>
      <c r="J133" s="297">
        <v>33.799999999999997</v>
      </c>
      <c r="K133" s="297">
        <v>33.700000000000003</v>
      </c>
      <c r="L133" s="302">
        <v>4.7</v>
      </c>
      <c r="M133" s="302">
        <v>6</v>
      </c>
      <c r="N133" s="302">
        <v>15.7</v>
      </c>
      <c r="O133" s="302">
        <v>5.8</v>
      </c>
      <c r="P133" s="302">
        <v>10.5</v>
      </c>
      <c r="Q133" s="148">
        <v>0</v>
      </c>
      <c r="R133" s="148"/>
      <c r="S133" s="148"/>
      <c r="T133" s="148"/>
      <c r="U133" s="148"/>
      <c r="V133" s="148"/>
      <c r="W133" s="148"/>
      <c r="X133" s="148"/>
      <c r="Y133" s="148"/>
      <c r="Z133" s="148"/>
      <c r="AA133" s="148"/>
      <c r="AB133" s="148"/>
      <c r="AC133" s="148"/>
      <c r="AD133" s="148"/>
      <c r="AE133" s="148"/>
      <c r="AF133" s="148"/>
      <c r="AG133" s="148"/>
      <c r="AH133" s="148"/>
      <c r="AI133" s="148"/>
      <c r="AJ133" s="148"/>
      <c r="AK133" s="148"/>
      <c r="AL133" s="148"/>
      <c r="AM133" s="148"/>
      <c r="AN133" s="216"/>
    </row>
    <row r="134" spans="2:40">
      <c r="B134" s="151" t="e">
        <f t="shared" si="71"/>
        <v>#REF!</v>
      </c>
      <c r="C134" s="216"/>
      <c r="D134" s="296" t="s">
        <v>230</v>
      </c>
      <c r="E134" s="297">
        <v>5</v>
      </c>
      <c r="F134" s="297">
        <v>0</v>
      </c>
      <c r="G134" s="297">
        <v>5</v>
      </c>
      <c r="H134" s="297">
        <v>7.2</v>
      </c>
      <c r="I134" s="297">
        <v>33.6</v>
      </c>
      <c r="J134" s="297">
        <v>2.2000000000000002</v>
      </c>
      <c r="K134" s="297">
        <v>1.7</v>
      </c>
      <c r="L134" s="302">
        <v>6.8</v>
      </c>
      <c r="M134" s="302">
        <v>8</v>
      </c>
      <c r="N134" s="302">
        <v>8.1</v>
      </c>
      <c r="O134" s="302">
        <v>6.2</v>
      </c>
      <c r="P134" s="302">
        <v>8</v>
      </c>
      <c r="Q134" s="148">
        <v>0</v>
      </c>
      <c r="R134" s="148"/>
      <c r="S134" s="148"/>
      <c r="T134" s="148"/>
      <c r="U134" s="148"/>
      <c r="V134" s="148"/>
      <c r="W134" s="148"/>
      <c r="X134" s="148"/>
      <c r="Y134" s="148"/>
      <c r="Z134" s="148"/>
      <c r="AA134" s="148"/>
      <c r="AB134" s="148"/>
      <c r="AC134" s="148"/>
      <c r="AD134" s="148"/>
      <c r="AE134" s="148"/>
      <c r="AF134" s="148"/>
      <c r="AG134" s="148"/>
      <c r="AH134" s="148"/>
      <c r="AI134" s="148"/>
      <c r="AJ134" s="148"/>
      <c r="AK134" s="148"/>
      <c r="AL134" s="148"/>
      <c r="AM134" s="148"/>
      <c r="AN134" s="216"/>
    </row>
    <row r="135" spans="2:40">
      <c r="B135" s="151" t="e">
        <f t="shared" si="71"/>
        <v>#REF!</v>
      </c>
      <c r="C135" s="216"/>
      <c r="D135" s="296" t="s">
        <v>231</v>
      </c>
      <c r="E135" s="297">
        <v>5</v>
      </c>
      <c r="F135" s="297">
        <v>0</v>
      </c>
      <c r="G135" s="297">
        <v>5</v>
      </c>
      <c r="H135" s="297">
        <v>3.6</v>
      </c>
      <c r="I135" s="297">
        <v>1.8</v>
      </c>
      <c r="J135" s="297">
        <v>1.1000000000000001</v>
      </c>
      <c r="K135" s="297">
        <v>0.9</v>
      </c>
      <c r="L135" s="302">
        <v>5.7</v>
      </c>
      <c r="M135" s="302">
        <v>6</v>
      </c>
      <c r="N135" s="302">
        <v>7.5</v>
      </c>
      <c r="O135" s="302">
        <v>5.4</v>
      </c>
      <c r="P135" s="302">
        <v>7.5</v>
      </c>
      <c r="Q135" s="148">
        <v>0</v>
      </c>
      <c r="R135" s="148"/>
      <c r="S135" s="148"/>
      <c r="T135" s="148"/>
      <c r="U135" s="148"/>
      <c r="V135" s="148"/>
      <c r="W135" s="148"/>
      <c r="X135" s="148"/>
      <c r="Y135" s="148"/>
      <c r="Z135" s="148"/>
      <c r="AA135" s="148"/>
      <c r="AB135" s="148"/>
      <c r="AC135" s="148"/>
      <c r="AD135" s="148"/>
      <c r="AE135" s="148"/>
      <c r="AF135" s="148"/>
      <c r="AG135" s="148"/>
      <c r="AH135" s="148"/>
      <c r="AI135" s="148"/>
      <c r="AJ135" s="148"/>
      <c r="AK135" s="148"/>
      <c r="AL135" s="148"/>
      <c r="AM135" s="148"/>
      <c r="AN135" s="216"/>
    </row>
    <row r="136" spans="2:40">
      <c r="B136" s="151" t="e">
        <f t="shared" si="71"/>
        <v>#REF!</v>
      </c>
      <c r="C136" s="216"/>
      <c r="D136" s="296" t="s">
        <v>232</v>
      </c>
      <c r="E136" s="297">
        <v>0</v>
      </c>
      <c r="F136" s="297">
        <v>0</v>
      </c>
      <c r="G136" s="297">
        <v>0</v>
      </c>
      <c r="H136" s="297">
        <v>1.8</v>
      </c>
      <c r="I136" s="297">
        <v>0.9</v>
      </c>
      <c r="J136" s="297">
        <v>1.1000000000000001</v>
      </c>
      <c r="K136" s="297">
        <v>0.9</v>
      </c>
      <c r="L136" s="302">
        <v>6.1</v>
      </c>
      <c r="M136" s="302">
        <v>5</v>
      </c>
      <c r="N136" s="302">
        <v>7</v>
      </c>
      <c r="O136" s="302">
        <v>5.0999999999999996</v>
      </c>
      <c r="P136" s="302">
        <v>7.5</v>
      </c>
      <c r="Q136" s="148">
        <v>0</v>
      </c>
      <c r="R136" s="148"/>
      <c r="S136" s="148"/>
      <c r="T136" s="148"/>
      <c r="U136" s="148"/>
      <c r="V136" s="148"/>
      <c r="W136" s="148"/>
      <c r="X136" s="148"/>
      <c r="Y136" s="148"/>
      <c r="Z136" s="148"/>
      <c r="AA136" s="148"/>
      <c r="AB136" s="148"/>
      <c r="AC136" s="148"/>
      <c r="AD136" s="148"/>
      <c r="AE136" s="148"/>
      <c r="AF136" s="148"/>
      <c r="AG136" s="148"/>
      <c r="AH136" s="148"/>
      <c r="AI136" s="148"/>
      <c r="AJ136" s="148"/>
      <c r="AK136" s="148"/>
      <c r="AL136" s="148"/>
      <c r="AM136" s="148"/>
      <c r="AN136" s="216"/>
    </row>
    <row r="137" spans="2:40">
      <c r="B137" s="151" t="e">
        <f t="shared" si="71"/>
        <v>#REF!</v>
      </c>
      <c r="C137" s="216"/>
      <c r="D137" s="296" t="s">
        <v>233</v>
      </c>
      <c r="E137" s="297">
        <v>10</v>
      </c>
      <c r="F137" s="297">
        <v>0</v>
      </c>
      <c r="G137" s="297">
        <v>10</v>
      </c>
      <c r="H137" s="297">
        <v>3.6</v>
      </c>
      <c r="I137" s="297">
        <v>1.8</v>
      </c>
      <c r="J137" s="297">
        <v>1.7</v>
      </c>
      <c r="K137" s="297">
        <v>1.3</v>
      </c>
      <c r="L137" s="302">
        <v>6.1</v>
      </c>
      <c r="M137" s="302">
        <v>5</v>
      </c>
      <c r="N137" s="302">
        <v>6.6</v>
      </c>
      <c r="O137" s="302">
        <v>4.7</v>
      </c>
      <c r="P137" s="302">
        <v>7</v>
      </c>
      <c r="Q137" s="148">
        <v>0</v>
      </c>
      <c r="R137" s="148"/>
      <c r="S137" s="148"/>
      <c r="T137" s="148"/>
      <c r="U137" s="148"/>
      <c r="V137" s="148"/>
      <c r="W137" s="148"/>
      <c r="X137" s="148"/>
      <c r="Y137" s="148"/>
      <c r="Z137" s="148"/>
      <c r="AA137" s="148"/>
      <c r="AB137" s="148"/>
      <c r="AC137" s="148"/>
      <c r="AD137" s="148"/>
      <c r="AE137" s="148"/>
      <c r="AF137" s="148"/>
      <c r="AG137" s="148"/>
      <c r="AH137" s="148"/>
      <c r="AI137" s="148"/>
      <c r="AJ137" s="148"/>
      <c r="AK137" s="148"/>
      <c r="AL137" s="148"/>
      <c r="AM137" s="148"/>
      <c r="AN137" s="216"/>
    </row>
    <row r="138" spans="2:40">
      <c r="B138" s="151" t="e">
        <f t="shared" si="71"/>
        <v>#REF!</v>
      </c>
      <c r="C138" s="216"/>
      <c r="D138" s="296" t="s">
        <v>234</v>
      </c>
      <c r="E138" s="297">
        <v>15</v>
      </c>
      <c r="F138" s="297">
        <v>25</v>
      </c>
      <c r="G138" s="297">
        <v>15</v>
      </c>
      <c r="H138" s="297">
        <v>5.4</v>
      </c>
      <c r="I138" s="297">
        <v>2.7</v>
      </c>
      <c r="J138" s="297">
        <v>3.9</v>
      </c>
      <c r="K138" s="297">
        <v>3</v>
      </c>
      <c r="L138" s="302">
        <v>6.3</v>
      </c>
      <c r="M138" s="302">
        <v>6</v>
      </c>
      <c r="N138" s="302">
        <v>7.1</v>
      </c>
      <c r="O138" s="302">
        <v>4.2</v>
      </c>
      <c r="P138" s="302">
        <v>7.5</v>
      </c>
      <c r="Q138" s="148">
        <v>0</v>
      </c>
      <c r="R138" s="148"/>
      <c r="S138" s="148"/>
      <c r="T138" s="148"/>
      <c r="U138" s="148"/>
      <c r="V138" s="148"/>
      <c r="W138" s="148"/>
      <c r="X138" s="148"/>
      <c r="Y138" s="148"/>
      <c r="Z138" s="148"/>
      <c r="AA138" s="148"/>
      <c r="AB138" s="148"/>
      <c r="AC138" s="148"/>
      <c r="AD138" s="148"/>
      <c r="AE138" s="148"/>
      <c r="AF138" s="148"/>
      <c r="AG138" s="148"/>
      <c r="AH138" s="148"/>
      <c r="AI138" s="148"/>
      <c r="AJ138" s="148"/>
      <c r="AK138" s="148"/>
      <c r="AL138" s="148"/>
      <c r="AM138" s="148"/>
      <c r="AN138" s="216"/>
    </row>
    <row r="139" spans="2:40">
      <c r="B139" s="151" t="e">
        <f t="shared" si="71"/>
        <v>#REF!</v>
      </c>
      <c r="C139" s="216"/>
      <c r="D139" s="296" t="s">
        <v>235</v>
      </c>
      <c r="E139" s="297">
        <v>0</v>
      </c>
      <c r="F139" s="297">
        <v>0</v>
      </c>
      <c r="G139" s="297">
        <v>0</v>
      </c>
      <c r="H139" s="297">
        <v>0</v>
      </c>
      <c r="I139" s="297">
        <v>0</v>
      </c>
      <c r="J139" s="297">
        <v>0</v>
      </c>
      <c r="K139" s="297">
        <v>0</v>
      </c>
      <c r="L139" s="302">
        <v>6.4</v>
      </c>
      <c r="M139" s="302">
        <v>6</v>
      </c>
      <c r="N139" s="302">
        <v>5.0999999999999996</v>
      </c>
      <c r="O139" s="302">
        <v>4.5</v>
      </c>
      <c r="P139" s="302">
        <v>5.5</v>
      </c>
      <c r="Q139" s="148">
        <v>0</v>
      </c>
      <c r="R139" s="148"/>
      <c r="S139" s="148"/>
      <c r="T139" s="148"/>
      <c r="U139" s="148"/>
      <c r="V139" s="148"/>
      <c r="W139" s="148"/>
      <c r="X139" s="148"/>
      <c r="Y139" s="148"/>
      <c r="Z139" s="148"/>
      <c r="AA139" s="148"/>
      <c r="AB139" s="148"/>
      <c r="AC139" s="148"/>
      <c r="AD139" s="148"/>
      <c r="AE139" s="148"/>
      <c r="AF139" s="148"/>
      <c r="AG139" s="148"/>
      <c r="AH139" s="148"/>
      <c r="AI139" s="148"/>
      <c r="AJ139" s="148"/>
      <c r="AK139" s="148"/>
      <c r="AL139" s="148"/>
      <c r="AM139" s="148"/>
      <c r="AN139" s="216"/>
    </row>
    <row r="140" spans="2:40">
      <c r="B140" s="151" t="e">
        <f t="shared" si="71"/>
        <v>#REF!</v>
      </c>
      <c r="C140" s="216"/>
      <c r="D140" s="296" t="s">
        <v>236</v>
      </c>
      <c r="E140" s="297">
        <v>0</v>
      </c>
      <c r="F140" s="297">
        <v>0</v>
      </c>
      <c r="G140" s="297">
        <v>0</v>
      </c>
      <c r="H140" s="297">
        <v>1.8</v>
      </c>
      <c r="I140" s="297">
        <v>0.9</v>
      </c>
      <c r="J140" s="297">
        <v>0.6</v>
      </c>
      <c r="K140" s="297">
        <v>0.4</v>
      </c>
      <c r="L140" s="302">
        <v>5.0999999999999996</v>
      </c>
      <c r="M140" s="302">
        <v>5</v>
      </c>
      <c r="N140" s="302">
        <v>3.8</v>
      </c>
      <c r="O140" s="302">
        <v>4.0999999999999996</v>
      </c>
      <c r="P140" s="302">
        <v>4.3</v>
      </c>
      <c r="Q140" s="148">
        <v>0</v>
      </c>
      <c r="R140" s="148"/>
      <c r="S140" s="148"/>
      <c r="T140" s="148"/>
      <c r="U140" s="148"/>
      <c r="V140" s="148"/>
      <c r="W140" s="148"/>
      <c r="X140" s="148"/>
      <c r="Y140" s="148"/>
      <c r="Z140" s="148"/>
      <c r="AA140" s="148"/>
      <c r="AB140" s="148"/>
      <c r="AC140" s="148"/>
      <c r="AD140" s="148"/>
      <c r="AE140" s="148"/>
      <c r="AF140" s="148"/>
      <c r="AG140" s="148"/>
      <c r="AH140" s="148"/>
      <c r="AI140" s="148"/>
      <c r="AJ140" s="148"/>
      <c r="AK140" s="148"/>
      <c r="AL140" s="148"/>
      <c r="AM140" s="148"/>
      <c r="AN140" s="216"/>
    </row>
    <row r="141" spans="2:40">
      <c r="B141" s="151" t="e">
        <f t="shared" si="71"/>
        <v>#REF!</v>
      </c>
      <c r="C141" s="216"/>
      <c r="D141" s="296" t="s">
        <v>237</v>
      </c>
      <c r="E141" s="297">
        <v>0</v>
      </c>
      <c r="F141" s="297">
        <v>0</v>
      </c>
      <c r="G141" s="297">
        <v>0</v>
      </c>
      <c r="H141" s="297">
        <v>1.8</v>
      </c>
      <c r="I141" s="297">
        <v>0.9</v>
      </c>
      <c r="J141" s="297">
        <v>1.1000000000000001</v>
      </c>
      <c r="K141" s="297">
        <v>0.9</v>
      </c>
      <c r="L141" s="302">
        <v>4.4000000000000004</v>
      </c>
      <c r="M141" s="302">
        <v>4</v>
      </c>
      <c r="N141" s="302">
        <v>3.3</v>
      </c>
      <c r="O141" s="302">
        <v>4.3</v>
      </c>
      <c r="P141" s="302">
        <v>3.7</v>
      </c>
      <c r="Q141" s="148">
        <v>0</v>
      </c>
      <c r="R141" s="148"/>
      <c r="S141" s="148"/>
      <c r="T141" s="148"/>
      <c r="U141" s="148"/>
      <c r="V141" s="148"/>
      <c r="W141" s="148"/>
      <c r="X141" s="148"/>
      <c r="Y141" s="148"/>
      <c r="Z141" s="148"/>
      <c r="AA141" s="148"/>
      <c r="AB141" s="148"/>
      <c r="AC141" s="148"/>
      <c r="AD141" s="148"/>
      <c r="AE141" s="148"/>
      <c r="AF141" s="148"/>
      <c r="AG141" s="148"/>
      <c r="AH141" s="148"/>
      <c r="AI141" s="148"/>
      <c r="AJ141" s="148"/>
      <c r="AK141" s="148"/>
      <c r="AL141" s="148"/>
      <c r="AM141" s="148"/>
      <c r="AN141" s="216"/>
    </row>
    <row r="142" spans="2:40">
      <c r="B142" s="151" t="e">
        <f t="shared" si="71"/>
        <v>#REF!</v>
      </c>
      <c r="C142" s="216"/>
      <c r="D142" s="296" t="s">
        <v>238</v>
      </c>
      <c r="E142" s="297">
        <v>0</v>
      </c>
      <c r="F142" s="297">
        <v>0</v>
      </c>
      <c r="G142" s="297">
        <v>0</v>
      </c>
      <c r="H142" s="297">
        <v>1.8</v>
      </c>
      <c r="I142" s="297">
        <v>0.9</v>
      </c>
      <c r="J142" s="297">
        <v>1.1000000000000001</v>
      </c>
      <c r="K142" s="297">
        <v>0.9</v>
      </c>
      <c r="L142" s="302">
        <v>4.3</v>
      </c>
      <c r="M142" s="302">
        <v>4</v>
      </c>
      <c r="N142" s="302">
        <v>4.0999999999999996</v>
      </c>
      <c r="O142" s="302">
        <v>5.3</v>
      </c>
      <c r="P142" s="302">
        <v>4.5</v>
      </c>
      <c r="Q142" s="148">
        <v>0</v>
      </c>
      <c r="R142" s="148"/>
      <c r="S142" s="148"/>
      <c r="T142" s="148"/>
      <c r="U142" s="148"/>
      <c r="V142" s="148"/>
      <c r="W142" s="148"/>
      <c r="X142" s="148"/>
      <c r="Y142" s="148"/>
      <c r="Z142" s="148"/>
      <c r="AA142" s="148"/>
      <c r="AB142" s="148"/>
      <c r="AC142" s="148"/>
      <c r="AD142" s="148"/>
      <c r="AE142" s="148"/>
      <c r="AF142" s="148"/>
      <c r="AG142" s="148"/>
      <c r="AH142" s="148"/>
      <c r="AI142" s="148"/>
      <c r="AJ142" s="148"/>
      <c r="AK142" s="148"/>
      <c r="AL142" s="148"/>
      <c r="AM142" s="148"/>
      <c r="AN142" s="216"/>
    </row>
    <row r="143" spans="2:40">
      <c r="B143" s="151" t="e">
        <f t="shared" si="71"/>
        <v>#REF!</v>
      </c>
      <c r="C143" s="216"/>
      <c r="D143" s="296" t="s">
        <v>239</v>
      </c>
      <c r="E143" s="297">
        <v>0</v>
      </c>
      <c r="F143" s="297">
        <v>0</v>
      </c>
      <c r="G143" s="297">
        <v>0</v>
      </c>
      <c r="H143" s="297">
        <v>0</v>
      </c>
      <c r="I143" s="297">
        <v>0</v>
      </c>
      <c r="J143" s="297">
        <v>0.6</v>
      </c>
      <c r="K143" s="297">
        <v>0.4</v>
      </c>
      <c r="L143" s="302">
        <v>4.7</v>
      </c>
      <c r="M143" s="302">
        <v>5</v>
      </c>
      <c r="N143" s="302">
        <v>2.9</v>
      </c>
      <c r="O143" s="302">
        <v>6</v>
      </c>
      <c r="P143" s="302">
        <v>3.2</v>
      </c>
      <c r="Q143" s="148">
        <v>0</v>
      </c>
      <c r="R143" s="148"/>
      <c r="S143" s="148"/>
      <c r="T143" s="148"/>
      <c r="U143" s="148"/>
      <c r="V143" s="148"/>
      <c r="W143" s="148"/>
      <c r="X143" s="148"/>
      <c r="Y143" s="148"/>
      <c r="Z143" s="148"/>
      <c r="AA143" s="148"/>
      <c r="AB143" s="148"/>
      <c r="AC143" s="148"/>
      <c r="AD143" s="148"/>
      <c r="AE143" s="148"/>
      <c r="AF143" s="148"/>
      <c r="AG143" s="148"/>
      <c r="AH143" s="148"/>
      <c r="AI143" s="148"/>
      <c r="AJ143" s="148"/>
      <c r="AK143" s="148"/>
      <c r="AL143" s="148"/>
      <c r="AM143" s="148"/>
      <c r="AN143" s="216"/>
    </row>
    <row r="144" spans="2:40">
      <c r="B144" s="151" t="e">
        <f t="shared" si="71"/>
        <v>#REF!</v>
      </c>
      <c r="C144" s="216"/>
      <c r="D144" s="296" t="s">
        <v>240</v>
      </c>
      <c r="E144" s="297">
        <v>15</v>
      </c>
      <c r="F144" s="297">
        <v>0</v>
      </c>
      <c r="G144" s="297">
        <v>0</v>
      </c>
      <c r="H144" s="297">
        <v>5.4</v>
      </c>
      <c r="I144" s="297">
        <v>2.7</v>
      </c>
      <c r="J144" s="297">
        <v>1.7</v>
      </c>
      <c r="K144" s="297">
        <v>1.3</v>
      </c>
      <c r="L144" s="302">
        <v>5.7</v>
      </c>
      <c r="M144" s="302">
        <v>6</v>
      </c>
      <c r="N144" s="302">
        <v>6.1</v>
      </c>
      <c r="O144" s="302">
        <v>6.6</v>
      </c>
      <c r="P144" s="302">
        <v>7</v>
      </c>
      <c r="Q144" s="148">
        <v>0</v>
      </c>
      <c r="R144" s="148"/>
      <c r="S144" s="148"/>
      <c r="T144" s="148"/>
      <c r="U144" s="148"/>
      <c r="V144" s="148"/>
      <c r="W144" s="148"/>
      <c r="X144" s="148"/>
      <c r="Y144" s="148"/>
      <c r="Z144" s="148"/>
      <c r="AA144" s="148"/>
      <c r="AB144" s="148"/>
      <c r="AC144" s="148"/>
      <c r="AD144" s="148"/>
      <c r="AE144" s="148"/>
      <c r="AF144" s="148"/>
      <c r="AG144" s="148"/>
      <c r="AH144" s="148"/>
      <c r="AI144" s="148"/>
      <c r="AJ144" s="148"/>
      <c r="AK144" s="148"/>
      <c r="AL144" s="148"/>
      <c r="AM144" s="148"/>
      <c r="AN144" s="216"/>
    </row>
    <row r="145" spans="2:40">
      <c r="B145" s="151" t="e">
        <f t="shared" si="71"/>
        <v>#REF!</v>
      </c>
      <c r="C145" s="216"/>
      <c r="D145" s="296" t="s">
        <v>241</v>
      </c>
      <c r="E145" s="297">
        <v>10</v>
      </c>
      <c r="F145" s="297">
        <v>0</v>
      </c>
      <c r="G145" s="297">
        <v>10</v>
      </c>
      <c r="H145" s="297">
        <v>1.8</v>
      </c>
      <c r="I145" s="297">
        <v>0.9</v>
      </c>
      <c r="J145" s="297">
        <v>0.6</v>
      </c>
      <c r="K145" s="297">
        <v>0.4</v>
      </c>
      <c r="L145" s="302">
        <v>6.5</v>
      </c>
      <c r="M145" s="302">
        <v>7</v>
      </c>
      <c r="N145" s="310">
        <v>4.4000000000000004</v>
      </c>
      <c r="O145" s="302">
        <v>6</v>
      </c>
      <c r="P145" s="302">
        <v>4.5</v>
      </c>
      <c r="Q145" s="148">
        <v>0</v>
      </c>
      <c r="R145" s="148"/>
      <c r="S145" s="148"/>
      <c r="T145" s="148"/>
      <c r="U145" s="148"/>
      <c r="V145" s="148"/>
      <c r="W145" s="148"/>
      <c r="X145" s="148"/>
      <c r="Y145" s="148"/>
      <c r="Z145" s="148"/>
      <c r="AA145" s="148"/>
      <c r="AB145" s="148"/>
      <c r="AC145" s="148"/>
      <c r="AD145" s="148"/>
      <c r="AE145" s="148"/>
      <c r="AF145" s="148"/>
      <c r="AG145" s="148"/>
      <c r="AH145" s="148"/>
      <c r="AI145" s="148"/>
      <c r="AJ145" s="148"/>
      <c r="AK145" s="148"/>
      <c r="AL145" s="148"/>
      <c r="AM145" s="148"/>
      <c r="AN145" s="216"/>
    </row>
    <row r="146" spans="2:40">
      <c r="B146" s="151" t="e">
        <f t="shared" si="71"/>
        <v>#REF!</v>
      </c>
      <c r="C146" s="216"/>
      <c r="D146" s="296" t="s">
        <v>242</v>
      </c>
      <c r="E146" s="297">
        <v>10</v>
      </c>
      <c r="F146" s="297">
        <v>50</v>
      </c>
      <c r="G146" s="298">
        <v>20</v>
      </c>
      <c r="H146" s="297">
        <v>12.6</v>
      </c>
      <c r="I146" s="311">
        <v>6.4</v>
      </c>
      <c r="J146" s="297">
        <v>27</v>
      </c>
      <c r="K146" s="297">
        <v>28.4</v>
      </c>
      <c r="L146" s="302">
        <v>6.6</v>
      </c>
      <c r="M146" s="302">
        <v>7</v>
      </c>
      <c r="N146" s="302">
        <v>1.4</v>
      </c>
      <c r="O146" s="310">
        <v>5.7</v>
      </c>
      <c r="P146" s="302">
        <v>2</v>
      </c>
      <c r="Q146" s="148">
        <v>0</v>
      </c>
      <c r="R146" s="148"/>
      <c r="S146" s="148"/>
      <c r="T146" s="148"/>
      <c r="U146" s="148"/>
      <c r="V146" s="148"/>
      <c r="W146" s="148"/>
      <c r="X146" s="148"/>
      <c r="Y146" s="148"/>
      <c r="Z146" s="148"/>
      <c r="AA146" s="148"/>
      <c r="AB146" s="148"/>
      <c r="AC146" s="148"/>
      <c r="AD146" s="148"/>
      <c r="AE146" s="148"/>
      <c r="AF146" s="148"/>
      <c r="AG146" s="148"/>
      <c r="AH146" s="148"/>
      <c r="AI146" s="148"/>
      <c r="AJ146" s="148"/>
      <c r="AK146" s="148"/>
      <c r="AL146" s="148"/>
      <c r="AM146" s="148"/>
      <c r="AN146" s="216"/>
    </row>
    <row r="147" spans="2:40">
      <c r="B147" s="151" t="e">
        <f t="shared" si="71"/>
        <v>#REF!</v>
      </c>
      <c r="C147" s="216"/>
      <c r="D147" s="296" t="s">
        <v>243</v>
      </c>
      <c r="E147" s="297">
        <v>20</v>
      </c>
      <c r="F147" s="297">
        <v>0</v>
      </c>
      <c r="G147" s="297">
        <v>25</v>
      </c>
      <c r="H147" s="297">
        <v>25.7</v>
      </c>
      <c r="I147" s="297">
        <v>31.8</v>
      </c>
      <c r="J147" s="311">
        <v>23.5</v>
      </c>
      <c r="K147" s="311">
        <v>25.8</v>
      </c>
      <c r="L147" s="310">
        <v>5.9</v>
      </c>
      <c r="M147" s="302">
        <v>6</v>
      </c>
      <c r="N147" s="302">
        <v>1.8</v>
      </c>
      <c r="O147" s="302">
        <v>5.4</v>
      </c>
      <c r="P147" s="302">
        <v>2</v>
      </c>
      <c r="Q147" s="148">
        <v>0</v>
      </c>
      <c r="R147" s="148"/>
      <c r="S147" s="148"/>
      <c r="T147" s="148"/>
      <c r="U147" s="148"/>
      <c r="V147" s="148"/>
      <c r="W147" s="148"/>
      <c r="X147" s="148"/>
      <c r="Y147" s="148"/>
      <c r="Z147" s="148"/>
      <c r="AA147" s="148"/>
      <c r="AB147" s="148"/>
      <c r="AC147" s="148"/>
      <c r="AD147" s="148"/>
      <c r="AE147" s="148"/>
      <c r="AF147" s="148"/>
      <c r="AG147" s="148"/>
      <c r="AH147" s="148"/>
      <c r="AI147" s="148"/>
      <c r="AJ147" s="148"/>
      <c r="AK147" s="148"/>
      <c r="AL147" s="148"/>
      <c r="AM147" s="148"/>
      <c r="AN147" s="216"/>
    </row>
    <row r="148" spans="2:40">
      <c r="B148" s="151" t="e">
        <f t="shared" si="71"/>
        <v>#REF!</v>
      </c>
      <c r="C148" s="216"/>
      <c r="D148" s="296" t="s">
        <v>244</v>
      </c>
      <c r="E148" s="297">
        <v>0</v>
      </c>
      <c r="F148" s="297">
        <v>0</v>
      </c>
      <c r="G148" s="297">
        <v>0</v>
      </c>
      <c r="H148" s="297">
        <v>0</v>
      </c>
      <c r="I148" s="297">
        <v>0</v>
      </c>
      <c r="J148" s="297">
        <v>0</v>
      </c>
      <c r="K148" s="297">
        <v>0</v>
      </c>
      <c r="L148" s="302">
        <v>4.5</v>
      </c>
      <c r="M148" s="302">
        <v>5</v>
      </c>
      <c r="N148" s="302">
        <v>0.9</v>
      </c>
      <c r="O148" s="302">
        <v>3.9</v>
      </c>
      <c r="P148" s="302">
        <v>1.2</v>
      </c>
      <c r="Q148" s="148">
        <v>0</v>
      </c>
      <c r="R148" s="148"/>
      <c r="S148" s="148"/>
      <c r="T148" s="148"/>
      <c r="U148" s="148"/>
      <c r="V148" s="148"/>
      <c r="W148" s="148"/>
      <c r="X148" s="148"/>
      <c r="Y148" s="148"/>
      <c r="Z148" s="148"/>
      <c r="AA148" s="148"/>
      <c r="AB148" s="148"/>
      <c r="AC148" s="148"/>
      <c r="AD148" s="148"/>
      <c r="AE148" s="148"/>
      <c r="AF148" s="148"/>
      <c r="AG148" s="148"/>
      <c r="AH148" s="148"/>
      <c r="AI148" s="148"/>
      <c r="AJ148" s="148"/>
      <c r="AK148" s="148"/>
      <c r="AL148" s="148"/>
      <c r="AM148" s="148"/>
      <c r="AN148" s="216"/>
    </row>
    <row r="149" spans="2:40" ht="15.75" thickBot="1">
      <c r="B149" s="152" t="e">
        <f t="shared" si="71"/>
        <v>#REF!</v>
      </c>
      <c r="C149" s="216"/>
      <c r="D149" s="296" t="s">
        <v>245</v>
      </c>
      <c r="E149" s="297">
        <v>0</v>
      </c>
      <c r="F149" s="297">
        <v>0</v>
      </c>
      <c r="G149" s="297">
        <v>0</v>
      </c>
      <c r="H149" s="297">
        <v>0</v>
      </c>
      <c r="I149" s="297">
        <v>0</v>
      </c>
      <c r="J149" s="297">
        <v>0</v>
      </c>
      <c r="K149" s="297">
        <v>0</v>
      </c>
      <c r="L149" s="302">
        <v>3.1</v>
      </c>
      <c r="M149" s="302">
        <v>2</v>
      </c>
      <c r="N149" s="302">
        <v>0.4</v>
      </c>
      <c r="O149" s="302">
        <v>2.8</v>
      </c>
      <c r="P149" s="302">
        <v>0.5</v>
      </c>
      <c r="Q149" s="148">
        <v>0</v>
      </c>
      <c r="R149" s="148"/>
      <c r="S149" s="148"/>
      <c r="T149" s="148"/>
      <c r="U149" s="148"/>
      <c r="V149" s="148"/>
      <c r="W149" s="148"/>
      <c r="X149" s="148"/>
      <c r="Y149" s="148"/>
      <c r="Z149" s="148"/>
      <c r="AA149" s="148"/>
      <c r="AB149" s="148"/>
      <c r="AC149" s="148"/>
      <c r="AD149" s="148"/>
      <c r="AE149" s="148"/>
      <c r="AF149" s="148"/>
      <c r="AG149" s="148"/>
      <c r="AH149" s="148"/>
      <c r="AI149" s="148"/>
      <c r="AJ149" s="148"/>
      <c r="AK149" s="148"/>
      <c r="AL149" s="148"/>
      <c r="AM149" s="148"/>
      <c r="AN149" s="216"/>
    </row>
    <row r="150" spans="2:40" ht="15.75" thickBot="1">
      <c r="B150" s="155" t="e">
        <f t="shared" si="71"/>
        <v>#REF!</v>
      </c>
      <c r="C150" s="216"/>
      <c r="D150" s="214" t="s">
        <v>396</v>
      </c>
      <c r="E150" s="304">
        <f>SUM(E126:E149)</f>
        <v>100</v>
      </c>
      <c r="F150" s="304">
        <f t="shared" ref="F150" si="72">SUM(F126:F149)</f>
        <v>100</v>
      </c>
      <c r="G150" s="304">
        <f t="shared" ref="G150" si="73">SUM(G126:G149)</f>
        <v>100</v>
      </c>
      <c r="H150" s="304">
        <f t="shared" ref="H150" si="74">SUM(H126:H149)</f>
        <v>99.999999999999986</v>
      </c>
      <c r="I150" s="304">
        <f t="shared" ref="I150" si="75">SUM(I126:I149)</f>
        <v>99.999999999999986</v>
      </c>
      <c r="J150" s="304">
        <f t="shared" ref="J150" si="76">SUM(J126:J149)</f>
        <v>100.00000000000001</v>
      </c>
      <c r="K150" s="304">
        <f t="shared" ref="K150" si="77">SUM(K126:K149)</f>
        <v>99.999999999999986</v>
      </c>
      <c r="L150" s="304">
        <f>SUM(L126:L149)</f>
        <v>99.999999999999986</v>
      </c>
      <c r="M150" s="304">
        <f t="shared" ref="M150" si="78">SUM(M126:M149)</f>
        <v>100</v>
      </c>
      <c r="N150" s="304">
        <f t="shared" ref="N150" si="79">SUM(N126:N149)</f>
        <v>100</v>
      </c>
      <c r="O150" s="304">
        <f t="shared" ref="O150" si="80">SUM(O126:O149)</f>
        <v>100</v>
      </c>
      <c r="P150" s="304">
        <f t="shared" ref="P150" si="81">SUM(P126:P149)</f>
        <v>100</v>
      </c>
      <c r="Q150" s="120">
        <f t="shared" ref="Q150" si="82">SUM(Q126:Q149)</f>
        <v>0</v>
      </c>
      <c r="R150" s="120">
        <f t="shared" ref="R150" si="83">SUM(R126:R149)</f>
        <v>0</v>
      </c>
      <c r="S150" s="120">
        <f t="shared" ref="S150" si="84">SUM(S126:S149)</f>
        <v>0</v>
      </c>
      <c r="T150" s="120">
        <f t="shared" ref="T150" si="85">SUM(T126:T149)</f>
        <v>0</v>
      </c>
      <c r="U150" s="120">
        <f t="shared" ref="U150" si="86">SUM(U126:U149)</f>
        <v>0</v>
      </c>
      <c r="V150" s="120">
        <f t="shared" ref="V150" si="87">SUM(V126:V149)</f>
        <v>0</v>
      </c>
      <c r="W150" s="120">
        <f t="shared" ref="W150" si="88">SUM(W126:W149)</f>
        <v>0</v>
      </c>
      <c r="X150" s="120">
        <f t="shared" ref="X150" si="89">SUM(X126:X149)</f>
        <v>0</v>
      </c>
      <c r="Y150" s="120">
        <f t="shared" ref="Y150" si="90">SUM(Y126:Y149)</f>
        <v>0</v>
      </c>
      <c r="Z150" s="120">
        <f t="shared" ref="Z150" si="91">SUM(Z126:Z149)</f>
        <v>0</v>
      </c>
      <c r="AA150" s="120">
        <f t="shared" ref="AA150" si="92">SUM(AA126:AA149)</f>
        <v>0</v>
      </c>
      <c r="AB150" s="120">
        <f t="shared" ref="AB150" si="93">SUM(AB126:AB149)</f>
        <v>0</v>
      </c>
      <c r="AC150" s="120">
        <f t="shared" ref="AC150" si="94">SUM(AC126:AC149)</f>
        <v>0</v>
      </c>
      <c r="AD150" s="120">
        <f t="shared" ref="AD150" si="95">SUM(AD126:AD149)</f>
        <v>0</v>
      </c>
      <c r="AE150" s="120">
        <f t="shared" ref="AE150" si="96">SUM(AE126:AE149)</f>
        <v>0</v>
      </c>
      <c r="AF150" s="120">
        <f t="shared" ref="AF150" si="97">SUM(AF126:AF149)</f>
        <v>0</v>
      </c>
      <c r="AG150" s="120">
        <f t="shared" ref="AG150" si="98">SUM(AG126:AG149)</f>
        <v>0</v>
      </c>
      <c r="AH150" s="120">
        <f t="shared" ref="AH150" si="99">SUM(AH126:AH149)</f>
        <v>0</v>
      </c>
      <c r="AI150" s="120">
        <f t="shared" ref="AI150" si="100">SUM(AI126:AI149)</f>
        <v>0</v>
      </c>
      <c r="AJ150" s="120">
        <f t="shared" ref="AJ150" si="101">SUM(AJ126:AJ149)</f>
        <v>0</v>
      </c>
      <c r="AK150" s="120">
        <f t="shared" ref="AK150" si="102">SUM(AK126:AK149)</f>
        <v>0</v>
      </c>
      <c r="AL150" s="120">
        <f t="shared" ref="AL150" si="103">SUM(AL126:AL149)</f>
        <v>0</v>
      </c>
      <c r="AM150" s="120">
        <f t="shared" ref="AM150" si="104">SUM(AM126:AM149)</f>
        <v>0</v>
      </c>
      <c r="AN150" s="216"/>
    </row>
    <row r="151" spans="2:40">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c r="AA151" s="216"/>
      <c r="AB151" s="216"/>
      <c r="AC151" s="216"/>
      <c r="AD151" s="216"/>
      <c r="AE151" s="216"/>
      <c r="AF151" s="216"/>
      <c r="AG151" s="216"/>
      <c r="AH151" s="216"/>
      <c r="AI151" s="216"/>
      <c r="AJ151" s="216"/>
      <c r="AK151" s="216"/>
      <c r="AL151" s="216"/>
      <c r="AM151" s="216"/>
      <c r="AN151" s="216"/>
    </row>
    <row r="152" spans="2:40">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c r="AA152" s="216"/>
      <c r="AB152" s="216"/>
      <c r="AC152" s="216"/>
      <c r="AD152" s="216"/>
      <c r="AE152" s="216"/>
      <c r="AF152" s="216"/>
      <c r="AG152" s="216"/>
      <c r="AH152" s="216"/>
      <c r="AI152" s="216"/>
      <c r="AJ152" s="216"/>
      <c r="AK152" s="216"/>
      <c r="AL152" s="216"/>
      <c r="AM152" s="216"/>
      <c r="AN152" s="216"/>
    </row>
    <row r="153" spans="2:40">
      <c r="B153" s="216"/>
      <c r="C153" s="216"/>
      <c r="D153" s="216"/>
      <c r="E153" s="216"/>
      <c r="F153" s="216"/>
      <c r="G153" s="216"/>
      <c r="H153" s="216"/>
      <c r="I153" s="216"/>
      <c r="J153" s="216"/>
      <c r="K153" s="216"/>
      <c r="L153" s="216"/>
      <c r="M153" s="216"/>
      <c r="N153" s="216"/>
      <c r="O153" s="216"/>
      <c r="P153" s="216"/>
      <c r="Q153" s="216"/>
      <c r="R153" s="216"/>
      <c r="S153" s="216"/>
      <c r="T153" s="216"/>
      <c r="U153" s="216"/>
      <c r="V153" s="216"/>
      <c r="W153" s="216"/>
      <c r="X153" s="216"/>
      <c r="Y153" s="216"/>
      <c r="Z153" s="216"/>
      <c r="AA153" s="216"/>
      <c r="AB153" s="216"/>
      <c r="AC153" s="216"/>
      <c r="AD153" s="216"/>
      <c r="AE153" s="216"/>
      <c r="AF153" s="216"/>
      <c r="AG153" s="216"/>
      <c r="AH153" s="216"/>
      <c r="AI153" s="216"/>
      <c r="AJ153" s="216"/>
      <c r="AK153" s="216"/>
      <c r="AL153" s="216"/>
      <c r="AM153" s="216"/>
      <c r="AN153" s="216"/>
    </row>
    <row r="154" spans="2:40">
      <c r="B154" s="216"/>
      <c r="C154" s="216"/>
      <c r="D154" s="277"/>
      <c r="E154" s="216"/>
      <c r="F154" s="216"/>
      <c r="G154" s="216"/>
      <c r="H154" s="216"/>
      <c r="I154" s="216"/>
      <c r="J154" s="216"/>
      <c r="K154" s="216"/>
      <c r="L154" s="216"/>
      <c r="M154" s="216"/>
      <c r="N154" s="216"/>
      <c r="O154" s="216"/>
      <c r="P154" s="216"/>
      <c r="Q154" s="216"/>
      <c r="R154" s="216"/>
      <c r="S154" s="216"/>
      <c r="T154" s="216"/>
      <c r="U154" s="216"/>
      <c r="V154" s="216"/>
      <c r="W154" s="216"/>
      <c r="X154" s="216"/>
      <c r="Y154" s="216"/>
      <c r="Z154" s="216"/>
      <c r="AA154" s="216"/>
      <c r="AB154" s="216"/>
      <c r="AC154" s="216"/>
      <c r="AD154" s="216"/>
      <c r="AE154" s="216"/>
      <c r="AF154" s="216"/>
      <c r="AG154" s="216"/>
      <c r="AH154" s="216"/>
      <c r="AI154" s="216"/>
      <c r="AJ154" s="216"/>
      <c r="AK154" s="216"/>
      <c r="AL154" s="216"/>
      <c r="AM154" s="216"/>
      <c r="AN154" s="216"/>
    </row>
    <row r="155" spans="2:40">
      <c r="B155" s="216"/>
      <c r="C155" s="216"/>
      <c r="D155" s="277"/>
      <c r="E155" s="216"/>
      <c r="F155" s="216"/>
      <c r="G155" s="216"/>
      <c r="H155" s="216"/>
      <c r="I155" s="216"/>
      <c r="J155" s="216"/>
      <c r="K155" s="216"/>
      <c r="L155" s="216"/>
      <c r="M155" s="216"/>
      <c r="N155" s="216"/>
      <c r="O155" s="216"/>
      <c r="P155" s="216"/>
      <c r="Q155" s="216"/>
      <c r="R155" s="216"/>
      <c r="S155" s="216"/>
      <c r="T155" s="216"/>
      <c r="U155" s="216"/>
      <c r="V155" s="216"/>
      <c r="W155" s="216"/>
      <c r="X155" s="216"/>
      <c r="Y155" s="216"/>
      <c r="Z155" s="216"/>
      <c r="AA155" s="216"/>
      <c r="AB155" s="216"/>
      <c r="AC155" s="216"/>
      <c r="AD155" s="216"/>
      <c r="AE155" s="216"/>
      <c r="AF155" s="216"/>
      <c r="AG155" s="216"/>
      <c r="AH155" s="216"/>
      <c r="AI155" s="216"/>
      <c r="AJ155" s="216"/>
      <c r="AK155" s="216"/>
      <c r="AL155" s="216"/>
      <c r="AM155" s="216"/>
      <c r="AN155" s="216"/>
    </row>
    <row r="156" spans="2:40" ht="15.75">
      <c r="B156" s="216"/>
      <c r="C156" s="216"/>
      <c r="D156" s="278" t="s">
        <v>281</v>
      </c>
      <c r="E156" s="216"/>
      <c r="F156" s="216"/>
      <c r="G156" s="216"/>
      <c r="H156" s="216"/>
      <c r="I156" s="216"/>
      <c r="J156" s="216"/>
      <c r="K156" s="216"/>
      <c r="L156" s="216"/>
      <c r="M156" s="216"/>
      <c r="N156" s="216"/>
      <c r="O156" s="216"/>
      <c r="P156" s="216"/>
      <c r="Q156" s="216"/>
    </row>
    <row r="157" spans="2:40" ht="27" customHeight="1" thickBot="1">
      <c r="B157" s="216"/>
      <c r="C157" s="216"/>
      <c r="D157" s="279" t="s">
        <v>401</v>
      </c>
      <c r="E157" s="280"/>
      <c r="F157" s="280"/>
      <c r="G157" s="281"/>
      <c r="H157" s="282"/>
      <c r="I157" s="216"/>
      <c r="J157" s="216"/>
      <c r="K157" s="216"/>
      <c r="L157" s="216"/>
      <c r="M157" s="216"/>
      <c r="N157" s="216"/>
      <c r="O157" s="216"/>
      <c r="P157" s="216"/>
      <c r="Q157" s="216"/>
    </row>
    <row r="158" spans="2:40" ht="45">
      <c r="B158" s="216"/>
      <c r="C158" s="216"/>
      <c r="D158" s="163" t="s">
        <v>251</v>
      </c>
      <c r="E158" s="164" t="s">
        <v>340</v>
      </c>
      <c r="F158" s="163" t="s">
        <v>252</v>
      </c>
      <c r="G158" s="163" t="s">
        <v>250</v>
      </c>
      <c r="H158" s="163" t="s">
        <v>253</v>
      </c>
      <c r="I158" s="216"/>
      <c r="J158" s="179" t="s">
        <v>422</v>
      </c>
      <c r="K158" s="179" t="s">
        <v>424</v>
      </c>
      <c r="L158" s="124" t="s">
        <v>359</v>
      </c>
      <c r="M158" s="123"/>
      <c r="N158" s="123"/>
      <c r="O158" s="123"/>
      <c r="P158" s="123"/>
      <c r="Q158" s="216"/>
    </row>
    <row r="159" spans="2:40" ht="26.25" customHeight="1" thickBot="1">
      <c r="B159" s="216"/>
      <c r="C159" s="216"/>
      <c r="D159" s="165"/>
      <c r="E159" s="166" t="s">
        <v>342</v>
      </c>
      <c r="F159" s="167" t="s">
        <v>341</v>
      </c>
      <c r="G159" s="166"/>
      <c r="H159" s="166" t="s">
        <v>339</v>
      </c>
      <c r="I159" s="216"/>
      <c r="J159" s="180" t="s">
        <v>207</v>
      </c>
      <c r="K159" s="180" t="s">
        <v>207</v>
      </c>
      <c r="L159" s="124" t="s">
        <v>427</v>
      </c>
      <c r="M159" s="123"/>
      <c r="N159" s="123"/>
      <c r="O159" s="123"/>
      <c r="P159" s="123"/>
      <c r="Q159" s="216"/>
    </row>
    <row r="160" spans="2:40" ht="29.25" customHeight="1" thickBot="1">
      <c r="B160" s="168" t="s">
        <v>399</v>
      </c>
      <c r="C160" s="156" t="e">
        <f>+#REF!</f>
        <v>#REF!</v>
      </c>
      <c r="D160" s="157" t="e">
        <f>INDEX(D161:D186,$C$160)</f>
        <v>#REF!</v>
      </c>
      <c r="E160" s="159" t="e">
        <f>INDEX(E161:E186,$C$160)</f>
        <v>#REF!</v>
      </c>
      <c r="F160" s="182" t="e">
        <f>INDEX(F161:F186,$C$160)</f>
        <v>#REF!</v>
      </c>
      <c r="G160" s="159" t="e">
        <f>INDEX(G161:G186,$C$160)</f>
        <v>#REF!</v>
      </c>
      <c r="H160" s="160" t="e">
        <f>INDEX(H161:H186,$C$160)</f>
        <v>#REF!</v>
      </c>
      <c r="I160" s="216"/>
      <c r="J160" s="283" t="e">
        <f>INDEX(J161:J186,$C$160)</f>
        <v>#REF!</v>
      </c>
      <c r="K160" s="283" t="e">
        <f>INDEX(K161:K186,$C$160)</f>
        <v>#REF!</v>
      </c>
      <c r="L160" s="294" t="s">
        <v>400</v>
      </c>
      <c r="M160" s="216"/>
      <c r="N160" s="216"/>
      <c r="O160" s="216"/>
      <c r="P160" s="216"/>
      <c r="Q160" s="216"/>
    </row>
    <row r="161" spans="2:17" ht="30" customHeight="1">
      <c r="B161" s="216"/>
      <c r="C161" s="216"/>
      <c r="D161" s="284" t="s">
        <v>254</v>
      </c>
      <c r="E161" s="285" t="s">
        <v>343</v>
      </c>
      <c r="F161" s="286">
        <v>0.4</v>
      </c>
      <c r="G161" s="287" t="s">
        <v>255</v>
      </c>
      <c r="H161" s="288">
        <v>30</v>
      </c>
      <c r="I161" s="216"/>
      <c r="J161" s="289">
        <v>60</v>
      </c>
      <c r="K161" s="289">
        <v>13.5</v>
      </c>
      <c r="L161" s="294" t="s">
        <v>402</v>
      </c>
      <c r="M161" s="216"/>
      <c r="N161" s="216"/>
      <c r="O161" s="216"/>
      <c r="P161" s="216"/>
      <c r="Q161" s="216"/>
    </row>
    <row r="162" spans="2:17" ht="30" customHeight="1">
      <c r="B162" s="216"/>
      <c r="C162" s="216"/>
      <c r="D162" s="290" t="s">
        <v>256</v>
      </c>
      <c r="E162" s="251" t="s">
        <v>344</v>
      </c>
      <c r="F162" s="291">
        <v>8</v>
      </c>
      <c r="G162" s="292" t="s">
        <v>257</v>
      </c>
      <c r="H162" s="293">
        <v>530</v>
      </c>
      <c r="I162" s="216"/>
      <c r="J162" s="214">
        <v>60</v>
      </c>
      <c r="K162" s="214">
        <v>13.5</v>
      </c>
      <c r="L162" s="216"/>
      <c r="M162" s="216"/>
      <c r="N162" s="216"/>
      <c r="O162" s="216"/>
      <c r="P162" s="216"/>
      <c r="Q162" s="216"/>
    </row>
    <row r="163" spans="2:17" ht="30" customHeight="1">
      <c r="B163" s="216"/>
      <c r="C163" s="216"/>
      <c r="D163" s="290" t="s">
        <v>258</v>
      </c>
      <c r="E163" s="251" t="s">
        <v>343</v>
      </c>
      <c r="F163" s="291">
        <v>0.5</v>
      </c>
      <c r="G163" s="292" t="s">
        <v>259</v>
      </c>
      <c r="H163" s="293">
        <v>170</v>
      </c>
      <c r="I163" s="216"/>
      <c r="J163" s="214">
        <v>60</v>
      </c>
      <c r="K163" s="214">
        <v>13.5</v>
      </c>
      <c r="L163" s="216"/>
      <c r="M163" s="216"/>
      <c r="N163" s="216"/>
      <c r="O163" s="216"/>
      <c r="P163" s="216"/>
      <c r="Q163" s="216"/>
    </row>
    <row r="164" spans="2:17" ht="30" customHeight="1">
      <c r="B164" s="216"/>
      <c r="C164" s="216"/>
      <c r="D164" s="290" t="s">
        <v>260</v>
      </c>
      <c r="E164" s="251" t="s">
        <v>343</v>
      </c>
      <c r="F164" s="291">
        <v>1.5</v>
      </c>
      <c r="G164" s="292" t="s">
        <v>259</v>
      </c>
      <c r="H164" s="293">
        <v>500</v>
      </c>
      <c r="I164" s="216"/>
      <c r="J164" s="214">
        <v>60</v>
      </c>
      <c r="K164" s="214">
        <v>13.5</v>
      </c>
      <c r="L164" s="216"/>
      <c r="M164" s="216"/>
      <c r="N164" s="216"/>
      <c r="O164" s="216"/>
      <c r="P164" s="216"/>
      <c r="Q164" s="216"/>
    </row>
    <row r="165" spans="2:17" ht="30" customHeight="1">
      <c r="B165" s="216"/>
      <c r="C165" s="216"/>
      <c r="D165" s="290" t="s">
        <v>261</v>
      </c>
      <c r="E165" s="251" t="s">
        <v>345</v>
      </c>
      <c r="F165" s="291">
        <v>1</v>
      </c>
      <c r="G165" s="292" t="s">
        <v>262</v>
      </c>
      <c r="H165" s="293">
        <v>10</v>
      </c>
      <c r="I165" s="216"/>
      <c r="J165" s="214">
        <v>60</v>
      </c>
      <c r="K165" s="214">
        <v>13.5</v>
      </c>
      <c r="L165" s="216"/>
      <c r="M165" s="216"/>
      <c r="N165" s="216"/>
      <c r="O165" s="216"/>
      <c r="P165" s="216"/>
      <c r="Q165" s="216"/>
    </row>
    <row r="166" spans="2:17" ht="30" customHeight="1">
      <c r="B166" s="216"/>
      <c r="C166" s="216"/>
      <c r="D166" s="290" t="s">
        <v>263</v>
      </c>
      <c r="E166" s="251" t="s">
        <v>345</v>
      </c>
      <c r="F166" s="291">
        <v>1.5</v>
      </c>
      <c r="G166" s="292" t="s">
        <v>454</v>
      </c>
      <c r="H166" s="293">
        <v>75</v>
      </c>
      <c r="I166" s="216"/>
      <c r="J166" s="214">
        <v>60</v>
      </c>
      <c r="K166" s="214">
        <v>13.5</v>
      </c>
      <c r="L166" s="216"/>
      <c r="M166" s="216"/>
      <c r="N166" s="216"/>
      <c r="O166" s="216"/>
      <c r="P166" s="216"/>
      <c r="Q166" s="216"/>
    </row>
    <row r="167" spans="2:17" ht="30" customHeight="1">
      <c r="B167" s="216"/>
      <c r="C167" s="216"/>
      <c r="D167" s="290" t="s">
        <v>264</v>
      </c>
      <c r="E167" s="251" t="s">
        <v>344</v>
      </c>
      <c r="F167" s="291">
        <v>1.5</v>
      </c>
      <c r="G167" s="292" t="s">
        <v>265</v>
      </c>
      <c r="H167" s="293">
        <v>190</v>
      </c>
      <c r="I167" s="216"/>
      <c r="J167" s="214">
        <v>60</v>
      </c>
      <c r="K167" s="214">
        <v>13.5</v>
      </c>
      <c r="L167" s="216"/>
      <c r="M167" s="216"/>
      <c r="N167" s="216"/>
      <c r="O167" s="216"/>
      <c r="P167" s="216"/>
      <c r="Q167" s="216"/>
    </row>
    <row r="168" spans="2:17" ht="30" customHeight="1">
      <c r="B168" s="216"/>
      <c r="C168" s="216"/>
      <c r="D168" s="290" t="s">
        <v>266</v>
      </c>
      <c r="E168" s="251" t="s">
        <v>344</v>
      </c>
      <c r="F168" s="291">
        <v>4.5</v>
      </c>
      <c r="G168" s="292" t="s">
        <v>265</v>
      </c>
      <c r="H168" s="293">
        <v>450</v>
      </c>
      <c r="I168" s="216"/>
      <c r="J168" s="214">
        <v>60</v>
      </c>
      <c r="K168" s="214">
        <v>13.5</v>
      </c>
      <c r="L168" s="216"/>
      <c r="M168" s="216"/>
      <c r="N168" s="216"/>
      <c r="O168" s="216"/>
      <c r="P168" s="216"/>
      <c r="Q168" s="216"/>
    </row>
    <row r="169" spans="2:17" ht="30" customHeight="1">
      <c r="B169" s="216"/>
      <c r="C169" s="216"/>
      <c r="D169" s="290" t="s">
        <v>267</v>
      </c>
      <c r="E169" s="251" t="s">
        <v>344</v>
      </c>
      <c r="F169" s="291">
        <v>7</v>
      </c>
      <c r="G169" s="292" t="s">
        <v>265</v>
      </c>
      <c r="H169" s="293">
        <v>580</v>
      </c>
      <c r="I169" s="216"/>
      <c r="J169" s="214">
        <v>60</v>
      </c>
      <c r="K169" s="214">
        <v>13.5</v>
      </c>
      <c r="L169" s="216"/>
      <c r="M169" s="216"/>
      <c r="N169" s="216"/>
      <c r="O169" s="216"/>
      <c r="P169" s="216"/>
      <c r="Q169" s="216"/>
    </row>
    <row r="170" spans="2:17" ht="30" customHeight="1">
      <c r="B170" s="216"/>
      <c r="C170" s="216"/>
      <c r="D170" s="290" t="s">
        <v>268</v>
      </c>
      <c r="E170" s="251" t="s">
        <v>344</v>
      </c>
      <c r="F170" s="291">
        <v>1.5</v>
      </c>
      <c r="G170" s="292" t="s">
        <v>269</v>
      </c>
      <c r="H170" s="293">
        <v>1250</v>
      </c>
      <c r="I170" s="216"/>
      <c r="J170" s="214">
        <v>60</v>
      </c>
      <c r="K170" s="214">
        <v>13.5</v>
      </c>
      <c r="L170" s="216"/>
      <c r="M170" s="216"/>
      <c r="N170" s="216"/>
      <c r="O170" s="216"/>
      <c r="P170" s="216"/>
      <c r="Q170" s="216"/>
    </row>
    <row r="171" spans="2:17" ht="30" customHeight="1">
      <c r="B171" s="216"/>
      <c r="C171" s="216"/>
      <c r="D171" s="290" t="s">
        <v>270</v>
      </c>
      <c r="E171" s="251" t="s">
        <v>343</v>
      </c>
      <c r="F171" s="291">
        <v>3.5</v>
      </c>
      <c r="G171" s="292" t="s">
        <v>271</v>
      </c>
      <c r="H171" s="293">
        <v>230</v>
      </c>
      <c r="I171" s="216"/>
      <c r="J171" s="214">
        <v>60</v>
      </c>
      <c r="K171" s="214">
        <v>13.5</v>
      </c>
      <c r="L171" s="216"/>
      <c r="M171" s="216"/>
      <c r="N171" s="216"/>
      <c r="O171" s="216"/>
      <c r="P171" s="216"/>
      <c r="Q171" s="216"/>
    </row>
    <row r="172" spans="2:17" ht="30" customHeight="1">
      <c r="B172" s="216"/>
      <c r="C172" s="216"/>
      <c r="D172" s="290" t="s">
        <v>272</v>
      </c>
      <c r="E172" s="251" t="s">
        <v>343</v>
      </c>
      <c r="F172" s="291">
        <v>1.5</v>
      </c>
      <c r="G172" s="292" t="s">
        <v>271</v>
      </c>
      <c r="H172" s="293">
        <v>150</v>
      </c>
      <c r="I172" s="216"/>
      <c r="J172" s="214">
        <v>60</v>
      </c>
      <c r="K172" s="214">
        <v>13.5</v>
      </c>
      <c r="L172" s="216"/>
      <c r="M172" s="216"/>
      <c r="N172" s="216"/>
      <c r="O172" s="216"/>
      <c r="P172" s="216"/>
      <c r="Q172" s="216"/>
    </row>
    <row r="173" spans="2:17" ht="30" customHeight="1">
      <c r="B173" s="216"/>
      <c r="C173" s="216"/>
      <c r="D173" s="161" t="s">
        <v>384</v>
      </c>
      <c r="E173" s="127" t="s">
        <v>342</v>
      </c>
      <c r="F173" s="183">
        <v>1</v>
      </c>
      <c r="G173" s="129" t="s">
        <v>389</v>
      </c>
      <c r="H173" s="162">
        <v>100</v>
      </c>
      <c r="I173" s="216"/>
      <c r="J173" s="214">
        <v>40</v>
      </c>
      <c r="K173" s="214">
        <v>15</v>
      </c>
      <c r="L173" s="216"/>
      <c r="M173" s="216"/>
      <c r="N173" s="216"/>
      <c r="O173" s="216"/>
      <c r="P173" s="216"/>
      <c r="Q173" s="216"/>
    </row>
    <row r="174" spans="2:17" ht="30" customHeight="1">
      <c r="B174" s="216"/>
      <c r="C174" s="216"/>
      <c r="D174" s="161" t="s">
        <v>385</v>
      </c>
      <c r="E174" s="127" t="s">
        <v>342</v>
      </c>
      <c r="F174" s="183">
        <v>2</v>
      </c>
      <c r="G174" s="129" t="s">
        <v>389</v>
      </c>
      <c r="H174" s="162">
        <v>200</v>
      </c>
      <c r="I174" s="216"/>
      <c r="J174" s="214">
        <v>40</v>
      </c>
      <c r="K174" s="214">
        <v>15</v>
      </c>
      <c r="L174" s="216"/>
      <c r="M174" s="216"/>
      <c r="N174" s="216"/>
      <c r="O174" s="216"/>
      <c r="P174" s="216"/>
      <c r="Q174" s="216"/>
    </row>
    <row r="175" spans="2:17" ht="30" customHeight="1">
      <c r="B175" s="216"/>
      <c r="C175" s="216"/>
      <c r="D175" s="161" t="s">
        <v>386</v>
      </c>
      <c r="E175" s="127" t="s">
        <v>342</v>
      </c>
      <c r="F175" s="183">
        <v>4</v>
      </c>
      <c r="G175" s="129" t="s">
        <v>389</v>
      </c>
      <c r="H175" s="162">
        <v>400</v>
      </c>
      <c r="I175" s="216"/>
      <c r="J175" s="214">
        <v>40</v>
      </c>
      <c r="K175" s="214">
        <v>15</v>
      </c>
      <c r="L175" s="216"/>
      <c r="M175" s="216"/>
      <c r="N175" s="216"/>
      <c r="O175" s="216"/>
      <c r="P175" s="216"/>
      <c r="Q175" s="216"/>
    </row>
    <row r="176" spans="2:17" ht="30" customHeight="1">
      <c r="B176" s="216"/>
      <c r="C176" s="216"/>
      <c r="D176" s="161" t="s">
        <v>387</v>
      </c>
      <c r="E176" s="127" t="s">
        <v>342</v>
      </c>
      <c r="F176" s="183">
        <v>8</v>
      </c>
      <c r="G176" s="129" t="s">
        <v>389</v>
      </c>
      <c r="H176" s="162">
        <v>800</v>
      </c>
      <c r="I176" s="216"/>
      <c r="J176" s="214">
        <v>40</v>
      </c>
      <c r="K176" s="214">
        <v>15</v>
      </c>
      <c r="L176" s="216"/>
      <c r="M176" s="216"/>
      <c r="N176" s="216"/>
      <c r="O176" s="216"/>
      <c r="P176" s="216"/>
      <c r="Q176" s="216"/>
    </row>
    <row r="177" spans="2:17" ht="30" customHeight="1">
      <c r="B177" s="216"/>
      <c r="C177" s="216"/>
      <c r="D177" s="161" t="s">
        <v>388</v>
      </c>
      <c r="E177" s="127" t="s">
        <v>342</v>
      </c>
      <c r="F177" s="183">
        <v>16</v>
      </c>
      <c r="G177" s="129" t="s">
        <v>389</v>
      </c>
      <c r="H177" s="162">
        <v>1600</v>
      </c>
      <c r="I177" s="216"/>
      <c r="J177" s="214">
        <v>40</v>
      </c>
      <c r="K177" s="214">
        <v>15</v>
      </c>
      <c r="L177" s="216"/>
      <c r="M177" s="216"/>
      <c r="N177" s="216"/>
      <c r="O177" s="216"/>
      <c r="P177" s="216"/>
      <c r="Q177" s="216"/>
    </row>
    <row r="178" spans="2:17" ht="30" customHeight="1">
      <c r="B178" s="216"/>
      <c r="C178" s="216"/>
      <c r="D178" s="290" t="s">
        <v>273</v>
      </c>
      <c r="E178" s="251" t="s">
        <v>343</v>
      </c>
      <c r="F178" s="291">
        <v>1.5</v>
      </c>
      <c r="G178" s="292" t="s">
        <v>274</v>
      </c>
      <c r="H178" s="293"/>
      <c r="I178" s="216"/>
      <c r="J178" s="214">
        <v>60</v>
      </c>
      <c r="K178" s="214">
        <v>13.5</v>
      </c>
      <c r="L178" s="216"/>
      <c r="M178" s="216"/>
      <c r="N178" s="216"/>
      <c r="O178" s="216"/>
      <c r="P178" s="216"/>
      <c r="Q178" s="216"/>
    </row>
    <row r="179" spans="2:17" ht="30" customHeight="1">
      <c r="B179" s="216"/>
      <c r="C179" s="216"/>
      <c r="D179" s="290" t="s">
        <v>347</v>
      </c>
      <c r="E179" s="251" t="s">
        <v>346</v>
      </c>
      <c r="F179" s="291">
        <v>0.4</v>
      </c>
      <c r="G179" s="292" t="s">
        <v>274</v>
      </c>
      <c r="H179" s="293"/>
      <c r="I179" s="216"/>
      <c r="J179" s="214">
        <v>60</v>
      </c>
      <c r="K179" s="214">
        <v>13.5</v>
      </c>
      <c r="L179" s="216"/>
      <c r="M179" s="216"/>
      <c r="N179" s="216"/>
      <c r="O179" s="216"/>
      <c r="P179" s="216"/>
      <c r="Q179" s="216"/>
    </row>
    <row r="180" spans="2:17" ht="30" customHeight="1">
      <c r="B180" s="216"/>
      <c r="C180" s="216"/>
      <c r="D180" s="290" t="s">
        <v>275</v>
      </c>
      <c r="E180" s="251" t="s">
        <v>345</v>
      </c>
      <c r="F180" s="291">
        <v>5</v>
      </c>
      <c r="G180" s="292" t="s">
        <v>274</v>
      </c>
      <c r="H180" s="293"/>
      <c r="I180" s="216"/>
      <c r="J180" s="214">
        <v>60</v>
      </c>
      <c r="K180" s="214">
        <v>13.5</v>
      </c>
      <c r="L180" s="216"/>
      <c r="M180" s="216"/>
      <c r="N180" s="216"/>
      <c r="O180" s="216"/>
      <c r="P180" s="216"/>
      <c r="Q180" s="216"/>
    </row>
    <row r="181" spans="2:17" ht="30" customHeight="1">
      <c r="B181" s="216"/>
      <c r="C181" s="216"/>
      <c r="D181" s="290" t="s">
        <v>276</v>
      </c>
      <c r="E181" s="251" t="s">
        <v>345</v>
      </c>
      <c r="F181" s="291">
        <v>8</v>
      </c>
      <c r="G181" s="292" t="s">
        <v>274</v>
      </c>
      <c r="H181" s="293"/>
      <c r="I181" s="216"/>
      <c r="J181" s="214">
        <v>60</v>
      </c>
      <c r="K181" s="214">
        <v>13.5</v>
      </c>
      <c r="L181" s="216"/>
      <c r="M181" s="294" t="s">
        <v>352</v>
      </c>
      <c r="N181" s="216"/>
      <c r="O181" s="216"/>
      <c r="P181" s="216"/>
      <c r="Q181" s="216"/>
    </row>
    <row r="182" spans="2:17" ht="30" customHeight="1">
      <c r="B182" s="216"/>
      <c r="C182" s="216"/>
      <c r="D182" s="290" t="s">
        <v>277</v>
      </c>
      <c r="E182" s="251" t="s">
        <v>345</v>
      </c>
      <c r="F182" s="291">
        <v>18</v>
      </c>
      <c r="G182" s="292" t="s">
        <v>274</v>
      </c>
      <c r="H182" s="293"/>
      <c r="I182" s="216"/>
      <c r="J182" s="214">
        <v>60</v>
      </c>
      <c r="K182" s="214">
        <v>13.5</v>
      </c>
      <c r="L182" s="216"/>
      <c r="M182" s="216"/>
      <c r="N182" s="216"/>
      <c r="O182" s="216"/>
      <c r="P182" s="216"/>
      <c r="Q182" s="216"/>
    </row>
    <row r="183" spans="2:17" ht="30" customHeight="1">
      <c r="B183" s="216"/>
      <c r="C183" s="216"/>
      <c r="D183" s="290" t="s">
        <v>278</v>
      </c>
      <c r="E183" s="251" t="s">
        <v>348</v>
      </c>
      <c r="F183" s="291">
        <v>20</v>
      </c>
      <c r="G183" s="292" t="s">
        <v>274</v>
      </c>
      <c r="H183" s="293"/>
      <c r="I183" s="216"/>
      <c r="J183" s="214">
        <v>60</v>
      </c>
      <c r="K183" s="214">
        <v>13.5</v>
      </c>
      <c r="L183" s="216"/>
      <c r="M183" s="294" t="s">
        <v>351</v>
      </c>
      <c r="N183" s="216"/>
      <c r="O183" s="216"/>
      <c r="P183" s="216"/>
      <c r="Q183" s="216"/>
    </row>
    <row r="184" spans="2:17" ht="30" customHeight="1">
      <c r="B184" s="216"/>
      <c r="C184" s="216"/>
      <c r="D184" s="290" t="s">
        <v>279</v>
      </c>
      <c r="E184" s="251" t="s">
        <v>349</v>
      </c>
      <c r="F184" s="291">
        <v>15</v>
      </c>
      <c r="G184" s="292" t="s">
        <v>274</v>
      </c>
      <c r="H184" s="293"/>
      <c r="I184" s="216"/>
      <c r="J184" s="214">
        <v>60</v>
      </c>
      <c r="K184" s="214">
        <v>13.5</v>
      </c>
      <c r="L184" s="216"/>
      <c r="M184" s="216"/>
      <c r="N184" s="216"/>
      <c r="O184" s="216"/>
      <c r="P184" s="216"/>
      <c r="Q184" s="216"/>
    </row>
    <row r="185" spans="2:17" ht="30" customHeight="1">
      <c r="B185" s="216"/>
      <c r="C185" s="216"/>
      <c r="D185" s="290" t="s">
        <v>280</v>
      </c>
      <c r="E185" s="251" t="s">
        <v>350</v>
      </c>
      <c r="F185" s="291">
        <v>10</v>
      </c>
      <c r="G185" s="292" t="s">
        <v>274</v>
      </c>
      <c r="H185" s="293"/>
      <c r="I185" s="216"/>
      <c r="J185" s="214">
        <v>60</v>
      </c>
      <c r="K185" s="214">
        <v>13.5</v>
      </c>
      <c r="L185" s="216"/>
      <c r="M185" s="216"/>
      <c r="N185" s="216"/>
      <c r="O185" s="216"/>
      <c r="P185" s="216"/>
      <c r="Q185" s="216"/>
    </row>
    <row r="186" spans="2:17" ht="30" customHeight="1" thickBot="1">
      <c r="B186" s="216"/>
      <c r="C186" s="216"/>
      <c r="D186" s="315" t="s">
        <v>390</v>
      </c>
      <c r="E186" s="316" t="s">
        <v>214</v>
      </c>
      <c r="F186" s="317">
        <v>0</v>
      </c>
      <c r="G186" s="318" t="s">
        <v>274</v>
      </c>
      <c r="H186" s="319"/>
      <c r="I186" s="216"/>
      <c r="J186" s="214">
        <v>60</v>
      </c>
      <c r="K186" s="214">
        <v>13.5</v>
      </c>
      <c r="L186" s="216"/>
      <c r="M186" s="216"/>
      <c r="N186" s="216"/>
      <c r="O186" s="216"/>
      <c r="P186" s="216"/>
      <c r="Q186" s="216"/>
    </row>
    <row r="187" spans="2:17">
      <c r="B187" s="216"/>
      <c r="C187" s="216"/>
      <c r="D187" s="216"/>
      <c r="E187" s="216"/>
      <c r="F187" s="216"/>
      <c r="G187" s="216"/>
      <c r="H187" s="216"/>
      <c r="I187" s="216"/>
      <c r="J187" s="216"/>
      <c r="K187" s="216"/>
      <c r="L187" s="216"/>
      <c r="M187" s="216"/>
      <c r="N187" s="216"/>
      <c r="O187" s="216"/>
      <c r="P187" s="216"/>
      <c r="Q187" s="216"/>
    </row>
    <row r="188" spans="2:17">
      <c r="B188" s="216"/>
      <c r="C188" s="216"/>
      <c r="D188" s="313" t="s">
        <v>492</v>
      </c>
      <c r="E188" s="216"/>
      <c r="F188" s="216"/>
      <c r="G188" s="216"/>
      <c r="H188" s="216"/>
      <c r="I188" s="216"/>
      <c r="J188" s="216"/>
      <c r="K188" s="216"/>
      <c r="L188" s="216"/>
      <c r="M188" s="216"/>
      <c r="N188" s="216"/>
      <c r="O188" s="216"/>
      <c r="P188" s="216"/>
      <c r="Q188" s="216"/>
    </row>
    <row r="189" spans="2:17">
      <c r="B189" s="216"/>
      <c r="C189" s="216"/>
      <c r="D189" s="216"/>
      <c r="E189" s="216"/>
      <c r="F189" s="216"/>
      <c r="G189" s="216"/>
      <c r="H189" s="216"/>
      <c r="I189" s="216"/>
      <c r="J189" s="216"/>
      <c r="K189" s="216"/>
      <c r="L189" s="216"/>
      <c r="M189" s="216"/>
      <c r="N189" s="216"/>
      <c r="O189" s="216"/>
      <c r="P189" s="216"/>
      <c r="Q189" s="216"/>
    </row>
    <row r="190" spans="2:17">
      <c r="B190" s="216"/>
      <c r="C190" s="216"/>
      <c r="D190" s="216"/>
      <c r="E190" s="216"/>
      <c r="F190" s="216"/>
      <c r="G190" s="216"/>
      <c r="H190" s="216"/>
      <c r="I190" s="216"/>
      <c r="J190" s="216"/>
      <c r="K190" s="216"/>
      <c r="L190" s="216"/>
      <c r="M190" s="216"/>
      <c r="N190" s="216"/>
      <c r="O190" s="216"/>
      <c r="P190" s="216"/>
      <c r="Q190" s="216"/>
    </row>
    <row r="191" spans="2:17" ht="15.75" thickBot="1">
      <c r="B191" s="216"/>
      <c r="C191" s="216"/>
      <c r="D191" s="314" t="s">
        <v>282</v>
      </c>
      <c r="E191" s="216"/>
      <c r="F191" s="216"/>
      <c r="G191" s="216"/>
      <c r="H191" s="216"/>
      <c r="I191" s="216"/>
      <c r="J191" s="216"/>
      <c r="K191" s="216"/>
      <c r="L191" s="216"/>
      <c r="M191" s="216"/>
      <c r="N191" s="216"/>
      <c r="O191" s="216"/>
      <c r="P191" s="216"/>
      <c r="Q191" s="216"/>
    </row>
    <row r="192" spans="2:17" ht="52.5" customHeight="1">
      <c r="B192" s="216"/>
      <c r="C192" s="216"/>
      <c r="D192" s="174" t="s">
        <v>283</v>
      </c>
      <c r="E192" s="175" t="s">
        <v>421</v>
      </c>
      <c r="F192" s="176" t="s">
        <v>420</v>
      </c>
      <c r="G192" s="216"/>
      <c r="H192" s="179" t="s">
        <v>422</v>
      </c>
      <c r="I192" s="179" t="s">
        <v>424</v>
      </c>
      <c r="J192" s="294" t="s">
        <v>423</v>
      </c>
      <c r="K192" s="216"/>
      <c r="L192" s="216"/>
      <c r="M192" s="216"/>
      <c r="N192" s="216"/>
      <c r="O192" s="216"/>
      <c r="P192" s="216"/>
      <c r="Q192" s="216"/>
    </row>
    <row r="193" spans="2:17" ht="21.75" customHeight="1" thickBot="1">
      <c r="B193" s="216"/>
      <c r="C193" s="216"/>
      <c r="D193" s="177"/>
      <c r="E193" s="165"/>
      <c r="F193" s="178" t="s">
        <v>419</v>
      </c>
      <c r="G193" s="216"/>
      <c r="H193" s="180" t="s">
        <v>207</v>
      </c>
      <c r="I193" s="180" t="s">
        <v>207</v>
      </c>
      <c r="J193" s="216"/>
      <c r="K193" s="216"/>
      <c r="L193" s="216"/>
      <c r="M193" s="216"/>
      <c r="N193" s="216"/>
      <c r="O193" s="216"/>
      <c r="P193" s="216"/>
      <c r="Q193" s="216"/>
    </row>
    <row r="194" spans="2:17" ht="24.75" customHeight="1" thickBot="1">
      <c r="B194" s="168" t="s">
        <v>399</v>
      </c>
      <c r="C194" s="156">
        <v>8</v>
      </c>
      <c r="D194" s="169" t="str">
        <f>INDEX(D195:D227,$C194)</f>
        <v xml:space="preserve">Offices </v>
      </c>
      <c r="E194" s="159" t="str">
        <f>INDEX(E195:E227,$C194)</f>
        <v>Employees</v>
      </c>
      <c r="F194" s="160">
        <f>INDEX(F195:F227,$C194)</f>
        <v>0</v>
      </c>
      <c r="G194" s="216"/>
      <c r="H194" s="283">
        <f>INDEX(H195:H227,$C194)</f>
        <v>60</v>
      </c>
      <c r="I194" s="283">
        <f>INDEX(I195:I227,$C194)</f>
        <v>13.5</v>
      </c>
      <c r="J194" s="216"/>
      <c r="K194" s="216"/>
      <c r="L194" s="216"/>
      <c r="M194" s="216"/>
      <c r="N194" s="216"/>
      <c r="O194" s="216"/>
      <c r="P194" s="216"/>
      <c r="Q194" s="216"/>
    </row>
    <row r="195" spans="2:17">
      <c r="B195" s="216"/>
      <c r="C195" s="216"/>
      <c r="D195" s="326" t="s">
        <v>441</v>
      </c>
      <c r="E195" s="320" t="s">
        <v>425</v>
      </c>
      <c r="F195" s="321" t="s">
        <v>440</v>
      </c>
      <c r="G195" s="216"/>
      <c r="H195" s="289">
        <v>60</v>
      </c>
      <c r="I195" s="289">
        <v>13.5</v>
      </c>
      <c r="J195" s="294" t="s">
        <v>403</v>
      </c>
      <c r="K195" s="216"/>
      <c r="L195" s="216"/>
      <c r="M195" s="216"/>
      <c r="N195" s="216"/>
      <c r="O195" s="216"/>
      <c r="P195" s="216"/>
      <c r="Q195" s="216"/>
    </row>
    <row r="196" spans="2:17">
      <c r="B196" s="216"/>
      <c r="C196" s="216"/>
      <c r="D196" s="326" t="s">
        <v>442</v>
      </c>
      <c r="E196" s="320" t="s">
        <v>425</v>
      </c>
      <c r="F196" s="321" t="s">
        <v>440</v>
      </c>
      <c r="G196" s="216"/>
      <c r="H196" s="289">
        <v>60</v>
      </c>
      <c r="I196" s="289">
        <v>13.5</v>
      </c>
      <c r="J196" s="294" t="s">
        <v>403</v>
      </c>
      <c r="K196" s="216"/>
      <c r="L196" s="216"/>
      <c r="M196" s="216"/>
      <c r="N196" s="216"/>
      <c r="O196" s="216"/>
      <c r="P196" s="216"/>
      <c r="Q196" s="216"/>
    </row>
    <row r="197" spans="2:17">
      <c r="B197" s="216"/>
      <c r="C197" s="216"/>
      <c r="D197" s="323" t="s">
        <v>284</v>
      </c>
      <c r="E197" s="322" t="s">
        <v>355</v>
      </c>
      <c r="F197" s="251">
        <v>28</v>
      </c>
      <c r="G197" s="216"/>
      <c r="H197" s="214">
        <v>60</v>
      </c>
      <c r="I197" s="214">
        <v>13.5</v>
      </c>
      <c r="J197" s="216"/>
      <c r="K197" s="216"/>
      <c r="L197" s="216"/>
      <c r="M197" s="216"/>
      <c r="N197" s="216"/>
      <c r="O197" s="216"/>
      <c r="P197" s="216"/>
      <c r="Q197" s="216"/>
    </row>
    <row r="198" spans="2:17" ht="25.5">
      <c r="B198" s="216"/>
      <c r="C198" s="216"/>
      <c r="D198" s="323" t="s">
        <v>285</v>
      </c>
      <c r="E198" s="322" t="s">
        <v>355</v>
      </c>
      <c r="F198" s="251">
        <v>10</v>
      </c>
      <c r="G198" s="216"/>
      <c r="H198" s="214">
        <v>60</v>
      </c>
      <c r="I198" s="214">
        <v>13.5</v>
      </c>
      <c r="J198" s="216"/>
      <c r="K198" s="216"/>
      <c r="L198" s="216"/>
      <c r="M198" s="216"/>
      <c r="N198" s="216"/>
      <c r="O198" s="216"/>
      <c r="P198" s="216"/>
      <c r="Q198" s="216"/>
    </row>
    <row r="199" spans="2:17" ht="38.25">
      <c r="B199" s="216"/>
      <c r="C199" s="216"/>
      <c r="D199" s="323" t="s">
        <v>332</v>
      </c>
      <c r="E199" s="322" t="s">
        <v>355</v>
      </c>
      <c r="F199" s="251">
        <v>56</v>
      </c>
      <c r="G199" s="216"/>
      <c r="H199" s="214">
        <v>60</v>
      </c>
      <c r="I199" s="214">
        <v>13.5</v>
      </c>
      <c r="J199" s="216"/>
      <c r="K199" s="216"/>
      <c r="L199" s="216"/>
      <c r="M199" s="216"/>
      <c r="N199" s="216"/>
      <c r="O199" s="216"/>
      <c r="P199" s="216"/>
      <c r="Q199" s="216"/>
    </row>
    <row r="200" spans="2:17" ht="38.25">
      <c r="B200" s="216"/>
      <c r="C200" s="216"/>
      <c r="D200" s="323" t="s">
        <v>333</v>
      </c>
      <c r="E200" s="322" t="s">
        <v>355</v>
      </c>
      <c r="F200" s="251">
        <v>88</v>
      </c>
      <c r="G200" s="216"/>
      <c r="H200" s="214">
        <v>60</v>
      </c>
      <c r="I200" s="214">
        <v>13.5</v>
      </c>
      <c r="J200" s="216"/>
      <c r="K200" s="216"/>
      <c r="L200" s="216"/>
      <c r="M200" s="216"/>
      <c r="N200" s="216"/>
      <c r="O200" s="216"/>
      <c r="P200" s="216"/>
      <c r="Q200" s="216"/>
    </row>
    <row r="201" spans="2:17">
      <c r="B201" s="216"/>
      <c r="C201" s="216"/>
      <c r="D201" s="323" t="s">
        <v>286</v>
      </c>
      <c r="E201" s="322" t="s">
        <v>356</v>
      </c>
      <c r="F201" s="323">
        <v>0</v>
      </c>
      <c r="G201" s="216"/>
      <c r="H201" s="214">
        <v>60</v>
      </c>
      <c r="I201" s="214">
        <v>13.5</v>
      </c>
      <c r="J201" s="216"/>
      <c r="K201" s="216"/>
      <c r="L201" s="216"/>
      <c r="M201" s="216"/>
      <c r="N201" s="216"/>
      <c r="O201" s="216"/>
      <c r="P201" s="216"/>
      <c r="Q201" s="216"/>
    </row>
    <row r="202" spans="2:17" ht="38.25" customHeight="1">
      <c r="B202" s="216"/>
      <c r="C202" s="216"/>
      <c r="D202" s="323" t="s">
        <v>110</v>
      </c>
      <c r="E202" s="322" t="s">
        <v>357</v>
      </c>
      <c r="F202" s="323">
        <v>0</v>
      </c>
      <c r="G202" s="216"/>
      <c r="H202" s="214">
        <v>60</v>
      </c>
      <c r="I202" s="214">
        <v>13.5</v>
      </c>
      <c r="J202" s="216"/>
      <c r="K202" s="216"/>
      <c r="L202" s="216"/>
      <c r="M202" s="216"/>
      <c r="N202" s="216"/>
      <c r="O202" s="216"/>
      <c r="P202" s="216"/>
      <c r="Q202" s="216"/>
    </row>
    <row r="203" spans="2:17" ht="25.5">
      <c r="B203" s="216"/>
      <c r="C203" s="216"/>
      <c r="D203" s="323" t="s">
        <v>287</v>
      </c>
      <c r="E203" s="324" t="s">
        <v>358</v>
      </c>
      <c r="F203" s="325">
        <v>0</v>
      </c>
      <c r="G203" s="216"/>
      <c r="H203" s="214">
        <v>60</v>
      </c>
      <c r="I203" s="214">
        <v>13.5</v>
      </c>
      <c r="J203" s="216"/>
      <c r="K203" s="216"/>
      <c r="L203" s="216"/>
      <c r="M203" s="216"/>
      <c r="N203" s="216"/>
      <c r="O203" s="216"/>
      <c r="P203" s="216"/>
      <c r="Q203" s="216"/>
    </row>
    <row r="204" spans="2:17">
      <c r="B204" s="216"/>
      <c r="C204" s="216"/>
      <c r="D204" s="323" t="s">
        <v>288</v>
      </c>
      <c r="E204" s="324" t="s">
        <v>357</v>
      </c>
      <c r="F204" s="325">
        <v>0</v>
      </c>
      <c r="G204" s="216"/>
      <c r="H204" s="214">
        <v>60</v>
      </c>
      <c r="I204" s="214">
        <v>13.5</v>
      </c>
      <c r="J204" s="216"/>
      <c r="K204" s="216"/>
      <c r="L204" s="216"/>
      <c r="M204" s="216"/>
      <c r="N204" s="216"/>
      <c r="O204" s="216"/>
      <c r="P204" s="216"/>
      <c r="Q204" s="216"/>
    </row>
    <row r="205" spans="2:17" ht="25.5">
      <c r="B205" s="216"/>
      <c r="C205" s="216"/>
      <c r="D205" s="323" t="s">
        <v>289</v>
      </c>
      <c r="E205" s="322" t="s">
        <v>418</v>
      </c>
      <c r="F205" s="251">
        <v>21</v>
      </c>
      <c r="G205" s="216"/>
      <c r="H205" s="214">
        <v>60</v>
      </c>
      <c r="I205" s="214">
        <v>13.5</v>
      </c>
      <c r="J205" s="216"/>
      <c r="K205" s="216"/>
      <c r="L205" s="216"/>
      <c r="M205" s="216"/>
      <c r="N205" s="216"/>
      <c r="O205" s="216"/>
      <c r="P205" s="216"/>
      <c r="Q205" s="216"/>
    </row>
    <row r="206" spans="2:17" ht="25.5">
      <c r="B206" s="216"/>
      <c r="C206" s="216"/>
      <c r="D206" s="323" t="s">
        <v>290</v>
      </c>
      <c r="E206" s="322" t="s">
        <v>418</v>
      </c>
      <c r="F206" s="251">
        <v>8</v>
      </c>
      <c r="G206" s="216"/>
      <c r="H206" s="214">
        <v>60</v>
      </c>
      <c r="I206" s="214">
        <v>13.5</v>
      </c>
      <c r="J206" s="216"/>
      <c r="K206" s="216"/>
      <c r="L206" s="216"/>
      <c r="M206" s="216"/>
      <c r="N206" s="216"/>
      <c r="O206" s="216"/>
      <c r="P206" s="216"/>
      <c r="Q206" s="216"/>
    </row>
    <row r="207" spans="2:17" ht="25.5">
      <c r="B207" s="216"/>
      <c r="C207" s="216"/>
      <c r="D207" s="323" t="s">
        <v>291</v>
      </c>
      <c r="E207" s="322" t="s">
        <v>418</v>
      </c>
      <c r="F207" s="251">
        <v>10</v>
      </c>
      <c r="G207" s="216"/>
      <c r="H207" s="214">
        <v>60</v>
      </c>
      <c r="I207" s="214">
        <v>13.5</v>
      </c>
      <c r="J207" s="216"/>
      <c r="K207" s="216"/>
      <c r="L207" s="216"/>
      <c r="M207" s="216"/>
      <c r="N207" s="216"/>
      <c r="O207" s="216"/>
      <c r="P207" s="216"/>
      <c r="Q207" s="216"/>
    </row>
    <row r="208" spans="2:17" ht="25.5">
      <c r="B208" s="216"/>
      <c r="C208" s="216"/>
      <c r="D208" s="323" t="s">
        <v>292</v>
      </c>
      <c r="E208" s="322" t="s">
        <v>418</v>
      </c>
      <c r="F208" s="251">
        <v>4</v>
      </c>
      <c r="G208" s="216"/>
      <c r="H208" s="214">
        <v>60</v>
      </c>
      <c r="I208" s="214">
        <v>13.5</v>
      </c>
      <c r="J208" s="216"/>
      <c r="K208" s="216"/>
      <c r="L208" s="216"/>
      <c r="M208" s="216"/>
      <c r="N208" s="216"/>
      <c r="O208" s="216"/>
      <c r="P208" s="216"/>
      <c r="Q208" s="216"/>
    </row>
    <row r="209" spans="2:17" ht="25.5">
      <c r="B209" s="216"/>
      <c r="C209" s="216"/>
      <c r="D209" s="323" t="s">
        <v>293</v>
      </c>
      <c r="E209" s="322" t="s">
        <v>355</v>
      </c>
      <c r="F209" s="251">
        <v>56</v>
      </c>
      <c r="G209" s="216"/>
      <c r="H209" s="214">
        <v>60</v>
      </c>
      <c r="I209" s="214">
        <v>13.5</v>
      </c>
      <c r="J209" s="216"/>
      <c r="K209" s="216"/>
      <c r="L209" s="216"/>
      <c r="M209" s="216"/>
      <c r="N209" s="216"/>
      <c r="O209" s="216"/>
      <c r="P209" s="216"/>
      <c r="Q209" s="216"/>
    </row>
    <row r="210" spans="2:17" ht="25.5">
      <c r="B210" s="216"/>
      <c r="C210" s="216"/>
      <c r="D210" s="323" t="s">
        <v>294</v>
      </c>
      <c r="E210" s="322" t="s">
        <v>355</v>
      </c>
      <c r="F210" s="251">
        <v>70</v>
      </c>
      <c r="G210" s="216"/>
      <c r="H210" s="214">
        <v>60</v>
      </c>
      <c r="I210" s="214">
        <v>13.5</v>
      </c>
      <c r="J210" s="216"/>
      <c r="K210" s="216"/>
      <c r="L210" s="216"/>
      <c r="M210" s="216"/>
      <c r="N210" s="216"/>
      <c r="O210" s="216"/>
      <c r="P210" s="216"/>
      <c r="Q210" s="216"/>
    </row>
    <row r="211" spans="2:17" ht="25.5">
      <c r="B211" s="216"/>
      <c r="C211" s="216"/>
      <c r="D211" s="323" t="s">
        <v>295</v>
      </c>
      <c r="E211" s="322" t="s">
        <v>355</v>
      </c>
      <c r="F211" s="251">
        <v>76</v>
      </c>
      <c r="G211" s="216"/>
      <c r="H211" s="214">
        <v>60</v>
      </c>
      <c r="I211" s="214">
        <v>13.5</v>
      </c>
      <c r="J211" s="216"/>
      <c r="K211" s="216"/>
      <c r="L211" s="216"/>
      <c r="M211" s="216"/>
      <c r="N211" s="216"/>
      <c r="O211" s="216"/>
      <c r="P211" s="216"/>
      <c r="Q211" s="216"/>
    </row>
    <row r="212" spans="2:17" ht="25.5">
      <c r="B212" s="216"/>
      <c r="C212" s="216"/>
      <c r="D212" s="323" t="s">
        <v>296</v>
      </c>
      <c r="E212" s="322" t="s">
        <v>355</v>
      </c>
      <c r="F212" s="251">
        <v>90</v>
      </c>
      <c r="G212" s="216"/>
      <c r="H212" s="214">
        <v>60</v>
      </c>
      <c r="I212" s="214">
        <v>13.5</v>
      </c>
      <c r="J212" s="216"/>
      <c r="K212" s="216"/>
      <c r="L212" s="216"/>
      <c r="M212" s="216"/>
      <c r="N212" s="216"/>
      <c r="O212" s="216"/>
      <c r="P212" s="216"/>
      <c r="Q212" s="216"/>
    </row>
    <row r="213" spans="2:17" ht="25.5">
      <c r="B213" s="216"/>
      <c r="C213" s="216"/>
      <c r="D213" s="323" t="s">
        <v>297</v>
      </c>
      <c r="E213" s="322" t="s">
        <v>355</v>
      </c>
      <c r="F213" s="251">
        <v>97</v>
      </c>
      <c r="G213" s="216"/>
      <c r="H213" s="214">
        <v>60</v>
      </c>
      <c r="I213" s="214">
        <v>13.5</v>
      </c>
      <c r="J213" s="216"/>
      <c r="K213" s="216"/>
      <c r="L213" s="216"/>
      <c r="M213" s="216"/>
      <c r="N213" s="216"/>
      <c r="O213" s="216"/>
      <c r="P213" s="216"/>
      <c r="Q213" s="216"/>
    </row>
    <row r="214" spans="2:17" ht="25.5">
      <c r="B214" s="216"/>
      <c r="C214" s="216"/>
      <c r="D214" s="323" t="s">
        <v>298</v>
      </c>
      <c r="E214" s="322" t="s">
        <v>355</v>
      </c>
      <c r="F214" s="251">
        <v>111</v>
      </c>
      <c r="G214" s="216"/>
      <c r="H214" s="214">
        <v>60</v>
      </c>
      <c r="I214" s="214">
        <v>13.5</v>
      </c>
      <c r="J214" s="216"/>
      <c r="K214" s="216"/>
      <c r="L214" s="216"/>
      <c r="M214" s="216"/>
      <c r="N214" s="216"/>
      <c r="O214" s="216"/>
      <c r="P214" s="216"/>
      <c r="Q214" s="216"/>
    </row>
    <row r="215" spans="2:17" ht="25.5">
      <c r="B215" s="216"/>
      <c r="C215" s="216"/>
      <c r="D215" s="323" t="s">
        <v>299</v>
      </c>
      <c r="E215" s="322" t="s">
        <v>355</v>
      </c>
      <c r="F215" s="251">
        <v>118</v>
      </c>
      <c r="G215" s="216"/>
      <c r="H215" s="214">
        <v>60</v>
      </c>
      <c r="I215" s="214">
        <v>13.5</v>
      </c>
      <c r="J215" s="216"/>
      <c r="K215" s="216"/>
      <c r="L215" s="216"/>
      <c r="M215" s="216"/>
      <c r="N215" s="216"/>
      <c r="O215" s="216"/>
      <c r="P215" s="216"/>
      <c r="Q215" s="216"/>
    </row>
    <row r="216" spans="2:17" ht="25.5">
      <c r="B216" s="216"/>
      <c r="C216" s="216"/>
      <c r="D216" s="323" t="s">
        <v>300</v>
      </c>
      <c r="E216" s="322" t="s">
        <v>355</v>
      </c>
      <c r="F216" s="251">
        <v>132</v>
      </c>
      <c r="G216" s="216"/>
      <c r="H216" s="214">
        <v>60</v>
      </c>
      <c r="I216" s="214">
        <v>13.5</v>
      </c>
      <c r="J216" s="216"/>
      <c r="K216" s="216"/>
      <c r="L216" s="216"/>
      <c r="M216" s="216"/>
      <c r="N216" s="216"/>
      <c r="O216" s="216"/>
      <c r="P216" s="216"/>
      <c r="Q216" s="216"/>
    </row>
    <row r="217" spans="2:17" ht="22.5">
      <c r="B217" s="216"/>
      <c r="C217" s="216"/>
      <c r="D217" s="323" t="s">
        <v>301</v>
      </c>
      <c r="E217" s="322" t="s">
        <v>428</v>
      </c>
      <c r="F217" s="251">
        <v>101</v>
      </c>
      <c r="G217" s="216"/>
      <c r="H217" s="214">
        <v>60</v>
      </c>
      <c r="I217" s="214">
        <v>13.5</v>
      </c>
      <c r="J217" s="216"/>
      <c r="K217" s="216"/>
      <c r="L217" s="216"/>
      <c r="M217" s="216"/>
      <c r="N217" s="216"/>
      <c r="O217" s="216"/>
      <c r="P217" s="216"/>
      <c r="Q217" s="216"/>
    </row>
    <row r="218" spans="2:17" ht="15.75" customHeight="1">
      <c r="B218" s="216"/>
      <c r="C218" s="216"/>
      <c r="D218" s="323" t="s">
        <v>302</v>
      </c>
      <c r="E218" s="322" t="s">
        <v>214</v>
      </c>
      <c r="F218" s="323">
        <v>0</v>
      </c>
      <c r="G218" s="216"/>
      <c r="H218" s="214">
        <v>60</v>
      </c>
      <c r="I218" s="214">
        <v>13.5</v>
      </c>
      <c r="J218" s="216"/>
      <c r="K218" s="216"/>
      <c r="L218" s="216"/>
      <c r="M218" s="216"/>
      <c r="N218" s="216"/>
      <c r="O218" s="216"/>
      <c r="P218" s="216"/>
      <c r="Q218" s="216"/>
    </row>
    <row r="219" spans="2:17">
      <c r="B219" s="216"/>
      <c r="C219" s="216"/>
      <c r="D219" s="323" t="s">
        <v>303</v>
      </c>
      <c r="E219" s="322" t="s">
        <v>214</v>
      </c>
      <c r="F219" s="323">
        <v>0</v>
      </c>
      <c r="G219" s="216"/>
      <c r="H219" s="214">
        <v>60</v>
      </c>
      <c r="I219" s="214">
        <v>13.5</v>
      </c>
      <c r="J219" s="216"/>
      <c r="K219" s="216"/>
      <c r="L219" s="216"/>
      <c r="M219" s="216"/>
      <c r="N219" s="216"/>
      <c r="O219" s="216"/>
      <c r="P219" s="216"/>
      <c r="Q219" s="216"/>
    </row>
    <row r="220" spans="2:17">
      <c r="B220" s="216"/>
      <c r="C220" s="216"/>
      <c r="D220" s="323" t="s">
        <v>304</v>
      </c>
      <c r="E220" s="322" t="s">
        <v>214</v>
      </c>
      <c r="F220" s="323">
        <v>0</v>
      </c>
      <c r="G220" s="216"/>
      <c r="H220" s="214">
        <v>60</v>
      </c>
      <c r="I220" s="214">
        <v>13.5</v>
      </c>
      <c r="J220" s="216"/>
      <c r="K220" s="216"/>
      <c r="L220" s="216"/>
      <c r="M220" s="216"/>
      <c r="N220" s="216"/>
      <c r="O220" s="216"/>
      <c r="P220" s="216"/>
      <c r="Q220" s="216"/>
    </row>
    <row r="221" spans="2:17">
      <c r="B221" s="216"/>
      <c r="C221" s="216"/>
      <c r="D221" s="323" t="s">
        <v>305</v>
      </c>
      <c r="E221" s="322" t="s">
        <v>214</v>
      </c>
      <c r="F221" s="323">
        <v>0</v>
      </c>
      <c r="G221" s="216"/>
      <c r="H221" s="214">
        <v>60</v>
      </c>
      <c r="I221" s="214">
        <v>13.5</v>
      </c>
      <c r="J221" s="216"/>
      <c r="K221" s="216"/>
      <c r="L221" s="216"/>
      <c r="M221" s="216"/>
      <c r="N221" s="216"/>
      <c r="O221" s="216"/>
      <c r="P221" s="216"/>
      <c r="Q221" s="216"/>
    </row>
    <row r="222" spans="2:17">
      <c r="B222" s="216"/>
      <c r="C222" s="216"/>
      <c r="D222" s="127" t="s">
        <v>384</v>
      </c>
      <c r="E222" s="173" t="s">
        <v>342</v>
      </c>
      <c r="F222" s="128">
        <v>1</v>
      </c>
      <c r="G222" s="216"/>
      <c r="H222" s="214">
        <v>40</v>
      </c>
      <c r="I222" s="214">
        <v>15</v>
      </c>
      <c r="J222" s="216"/>
      <c r="K222" s="216"/>
      <c r="L222" s="216"/>
      <c r="M222" s="216"/>
      <c r="N222" s="216"/>
      <c r="O222" s="216"/>
      <c r="P222" s="216"/>
      <c r="Q222" s="216"/>
    </row>
    <row r="223" spans="2:17">
      <c r="B223" s="216"/>
      <c r="C223" s="216"/>
      <c r="D223" s="127" t="s">
        <v>385</v>
      </c>
      <c r="E223" s="173" t="s">
        <v>342</v>
      </c>
      <c r="F223" s="128">
        <v>2</v>
      </c>
      <c r="G223" s="216"/>
      <c r="H223" s="214">
        <v>40</v>
      </c>
      <c r="I223" s="214">
        <v>15</v>
      </c>
      <c r="J223" s="216"/>
      <c r="K223" s="216"/>
      <c r="L223" s="216"/>
      <c r="M223" s="216"/>
      <c r="N223" s="216"/>
      <c r="O223" s="216"/>
      <c r="P223" s="216"/>
      <c r="Q223" s="216"/>
    </row>
    <row r="224" spans="2:17">
      <c r="B224" s="216"/>
      <c r="C224" s="216"/>
      <c r="D224" s="127" t="s">
        <v>386</v>
      </c>
      <c r="E224" s="173" t="s">
        <v>342</v>
      </c>
      <c r="F224" s="128">
        <v>5</v>
      </c>
      <c r="G224" s="216"/>
      <c r="H224" s="214">
        <v>40</v>
      </c>
      <c r="I224" s="214">
        <v>15</v>
      </c>
      <c r="J224" s="216"/>
      <c r="K224" s="216"/>
      <c r="L224" s="216"/>
      <c r="M224" s="216"/>
      <c r="N224" s="216"/>
      <c r="O224" s="216"/>
      <c r="P224" s="216"/>
      <c r="Q224" s="216"/>
    </row>
    <row r="225" spans="2:28">
      <c r="B225" s="216"/>
      <c r="C225" s="216"/>
      <c r="D225" s="127" t="s">
        <v>387</v>
      </c>
      <c r="E225" s="173" t="s">
        <v>342</v>
      </c>
      <c r="F225" s="128">
        <v>10</v>
      </c>
      <c r="G225" s="216"/>
      <c r="H225" s="214">
        <v>40</v>
      </c>
      <c r="I225" s="214">
        <v>15</v>
      </c>
      <c r="J225" s="216"/>
      <c r="K225" s="216"/>
      <c r="L225" s="216"/>
      <c r="M225" s="216"/>
      <c r="N225" s="216"/>
      <c r="O225" s="216"/>
      <c r="P225" s="216"/>
      <c r="Q225" s="216"/>
    </row>
    <row r="226" spans="2:28">
      <c r="B226" s="216"/>
      <c r="C226" s="216"/>
      <c r="D226" s="127" t="s">
        <v>388</v>
      </c>
      <c r="E226" s="173" t="s">
        <v>342</v>
      </c>
      <c r="F226" s="128">
        <v>50</v>
      </c>
      <c r="G226" s="216"/>
      <c r="H226" s="214">
        <v>40</v>
      </c>
      <c r="I226" s="214">
        <v>15</v>
      </c>
      <c r="J226" s="216"/>
      <c r="K226" s="216"/>
      <c r="L226" s="216"/>
      <c r="M226" s="216"/>
      <c r="N226" s="216"/>
      <c r="O226" s="216"/>
      <c r="P226" s="216"/>
      <c r="Q226" s="216"/>
    </row>
    <row r="227" spans="2:28">
      <c r="B227" s="216"/>
      <c r="C227" s="216"/>
      <c r="D227" s="126" t="s">
        <v>390</v>
      </c>
      <c r="E227" s="172" t="s">
        <v>425</v>
      </c>
      <c r="F227" s="126">
        <v>0</v>
      </c>
      <c r="G227" s="216"/>
      <c r="H227" s="214">
        <v>40</v>
      </c>
      <c r="I227" s="214">
        <v>15</v>
      </c>
      <c r="J227" s="216"/>
      <c r="K227" s="216"/>
      <c r="L227" s="216"/>
      <c r="M227" s="216"/>
      <c r="N227" s="216"/>
      <c r="O227" s="216"/>
      <c r="P227" s="216"/>
      <c r="Q227" s="216"/>
    </row>
    <row r="228" spans="2:28">
      <c r="B228" s="216"/>
      <c r="C228" s="216"/>
      <c r="D228" s="216"/>
      <c r="E228" s="216"/>
      <c r="F228" s="216"/>
      <c r="G228" s="216"/>
      <c r="H228" s="216"/>
      <c r="I228" s="216"/>
      <c r="J228" s="216"/>
      <c r="K228" s="216"/>
      <c r="L228" s="216"/>
      <c r="M228" s="216"/>
      <c r="N228" s="216"/>
      <c r="O228" s="216"/>
      <c r="P228" s="216"/>
      <c r="Q228" s="216"/>
    </row>
    <row r="229" spans="2:28">
      <c r="B229" s="216"/>
      <c r="C229" s="216"/>
      <c r="D229" s="327" t="s">
        <v>497</v>
      </c>
      <c r="E229" s="216"/>
      <c r="F229" s="216"/>
      <c r="G229" s="216"/>
      <c r="H229" s="216"/>
      <c r="I229" s="216"/>
      <c r="J229" s="216"/>
      <c r="K229" s="216"/>
      <c r="L229" s="216"/>
      <c r="M229" s="216"/>
      <c r="N229" s="216"/>
      <c r="O229" s="216"/>
      <c r="P229" s="216"/>
      <c r="Q229" s="216"/>
    </row>
    <row r="230" spans="2:28">
      <c r="B230" s="216"/>
      <c r="C230" s="216"/>
      <c r="D230" s="124" t="s">
        <v>496</v>
      </c>
      <c r="E230" s="123"/>
      <c r="F230" s="123"/>
      <c r="G230" s="123"/>
      <c r="H230" s="123"/>
      <c r="I230" s="123"/>
      <c r="J230" s="123"/>
      <c r="K230" s="216"/>
      <c r="L230" s="216"/>
      <c r="M230" s="216"/>
      <c r="N230" s="216"/>
      <c r="O230" s="216"/>
      <c r="P230" s="216"/>
      <c r="Q230" s="216"/>
    </row>
    <row r="231" spans="2:28">
      <c r="B231" s="216"/>
      <c r="C231" s="216"/>
      <c r="D231" s="327" t="s">
        <v>498</v>
      </c>
      <c r="E231" s="216"/>
      <c r="F231" s="216"/>
      <c r="G231" s="216"/>
      <c r="H231" s="216"/>
      <c r="I231" s="216"/>
      <c r="J231" s="216"/>
      <c r="K231" s="216"/>
      <c r="L231" s="216"/>
      <c r="M231" s="216"/>
      <c r="N231" s="216"/>
      <c r="O231" s="216"/>
      <c r="P231" s="216"/>
      <c r="Q231" s="216"/>
      <c r="S231" s="216"/>
      <c r="T231" s="216"/>
      <c r="U231" s="216"/>
      <c r="V231" s="216"/>
      <c r="W231" s="216"/>
      <c r="X231" s="216"/>
      <c r="Y231" s="216"/>
      <c r="Z231" s="216"/>
      <c r="AA231" s="216"/>
      <c r="AB231" s="216"/>
    </row>
    <row r="232" spans="2:28">
      <c r="B232" s="216"/>
      <c r="C232" s="216"/>
      <c r="D232" s="216"/>
      <c r="E232" s="216"/>
      <c r="F232" s="216"/>
      <c r="G232" s="216"/>
      <c r="H232" s="216"/>
      <c r="I232" s="216"/>
      <c r="J232" s="216"/>
      <c r="K232" s="216"/>
      <c r="L232" s="216"/>
      <c r="M232" s="216"/>
      <c r="N232" s="216"/>
      <c r="O232" s="216"/>
      <c r="P232" s="216"/>
      <c r="Q232" s="216"/>
      <c r="R232" s="216"/>
      <c r="S232" s="216"/>
      <c r="T232" s="216"/>
      <c r="U232" s="216"/>
      <c r="V232" s="216"/>
      <c r="W232" s="216"/>
      <c r="X232" s="216"/>
      <c r="Y232" s="216"/>
      <c r="Z232" s="216"/>
      <c r="AA232" s="216"/>
      <c r="AB232" s="216"/>
    </row>
    <row r="233" spans="2:28">
      <c r="B233" s="216"/>
      <c r="C233" s="216"/>
      <c r="D233" s="216"/>
      <c r="E233" s="216"/>
      <c r="F233" s="216"/>
      <c r="G233" s="216"/>
      <c r="H233" s="216"/>
      <c r="I233" s="216"/>
      <c r="J233" s="216"/>
      <c r="K233" s="216"/>
      <c r="L233" s="216"/>
      <c r="M233" s="216"/>
      <c r="N233" s="216"/>
      <c r="O233" s="216"/>
      <c r="P233" s="216"/>
      <c r="Q233" s="216"/>
      <c r="R233" s="216"/>
      <c r="S233" s="216"/>
      <c r="T233" s="216"/>
      <c r="U233" s="216"/>
      <c r="V233" s="216"/>
      <c r="W233" s="216"/>
      <c r="X233" s="216"/>
      <c r="Y233" s="216"/>
      <c r="Z233" s="216"/>
      <c r="AA233" s="216"/>
      <c r="AB233" s="216"/>
    </row>
    <row r="234" spans="2:28">
      <c r="B234" s="216"/>
      <c r="C234" s="329" t="s">
        <v>503</v>
      </c>
      <c r="D234" s="216"/>
      <c r="E234" s="216"/>
      <c r="F234" s="216"/>
      <c r="G234" s="216"/>
      <c r="H234" s="216"/>
      <c r="I234" s="216"/>
      <c r="J234" s="216"/>
      <c r="K234" s="216"/>
      <c r="L234" s="216"/>
      <c r="M234" s="216"/>
      <c r="N234" s="216"/>
      <c r="O234" s="216"/>
      <c r="P234" s="216"/>
      <c r="Q234" s="216"/>
      <c r="R234" s="216"/>
      <c r="S234" s="216"/>
      <c r="T234" s="216"/>
      <c r="U234" s="216"/>
      <c r="V234" s="216"/>
      <c r="W234" s="216"/>
      <c r="X234" s="216"/>
      <c r="Y234" s="216"/>
      <c r="Z234" s="216"/>
      <c r="AA234" s="216"/>
      <c r="AB234" s="216"/>
    </row>
    <row r="235" spans="2:28">
      <c r="B235" s="216"/>
      <c r="C235" s="329"/>
      <c r="D235" s="216"/>
      <c r="E235" s="216"/>
      <c r="F235" s="216"/>
      <c r="G235" s="216"/>
      <c r="H235" s="216"/>
      <c r="I235" s="216"/>
      <c r="J235" s="216"/>
      <c r="K235" s="216"/>
      <c r="L235" s="216"/>
      <c r="M235" s="216"/>
      <c r="N235" s="216"/>
      <c r="O235" s="216"/>
      <c r="P235" s="216"/>
      <c r="Q235" s="216"/>
      <c r="R235" s="216"/>
      <c r="S235" s="216"/>
      <c r="T235" s="216"/>
      <c r="U235" s="216"/>
      <c r="V235" s="216"/>
      <c r="W235" s="216"/>
      <c r="X235" s="216"/>
      <c r="Y235" s="216"/>
      <c r="Z235" s="216"/>
      <c r="AA235" s="216"/>
      <c r="AB235" s="216"/>
    </row>
    <row r="236" spans="2:28">
      <c r="B236" s="216"/>
      <c r="C236" s="329"/>
      <c r="D236" s="216"/>
      <c r="E236" s="216"/>
      <c r="F236" s="216"/>
      <c r="G236" s="216"/>
      <c r="H236" s="216"/>
      <c r="I236" s="216"/>
      <c r="J236" s="216"/>
      <c r="K236" s="216"/>
      <c r="L236" s="216"/>
      <c r="M236" s="216"/>
      <c r="N236" s="216"/>
      <c r="O236" s="216"/>
      <c r="P236" s="216"/>
      <c r="Q236" s="216"/>
      <c r="R236" s="216"/>
      <c r="S236" s="216"/>
      <c r="T236" s="216"/>
      <c r="U236" s="216"/>
      <c r="V236" s="216"/>
      <c r="W236" s="216"/>
      <c r="X236" s="216"/>
      <c r="Y236" s="216"/>
      <c r="Z236" s="216"/>
      <c r="AA236" s="216"/>
      <c r="AB236" s="216"/>
    </row>
    <row r="237" spans="2:28">
      <c r="B237" s="216"/>
      <c r="C237" s="329"/>
      <c r="D237" s="216"/>
      <c r="E237" s="216"/>
      <c r="F237" s="216"/>
      <c r="G237" s="216"/>
      <c r="H237" s="216"/>
      <c r="I237" s="216"/>
      <c r="J237" s="216"/>
      <c r="K237" s="216"/>
      <c r="L237" s="216"/>
      <c r="M237" s="216"/>
      <c r="N237" s="216"/>
      <c r="O237" s="216"/>
      <c r="P237" s="216"/>
      <c r="Q237" s="216"/>
      <c r="R237" s="216"/>
      <c r="S237" s="216"/>
      <c r="T237" s="352" t="s">
        <v>464</v>
      </c>
      <c r="U237" s="353" t="s">
        <v>463</v>
      </c>
      <c r="V237" s="354"/>
      <c r="W237" s="216"/>
      <c r="X237" s="216"/>
      <c r="Y237" s="216"/>
      <c r="Z237" s="216"/>
      <c r="AA237" s="216"/>
      <c r="AB237" s="216"/>
    </row>
    <row r="238" spans="2:28">
      <c r="B238" s="216"/>
      <c r="C238" s="216"/>
      <c r="D238" s="216"/>
      <c r="E238" s="216"/>
      <c r="F238" s="216"/>
      <c r="G238" s="216"/>
      <c r="H238" s="216"/>
      <c r="I238" s="216"/>
      <c r="J238" s="216" t="s">
        <v>501</v>
      </c>
      <c r="K238" s="216"/>
      <c r="L238" s="216"/>
      <c r="M238" s="216"/>
      <c r="N238" s="216"/>
      <c r="O238" s="216"/>
      <c r="P238" s="216"/>
      <c r="Q238" s="216"/>
      <c r="R238" s="216"/>
      <c r="S238" s="216"/>
      <c r="T238" s="355" t="s">
        <v>465</v>
      </c>
      <c r="U238" s="294" t="s">
        <v>458</v>
      </c>
      <c r="V238" s="356"/>
      <c r="W238" s="216"/>
      <c r="X238" s="216"/>
      <c r="Y238" s="216"/>
      <c r="Z238" s="216"/>
      <c r="AA238" s="216"/>
      <c r="AB238" s="216"/>
    </row>
    <row r="239" spans="2:28">
      <c r="B239" s="216"/>
      <c r="C239" s="216"/>
      <c r="D239" s="216"/>
      <c r="E239" s="216"/>
      <c r="F239" s="216"/>
      <c r="G239" s="216"/>
      <c r="H239" s="216"/>
      <c r="I239" s="216"/>
      <c r="J239" s="216"/>
      <c r="K239" s="216"/>
      <c r="L239" s="216"/>
      <c r="M239" s="216"/>
      <c r="N239" s="216"/>
      <c r="O239" s="216"/>
      <c r="P239" s="216"/>
      <c r="Q239" s="216"/>
      <c r="R239" s="216"/>
      <c r="S239" s="216"/>
      <c r="T239" s="355" t="s">
        <v>467</v>
      </c>
      <c r="U239" s="294" t="s">
        <v>461</v>
      </c>
      <c r="V239" s="356"/>
      <c r="W239" s="216"/>
      <c r="X239" s="216"/>
      <c r="Y239" s="216"/>
      <c r="Z239" s="216"/>
      <c r="AA239" s="216"/>
      <c r="AB239" s="216"/>
    </row>
    <row r="240" spans="2:28">
      <c r="B240" s="216"/>
      <c r="C240" s="216"/>
      <c r="D240" s="216"/>
      <c r="E240" s="216"/>
      <c r="F240" s="216"/>
      <c r="G240" s="216"/>
      <c r="H240" s="216"/>
      <c r="I240" s="216"/>
      <c r="J240" s="216"/>
      <c r="L240" s="216"/>
      <c r="M240" s="216"/>
      <c r="N240" s="216"/>
      <c r="O240" s="216"/>
      <c r="P240" s="216"/>
      <c r="Q240" s="216"/>
      <c r="R240" s="216"/>
      <c r="S240" s="216"/>
      <c r="T240" s="357" t="s">
        <v>466</v>
      </c>
      <c r="U240" s="358" t="s">
        <v>462</v>
      </c>
      <c r="V240" s="359"/>
      <c r="W240" s="216"/>
      <c r="X240" s="216"/>
      <c r="Y240" s="216"/>
      <c r="Z240" s="216"/>
      <c r="AA240" s="216"/>
      <c r="AB240" s="216"/>
    </row>
    <row r="241" spans="2:28">
      <c r="B241" s="216"/>
      <c r="C241" s="216"/>
      <c r="D241" s="216"/>
      <c r="E241" s="216"/>
      <c r="F241" s="216"/>
      <c r="G241" s="216"/>
      <c r="H241" s="216"/>
      <c r="I241" s="216"/>
      <c r="J241" s="216"/>
      <c r="K241" s="216"/>
      <c r="L241" s="216"/>
      <c r="M241" s="216"/>
      <c r="N241" s="216"/>
      <c r="O241" s="216"/>
      <c r="P241" s="216"/>
      <c r="Q241" s="216"/>
      <c r="R241" s="216"/>
      <c r="S241" s="216"/>
      <c r="T241" s="216"/>
      <c r="U241" s="216"/>
      <c r="V241" s="216"/>
      <c r="W241" s="216"/>
      <c r="X241" s="216"/>
      <c r="Y241" s="216"/>
      <c r="Z241" s="216"/>
      <c r="AA241" s="216"/>
      <c r="AB241" s="216"/>
    </row>
    <row r="242" spans="2:28">
      <c r="B242" s="216"/>
      <c r="C242" s="216"/>
      <c r="D242" s="216"/>
      <c r="E242" s="216"/>
      <c r="F242" s="216"/>
      <c r="G242" s="216"/>
      <c r="H242" s="216"/>
      <c r="I242" s="216"/>
      <c r="J242" s="216"/>
      <c r="K242" s="216"/>
      <c r="L242" s="216"/>
      <c r="M242" s="216"/>
      <c r="N242" s="216"/>
      <c r="O242" s="216"/>
      <c r="P242" s="216"/>
      <c r="Q242" s="216"/>
      <c r="R242" s="216"/>
      <c r="S242" s="216"/>
      <c r="T242" s="216"/>
      <c r="U242" s="216"/>
      <c r="V242" s="216"/>
      <c r="W242" s="216"/>
      <c r="X242" s="216"/>
      <c r="Y242" s="216"/>
      <c r="Z242" s="216"/>
      <c r="AA242" s="216"/>
      <c r="AB242" s="216"/>
    </row>
    <row r="243" spans="2:28">
      <c r="B243" s="216"/>
      <c r="C243" s="216"/>
      <c r="D243" s="216"/>
      <c r="E243" s="216"/>
      <c r="F243" s="216"/>
      <c r="G243" s="216"/>
      <c r="H243" s="216"/>
      <c r="I243" s="216"/>
      <c r="J243" s="216" t="s">
        <v>502</v>
      </c>
      <c r="L243" s="216"/>
      <c r="M243" s="216"/>
      <c r="N243" s="216"/>
      <c r="O243" s="216"/>
      <c r="P243" s="216"/>
      <c r="Q243" s="216"/>
      <c r="R243" s="216"/>
      <c r="S243" s="216"/>
      <c r="T243" s="216"/>
      <c r="U243" s="216"/>
      <c r="V243" s="216"/>
      <c r="W243" s="216"/>
      <c r="X243" s="216"/>
      <c r="Y243" s="216"/>
      <c r="Z243" s="216"/>
      <c r="AA243" s="216"/>
      <c r="AB243" s="216"/>
    </row>
    <row r="244" spans="2:28">
      <c r="B244" s="216"/>
      <c r="C244" s="216"/>
      <c r="D244" s="216"/>
      <c r="E244" s="216"/>
      <c r="F244" s="216"/>
      <c r="G244" s="216"/>
      <c r="H244" s="216"/>
      <c r="I244" s="216"/>
      <c r="J244" s="216"/>
      <c r="K244" s="216"/>
      <c r="L244" s="216"/>
      <c r="M244" s="216"/>
      <c r="N244" s="216"/>
      <c r="O244" s="216"/>
      <c r="P244" s="216"/>
      <c r="Q244" s="216"/>
      <c r="R244" s="216"/>
      <c r="S244" s="216"/>
      <c r="T244" s="216"/>
      <c r="U244" s="216"/>
      <c r="V244" s="216"/>
      <c r="W244" s="216"/>
      <c r="X244" s="216"/>
      <c r="Y244" s="216"/>
      <c r="Z244" s="216"/>
      <c r="AA244" s="216"/>
      <c r="AB244" s="216"/>
    </row>
    <row r="245" spans="2:28">
      <c r="B245" s="216"/>
      <c r="C245" s="216"/>
      <c r="D245" s="216"/>
      <c r="E245" s="216"/>
      <c r="F245" s="216"/>
      <c r="G245" s="216"/>
      <c r="H245" s="216"/>
      <c r="I245" s="216"/>
      <c r="J245" s="216"/>
      <c r="K245" s="216"/>
      <c r="L245" s="216"/>
      <c r="M245" s="216"/>
      <c r="N245" s="216"/>
      <c r="O245" s="216"/>
      <c r="P245" s="216"/>
      <c r="Q245" s="216"/>
      <c r="R245" s="216"/>
      <c r="S245" s="216"/>
      <c r="T245" s="216"/>
      <c r="U245" s="216"/>
      <c r="V245" s="216"/>
      <c r="W245" s="216"/>
      <c r="X245" s="216"/>
      <c r="Y245" s="216"/>
      <c r="Z245" s="216"/>
      <c r="AA245" s="216"/>
      <c r="AB245" s="216"/>
    </row>
    <row r="246" spans="2:28">
      <c r="B246" s="216"/>
      <c r="C246" s="216"/>
      <c r="D246" s="216"/>
      <c r="E246" s="216"/>
      <c r="F246" s="216"/>
      <c r="G246" s="216"/>
      <c r="H246" s="216"/>
      <c r="I246" s="216"/>
      <c r="J246" s="216"/>
      <c r="K246" s="216"/>
      <c r="L246" s="216"/>
      <c r="M246" s="216"/>
      <c r="N246" s="216"/>
      <c r="O246" s="216"/>
      <c r="P246" s="216"/>
      <c r="Q246" s="216"/>
      <c r="R246" s="216"/>
      <c r="S246" s="216"/>
      <c r="T246" s="216"/>
      <c r="U246" s="216"/>
      <c r="V246" s="216"/>
      <c r="W246" s="216"/>
      <c r="X246" s="216"/>
      <c r="Y246" s="216"/>
      <c r="Z246" s="216"/>
      <c r="AA246" s="216"/>
      <c r="AB246" s="216"/>
    </row>
    <row r="247" spans="2:28">
      <c r="B247" s="216"/>
      <c r="C247" s="216"/>
      <c r="D247" s="216"/>
      <c r="E247" s="216"/>
      <c r="F247" s="216"/>
      <c r="G247" s="216"/>
      <c r="H247" s="216"/>
      <c r="I247" s="216"/>
      <c r="J247" s="216"/>
      <c r="K247" s="216"/>
      <c r="L247" s="216"/>
      <c r="M247" s="216"/>
      <c r="N247" s="216"/>
      <c r="O247" s="216"/>
      <c r="P247" s="216"/>
      <c r="Q247" s="216"/>
      <c r="R247" s="216"/>
      <c r="S247" s="216"/>
      <c r="T247" s="216"/>
      <c r="U247" s="216"/>
      <c r="V247" s="216"/>
      <c r="W247" s="216"/>
      <c r="X247" s="216"/>
      <c r="Y247" s="216"/>
      <c r="Z247" s="216"/>
      <c r="AA247" s="216"/>
      <c r="AB247" s="216"/>
    </row>
    <row r="248" spans="2:28">
      <c r="B248" s="216"/>
      <c r="C248" s="216"/>
      <c r="D248" s="216"/>
      <c r="E248" s="216"/>
      <c r="F248" s="216"/>
      <c r="G248" s="216"/>
      <c r="H248" s="216"/>
      <c r="I248" s="216"/>
      <c r="J248" s="216"/>
      <c r="K248" s="216"/>
      <c r="L248" s="216"/>
      <c r="M248" s="216"/>
      <c r="N248" s="216"/>
      <c r="O248" s="216"/>
      <c r="P248" s="216"/>
      <c r="Q248" s="216"/>
      <c r="R248" s="216"/>
      <c r="S248" s="216"/>
      <c r="T248" s="216"/>
      <c r="U248" s="216"/>
      <c r="V248" s="216"/>
      <c r="W248" s="216"/>
      <c r="X248" s="216"/>
      <c r="Y248" s="216"/>
      <c r="Z248" s="216"/>
      <c r="AA248" s="216"/>
      <c r="AB248" s="216"/>
    </row>
    <row r="249" spans="2:28">
      <c r="B249" s="216"/>
      <c r="C249" s="216"/>
      <c r="D249" s="216"/>
      <c r="E249" s="216"/>
      <c r="F249" s="216"/>
      <c r="G249" s="216"/>
      <c r="H249" s="216"/>
      <c r="I249" s="216"/>
      <c r="J249" s="216"/>
      <c r="K249" s="216"/>
      <c r="L249" s="216"/>
      <c r="M249" s="216"/>
      <c r="N249" s="216"/>
      <c r="O249" s="216"/>
      <c r="P249" s="216"/>
      <c r="Q249" s="216"/>
      <c r="R249" s="216"/>
      <c r="S249" s="216"/>
      <c r="T249" s="216"/>
      <c r="U249" s="216"/>
      <c r="V249" s="216"/>
      <c r="W249" s="216"/>
      <c r="X249" s="216"/>
      <c r="Y249" s="216"/>
      <c r="Z249" s="216"/>
      <c r="AA249" s="216"/>
      <c r="AB249" s="216"/>
    </row>
    <row r="250" spans="2:28">
      <c r="B250" s="216"/>
      <c r="C250" s="216"/>
      <c r="D250" s="216"/>
      <c r="E250" s="216"/>
      <c r="F250" s="216"/>
      <c r="G250" s="216"/>
      <c r="H250" s="216"/>
      <c r="I250" s="216"/>
      <c r="J250" s="216"/>
      <c r="K250" s="216"/>
      <c r="L250" s="216"/>
      <c r="M250" s="216"/>
      <c r="N250" s="216"/>
      <c r="O250" s="216"/>
      <c r="P250" s="216"/>
      <c r="Q250" s="216"/>
      <c r="R250" s="216"/>
      <c r="S250" s="216"/>
      <c r="T250" s="216"/>
      <c r="U250" s="216"/>
      <c r="V250" s="216"/>
      <c r="W250" s="216"/>
      <c r="X250" s="216"/>
      <c r="Y250" s="216"/>
      <c r="Z250" s="216"/>
      <c r="AA250" s="216"/>
      <c r="AB250" s="216"/>
    </row>
    <row r="251" spans="2:28">
      <c r="B251" s="330"/>
      <c r="C251" s="331"/>
      <c r="D251" s="332" t="s">
        <v>320</v>
      </c>
      <c r="E251" s="331" t="s">
        <v>214</v>
      </c>
      <c r="F251" s="338">
        <v>20</v>
      </c>
      <c r="G251" s="338">
        <v>30</v>
      </c>
      <c r="H251" s="338">
        <v>40</v>
      </c>
      <c r="I251" s="338">
        <v>50</v>
      </c>
      <c r="J251" s="338">
        <v>60</v>
      </c>
      <c r="K251" s="338">
        <v>70</v>
      </c>
      <c r="L251" s="338">
        <v>80</v>
      </c>
      <c r="M251" s="338">
        <v>90</v>
      </c>
      <c r="N251" s="338">
        <v>100</v>
      </c>
      <c r="O251" s="338">
        <v>110</v>
      </c>
      <c r="P251" s="338">
        <v>120</v>
      </c>
      <c r="Q251" s="338">
        <v>130</v>
      </c>
      <c r="R251" s="338">
        <v>140</v>
      </c>
      <c r="S251" s="338">
        <v>150</v>
      </c>
      <c r="T251" s="338">
        <v>160</v>
      </c>
      <c r="U251" s="338">
        <v>170</v>
      </c>
      <c r="V251" s="338">
        <v>180</v>
      </c>
      <c r="W251" s="338">
        <v>190</v>
      </c>
      <c r="X251" s="338">
        <v>200</v>
      </c>
      <c r="Y251" s="338">
        <v>210</v>
      </c>
      <c r="Z251" s="338">
        <v>220</v>
      </c>
      <c r="AA251" s="338">
        <v>230</v>
      </c>
      <c r="AB251" s="339">
        <v>240</v>
      </c>
    </row>
    <row r="252" spans="2:28">
      <c r="B252" s="333"/>
      <c r="C252" s="254"/>
      <c r="D252" s="334" t="s">
        <v>499</v>
      </c>
      <c r="E252" s="254" t="s">
        <v>459</v>
      </c>
      <c r="F252" s="341">
        <f>IF(F251&lt;30,1,IF(F251&lt;70,1.75-0.01875*(70-F251),0.025*F251))</f>
        <v>1</v>
      </c>
      <c r="G252" s="341">
        <f t="shared" ref="G252:AB252" si="105">IF(G251&lt;30,1,IF(G251&lt;70,1.75-0.01875*(70-G251),0.025*G251))</f>
        <v>1</v>
      </c>
      <c r="H252" s="341">
        <f t="shared" si="105"/>
        <v>1.1875</v>
      </c>
      <c r="I252" s="341">
        <f t="shared" si="105"/>
        <v>1.375</v>
      </c>
      <c r="J252" s="341">
        <f t="shared" si="105"/>
        <v>1.5625</v>
      </c>
      <c r="K252" s="341">
        <f t="shared" si="105"/>
        <v>1.75</v>
      </c>
      <c r="L252" s="341">
        <f t="shared" si="105"/>
        <v>2</v>
      </c>
      <c r="M252" s="341">
        <f t="shared" si="105"/>
        <v>2.25</v>
      </c>
      <c r="N252" s="341">
        <f t="shared" si="105"/>
        <v>2.5</v>
      </c>
      <c r="O252" s="341">
        <f t="shared" si="105"/>
        <v>2.75</v>
      </c>
      <c r="P252" s="341">
        <f t="shared" si="105"/>
        <v>3</v>
      </c>
      <c r="Q252" s="341">
        <f t="shared" si="105"/>
        <v>3.25</v>
      </c>
      <c r="R252" s="341">
        <f t="shared" si="105"/>
        <v>3.5</v>
      </c>
      <c r="S252" s="341">
        <f t="shared" si="105"/>
        <v>3.75</v>
      </c>
      <c r="T252" s="341">
        <f t="shared" si="105"/>
        <v>4</v>
      </c>
      <c r="U252" s="341">
        <f t="shared" si="105"/>
        <v>4.25</v>
      </c>
      <c r="V252" s="341">
        <f t="shared" si="105"/>
        <v>4.5</v>
      </c>
      <c r="W252" s="341">
        <f t="shared" si="105"/>
        <v>4.75</v>
      </c>
      <c r="X252" s="341">
        <f t="shared" si="105"/>
        <v>5</v>
      </c>
      <c r="Y252" s="341">
        <f t="shared" si="105"/>
        <v>5.25</v>
      </c>
      <c r="Z252" s="341">
        <f t="shared" si="105"/>
        <v>5.5</v>
      </c>
      <c r="AA252" s="341">
        <f t="shared" si="105"/>
        <v>5.75</v>
      </c>
      <c r="AB252" s="342">
        <f t="shared" si="105"/>
        <v>6</v>
      </c>
    </row>
    <row r="253" spans="2:28">
      <c r="B253" s="333"/>
      <c r="C253" s="254"/>
      <c r="D253" s="334" t="s">
        <v>500</v>
      </c>
      <c r="E253" s="254" t="s">
        <v>459</v>
      </c>
      <c r="F253" s="341">
        <f>IF(F252&lt;1.75,F252,1.75+0.3*(F252-1.75))</f>
        <v>1</v>
      </c>
      <c r="G253" s="341">
        <f t="shared" ref="G253:AB253" si="106">IF(G252&lt;1.75,G252,1.75+0.3*(G252-1.75))</f>
        <v>1</v>
      </c>
      <c r="H253" s="341">
        <f t="shared" si="106"/>
        <v>1.1875</v>
      </c>
      <c r="I253" s="341">
        <f t="shared" si="106"/>
        <v>1.375</v>
      </c>
      <c r="J253" s="341">
        <f t="shared" si="106"/>
        <v>1.5625</v>
      </c>
      <c r="K253" s="341">
        <f t="shared" si="106"/>
        <v>1.75</v>
      </c>
      <c r="L253" s="341">
        <f t="shared" si="106"/>
        <v>1.825</v>
      </c>
      <c r="M253" s="341">
        <f t="shared" si="106"/>
        <v>1.9</v>
      </c>
      <c r="N253" s="341">
        <f t="shared" si="106"/>
        <v>1.9750000000000001</v>
      </c>
      <c r="O253" s="341">
        <f t="shared" si="106"/>
        <v>2.0499999999999998</v>
      </c>
      <c r="P253" s="341">
        <f t="shared" si="106"/>
        <v>2.125</v>
      </c>
      <c r="Q253" s="341">
        <f t="shared" si="106"/>
        <v>2.2000000000000002</v>
      </c>
      <c r="R253" s="341">
        <f t="shared" si="106"/>
        <v>2.2749999999999999</v>
      </c>
      <c r="S253" s="341">
        <f t="shared" si="106"/>
        <v>2.35</v>
      </c>
      <c r="T253" s="341">
        <f t="shared" si="106"/>
        <v>2.4249999999999998</v>
      </c>
      <c r="U253" s="341">
        <f t="shared" si="106"/>
        <v>2.5</v>
      </c>
      <c r="V253" s="341">
        <f t="shared" si="106"/>
        <v>2.5750000000000002</v>
      </c>
      <c r="W253" s="341">
        <f t="shared" si="106"/>
        <v>2.65</v>
      </c>
      <c r="X253" s="341">
        <f t="shared" si="106"/>
        <v>2.7250000000000001</v>
      </c>
      <c r="Y253" s="341">
        <f t="shared" si="106"/>
        <v>2.8</v>
      </c>
      <c r="Z253" s="341">
        <f t="shared" si="106"/>
        <v>2.875</v>
      </c>
      <c r="AA253" s="341">
        <f t="shared" si="106"/>
        <v>2.95</v>
      </c>
      <c r="AB253" s="342">
        <f t="shared" si="106"/>
        <v>3.0249999999999999</v>
      </c>
    </row>
    <row r="254" spans="2:28">
      <c r="B254" s="333"/>
      <c r="C254" s="254"/>
      <c r="D254" s="334" t="s">
        <v>469</v>
      </c>
      <c r="E254" s="254" t="s">
        <v>460</v>
      </c>
      <c r="F254" s="344">
        <f>MAX(40.71,3.26*F251/F252)</f>
        <v>65.199999999999989</v>
      </c>
      <c r="G254" s="344">
        <f t="shared" ref="G254:AB254" si="107">MAX(40.71,3.26*G251/G252)</f>
        <v>97.8</v>
      </c>
      <c r="H254" s="344">
        <f t="shared" si="107"/>
        <v>109.81052631578946</v>
      </c>
      <c r="I254" s="344">
        <f t="shared" si="107"/>
        <v>118.54545454545455</v>
      </c>
      <c r="J254" s="344">
        <f t="shared" si="107"/>
        <v>125.184</v>
      </c>
      <c r="K254" s="344">
        <f t="shared" si="107"/>
        <v>130.4</v>
      </c>
      <c r="L254" s="344">
        <f t="shared" si="107"/>
        <v>130.39999999999998</v>
      </c>
      <c r="M254" s="344">
        <f t="shared" si="107"/>
        <v>130.39999999999998</v>
      </c>
      <c r="N254" s="344">
        <f t="shared" si="107"/>
        <v>130.4</v>
      </c>
      <c r="O254" s="344">
        <f t="shared" si="107"/>
        <v>130.39999999999998</v>
      </c>
      <c r="P254" s="344">
        <f t="shared" si="107"/>
        <v>130.4</v>
      </c>
      <c r="Q254" s="344">
        <f t="shared" si="107"/>
        <v>130.39999999999998</v>
      </c>
      <c r="R254" s="344">
        <f t="shared" si="107"/>
        <v>130.4</v>
      </c>
      <c r="S254" s="344">
        <f t="shared" si="107"/>
        <v>130.39999999999998</v>
      </c>
      <c r="T254" s="344">
        <f t="shared" si="107"/>
        <v>130.39999999999998</v>
      </c>
      <c r="U254" s="344">
        <f t="shared" si="107"/>
        <v>130.39999999999998</v>
      </c>
      <c r="V254" s="344">
        <f t="shared" si="107"/>
        <v>130.39999999999998</v>
      </c>
      <c r="W254" s="344">
        <f t="shared" si="107"/>
        <v>130.4</v>
      </c>
      <c r="X254" s="344">
        <f t="shared" si="107"/>
        <v>130.4</v>
      </c>
      <c r="Y254" s="344">
        <f t="shared" si="107"/>
        <v>130.39999999999998</v>
      </c>
      <c r="Z254" s="344">
        <f t="shared" si="107"/>
        <v>130.39999999999998</v>
      </c>
      <c r="AA254" s="344">
        <f t="shared" si="107"/>
        <v>130.4</v>
      </c>
      <c r="AB254" s="345">
        <f t="shared" si="107"/>
        <v>130.4</v>
      </c>
    </row>
    <row r="255" spans="2:28">
      <c r="B255" s="333"/>
      <c r="C255" s="254"/>
      <c r="D255" s="334" t="s">
        <v>323</v>
      </c>
      <c r="E255" s="254"/>
      <c r="F255" s="347">
        <v>60</v>
      </c>
      <c r="G255" s="347"/>
      <c r="H255" s="347"/>
      <c r="I255" s="347"/>
      <c r="J255" s="347"/>
      <c r="K255" s="347"/>
      <c r="L255" s="347"/>
      <c r="M255" s="347"/>
      <c r="N255" s="347"/>
      <c r="O255" s="347"/>
      <c r="P255" s="347"/>
      <c r="Q255" s="347"/>
      <c r="R255" s="347"/>
      <c r="S255" s="347"/>
      <c r="T255" s="347"/>
      <c r="U255" s="347"/>
      <c r="V255" s="347"/>
      <c r="W255" s="347"/>
      <c r="X255" s="347"/>
      <c r="Y255" s="347"/>
      <c r="Z255" s="347"/>
      <c r="AA255" s="347"/>
      <c r="AB255" s="348"/>
    </row>
    <row r="256" spans="2:28">
      <c r="B256" s="335"/>
      <c r="C256" s="255"/>
      <c r="D256" s="336" t="s">
        <v>468</v>
      </c>
      <c r="E256" s="255" t="s">
        <v>460</v>
      </c>
      <c r="F256" s="350">
        <f>+$F$255*F253</f>
        <v>60</v>
      </c>
      <c r="G256" s="350">
        <f t="shared" ref="G256:AB256" si="108">+$F$255*G253</f>
        <v>60</v>
      </c>
      <c r="H256" s="350">
        <f t="shared" si="108"/>
        <v>71.25</v>
      </c>
      <c r="I256" s="350">
        <f t="shared" si="108"/>
        <v>82.5</v>
      </c>
      <c r="J256" s="350">
        <f t="shared" si="108"/>
        <v>93.75</v>
      </c>
      <c r="K256" s="350">
        <f t="shared" si="108"/>
        <v>105</v>
      </c>
      <c r="L256" s="350">
        <f t="shared" si="108"/>
        <v>109.5</v>
      </c>
      <c r="M256" s="350">
        <f t="shared" si="108"/>
        <v>114</v>
      </c>
      <c r="N256" s="350">
        <f t="shared" si="108"/>
        <v>118.5</v>
      </c>
      <c r="O256" s="350">
        <f t="shared" si="108"/>
        <v>122.99999999999999</v>
      </c>
      <c r="P256" s="350">
        <f t="shared" si="108"/>
        <v>127.5</v>
      </c>
      <c r="Q256" s="350">
        <f t="shared" si="108"/>
        <v>132</v>
      </c>
      <c r="R256" s="350">
        <f t="shared" si="108"/>
        <v>136.5</v>
      </c>
      <c r="S256" s="350">
        <f t="shared" si="108"/>
        <v>141</v>
      </c>
      <c r="T256" s="350">
        <f t="shared" si="108"/>
        <v>145.5</v>
      </c>
      <c r="U256" s="350">
        <f t="shared" si="108"/>
        <v>150</v>
      </c>
      <c r="V256" s="350">
        <f t="shared" si="108"/>
        <v>154.5</v>
      </c>
      <c r="W256" s="350">
        <f t="shared" si="108"/>
        <v>159</v>
      </c>
      <c r="X256" s="350">
        <f t="shared" si="108"/>
        <v>163.5</v>
      </c>
      <c r="Y256" s="350">
        <f t="shared" si="108"/>
        <v>168</v>
      </c>
      <c r="Z256" s="350">
        <f t="shared" si="108"/>
        <v>172.5</v>
      </c>
      <c r="AA256" s="350">
        <f t="shared" si="108"/>
        <v>177</v>
      </c>
      <c r="AB256" s="351">
        <f t="shared" si="108"/>
        <v>181.5</v>
      </c>
    </row>
    <row r="257" spans="2:28">
      <c r="B257" s="216"/>
      <c r="C257" s="216"/>
      <c r="D257" s="216"/>
      <c r="E257" s="216"/>
      <c r="F257" s="216"/>
      <c r="G257" s="216"/>
      <c r="H257" s="216"/>
      <c r="I257" s="216"/>
      <c r="J257" s="216"/>
      <c r="K257" s="216"/>
      <c r="L257" s="216"/>
      <c r="M257" s="216"/>
      <c r="N257" s="216"/>
      <c r="O257" s="216"/>
      <c r="P257" s="216"/>
      <c r="Q257" s="216"/>
      <c r="R257" s="216"/>
      <c r="S257" s="216"/>
      <c r="T257" s="216"/>
      <c r="U257" s="216"/>
      <c r="V257" s="216"/>
      <c r="W257" s="216"/>
      <c r="X257" s="216"/>
      <c r="Y257" s="216"/>
      <c r="Z257" s="216"/>
      <c r="AA257" s="216"/>
      <c r="AB257" s="216"/>
    </row>
    <row r="258" spans="2:28">
      <c r="B258" s="216"/>
      <c r="C258" s="216"/>
      <c r="D258" s="216"/>
      <c r="E258" s="216"/>
      <c r="F258" s="216"/>
      <c r="G258" s="216"/>
      <c r="H258" s="216"/>
      <c r="I258" s="216"/>
      <c r="J258" s="216"/>
      <c r="K258" s="216"/>
      <c r="L258" s="216"/>
      <c r="M258" s="216"/>
      <c r="N258" s="216"/>
      <c r="O258" s="216"/>
      <c r="P258" s="216"/>
      <c r="Q258" s="216"/>
      <c r="R258" s="216"/>
      <c r="S258" s="216"/>
      <c r="T258" s="216"/>
      <c r="U258" s="216"/>
      <c r="V258" s="216"/>
      <c r="W258" s="216"/>
      <c r="X258" s="216"/>
      <c r="Y258" s="216"/>
      <c r="Z258" s="216"/>
      <c r="AA258" s="216"/>
      <c r="AB258" s="216"/>
    </row>
    <row r="259" spans="2:28">
      <c r="B259" s="216"/>
      <c r="C259" s="329" t="s">
        <v>504</v>
      </c>
      <c r="D259" s="216"/>
      <c r="E259" s="216"/>
      <c r="F259" s="216"/>
      <c r="G259" s="216"/>
      <c r="H259" s="216"/>
      <c r="I259" s="216"/>
      <c r="J259" s="216"/>
      <c r="K259" s="216"/>
      <c r="L259" s="216"/>
      <c r="M259" s="216"/>
      <c r="N259" s="216"/>
      <c r="O259" s="216"/>
      <c r="P259" s="216"/>
      <c r="Q259" s="216"/>
      <c r="R259" s="216"/>
      <c r="S259" s="216"/>
      <c r="T259" s="216"/>
      <c r="U259" s="216"/>
      <c r="V259" s="216"/>
      <c r="W259" s="216"/>
      <c r="X259" s="216"/>
      <c r="Y259" s="216"/>
      <c r="Z259" s="216"/>
      <c r="AA259" s="216"/>
      <c r="AB259" s="216"/>
    </row>
    <row r="260" spans="2:28">
      <c r="B260" s="216"/>
      <c r="C260" s="329"/>
      <c r="D260" s="216"/>
      <c r="E260" s="216"/>
      <c r="F260" s="216"/>
      <c r="G260" s="216"/>
      <c r="H260" s="216"/>
      <c r="I260" s="216"/>
      <c r="J260" s="216"/>
      <c r="K260" s="216"/>
      <c r="L260" s="216"/>
      <c r="M260" s="216"/>
      <c r="N260" s="216"/>
      <c r="O260" s="216"/>
      <c r="P260" s="216"/>
      <c r="Q260" s="216"/>
      <c r="R260" s="216"/>
      <c r="S260" s="216"/>
      <c r="T260" s="216"/>
      <c r="U260" s="216"/>
      <c r="V260" s="216"/>
      <c r="W260" s="216"/>
      <c r="X260" s="216"/>
      <c r="Y260" s="216"/>
      <c r="Z260" s="216"/>
      <c r="AA260" s="216"/>
      <c r="AB260" s="216"/>
    </row>
    <row r="261" spans="2:28">
      <c r="B261" s="216"/>
      <c r="C261" s="329"/>
      <c r="D261" s="216"/>
      <c r="E261" s="216"/>
      <c r="F261" s="216"/>
      <c r="G261" s="216"/>
      <c r="H261" s="216"/>
      <c r="I261" s="216"/>
      <c r="J261" s="216"/>
      <c r="K261" s="216"/>
      <c r="L261" s="216"/>
      <c r="M261" s="216"/>
      <c r="N261" s="216"/>
      <c r="O261" s="216"/>
      <c r="P261" s="216"/>
      <c r="Q261" s="216"/>
      <c r="R261" s="216"/>
      <c r="S261" s="216"/>
      <c r="T261" s="216"/>
      <c r="U261" s="216"/>
      <c r="V261" s="216"/>
      <c r="W261" s="216"/>
      <c r="X261" s="216"/>
      <c r="Y261" s="216"/>
      <c r="Z261" s="216"/>
      <c r="AA261" s="216"/>
      <c r="AB261" s="216"/>
    </row>
    <row r="262" spans="2:28">
      <c r="B262" s="216"/>
      <c r="C262" s="329"/>
      <c r="D262" s="216"/>
      <c r="E262" s="216"/>
      <c r="F262" s="216"/>
      <c r="G262" s="216"/>
      <c r="H262" s="216"/>
      <c r="I262" s="216"/>
      <c r="J262" s="216"/>
      <c r="K262" s="216"/>
      <c r="L262" s="216"/>
      <c r="M262" s="216"/>
      <c r="N262" s="216"/>
      <c r="O262" s="216"/>
      <c r="P262" s="216"/>
      <c r="Q262" s="216"/>
      <c r="R262" s="216"/>
      <c r="S262" s="216"/>
      <c r="T262" s="216"/>
      <c r="U262" s="216"/>
      <c r="V262" s="216"/>
      <c r="W262" s="216"/>
      <c r="X262" s="216"/>
      <c r="Y262" s="216"/>
      <c r="Z262" s="216"/>
      <c r="AA262" s="216"/>
      <c r="AB262" s="216"/>
    </row>
    <row r="263" spans="2:28">
      <c r="B263" s="216"/>
      <c r="C263" s="216"/>
      <c r="D263" s="216"/>
      <c r="E263" s="216"/>
      <c r="F263" s="216"/>
      <c r="G263" s="216"/>
      <c r="H263" s="216"/>
      <c r="I263" s="216"/>
      <c r="J263" s="216"/>
      <c r="K263" s="216"/>
      <c r="L263" s="216"/>
      <c r="M263" s="216"/>
      <c r="N263" s="216"/>
      <c r="O263" s="216"/>
      <c r="P263" s="216"/>
      <c r="Q263" s="216"/>
      <c r="R263" s="216"/>
      <c r="S263" s="216"/>
      <c r="T263" s="216"/>
      <c r="U263" s="216"/>
      <c r="V263" s="216"/>
      <c r="W263" s="216"/>
      <c r="X263" s="216"/>
      <c r="Y263" s="216"/>
      <c r="Z263" s="216"/>
      <c r="AA263" s="216"/>
      <c r="AB263" s="216"/>
    </row>
    <row r="264" spans="2:28">
      <c r="B264" s="216"/>
      <c r="C264" s="216"/>
      <c r="D264" s="216"/>
      <c r="E264" s="216"/>
      <c r="F264" s="216"/>
      <c r="G264" s="216"/>
      <c r="H264" s="216"/>
      <c r="I264" s="216"/>
      <c r="J264" s="216" t="s">
        <v>505</v>
      </c>
      <c r="K264" s="216"/>
      <c r="L264" s="216"/>
      <c r="M264" s="216"/>
      <c r="N264" s="216"/>
      <c r="O264" s="216"/>
      <c r="P264" s="216"/>
      <c r="Q264" s="216"/>
      <c r="R264" s="216"/>
      <c r="S264" s="216"/>
      <c r="T264" s="352" t="s">
        <v>464</v>
      </c>
      <c r="U264" s="353" t="s">
        <v>470</v>
      </c>
      <c r="V264" s="354"/>
      <c r="W264" s="216"/>
      <c r="X264" s="216"/>
      <c r="Y264" s="216"/>
      <c r="Z264" s="216"/>
      <c r="AA264" s="216"/>
      <c r="AB264" s="216"/>
    </row>
    <row r="265" spans="2:28">
      <c r="B265" s="216"/>
      <c r="C265" s="216"/>
      <c r="D265" s="216"/>
      <c r="E265" s="216"/>
      <c r="F265" s="216"/>
      <c r="G265" s="216"/>
      <c r="H265" s="216"/>
      <c r="I265" s="216"/>
      <c r="J265" s="216"/>
      <c r="K265" s="216"/>
      <c r="L265" s="216"/>
      <c r="M265" s="216"/>
      <c r="N265" s="216"/>
      <c r="O265" s="216"/>
      <c r="P265" s="216"/>
      <c r="Q265" s="216"/>
      <c r="R265" s="216"/>
      <c r="S265" s="216"/>
      <c r="T265" s="355" t="s">
        <v>465</v>
      </c>
      <c r="U265" s="294" t="s">
        <v>458</v>
      </c>
      <c r="V265" s="356"/>
      <c r="W265" s="216"/>
      <c r="X265" s="216"/>
      <c r="Y265" s="216"/>
      <c r="Z265" s="216"/>
      <c r="AA265" s="216"/>
      <c r="AB265" s="216"/>
    </row>
    <row r="266" spans="2:28">
      <c r="B266" s="216"/>
      <c r="C266" s="216"/>
      <c r="D266" s="216"/>
      <c r="E266" s="216"/>
      <c r="F266" s="216"/>
      <c r="G266" s="216"/>
      <c r="H266" s="216"/>
      <c r="I266" s="216"/>
      <c r="J266" s="216"/>
      <c r="K266" s="216"/>
      <c r="L266" s="216"/>
      <c r="M266" s="216"/>
      <c r="N266" s="216"/>
      <c r="O266" s="216"/>
      <c r="P266" s="216"/>
      <c r="Q266" s="216"/>
      <c r="R266" s="216"/>
      <c r="S266" s="216"/>
      <c r="T266" s="355" t="s">
        <v>467</v>
      </c>
      <c r="U266" s="294" t="s">
        <v>461</v>
      </c>
      <c r="V266" s="356"/>
      <c r="W266" s="216"/>
      <c r="X266" s="216"/>
      <c r="Y266" s="216"/>
      <c r="Z266" s="216"/>
      <c r="AA266" s="216"/>
      <c r="AB266" s="216"/>
    </row>
    <row r="267" spans="2:28">
      <c r="B267" s="216"/>
      <c r="C267" s="216"/>
      <c r="D267" s="216"/>
      <c r="E267" s="216"/>
      <c r="F267" s="216"/>
      <c r="G267" s="216"/>
      <c r="H267" s="216"/>
      <c r="I267" s="216"/>
      <c r="J267" s="216"/>
      <c r="K267" s="216"/>
      <c r="L267" s="216"/>
      <c r="M267" s="216"/>
      <c r="N267" s="216"/>
      <c r="O267" s="216"/>
      <c r="P267" s="216"/>
      <c r="Q267" s="216"/>
      <c r="R267" s="216"/>
      <c r="S267" s="216"/>
      <c r="T267" s="357" t="s">
        <v>466</v>
      </c>
      <c r="U267" s="358" t="s">
        <v>462</v>
      </c>
      <c r="V267" s="359"/>
      <c r="W267" s="216"/>
      <c r="X267" s="216"/>
      <c r="Y267" s="216"/>
      <c r="Z267" s="216"/>
      <c r="AA267" s="216"/>
      <c r="AB267" s="216"/>
    </row>
    <row r="268" spans="2:28">
      <c r="B268" s="216"/>
      <c r="C268" s="216"/>
      <c r="D268" s="216"/>
      <c r="E268" s="216"/>
      <c r="F268" s="216"/>
      <c r="G268" s="216"/>
      <c r="H268" s="216"/>
      <c r="I268" s="216"/>
      <c r="J268" s="216"/>
      <c r="K268" s="216"/>
      <c r="L268" s="216"/>
      <c r="M268" s="216"/>
      <c r="N268" s="216"/>
      <c r="O268" s="216"/>
      <c r="P268" s="216"/>
      <c r="Q268" s="216"/>
      <c r="R268" s="216"/>
      <c r="S268" s="216"/>
      <c r="T268" s="216"/>
      <c r="U268" s="216"/>
      <c r="V268" s="216"/>
      <c r="W268" s="216"/>
      <c r="X268" s="216"/>
      <c r="Y268" s="216"/>
      <c r="Z268" s="216"/>
      <c r="AA268" s="216"/>
      <c r="AB268" s="216"/>
    </row>
    <row r="269" spans="2:28">
      <c r="B269" s="216"/>
      <c r="C269" s="216"/>
      <c r="D269" s="216"/>
      <c r="E269" s="216"/>
      <c r="F269" s="216"/>
      <c r="G269" s="216"/>
      <c r="H269" s="216"/>
      <c r="I269" s="216"/>
      <c r="J269" s="216" t="s">
        <v>506</v>
      </c>
      <c r="K269" s="216"/>
      <c r="L269" s="216"/>
      <c r="M269" s="216"/>
      <c r="N269" s="216"/>
      <c r="O269" s="216"/>
      <c r="P269" s="216"/>
      <c r="Q269" s="216"/>
      <c r="R269" s="216"/>
      <c r="S269" s="216"/>
      <c r="T269" s="216"/>
      <c r="U269" s="216"/>
      <c r="V269" s="216"/>
      <c r="W269" s="216"/>
      <c r="X269" s="216"/>
      <c r="Y269" s="216"/>
      <c r="Z269" s="216"/>
      <c r="AA269" s="216"/>
      <c r="AB269" s="216"/>
    </row>
    <row r="270" spans="2:28">
      <c r="B270" s="216"/>
      <c r="C270" s="216"/>
      <c r="D270" s="216"/>
      <c r="E270" s="216"/>
      <c r="F270" s="216"/>
      <c r="G270" s="216"/>
      <c r="H270" s="216"/>
      <c r="I270" s="216"/>
      <c r="J270" s="216"/>
      <c r="K270" s="216"/>
      <c r="L270" s="216"/>
      <c r="M270" s="216"/>
      <c r="N270" s="216"/>
      <c r="O270" s="216"/>
      <c r="P270" s="216"/>
      <c r="Q270" s="216"/>
      <c r="R270" s="216"/>
      <c r="S270" s="216"/>
      <c r="T270" s="216"/>
      <c r="U270" s="216"/>
      <c r="V270" s="216"/>
      <c r="W270" s="216"/>
      <c r="X270" s="216"/>
      <c r="Y270" s="216"/>
      <c r="Z270" s="216"/>
      <c r="AA270" s="216"/>
      <c r="AB270" s="216"/>
    </row>
    <row r="271" spans="2:28">
      <c r="B271" s="216"/>
      <c r="C271" s="216"/>
      <c r="D271" s="216"/>
      <c r="E271" s="216"/>
      <c r="F271" s="216"/>
      <c r="G271" s="216"/>
      <c r="H271" s="216"/>
      <c r="I271" s="216"/>
      <c r="J271" s="216"/>
      <c r="K271" s="216"/>
      <c r="L271" s="216"/>
      <c r="M271" s="216"/>
      <c r="N271" s="216"/>
      <c r="O271" s="216"/>
      <c r="P271" s="216"/>
      <c r="Q271" s="216"/>
      <c r="R271" s="216"/>
      <c r="S271" s="216"/>
      <c r="T271" s="216"/>
      <c r="U271" s="216"/>
      <c r="V271" s="216"/>
      <c r="W271" s="216"/>
      <c r="X271" s="216"/>
      <c r="Y271" s="216"/>
      <c r="Z271" s="216"/>
      <c r="AA271" s="216"/>
      <c r="AB271" s="216"/>
    </row>
    <row r="272" spans="2:28">
      <c r="B272" s="216"/>
      <c r="C272" s="216"/>
      <c r="D272" s="216"/>
      <c r="E272" s="216"/>
      <c r="F272" s="216"/>
      <c r="G272" s="216"/>
      <c r="H272" s="216"/>
      <c r="I272" s="216"/>
      <c r="J272" s="216"/>
      <c r="K272" s="216"/>
      <c r="L272" s="216"/>
      <c r="M272" s="216"/>
      <c r="N272" s="216"/>
      <c r="O272" s="216"/>
      <c r="P272" s="216"/>
      <c r="Q272" s="216"/>
      <c r="R272" s="216"/>
      <c r="S272" s="216"/>
      <c r="T272" s="216"/>
      <c r="U272" s="216"/>
      <c r="V272" s="216"/>
      <c r="W272" s="216"/>
      <c r="X272" s="216"/>
      <c r="Y272" s="216"/>
      <c r="Z272" s="216"/>
      <c r="AA272" s="216"/>
      <c r="AB272" s="216"/>
    </row>
    <row r="273" spans="2:28">
      <c r="B273" s="216"/>
      <c r="C273" s="216"/>
      <c r="D273" s="216"/>
      <c r="E273" s="216"/>
      <c r="F273" s="216"/>
      <c r="G273" s="216"/>
      <c r="H273" s="216"/>
      <c r="I273" s="216"/>
      <c r="J273" s="216"/>
      <c r="K273" s="216"/>
      <c r="L273" s="216"/>
      <c r="M273" s="216"/>
      <c r="N273" s="216"/>
      <c r="O273" s="216"/>
      <c r="P273" s="216"/>
      <c r="Q273" s="216"/>
      <c r="R273" s="216"/>
      <c r="S273" s="216"/>
      <c r="T273" s="216"/>
      <c r="U273" s="216"/>
      <c r="V273" s="216"/>
      <c r="W273" s="216"/>
      <c r="X273" s="216"/>
      <c r="Y273" s="216"/>
      <c r="Z273" s="216"/>
      <c r="AA273" s="216"/>
      <c r="AB273" s="216"/>
    </row>
    <row r="274" spans="2:28">
      <c r="B274" s="216"/>
      <c r="C274" s="216"/>
      <c r="D274" s="216"/>
      <c r="E274" s="216"/>
      <c r="F274" s="216"/>
      <c r="G274" s="216"/>
      <c r="H274" s="216"/>
      <c r="I274" s="216"/>
      <c r="J274" s="216"/>
      <c r="K274" s="216"/>
      <c r="L274" s="216"/>
      <c r="M274" s="216"/>
      <c r="N274" s="216"/>
      <c r="O274" s="216"/>
      <c r="P274" s="216"/>
      <c r="Q274" s="216"/>
      <c r="R274" s="216"/>
      <c r="S274" s="216"/>
      <c r="T274" s="216"/>
      <c r="U274" s="216"/>
      <c r="V274" s="216"/>
      <c r="W274" s="216"/>
      <c r="X274" s="216"/>
      <c r="Y274" s="216"/>
      <c r="Z274" s="216"/>
      <c r="AA274" s="216"/>
      <c r="AB274" s="216"/>
    </row>
    <row r="275" spans="2:28">
      <c r="B275" s="216"/>
      <c r="C275" s="216"/>
      <c r="D275" s="216"/>
      <c r="E275" s="216"/>
      <c r="F275" s="216"/>
      <c r="G275" s="216"/>
      <c r="H275" s="216"/>
      <c r="I275" s="216"/>
      <c r="J275" s="216"/>
      <c r="K275" s="216"/>
      <c r="L275" s="216"/>
      <c r="M275" s="216"/>
      <c r="N275" s="216"/>
      <c r="O275" s="216"/>
      <c r="P275" s="216"/>
      <c r="Q275" s="216"/>
      <c r="R275" s="216"/>
      <c r="S275" s="216"/>
      <c r="T275" s="216"/>
      <c r="U275" s="216"/>
      <c r="V275" s="216"/>
      <c r="W275" s="216"/>
      <c r="X275" s="216"/>
      <c r="Y275" s="216"/>
      <c r="Z275" s="216"/>
      <c r="AA275" s="216"/>
      <c r="AB275" s="216"/>
    </row>
    <row r="276" spans="2:28">
      <c r="B276" s="352"/>
      <c r="C276" s="203"/>
      <c r="D276" s="360" t="s">
        <v>320</v>
      </c>
      <c r="E276" s="203" t="s">
        <v>214</v>
      </c>
      <c r="F276" s="337">
        <v>20</v>
      </c>
      <c r="G276" s="338">
        <v>30</v>
      </c>
      <c r="H276" s="338">
        <v>40</v>
      </c>
      <c r="I276" s="338">
        <v>50</v>
      </c>
      <c r="J276" s="338">
        <v>60</v>
      </c>
      <c r="K276" s="338">
        <v>70</v>
      </c>
      <c r="L276" s="338">
        <v>80</v>
      </c>
      <c r="M276" s="338">
        <v>90</v>
      </c>
      <c r="N276" s="338">
        <v>100</v>
      </c>
      <c r="O276" s="338">
        <v>110</v>
      </c>
      <c r="P276" s="338">
        <v>120</v>
      </c>
      <c r="Q276" s="338">
        <v>130</v>
      </c>
      <c r="R276" s="338">
        <v>140</v>
      </c>
      <c r="S276" s="338">
        <v>150</v>
      </c>
      <c r="T276" s="338">
        <v>160</v>
      </c>
      <c r="U276" s="338">
        <v>170</v>
      </c>
      <c r="V276" s="338">
        <v>180</v>
      </c>
      <c r="W276" s="338">
        <v>190</v>
      </c>
      <c r="X276" s="338">
        <v>200</v>
      </c>
      <c r="Y276" s="338">
        <v>210</v>
      </c>
      <c r="Z276" s="338">
        <v>220</v>
      </c>
      <c r="AA276" s="338">
        <v>230</v>
      </c>
      <c r="AB276" s="339">
        <v>240</v>
      </c>
    </row>
    <row r="277" spans="2:28">
      <c r="B277" s="355"/>
      <c r="C277" s="216"/>
      <c r="D277" s="361" t="s">
        <v>321</v>
      </c>
      <c r="E277" s="216" t="s">
        <v>459</v>
      </c>
      <c r="F277" s="340">
        <f>IF(F276&lt;10,1,IF(F276&lt;50,1.75-0.01875*(50-F276),0.035*F276))</f>
        <v>1.1875</v>
      </c>
      <c r="G277" s="341">
        <f t="shared" ref="G277:AB277" si="109">IF(G276&lt;10,1,IF(G276&lt;50,1.75-0.01875*(50-G276),0.035*G276))</f>
        <v>1.375</v>
      </c>
      <c r="H277" s="341">
        <f t="shared" si="109"/>
        <v>1.5625</v>
      </c>
      <c r="I277" s="341">
        <f t="shared" si="109"/>
        <v>1.7500000000000002</v>
      </c>
      <c r="J277" s="341">
        <f t="shared" si="109"/>
        <v>2.1</v>
      </c>
      <c r="K277" s="341">
        <f t="shared" si="109"/>
        <v>2.4500000000000002</v>
      </c>
      <c r="L277" s="341">
        <f t="shared" si="109"/>
        <v>2.8000000000000003</v>
      </c>
      <c r="M277" s="341">
        <f t="shared" si="109"/>
        <v>3.1500000000000004</v>
      </c>
      <c r="N277" s="341">
        <f t="shared" si="109"/>
        <v>3.5000000000000004</v>
      </c>
      <c r="O277" s="341">
        <f t="shared" si="109"/>
        <v>3.8500000000000005</v>
      </c>
      <c r="P277" s="341">
        <f t="shared" si="109"/>
        <v>4.2</v>
      </c>
      <c r="Q277" s="341">
        <f t="shared" si="109"/>
        <v>4.5500000000000007</v>
      </c>
      <c r="R277" s="341">
        <f t="shared" si="109"/>
        <v>4.9000000000000004</v>
      </c>
      <c r="S277" s="341">
        <f t="shared" si="109"/>
        <v>5.2500000000000009</v>
      </c>
      <c r="T277" s="341">
        <f t="shared" si="109"/>
        <v>5.6000000000000005</v>
      </c>
      <c r="U277" s="341">
        <f t="shared" si="109"/>
        <v>5.95</v>
      </c>
      <c r="V277" s="341">
        <f t="shared" si="109"/>
        <v>6.3000000000000007</v>
      </c>
      <c r="W277" s="341">
        <f t="shared" si="109"/>
        <v>6.65</v>
      </c>
      <c r="X277" s="341">
        <f t="shared" si="109"/>
        <v>7.0000000000000009</v>
      </c>
      <c r="Y277" s="341">
        <f t="shared" si="109"/>
        <v>7.3500000000000005</v>
      </c>
      <c r="Z277" s="341">
        <f t="shared" si="109"/>
        <v>7.7000000000000011</v>
      </c>
      <c r="AA277" s="341">
        <f t="shared" si="109"/>
        <v>8.0500000000000007</v>
      </c>
      <c r="AB277" s="342">
        <f t="shared" si="109"/>
        <v>8.4</v>
      </c>
    </row>
    <row r="278" spans="2:28">
      <c r="B278" s="355"/>
      <c r="C278" s="216"/>
      <c r="D278" s="361" t="s">
        <v>322</v>
      </c>
      <c r="E278" s="216" t="s">
        <v>459</v>
      </c>
      <c r="F278" s="340">
        <f>IF(F277&lt;1.75,F277,1.75+0.3*(F277-1.75))</f>
        <v>1.1875</v>
      </c>
      <c r="G278" s="341">
        <f t="shared" ref="G278" si="110">IF(G277&lt;1.75,G277,1.75+0.3*(G277-1.75))</f>
        <v>1.375</v>
      </c>
      <c r="H278" s="341">
        <f t="shared" ref="H278" si="111">IF(H277&lt;1.75,H277,1.75+0.3*(H277-1.75))</f>
        <v>1.5625</v>
      </c>
      <c r="I278" s="341">
        <f t="shared" ref="I278" si="112">IF(I277&lt;1.75,I277,1.75+0.3*(I277-1.75))</f>
        <v>1.75</v>
      </c>
      <c r="J278" s="341">
        <f t="shared" ref="J278" si="113">IF(J277&lt;1.75,J277,1.75+0.3*(J277-1.75))</f>
        <v>1.855</v>
      </c>
      <c r="K278" s="341">
        <f t="shared" ref="K278" si="114">IF(K277&lt;1.75,K277,1.75+0.3*(K277-1.75))</f>
        <v>1.96</v>
      </c>
      <c r="L278" s="341">
        <f t="shared" ref="L278" si="115">IF(L277&lt;1.75,L277,1.75+0.3*(L277-1.75))</f>
        <v>2.0649999999999999</v>
      </c>
      <c r="M278" s="341">
        <f t="shared" ref="M278" si="116">IF(M277&lt;1.75,M277,1.75+0.3*(M277-1.75))</f>
        <v>2.17</v>
      </c>
      <c r="N278" s="341">
        <f t="shared" ref="N278" si="117">IF(N277&lt;1.75,N277,1.75+0.3*(N277-1.75))</f>
        <v>2.2750000000000004</v>
      </c>
      <c r="O278" s="341">
        <f t="shared" ref="O278" si="118">IF(O277&lt;1.75,O277,1.75+0.3*(O277-1.75))</f>
        <v>2.38</v>
      </c>
      <c r="P278" s="341">
        <f t="shared" ref="P278" si="119">IF(P277&lt;1.75,P277,1.75+0.3*(P277-1.75))</f>
        <v>2.4849999999999999</v>
      </c>
      <c r="Q278" s="341">
        <f t="shared" ref="Q278" si="120">IF(Q277&lt;1.75,Q277,1.75+0.3*(Q277-1.75))</f>
        <v>2.5900000000000003</v>
      </c>
      <c r="R278" s="341">
        <f t="shared" ref="R278" si="121">IF(R277&lt;1.75,R277,1.75+0.3*(R277-1.75))</f>
        <v>2.6950000000000003</v>
      </c>
      <c r="S278" s="341">
        <f t="shared" ref="S278" si="122">IF(S277&lt;1.75,S277,1.75+0.3*(S277-1.75))</f>
        <v>2.8000000000000003</v>
      </c>
      <c r="T278" s="341">
        <f t="shared" ref="T278" si="123">IF(T277&lt;1.75,T277,1.75+0.3*(T277-1.75))</f>
        <v>2.9050000000000002</v>
      </c>
      <c r="U278" s="341">
        <f t="shared" ref="U278" si="124">IF(U277&lt;1.75,U277,1.75+0.3*(U277-1.75))</f>
        <v>3.01</v>
      </c>
      <c r="V278" s="341">
        <f t="shared" ref="V278" si="125">IF(V277&lt;1.75,V277,1.75+0.3*(V277-1.75))</f>
        <v>3.1150000000000002</v>
      </c>
      <c r="W278" s="341">
        <f t="shared" ref="W278" si="126">IF(W277&lt;1.75,W277,1.75+0.3*(W277-1.75))</f>
        <v>3.2199999999999998</v>
      </c>
      <c r="X278" s="341">
        <f t="shared" ref="X278" si="127">IF(X277&lt;1.75,X277,1.75+0.3*(X277-1.75))</f>
        <v>3.3250000000000002</v>
      </c>
      <c r="Y278" s="341">
        <f t="shared" ref="Y278" si="128">IF(Y277&lt;1.75,Y277,1.75+0.3*(Y277-1.75))</f>
        <v>3.43</v>
      </c>
      <c r="Z278" s="341">
        <f t="shared" ref="Z278" si="129">IF(Z277&lt;1.75,Z277,1.75+0.3*(Z277-1.75))</f>
        <v>3.5350000000000001</v>
      </c>
      <c r="AA278" s="341">
        <f t="shared" ref="AA278" si="130">IF(AA277&lt;1.75,AA277,1.75+0.3*(AA277-1.75))</f>
        <v>3.64</v>
      </c>
      <c r="AB278" s="342">
        <f t="shared" ref="AB278" si="131">IF(AB277&lt;1.75,AB277,1.75+0.3*(AB277-1.75))</f>
        <v>3.7450000000000001</v>
      </c>
    </row>
    <row r="279" spans="2:28">
      <c r="B279" s="355"/>
      <c r="C279" s="216"/>
      <c r="D279" s="361" t="s">
        <v>469</v>
      </c>
      <c r="E279" s="216" t="s">
        <v>460</v>
      </c>
      <c r="F279" s="343">
        <f>MAX(40.71,3.26*F276/F277)</f>
        <v>54.90526315789473</v>
      </c>
      <c r="G279" s="344">
        <f t="shared" ref="G279:AB279" si="132">MAX(40.71,3.26*G276/G277)</f>
        <v>71.127272727272725</v>
      </c>
      <c r="H279" s="344">
        <f t="shared" si="132"/>
        <v>83.455999999999989</v>
      </c>
      <c r="I279" s="344">
        <f t="shared" si="132"/>
        <v>93.142857142857125</v>
      </c>
      <c r="J279" s="344">
        <f t="shared" si="132"/>
        <v>93.142857142857139</v>
      </c>
      <c r="K279" s="344">
        <f t="shared" si="132"/>
        <v>93.142857142857125</v>
      </c>
      <c r="L279" s="344">
        <f t="shared" si="132"/>
        <v>93.142857142857125</v>
      </c>
      <c r="M279" s="344">
        <f t="shared" si="132"/>
        <v>93.142857142857125</v>
      </c>
      <c r="N279" s="344">
        <f t="shared" si="132"/>
        <v>93.142857142857125</v>
      </c>
      <c r="O279" s="344">
        <f t="shared" si="132"/>
        <v>93.142857142857125</v>
      </c>
      <c r="P279" s="344">
        <f t="shared" si="132"/>
        <v>93.142857142857139</v>
      </c>
      <c r="Q279" s="344">
        <f t="shared" si="132"/>
        <v>93.142857142857125</v>
      </c>
      <c r="R279" s="344">
        <f t="shared" si="132"/>
        <v>93.142857142857125</v>
      </c>
      <c r="S279" s="344">
        <f t="shared" si="132"/>
        <v>93.14285714285711</v>
      </c>
      <c r="T279" s="344">
        <f t="shared" si="132"/>
        <v>93.142857142857125</v>
      </c>
      <c r="U279" s="344">
        <f t="shared" si="132"/>
        <v>93.142857142857125</v>
      </c>
      <c r="V279" s="344">
        <f t="shared" si="132"/>
        <v>93.142857142857125</v>
      </c>
      <c r="W279" s="344">
        <f t="shared" si="132"/>
        <v>93.142857142857139</v>
      </c>
      <c r="X279" s="344">
        <f t="shared" si="132"/>
        <v>93.142857142857125</v>
      </c>
      <c r="Y279" s="344">
        <f t="shared" si="132"/>
        <v>93.142857142857125</v>
      </c>
      <c r="Z279" s="344">
        <f t="shared" si="132"/>
        <v>93.142857142857125</v>
      </c>
      <c r="AA279" s="344">
        <f t="shared" si="132"/>
        <v>93.142857142857125</v>
      </c>
      <c r="AB279" s="345">
        <f t="shared" si="132"/>
        <v>93.142857142857139</v>
      </c>
    </row>
    <row r="280" spans="2:28">
      <c r="B280" s="355"/>
      <c r="C280" s="216"/>
      <c r="D280" s="361" t="s">
        <v>323</v>
      </c>
      <c r="E280" s="216"/>
      <c r="F280" s="346">
        <v>60</v>
      </c>
      <c r="G280" s="347"/>
      <c r="H280" s="347"/>
      <c r="I280" s="347"/>
      <c r="J280" s="347"/>
      <c r="K280" s="347"/>
      <c r="L280" s="347"/>
      <c r="M280" s="347"/>
      <c r="N280" s="347"/>
      <c r="O280" s="347"/>
      <c r="P280" s="347"/>
      <c r="Q280" s="347"/>
      <c r="R280" s="347"/>
      <c r="S280" s="347"/>
      <c r="T280" s="347"/>
      <c r="U280" s="347"/>
      <c r="V280" s="347"/>
      <c r="W280" s="347"/>
      <c r="X280" s="347"/>
      <c r="Y280" s="347"/>
      <c r="Z280" s="347"/>
      <c r="AA280" s="347"/>
      <c r="AB280" s="348"/>
    </row>
    <row r="281" spans="2:28">
      <c r="B281" s="357"/>
      <c r="C281" s="362"/>
      <c r="D281" s="363" t="s">
        <v>468</v>
      </c>
      <c r="E281" s="362" t="s">
        <v>460</v>
      </c>
      <c r="F281" s="349">
        <f>+$F$255*F278</f>
        <v>71.25</v>
      </c>
      <c r="G281" s="350">
        <f t="shared" ref="G281:AB281" si="133">+$F$255*G278</f>
        <v>82.5</v>
      </c>
      <c r="H281" s="350">
        <f t="shared" si="133"/>
        <v>93.75</v>
      </c>
      <c r="I281" s="350">
        <f t="shared" si="133"/>
        <v>105</v>
      </c>
      <c r="J281" s="350">
        <f t="shared" si="133"/>
        <v>111.3</v>
      </c>
      <c r="K281" s="350">
        <f t="shared" si="133"/>
        <v>117.6</v>
      </c>
      <c r="L281" s="350">
        <f t="shared" si="133"/>
        <v>123.89999999999999</v>
      </c>
      <c r="M281" s="350">
        <f t="shared" si="133"/>
        <v>130.19999999999999</v>
      </c>
      <c r="N281" s="350">
        <f t="shared" si="133"/>
        <v>136.50000000000003</v>
      </c>
      <c r="O281" s="350">
        <f t="shared" si="133"/>
        <v>142.79999999999998</v>
      </c>
      <c r="P281" s="350">
        <f t="shared" si="133"/>
        <v>149.1</v>
      </c>
      <c r="Q281" s="350">
        <f t="shared" si="133"/>
        <v>155.4</v>
      </c>
      <c r="R281" s="350">
        <f t="shared" si="133"/>
        <v>161.70000000000002</v>
      </c>
      <c r="S281" s="350">
        <f t="shared" si="133"/>
        <v>168.00000000000003</v>
      </c>
      <c r="T281" s="350">
        <f t="shared" si="133"/>
        <v>174.3</v>
      </c>
      <c r="U281" s="350">
        <f t="shared" si="133"/>
        <v>180.6</v>
      </c>
      <c r="V281" s="350">
        <f t="shared" si="133"/>
        <v>186.9</v>
      </c>
      <c r="W281" s="350">
        <f t="shared" si="133"/>
        <v>193.2</v>
      </c>
      <c r="X281" s="350">
        <f t="shared" si="133"/>
        <v>199.5</v>
      </c>
      <c r="Y281" s="350">
        <f t="shared" si="133"/>
        <v>205.8</v>
      </c>
      <c r="Z281" s="350">
        <f t="shared" si="133"/>
        <v>212.10000000000002</v>
      </c>
      <c r="AA281" s="350">
        <f t="shared" si="133"/>
        <v>218.4</v>
      </c>
      <c r="AB281" s="351">
        <f t="shared" si="133"/>
        <v>224.70000000000002</v>
      </c>
    </row>
    <row r="282" spans="2:28">
      <c r="B282" s="216"/>
      <c r="C282" s="216"/>
      <c r="D282" s="216"/>
      <c r="E282" s="216"/>
      <c r="F282" s="216"/>
      <c r="G282" s="216"/>
      <c r="H282" s="216"/>
      <c r="I282" s="216"/>
      <c r="J282" s="216"/>
      <c r="K282" s="216"/>
      <c r="L282" s="216"/>
      <c r="M282" s="216"/>
      <c r="N282" s="216"/>
      <c r="O282" s="216"/>
      <c r="P282" s="216"/>
      <c r="Q282" s="216"/>
      <c r="R282" s="216"/>
      <c r="S282" s="216"/>
      <c r="T282" s="216"/>
      <c r="U282" s="216"/>
      <c r="V282" s="216"/>
      <c r="W282" s="216"/>
      <c r="X282" s="216"/>
      <c r="Y282" s="216"/>
      <c r="Z282" s="216"/>
      <c r="AA282" s="216"/>
      <c r="AB282" s="216"/>
    </row>
    <row r="283" spans="2:28">
      <c r="B283" s="216"/>
      <c r="C283" s="216"/>
      <c r="D283" s="313" t="s">
        <v>404</v>
      </c>
      <c r="E283" s="216"/>
      <c r="F283" s="216"/>
      <c r="G283" s="216"/>
      <c r="H283" s="216"/>
      <c r="I283" s="216"/>
      <c r="J283" s="216"/>
      <c r="K283" s="216"/>
      <c r="L283" s="216"/>
      <c r="M283" s="216"/>
      <c r="N283" s="216"/>
      <c r="O283" s="216"/>
      <c r="P283" s="216"/>
      <c r="Q283" s="216"/>
      <c r="R283" s="216"/>
      <c r="S283" s="216"/>
      <c r="T283" s="216"/>
      <c r="U283" s="216"/>
      <c r="V283" s="216"/>
      <c r="W283" s="216"/>
      <c r="X283" s="216"/>
      <c r="Y283" s="216"/>
      <c r="Z283" s="216"/>
      <c r="AA283" s="216"/>
      <c r="AB283" s="216"/>
    </row>
    <row r="284" spans="2:28" ht="61.5" customHeight="1">
      <c r="B284" s="216"/>
      <c r="C284" s="216"/>
      <c r="D284" s="170" t="s">
        <v>307</v>
      </c>
      <c r="E284" s="171" t="s">
        <v>334</v>
      </c>
      <c r="F284" s="216"/>
      <c r="G284" s="216"/>
      <c r="H284" s="216"/>
      <c r="I284" s="216"/>
      <c r="J284" s="216"/>
      <c r="K284" s="216"/>
      <c r="L284" s="216"/>
      <c r="M284" s="216"/>
      <c r="N284" s="216"/>
      <c r="O284" s="216"/>
      <c r="P284" s="216"/>
      <c r="Q284" s="216"/>
    </row>
    <row r="285" spans="2:28" ht="25.5">
      <c r="B285" s="216"/>
      <c r="C285" s="216"/>
      <c r="D285" s="126" t="s">
        <v>308</v>
      </c>
      <c r="E285" s="122" t="s">
        <v>309</v>
      </c>
      <c r="G285" s="124" t="s">
        <v>405</v>
      </c>
      <c r="H285" s="125"/>
      <c r="I285" s="125"/>
      <c r="J285" s="125"/>
      <c r="K285" s="125"/>
      <c r="L285" s="216"/>
      <c r="M285" s="216" t="s">
        <v>507</v>
      </c>
      <c r="N285" s="216"/>
      <c r="O285" s="216"/>
      <c r="P285" s="216"/>
      <c r="Q285" s="216"/>
    </row>
    <row r="286" spans="2:28" ht="25.5">
      <c r="B286" s="216"/>
      <c r="C286" s="216"/>
      <c r="D286" s="126" t="s">
        <v>310</v>
      </c>
      <c r="E286" s="122" t="s">
        <v>311</v>
      </c>
      <c r="F286" s="216"/>
      <c r="G286" s="216"/>
      <c r="H286" s="216"/>
      <c r="I286" s="216"/>
      <c r="J286" s="216"/>
      <c r="K286" s="216"/>
      <c r="L286" s="216"/>
      <c r="M286" s="216"/>
      <c r="N286" s="216"/>
      <c r="O286" s="216"/>
      <c r="P286" s="216"/>
      <c r="Q286" s="216"/>
    </row>
    <row r="287" spans="2:28">
      <c r="B287" s="216"/>
      <c r="C287" s="216"/>
      <c r="D287" s="126" t="s">
        <v>312</v>
      </c>
      <c r="E287" s="122" t="s">
        <v>313</v>
      </c>
      <c r="F287" s="216"/>
      <c r="G287" s="216"/>
      <c r="H287" s="216"/>
      <c r="I287" s="216"/>
      <c r="J287" s="216"/>
      <c r="K287" s="216"/>
      <c r="L287" s="216"/>
      <c r="M287" s="216"/>
      <c r="N287" s="216"/>
      <c r="O287" s="216"/>
      <c r="P287" s="216"/>
      <c r="Q287" s="216"/>
    </row>
    <row r="288" spans="2:28">
      <c r="B288" s="216"/>
      <c r="C288" s="216"/>
      <c r="D288" s="126" t="s">
        <v>314</v>
      </c>
      <c r="E288" s="122" t="s">
        <v>315</v>
      </c>
      <c r="F288" s="216"/>
      <c r="G288" s="216"/>
      <c r="H288" s="216"/>
      <c r="I288" s="216"/>
      <c r="J288" s="216"/>
      <c r="K288" s="216"/>
      <c r="L288" s="216"/>
      <c r="M288" s="216"/>
      <c r="N288" s="216"/>
      <c r="O288" s="216"/>
      <c r="P288" s="216"/>
      <c r="Q288" s="216"/>
    </row>
    <row r="289" spans="2:17">
      <c r="B289" s="216"/>
      <c r="C289" s="216"/>
      <c r="D289" s="216"/>
      <c r="E289" s="216"/>
      <c r="F289" s="216"/>
      <c r="G289" s="216"/>
      <c r="H289" s="216"/>
      <c r="I289" s="216"/>
      <c r="J289" s="216"/>
      <c r="K289" s="216"/>
      <c r="L289" s="216"/>
      <c r="M289" s="216"/>
      <c r="N289" s="216"/>
      <c r="O289" s="216"/>
      <c r="P289" s="216"/>
      <c r="Q289" s="216"/>
    </row>
    <row r="290" spans="2:17">
      <c r="B290" s="216"/>
      <c r="C290" s="216"/>
      <c r="D290" s="216"/>
      <c r="E290" s="216"/>
      <c r="F290" s="216"/>
      <c r="G290" s="216"/>
      <c r="H290" s="216"/>
      <c r="I290" s="216"/>
      <c r="J290" s="216"/>
      <c r="K290" s="216"/>
      <c r="L290" s="216"/>
      <c r="M290" s="216"/>
      <c r="N290" s="216"/>
      <c r="O290" s="216"/>
      <c r="P290" s="216"/>
      <c r="Q290" s="216"/>
    </row>
    <row r="291" spans="2:17">
      <c r="B291" s="216"/>
      <c r="C291" s="216"/>
      <c r="D291" s="313" t="s">
        <v>306</v>
      </c>
      <c r="E291" s="216"/>
      <c r="F291" s="216"/>
      <c r="G291" s="216"/>
      <c r="H291" s="216"/>
      <c r="I291" s="216"/>
      <c r="J291" s="216"/>
      <c r="K291" s="216"/>
      <c r="L291" s="216"/>
      <c r="M291" s="216"/>
      <c r="N291" s="216"/>
      <c r="O291" s="216"/>
      <c r="P291" s="216"/>
      <c r="Q291" s="216"/>
    </row>
    <row r="292" spans="2:17" ht="61.5" customHeight="1" thickBot="1">
      <c r="B292" s="216"/>
      <c r="C292" s="216"/>
      <c r="D292" s="121" t="s">
        <v>307</v>
      </c>
      <c r="E292" s="122" t="s">
        <v>334</v>
      </c>
      <c r="F292" s="216"/>
      <c r="G292" s="216"/>
      <c r="H292" s="216"/>
      <c r="I292" s="216"/>
      <c r="J292" s="216"/>
      <c r="K292" s="216"/>
      <c r="L292" s="216"/>
      <c r="M292" s="216"/>
      <c r="N292" s="216"/>
      <c r="O292" s="216"/>
      <c r="P292" s="216"/>
      <c r="Q292" s="216"/>
    </row>
    <row r="293" spans="2:17" ht="61.5" customHeight="1" thickBot="1">
      <c r="B293" s="168" t="s">
        <v>399</v>
      </c>
      <c r="C293" s="156" t="e">
        <f>+#REF!</f>
        <v>#REF!</v>
      </c>
      <c r="D293" s="169" t="e">
        <f>INDEX(D294:D314,$C293)</f>
        <v>#REF!</v>
      </c>
      <c r="E293" s="158" t="e">
        <f>INDEX(E294:E314,$C293)</f>
        <v>#REF!</v>
      </c>
      <c r="F293" s="216"/>
      <c r="G293" s="216"/>
      <c r="H293" s="216"/>
      <c r="I293" s="216"/>
      <c r="J293" s="216"/>
      <c r="K293" s="216"/>
      <c r="L293" s="216"/>
      <c r="M293" s="216"/>
      <c r="N293" s="216"/>
      <c r="O293" s="216"/>
      <c r="P293" s="216"/>
      <c r="Q293" s="216"/>
    </row>
    <row r="294" spans="2:17" ht="24.75" customHeight="1">
      <c r="B294" s="216"/>
      <c r="C294" s="216"/>
      <c r="D294" s="364" t="s">
        <v>409</v>
      </c>
      <c r="E294" s="365">
        <v>25</v>
      </c>
      <c r="F294" s="216"/>
      <c r="G294" s="216"/>
      <c r="H294" s="216"/>
      <c r="I294" s="216"/>
      <c r="J294" s="216"/>
      <c r="K294" s="216"/>
      <c r="L294" s="216"/>
      <c r="M294" s="216"/>
      <c r="N294" s="216"/>
      <c r="O294" s="216"/>
      <c r="P294" s="216"/>
      <c r="Q294" s="216"/>
    </row>
    <row r="295" spans="2:17" ht="24.75" customHeight="1">
      <c r="B295" s="216"/>
      <c r="C295" s="216"/>
      <c r="D295" s="366" t="s">
        <v>488</v>
      </c>
      <c r="E295" s="367">
        <v>45</v>
      </c>
      <c r="F295" s="216"/>
      <c r="G295" s="216"/>
      <c r="H295" s="216"/>
      <c r="I295" s="216"/>
      <c r="J295" s="216"/>
      <c r="K295" s="216"/>
      <c r="L295" s="216"/>
      <c r="M295" s="216"/>
      <c r="N295" s="216"/>
      <c r="O295" s="216"/>
      <c r="P295" s="216"/>
      <c r="Q295" s="216"/>
    </row>
    <row r="296" spans="2:17" ht="24.75" customHeight="1">
      <c r="B296" s="216"/>
      <c r="C296" s="216"/>
      <c r="D296" s="368" t="s">
        <v>410</v>
      </c>
      <c r="E296" s="369">
        <v>60</v>
      </c>
      <c r="F296" s="216"/>
      <c r="G296" s="216"/>
      <c r="H296" s="216"/>
      <c r="I296" s="216"/>
      <c r="J296" s="216"/>
      <c r="K296" s="216"/>
      <c r="L296" s="216"/>
      <c r="M296" s="216"/>
      <c r="N296" s="216"/>
      <c r="O296" s="216"/>
      <c r="P296" s="216"/>
      <c r="Q296" s="216"/>
    </row>
    <row r="297" spans="2:17" ht="24.75" customHeight="1">
      <c r="B297" s="216"/>
      <c r="C297" s="216"/>
      <c r="D297" s="368" t="s">
        <v>411</v>
      </c>
      <c r="E297" s="369">
        <v>60</v>
      </c>
      <c r="F297" s="216"/>
      <c r="G297" s="216"/>
      <c r="H297" s="216"/>
      <c r="I297" s="216"/>
      <c r="J297" s="216"/>
      <c r="K297" s="216"/>
      <c r="L297" s="216"/>
      <c r="M297" s="216"/>
      <c r="N297" s="216"/>
      <c r="O297" s="216"/>
      <c r="P297" s="216"/>
      <c r="Q297" s="216"/>
    </row>
    <row r="298" spans="2:17" ht="24.75" customHeight="1">
      <c r="B298" s="216"/>
      <c r="C298" s="216"/>
      <c r="D298" s="368" t="s">
        <v>489</v>
      </c>
      <c r="E298" s="369">
        <v>80</v>
      </c>
      <c r="F298" s="216"/>
      <c r="G298" s="216"/>
      <c r="H298" s="216"/>
      <c r="I298" s="216"/>
      <c r="J298" s="216"/>
      <c r="K298" s="216"/>
      <c r="L298" s="216"/>
      <c r="M298" s="216"/>
      <c r="N298" s="216"/>
      <c r="O298" s="216"/>
      <c r="P298" s="216"/>
      <c r="Q298" s="216"/>
    </row>
    <row r="299" spans="2:17" ht="24.75" customHeight="1">
      <c r="B299" s="216"/>
      <c r="C299" s="216"/>
      <c r="D299" s="368" t="s">
        <v>412</v>
      </c>
      <c r="E299" s="369">
        <v>100</v>
      </c>
      <c r="F299" s="216"/>
      <c r="G299" s="216"/>
      <c r="H299" s="216"/>
      <c r="I299" s="216"/>
      <c r="J299" s="216"/>
      <c r="K299" s="216"/>
      <c r="L299" s="216"/>
      <c r="M299" s="216"/>
      <c r="N299" s="216"/>
      <c r="O299" s="216"/>
      <c r="P299" s="216"/>
      <c r="Q299" s="216"/>
    </row>
    <row r="300" spans="2:17" ht="24.75" customHeight="1">
      <c r="B300" s="216"/>
      <c r="C300" s="216"/>
      <c r="D300" s="368" t="s">
        <v>416</v>
      </c>
      <c r="E300" s="369">
        <v>40</v>
      </c>
      <c r="F300" s="216"/>
      <c r="G300" s="216"/>
      <c r="H300" s="216"/>
      <c r="I300" s="216"/>
      <c r="J300" s="216"/>
      <c r="K300" s="216"/>
      <c r="L300" s="216"/>
      <c r="M300" s="216"/>
      <c r="N300" s="216"/>
      <c r="O300" s="216"/>
      <c r="P300" s="216"/>
      <c r="Q300" s="216"/>
    </row>
    <row r="301" spans="2:17" ht="24.75" customHeight="1">
      <c r="B301" s="216"/>
      <c r="C301" s="216"/>
      <c r="D301" s="368" t="s">
        <v>490</v>
      </c>
      <c r="E301" s="369">
        <v>55</v>
      </c>
      <c r="F301" s="216"/>
      <c r="G301" s="216"/>
      <c r="H301" s="216"/>
      <c r="I301" s="216"/>
      <c r="J301" s="216"/>
      <c r="K301" s="216"/>
      <c r="L301" s="216"/>
      <c r="M301" s="216"/>
      <c r="N301" s="216"/>
      <c r="O301" s="216"/>
      <c r="P301" s="216"/>
      <c r="Q301" s="216"/>
    </row>
    <row r="302" spans="2:17" ht="24.75" customHeight="1">
      <c r="B302" s="216"/>
      <c r="C302" s="216"/>
      <c r="D302" s="368" t="s">
        <v>415</v>
      </c>
      <c r="E302" s="369">
        <v>70</v>
      </c>
      <c r="F302" s="216"/>
      <c r="G302" s="216"/>
      <c r="H302" s="216"/>
      <c r="I302" s="216"/>
      <c r="J302" s="216"/>
      <c r="K302" s="216"/>
      <c r="L302" s="216"/>
      <c r="M302" s="216"/>
      <c r="N302" s="216"/>
      <c r="O302" s="216"/>
      <c r="P302" s="216"/>
      <c r="Q302" s="216"/>
    </row>
    <row r="303" spans="2:17" ht="24.75" customHeight="1">
      <c r="B303" s="216"/>
      <c r="C303" s="216"/>
      <c r="D303" s="368" t="s">
        <v>414</v>
      </c>
      <c r="E303" s="369">
        <v>25</v>
      </c>
      <c r="F303" s="216"/>
      <c r="G303" s="216"/>
      <c r="H303" s="216"/>
      <c r="I303" s="216"/>
      <c r="J303" s="216"/>
      <c r="K303" s="216"/>
      <c r="L303" s="216"/>
      <c r="M303" s="216"/>
      <c r="N303" s="216"/>
      <c r="O303" s="216"/>
      <c r="P303" s="216"/>
      <c r="Q303" s="216"/>
    </row>
    <row r="304" spans="2:17" ht="24.75" customHeight="1">
      <c r="B304" s="216"/>
      <c r="C304" s="216"/>
      <c r="D304" s="368" t="s">
        <v>491</v>
      </c>
      <c r="E304" s="369">
        <v>27.5</v>
      </c>
      <c r="F304" s="216"/>
      <c r="G304" s="216"/>
      <c r="H304" s="216"/>
      <c r="I304" s="216"/>
      <c r="J304" s="216"/>
      <c r="K304" s="216"/>
      <c r="L304" s="216"/>
      <c r="M304" s="216"/>
      <c r="N304" s="216"/>
      <c r="O304" s="216"/>
      <c r="P304" s="216"/>
      <c r="Q304" s="216"/>
    </row>
    <row r="305" spans="2:17" ht="24.75" customHeight="1">
      <c r="B305" s="216"/>
      <c r="C305" s="216"/>
      <c r="D305" s="368" t="s">
        <v>413</v>
      </c>
      <c r="E305" s="369">
        <v>30</v>
      </c>
      <c r="F305" s="216"/>
      <c r="G305" s="216"/>
      <c r="H305" s="216"/>
      <c r="I305" s="216"/>
      <c r="J305" s="216"/>
      <c r="K305" s="216"/>
      <c r="L305" s="216"/>
      <c r="M305" s="216"/>
      <c r="N305" s="216"/>
      <c r="O305" s="216"/>
      <c r="P305" s="216"/>
      <c r="Q305" s="216"/>
    </row>
    <row r="306" spans="2:17" ht="24.75" customHeight="1">
      <c r="B306" s="216"/>
      <c r="C306" s="216"/>
      <c r="D306" s="368" t="s">
        <v>384</v>
      </c>
      <c r="E306" s="369">
        <v>5</v>
      </c>
      <c r="F306" s="216"/>
      <c r="G306" s="216"/>
      <c r="H306" s="216"/>
      <c r="I306" s="216"/>
      <c r="J306" s="216"/>
      <c r="K306" s="216"/>
      <c r="L306" s="216"/>
      <c r="M306" s="216"/>
      <c r="N306" s="216"/>
      <c r="O306" s="216"/>
      <c r="P306" s="216"/>
      <c r="Q306" s="216"/>
    </row>
    <row r="307" spans="2:17" ht="24.75" customHeight="1">
      <c r="B307" s="216"/>
      <c r="C307" s="216"/>
      <c r="D307" s="368" t="s">
        <v>385</v>
      </c>
      <c r="E307" s="369">
        <v>10</v>
      </c>
      <c r="F307" s="216"/>
      <c r="G307" s="216"/>
      <c r="H307" s="216"/>
      <c r="I307" s="216"/>
      <c r="J307" s="216"/>
      <c r="K307" s="216"/>
      <c r="L307" s="216"/>
      <c r="M307" s="216"/>
      <c r="N307" s="216"/>
      <c r="O307" s="216"/>
      <c r="P307" s="216"/>
      <c r="Q307" s="216"/>
    </row>
    <row r="308" spans="2:17" ht="24.75" customHeight="1">
      <c r="B308" s="216"/>
      <c r="C308" s="216"/>
      <c r="D308" s="368" t="s">
        <v>386</v>
      </c>
      <c r="E308" s="369">
        <v>20</v>
      </c>
      <c r="F308" s="216"/>
      <c r="G308" s="216"/>
      <c r="H308" s="216"/>
      <c r="I308" s="216"/>
      <c r="J308" s="216"/>
      <c r="K308" s="216"/>
      <c r="L308" s="216"/>
      <c r="M308" s="216"/>
      <c r="N308" s="216"/>
      <c r="O308" s="216"/>
      <c r="P308" s="216"/>
      <c r="Q308" s="216"/>
    </row>
    <row r="309" spans="2:17" ht="24.75" customHeight="1">
      <c r="B309" s="216"/>
      <c r="C309" s="216"/>
      <c r="D309" s="368" t="s">
        <v>387</v>
      </c>
      <c r="E309" s="369">
        <v>40</v>
      </c>
      <c r="F309" s="216"/>
      <c r="G309" s="216"/>
      <c r="H309" s="216"/>
      <c r="I309" s="216"/>
      <c r="J309" s="216"/>
      <c r="K309" s="216"/>
      <c r="L309" s="216"/>
      <c r="M309" s="216"/>
      <c r="N309" s="216"/>
      <c r="O309" s="216"/>
      <c r="P309" s="216"/>
      <c r="Q309" s="216"/>
    </row>
    <row r="310" spans="2:17" ht="24.75" customHeight="1">
      <c r="B310" s="216"/>
      <c r="C310" s="216"/>
      <c r="D310" s="368" t="s">
        <v>388</v>
      </c>
      <c r="E310" s="293">
        <v>60</v>
      </c>
      <c r="F310" s="216"/>
      <c r="G310" s="216"/>
      <c r="H310" s="216"/>
      <c r="I310" s="216"/>
      <c r="J310" s="216"/>
      <c r="K310" s="216"/>
      <c r="L310" s="216"/>
      <c r="M310" s="216"/>
      <c r="N310" s="216"/>
      <c r="O310" s="216"/>
      <c r="P310" s="216"/>
      <c r="Q310" s="216"/>
    </row>
    <row r="311" spans="2:17" ht="24.75" customHeight="1">
      <c r="B311" s="216"/>
      <c r="C311" s="216"/>
      <c r="D311" s="368" t="s">
        <v>406</v>
      </c>
      <c r="E311" s="293">
        <v>80</v>
      </c>
      <c r="F311" s="216"/>
      <c r="G311" s="216"/>
      <c r="H311" s="216"/>
      <c r="I311" s="216"/>
      <c r="J311" s="216"/>
      <c r="K311" s="216"/>
      <c r="L311" s="216"/>
      <c r="M311" s="216"/>
      <c r="N311" s="216"/>
      <c r="O311" s="216"/>
      <c r="P311" s="216"/>
      <c r="Q311" s="216"/>
    </row>
    <row r="312" spans="2:17" ht="24.75" customHeight="1">
      <c r="B312" s="216"/>
      <c r="C312" s="216"/>
      <c r="D312" s="368" t="s">
        <v>407</v>
      </c>
      <c r="E312" s="293">
        <v>100</v>
      </c>
      <c r="F312" s="216"/>
      <c r="G312" s="216"/>
      <c r="H312" s="216"/>
      <c r="I312" s="216"/>
      <c r="J312" s="216"/>
      <c r="K312" s="216"/>
      <c r="L312" s="216"/>
      <c r="M312" s="216"/>
      <c r="N312" s="216"/>
      <c r="O312" s="216"/>
      <c r="P312" s="216"/>
      <c r="Q312" s="216"/>
    </row>
    <row r="313" spans="2:17" ht="24.75" customHeight="1">
      <c r="B313" s="216"/>
      <c r="C313" s="216"/>
      <c r="D313" s="368" t="s">
        <v>408</v>
      </c>
      <c r="E313" s="293">
        <v>120</v>
      </c>
      <c r="F313" s="216"/>
      <c r="G313" s="216"/>
      <c r="H313" s="216"/>
      <c r="I313" s="216"/>
      <c r="J313" s="216"/>
      <c r="K313" s="216"/>
      <c r="L313" s="216"/>
      <c r="M313" s="216"/>
      <c r="N313" s="216"/>
      <c r="O313" s="216"/>
      <c r="P313" s="216"/>
      <c r="Q313" s="216"/>
    </row>
    <row r="314" spans="2:17" ht="24.75" customHeight="1" thickBot="1">
      <c r="B314" s="216"/>
      <c r="C314" s="216"/>
      <c r="D314" s="370" t="s">
        <v>390</v>
      </c>
      <c r="E314" s="319">
        <v>0</v>
      </c>
      <c r="F314" s="216"/>
      <c r="G314" s="216"/>
      <c r="H314" s="216"/>
      <c r="I314" s="216"/>
      <c r="J314" s="216"/>
      <c r="K314" s="216"/>
      <c r="L314" s="216"/>
      <c r="M314" s="216"/>
      <c r="N314" s="216"/>
      <c r="O314" s="216"/>
      <c r="P314" s="216"/>
      <c r="Q314" s="216"/>
    </row>
    <row r="315" spans="2:17">
      <c r="B315" s="216"/>
      <c r="C315" s="216"/>
      <c r="D315" s="371"/>
      <c r="E315" s="216"/>
      <c r="F315" s="216"/>
      <c r="G315" s="216"/>
      <c r="H315" s="216"/>
      <c r="I315" s="216"/>
      <c r="J315" s="216"/>
      <c r="K315" s="216"/>
      <c r="L315" s="216"/>
      <c r="M315" s="216"/>
      <c r="N315" s="216"/>
      <c r="O315" s="216"/>
      <c r="P315" s="216"/>
      <c r="Q315" s="216"/>
    </row>
    <row r="316" spans="2:17">
      <c r="B316" s="216"/>
      <c r="C316" s="216"/>
      <c r="D316" s="216"/>
      <c r="E316" s="216"/>
      <c r="F316" s="216"/>
      <c r="G316" s="216"/>
      <c r="H316" s="216"/>
      <c r="I316" s="216"/>
      <c r="J316" s="216"/>
      <c r="K316" s="216"/>
      <c r="L316" s="216"/>
      <c r="M316" s="216"/>
      <c r="N316" s="216"/>
      <c r="O316" s="216"/>
      <c r="P316" s="216"/>
      <c r="Q316" s="216"/>
    </row>
    <row r="317" spans="2:17">
      <c r="B317" s="216"/>
      <c r="C317" s="216"/>
      <c r="D317" s="313" t="s">
        <v>316</v>
      </c>
      <c r="E317" s="216"/>
      <c r="F317" s="216"/>
      <c r="G317" s="216"/>
      <c r="H317" s="216"/>
      <c r="I317" s="216"/>
      <c r="J317" s="216"/>
      <c r="K317" s="216"/>
      <c r="L317" s="216"/>
      <c r="M317" s="216"/>
      <c r="N317" s="216"/>
      <c r="O317" s="216"/>
      <c r="P317" s="216"/>
      <c r="Q317" s="216"/>
    </row>
    <row r="318" spans="2:17" ht="33" customHeight="1">
      <c r="B318" s="216"/>
      <c r="C318" s="216"/>
      <c r="D318" s="372" t="s">
        <v>73</v>
      </c>
      <c r="E318" s="372" t="s">
        <v>198</v>
      </c>
      <c r="F318" s="372" t="s">
        <v>417</v>
      </c>
      <c r="G318" s="216"/>
      <c r="H318" s="216"/>
      <c r="I318" s="216"/>
      <c r="J318" s="216"/>
      <c r="K318" s="216"/>
      <c r="L318" s="216"/>
      <c r="M318" s="216"/>
      <c r="N318" s="216"/>
      <c r="O318" s="216"/>
      <c r="P318" s="216"/>
      <c r="Q318" s="216"/>
    </row>
    <row r="319" spans="2:17" ht="105.75" customHeight="1">
      <c r="B319" s="216"/>
      <c r="C319" s="216"/>
      <c r="D319" s="251" t="s">
        <v>317</v>
      </c>
      <c r="E319" s="373" t="s">
        <v>335</v>
      </c>
      <c r="F319" s="251">
        <v>42</v>
      </c>
      <c r="G319" s="216"/>
      <c r="H319" s="294" t="s">
        <v>392</v>
      </c>
      <c r="I319" s="216"/>
      <c r="J319" s="216"/>
      <c r="K319" s="216"/>
      <c r="L319" s="216"/>
      <c r="M319" s="216"/>
      <c r="N319" s="216"/>
      <c r="O319" s="216"/>
      <c r="P319" s="216"/>
      <c r="Q319" s="216"/>
    </row>
    <row r="320" spans="2:17" ht="54" customHeight="1">
      <c r="B320" s="216"/>
      <c r="C320" s="216"/>
      <c r="D320" s="251" t="s">
        <v>318</v>
      </c>
      <c r="E320" s="251" t="s">
        <v>336</v>
      </c>
      <c r="F320" s="251">
        <v>10</v>
      </c>
      <c r="G320" s="216"/>
      <c r="H320" s="294" t="s">
        <v>391</v>
      </c>
      <c r="I320" s="216"/>
      <c r="J320" s="216"/>
      <c r="K320" s="216"/>
      <c r="L320" s="216"/>
      <c r="M320" s="216"/>
      <c r="N320" s="216"/>
      <c r="O320" s="216"/>
      <c r="P320" s="216"/>
      <c r="Q320" s="216"/>
    </row>
    <row r="321" spans="2:17">
      <c r="B321" s="216"/>
      <c r="C321" s="216"/>
      <c r="D321" s="216"/>
      <c r="E321" s="216"/>
      <c r="F321" s="216"/>
      <c r="G321" s="216"/>
      <c r="H321" s="216"/>
      <c r="I321" s="216"/>
      <c r="J321" s="216"/>
      <c r="K321" s="216"/>
      <c r="L321" s="216"/>
      <c r="M321" s="216"/>
      <c r="N321" s="216"/>
      <c r="O321" s="216"/>
      <c r="P321" s="216"/>
      <c r="Q321" s="216"/>
    </row>
    <row r="322" spans="2:17">
      <c r="B322" s="216"/>
      <c r="C322" s="216"/>
      <c r="D322" s="216"/>
      <c r="E322" s="216"/>
      <c r="F322" s="216"/>
      <c r="G322" s="216"/>
      <c r="H322" s="216"/>
      <c r="I322" s="216"/>
      <c r="J322" s="216"/>
      <c r="K322" s="216"/>
      <c r="L322" s="216"/>
      <c r="M322" s="216"/>
      <c r="N322" s="216"/>
      <c r="O322" s="216"/>
      <c r="P322" s="216"/>
      <c r="Q322" s="216"/>
    </row>
  </sheetData>
  <phoneticPr fontId="40" type="noConversion"/>
  <conditionalFormatting sqref="E68:E91">
    <cfRule type="dataBar" priority="6">
      <dataBar>
        <cfvo type="min"/>
        <cfvo type="max"/>
        <color rgb="FF63C384"/>
      </dataBar>
      <extLst>
        <ext xmlns:x14="http://schemas.microsoft.com/office/spreadsheetml/2009/9/main" uri="{B025F937-C7B1-47D3-B67F-A62EFF666E3E}">
          <x14:id>{1ED8782E-3B11-4A65-A2C4-998AC0208EF6}</x14:id>
        </ext>
      </extLst>
    </cfRule>
  </conditionalFormatting>
  <conditionalFormatting sqref="E68:AM91">
    <cfRule type="dataBar" priority="1">
      <dataBar>
        <cfvo type="min"/>
        <cfvo type="max"/>
        <color rgb="FF63C384"/>
      </dataBar>
      <extLst>
        <ext xmlns:x14="http://schemas.microsoft.com/office/spreadsheetml/2009/9/main" uri="{B025F937-C7B1-47D3-B67F-A62EFF666E3E}">
          <x14:id>{EAE23968-CA83-44E0-BF74-F8927614B4C4}</x14:id>
        </ext>
      </extLst>
    </cfRule>
  </conditionalFormatting>
  <conditionalFormatting sqref="E97:AM120">
    <cfRule type="dataBar" priority="2">
      <dataBar>
        <cfvo type="min"/>
        <cfvo type="max"/>
        <color rgb="FF63C384"/>
      </dataBar>
      <extLst>
        <ext xmlns:x14="http://schemas.microsoft.com/office/spreadsheetml/2009/9/main" uri="{B025F937-C7B1-47D3-B67F-A62EFF666E3E}">
          <x14:id>{D8A3A94E-179F-46D4-9043-4EE6FD4BD841}</x14:id>
        </ext>
      </extLst>
    </cfRule>
  </conditionalFormatting>
  <conditionalFormatting sqref="E126:AM149">
    <cfRule type="dataBar" priority="3">
      <dataBar>
        <cfvo type="min"/>
        <cfvo type="max"/>
        <color rgb="FF63C384"/>
      </dataBar>
      <extLst>
        <ext xmlns:x14="http://schemas.microsoft.com/office/spreadsheetml/2009/9/main" uri="{B025F937-C7B1-47D3-B67F-A62EFF666E3E}">
          <x14:id>{590D740F-63AA-4123-8701-B6AF1AE94499}</x14:id>
        </ext>
      </extLst>
    </cfRule>
  </conditionalFormatting>
  <conditionalFormatting sqref="F68:AM91">
    <cfRule type="dataBar" priority="5">
      <dataBar>
        <cfvo type="min"/>
        <cfvo type="max"/>
        <color rgb="FF63C384"/>
      </dataBar>
      <extLst>
        <ext xmlns:x14="http://schemas.microsoft.com/office/spreadsheetml/2009/9/main" uri="{B025F937-C7B1-47D3-B67F-A62EFF666E3E}">
          <x14:id>{5C444816-65BA-4DA3-B04B-EAE27EAA4E1A}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1ED8782E-3B11-4A65-A2C4-998AC0208EF6}">
            <x14:dataBar minLength="0" maxLength="100" border="1" negativeBarBorderColorSameAsPositive="0">
              <x14:cfvo type="autoMin"/>
              <x14:cfvo type="autoMax"/>
              <x14:borderColor rgb="FF63C384"/>
              <x14:negativeFillColor rgb="FFFF0000"/>
              <x14:negativeBorderColor rgb="FFFF0000"/>
              <x14:axisColor rgb="FF000000"/>
            </x14:dataBar>
          </x14:cfRule>
          <xm:sqref>E68:E91</xm:sqref>
        </x14:conditionalFormatting>
        <x14:conditionalFormatting xmlns:xm="http://schemas.microsoft.com/office/excel/2006/main">
          <x14:cfRule type="dataBar" id="{EAE23968-CA83-44E0-BF74-F8927614B4C4}">
            <x14:dataBar minLength="0" maxLength="100" border="1" negativeBarBorderColorSameAsPositive="0">
              <x14:cfvo type="autoMin"/>
              <x14:cfvo type="autoMax"/>
              <x14:borderColor rgb="FF63C384"/>
              <x14:negativeFillColor rgb="FFFF0000"/>
              <x14:negativeBorderColor rgb="FFFF0000"/>
              <x14:axisColor rgb="FF000000"/>
            </x14:dataBar>
          </x14:cfRule>
          <xm:sqref>E68:AM91</xm:sqref>
        </x14:conditionalFormatting>
        <x14:conditionalFormatting xmlns:xm="http://schemas.microsoft.com/office/excel/2006/main">
          <x14:cfRule type="dataBar" id="{D8A3A94E-179F-46D4-9043-4EE6FD4BD841}">
            <x14:dataBar minLength="0" maxLength="100" border="1" negativeBarBorderColorSameAsPositive="0">
              <x14:cfvo type="autoMin"/>
              <x14:cfvo type="autoMax"/>
              <x14:borderColor rgb="FF63C384"/>
              <x14:negativeFillColor rgb="FFFF0000"/>
              <x14:negativeBorderColor rgb="FFFF0000"/>
              <x14:axisColor rgb="FF000000"/>
            </x14:dataBar>
          </x14:cfRule>
          <xm:sqref>E97:AM120</xm:sqref>
        </x14:conditionalFormatting>
        <x14:conditionalFormatting xmlns:xm="http://schemas.microsoft.com/office/excel/2006/main">
          <x14:cfRule type="dataBar" id="{590D740F-63AA-4123-8701-B6AF1AE94499}">
            <x14:dataBar minLength="0" maxLength="100" border="1" negativeBarBorderColorSameAsPositive="0">
              <x14:cfvo type="autoMin"/>
              <x14:cfvo type="autoMax"/>
              <x14:borderColor rgb="FF63C384"/>
              <x14:negativeFillColor rgb="FFFF0000"/>
              <x14:negativeBorderColor rgb="FFFF0000"/>
              <x14:axisColor rgb="FF000000"/>
            </x14:dataBar>
          </x14:cfRule>
          <xm:sqref>E126:AM149</xm:sqref>
        </x14:conditionalFormatting>
        <x14:conditionalFormatting xmlns:xm="http://schemas.microsoft.com/office/excel/2006/main">
          <x14:cfRule type="dataBar" id="{5C444816-65BA-4DA3-B04B-EAE27EAA4E1A}">
            <x14:dataBar minLength="0" maxLength="100" border="1" negativeBarBorderColorSameAsPositive="0">
              <x14:cfvo type="autoMin"/>
              <x14:cfvo type="autoMax"/>
              <x14:borderColor rgb="FF63C384"/>
              <x14:negativeFillColor rgb="FFFF0000"/>
              <x14:negativeBorderColor rgb="FFFF0000"/>
              <x14:axisColor rgb="FF000000"/>
            </x14:dataBar>
          </x14:cfRule>
          <xm:sqref>F68:AM91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C016-11BA-48E0-B65B-DC827C8CF8CD}">
  <sheetPr>
    <tabColor theme="0"/>
  </sheetPr>
  <dimension ref="B3:C105"/>
  <sheetViews>
    <sheetView workbookViewId="0"/>
  </sheetViews>
  <sheetFormatPr defaultColWidth="9.140625" defaultRowHeight="15"/>
  <cols>
    <col min="2" max="2" width="48.5703125" customWidth="1"/>
  </cols>
  <sheetData>
    <row r="3" spans="2:3">
      <c r="B3" s="238" t="s">
        <v>475</v>
      </c>
      <c r="C3" s="237"/>
    </row>
    <row r="4" spans="2:3" ht="15.75" thickBot="1">
      <c r="B4" s="237"/>
      <c r="C4" s="237"/>
    </row>
    <row r="5" spans="2:3" ht="15.75" thickBot="1">
      <c r="B5" s="239" t="s">
        <v>437</v>
      </c>
      <c r="C5" s="240"/>
    </row>
    <row r="6" spans="2:3">
      <c r="B6" s="241" t="s">
        <v>73</v>
      </c>
      <c r="C6" s="242" t="s">
        <v>476</v>
      </c>
    </row>
    <row r="7" spans="2:3">
      <c r="B7" s="243" t="s">
        <v>439</v>
      </c>
      <c r="C7" s="244" t="s">
        <v>477</v>
      </c>
    </row>
    <row r="8" spans="2:3">
      <c r="B8" s="245" t="s">
        <v>438</v>
      </c>
      <c r="C8" s="246" t="s">
        <v>478</v>
      </c>
    </row>
    <row r="9" spans="2:3" ht="15.75" thickBot="1">
      <c r="B9" s="247" t="s">
        <v>480</v>
      </c>
      <c r="C9" s="248" t="s">
        <v>479</v>
      </c>
    </row>
    <row r="10" spans="2:3" ht="15.75" thickBot="1">
      <c r="B10" s="237"/>
      <c r="C10" s="237"/>
    </row>
    <row r="11" spans="2:3" ht="15.75" thickBot="1">
      <c r="B11" s="239" t="s">
        <v>481</v>
      </c>
      <c r="C11" s="240"/>
    </row>
    <row r="12" spans="2:3">
      <c r="B12" s="249" t="s">
        <v>73</v>
      </c>
      <c r="C12" s="250" t="s">
        <v>476</v>
      </c>
    </row>
    <row r="13" spans="2:3">
      <c r="B13" s="243" t="s">
        <v>444</v>
      </c>
      <c r="C13" s="244" t="s">
        <v>482</v>
      </c>
    </row>
    <row r="14" spans="2:3" ht="15.75" thickBot="1">
      <c r="B14" s="247" t="s">
        <v>445</v>
      </c>
      <c r="C14" s="248" t="s">
        <v>483</v>
      </c>
    </row>
    <row r="17" spans="2:2" ht="15.75" thickBot="1">
      <c r="B17" s="294" t="s">
        <v>484</v>
      </c>
    </row>
    <row r="18" spans="2:2">
      <c r="B18" s="374" t="str">
        <f t="array" ref="B18:B88">TRANSPOSE(Annex_B!$E$66:$AM$66)</f>
        <v xml:space="preserve">XXS </v>
      </c>
    </row>
    <row r="19" spans="2:2">
      <c r="B19" s="375" t="str">
        <v xml:space="preserve">XS </v>
      </c>
    </row>
    <row r="20" spans="2:2">
      <c r="B20" s="375" t="str">
        <v xml:space="preserve">S </v>
      </c>
    </row>
    <row r="21" spans="2:2">
      <c r="B21" s="375" t="str">
        <v xml:space="preserve">M </v>
      </c>
    </row>
    <row r="22" spans="2:2">
      <c r="B22" s="375" t="str">
        <v xml:space="preserve">L </v>
      </c>
    </row>
    <row r="23" spans="2:2">
      <c r="B23" s="375" t="str">
        <v xml:space="preserve">XL </v>
      </c>
    </row>
    <row r="24" spans="2:2">
      <c r="B24" s="375" t="str">
        <v xml:space="preserve">XXL </v>
      </c>
    </row>
    <row r="25" spans="2:2">
      <c r="B25" s="375" t="str">
        <v xml:space="preserve">single family dwelling </v>
      </c>
    </row>
    <row r="26" spans="2:2">
      <c r="B26" s="375" t="str">
        <v>appartment dwelling</v>
      </c>
    </row>
    <row r="27" spans="2:2">
      <c r="B27" s="375" t="str">
        <v xml:space="preserve">residential home for the elderly </v>
      </c>
    </row>
    <row r="28" spans="2:2">
      <c r="B28" s="375" t="str">
        <v xml:space="preserve">Student residence </v>
      </c>
    </row>
    <row r="29" spans="2:2">
      <c r="B29" s="375" t="str">
        <v xml:space="preserve">Hospital </v>
      </c>
    </row>
    <row r="30" spans="2:2">
      <c r="B30" s="375" t="str">
        <v>IT 
office long week</v>
      </c>
    </row>
    <row r="31" spans="2:2">
      <c r="B31" s="375" t="str">
        <v>Void</v>
      </c>
    </row>
    <row r="32" spans="2:2">
      <c r="B32" s="375" t="str">
        <v>Void</v>
      </c>
    </row>
    <row r="33" spans="2:2">
      <c r="B33" s="375" t="str">
        <v>Your profile 1</v>
      </c>
    </row>
    <row r="34" spans="2:2">
      <c r="B34" s="375" t="str">
        <v>Your profile 2</v>
      </c>
    </row>
    <row r="35" spans="2:2">
      <c r="B35" s="375" t="str">
        <v>Your profile 3</v>
      </c>
    </row>
    <row r="36" spans="2:2">
      <c r="B36" s="375" t="str">
        <v>Your profile 4</v>
      </c>
    </row>
    <row r="37" spans="2:2">
      <c r="B37" s="375" t="str">
        <v>Your profile 5</v>
      </c>
    </row>
    <row r="38" spans="2:2">
      <c r="B38" s="375" t="str">
        <v>Your profile 6</v>
      </c>
    </row>
    <row r="39" spans="2:2">
      <c r="B39" s="375" t="str">
        <v>Your profile 7</v>
      </c>
    </row>
    <row r="40" spans="2:2">
      <c r="B40" s="375" t="str">
        <v>Your profile 8</v>
      </c>
    </row>
    <row r="41" spans="2:2">
      <c r="B41" s="375" t="str">
        <v>Your profile 9</v>
      </c>
    </row>
    <row r="42" spans="2:2">
      <c r="B42" s="375" t="str">
        <v>Your profile 10</v>
      </c>
    </row>
    <row r="43" spans="2:2">
      <c r="B43" s="375" t="str">
        <v>Your profile 11</v>
      </c>
    </row>
    <row r="44" spans="2:2">
      <c r="B44" s="375" t="str">
        <v>Your profile 12</v>
      </c>
    </row>
    <row r="45" spans="2:2">
      <c r="B45" s="375" t="str">
        <v>Your profile 13</v>
      </c>
    </row>
    <row r="46" spans="2:2">
      <c r="B46" s="375" t="str">
        <v>Your profile 14</v>
      </c>
    </row>
    <row r="47" spans="2:2">
      <c r="B47" s="375" t="str">
        <v>Your profile 15</v>
      </c>
    </row>
    <row r="48" spans="2:2">
      <c r="B48" s="375" t="str">
        <v>Your profile 16</v>
      </c>
    </row>
    <row r="49" spans="2:2">
      <c r="B49" s="375" t="str">
        <v>Your profile 17</v>
      </c>
    </row>
    <row r="50" spans="2:2">
      <c r="B50" s="375" t="str">
        <v>Your profile 18</v>
      </c>
    </row>
    <row r="51" spans="2:2">
      <c r="B51" s="375" t="str">
        <v>Your profile 19</v>
      </c>
    </row>
    <row r="52" spans="2:2">
      <c r="B52" s="375" t="str">
        <v>Your profile 20</v>
      </c>
    </row>
    <row r="53" spans="2:2">
      <c r="B53" s="375" t="e">
        <v>#N/A</v>
      </c>
    </row>
    <row r="54" spans="2:2">
      <c r="B54" s="375" t="e">
        <v>#N/A</v>
      </c>
    </row>
    <row r="55" spans="2:2">
      <c r="B55" s="375" t="e">
        <v>#N/A</v>
      </c>
    </row>
    <row r="56" spans="2:2">
      <c r="B56" s="375" t="e">
        <v>#N/A</v>
      </c>
    </row>
    <row r="57" spans="2:2">
      <c r="B57" s="375" t="e">
        <v>#N/A</v>
      </c>
    </row>
    <row r="58" spans="2:2">
      <c r="B58" s="375" t="e">
        <v>#N/A</v>
      </c>
    </row>
    <row r="59" spans="2:2">
      <c r="B59" s="375" t="e">
        <v>#N/A</v>
      </c>
    </row>
    <row r="60" spans="2:2">
      <c r="B60" s="375" t="e">
        <v>#N/A</v>
      </c>
    </row>
    <row r="61" spans="2:2">
      <c r="B61" s="375" t="e">
        <v>#N/A</v>
      </c>
    </row>
    <row r="62" spans="2:2">
      <c r="B62" s="375" t="e">
        <v>#N/A</v>
      </c>
    </row>
    <row r="63" spans="2:2">
      <c r="B63" s="375" t="e">
        <v>#N/A</v>
      </c>
    </row>
    <row r="64" spans="2:2">
      <c r="B64" s="375" t="e">
        <v>#N/A</v>
      </c>
    </row>
    <row r="65" spans="2:2">
      <c r="B65" s="375" t="e">
        <v>#N/A</v>
      </c>
    </row>
    <row r="66" spans="2:2">
      <c r="B66" s="375" t="e">
        <v>#N/A</v>
      </c>
    </row>
    <row r="67" spans="2:2">
      <c r="B67" s="375" t="e">
        <v>#N/A</v>
      </c>
    </row>
    <row r="68" spans="2:2">
      <c r="B68" s="375" t="e">
        <v>#N/A</v>
      </c>
    </row>
    <row r="69" spans="2:2">
      <c r="B69" s="375" t="e">
        <v>#N/A</v>
      </c>
    </row>
    <row r="70" spans="2:2">
      <c r="B70" s="375" t="e">
        <v>#N/A</v>
      </c>
    </row>
    <row r="71" spans="2:2">
      <c r="B71" s="375" t="e">
        <v>#N/A</v>
      </c>
    </row>
    <row r="72" spans="2:2">
      <c r="B72" s="375" t="e">
        <v>#N/A</v>
      </c>
    </row>
    <row r="73" spans="2:2">
      <c r="B73" s="375" t="e">
        <v>#N/A</v>
      </c>
    </row>
    <row r="74" spans="2:2">
      <c r="B74" s="375" t="e">
        <v>#N/A</v>
      </c>
    </row>
    <row r="75" spans="2:2">
      <c r="B75" s="375" t="e">
        <v>#N/A</v>
      </c>
    </row>
    <row r="76" spans="2:2">
      <c r="B76" s="375" t="e">
        <v>#N/A</v>
      </c>
    </row>
    <row r="77" spans="2:2">
      <c r="B77" s="375" t="e">
        <v>#N/A</v>
      </c>
    </row>
    <row r="78" spans="2:2">
      <c r="B78" s="375" t="e">
        <v>#N/A</v>
      </c>
    </row>
    <row r="79" spans="2:2">
      <c r="B79" s="375" t="e">
        <v>#N/A</v>
      </c>
    </row>
    <row r="80" spans="2:2">
      <c r="B80" s="375" t="e">
        <v>#N/A</v>
      </c>
    </row>
    <row r="81" spans="2:2">
      <c r="B81" s="375" t="e">
        <v>#N/A</v>
      </c>
    </row>
    <row r="82" spans="2:2">
      <c r="B82" s="375" t="e">
        <v>#N/A</v>
      </c>
    </row>
    <row r="83" spans="2:2">
      <c r="B83" s="375" t="e">
        <v>#N/A</v>
      </c>
    </row>
    <row r="84" spans="2:2">
      <c r="B84" s="375" t="e">
        <v>#N/A</v>
      </c>
    </row>
    <row r="85" spans="2:2">
      <c r="B85" s="375" t="e">
        <v>#N/A</v>
      </c>
    </row>
    <row r="86" spans="2:2">
      <c r="B86" s="375" t="e">
        <v>#N/A</v>
      </c>
    </row>
    <row r="87" spans="2:2">
      <c r="B87" s="375" t="e">
        <v>#N/A</v>
      </c>
    </row>
    <row r="88" spans="2:2" ht="15.75" thickBot="1">
      <c r="B88" s="180" t="e">
        <v>#N/A</v>
      </c>
    </row>
    <row r="89" spans="2:2">
      <c r="B89" s="216"/>
    </row>
    <row r="90" spans="2:2">
      <c r="B90" s="216"/>
    </row>
    <row r="91" spans="2:2">
      <c r="B91" s="253" t="s">
        <v>509</v>
      </c>
    </row>
    <row r="92" spans="2:2">
      <c r="B92" s="289" t="s">
        <v>510</v>
      </c>
    </row>
    <row r="93" spans="2:2">
      <c r="B93" s="53"/>
    </row>
    <row r="94" spans="2:2">
      <c r="B94" s="53"/>
    </row>
    <row r="95" spans="2:2">
      <c r="B95" s="53"/>
    </row>
    <row r="96" spans="2:2">
      <c r="B96" s="53"/>
    </row>
    <row r="97" spans="2:2">
      <c r="B97" s="53"/>
    </row>
    <row r="98" spans="2:2">
      <c r="B98" s="53"/>
    </row>
    <row r="99" spans="2:2">
      <c r="B99" s="53"/>
    </row>
    <row r="100" spans="2:2">
      <c r="B100" s="53"/>
    </row>
    <row r="101" spans="2:2">
      <c r="B101" s="53"/>
    </row>
    <row r="102" spans="2:2">
      <c r="B102" s="53"/>
    </row>
    <row r="103" spans="2:2">
      <c r="B103" s="53"/>
    </row>
    <row r="104" spans="2:2">
      <c r="B104" s="53"/>
    </row>
    <row r="105" spans="2:2">
      <c r="B105" s="5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8397-B671-45CF-AABE-F5DF67A2097C}">
  <sheetPr codeName="Foglio11"/>
  <dimension ref="A3:D7"/>
  <sheetViews>
    <sheetView workbookViewId="0"/>
  </sheetViews>
  <sheetFormatPr defaultColWidth="9.140625" defaultRowHeight="15"/>
  <cols>
    <col min="1" max="1" width="13" style="205" customWidth="1"/>
    <col min="2" max="2" width="9.140625" style="1"/>
    <col min="3" max="3" width="57.7109375" style="205" customWidth="1"/>
    <col min="4" max="4" width="51" customWidth="1"/>
  </cols>
  <sheetData>
    <row r="3" spans="1:4">
      <c r="A3" s="3" t="s">
        <v>448</v>
      </c>
      <c r="B3" s="3" t="s">
        <v>449</v>
      </c>
      <c r="C3" s="3" t="s">
        <v>73</v>
      </c>
      <c r="D3" s="3" t="s">
        <v>452</v>
      </c>
    </row>
    <row r="4" spans="1:4">
      <c r="A4" s="204">
        <v>43644</v>
      </c>
      <c r="B4" s="1" t="s">
        <v>450</v>
      </c>
      <c r="C4" s="205" t="s">
        <v>451</v>
      </c>
      <c r="D4" t="s">
        <v>453</v>
      </c>
    </row>
    <row r="6" spans="1:4">
      <c r="C6" s="206"/>
    </row>
    <row r="7" spans="1:4">
      <c r="C7" s="206"/>
    </row>
  </sheetData>
  <pageMargins left="0.7" right="0.7" top="0.75" bottom="0.75" header="0.3" footer="0.3"/>
  <pageSetup paperSize="9" orientation="landscape"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5E01-8833-451B-AD85-07B65D33D53B}">
  <sheetPr codeName="Foglio12"/>
  <dimension ref="A1"/>
  <sheetViews>
    <sheetView workbookViewId="0"/>
  </sheetViews>
  <sheetFormatPr defaultColWidth="9.140625" defaultRowHeight="15"/>
  <sheetData/>
  <pageMargins left="0.7" right="0.7" top="0.75" bottom="0.75"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C8DB9-C1BF-4A97-83B1-4E3224DB2C35}">
  <sheetPr codeName="Foglio13"/>
  <dimension ref="A2:K128"/>
  <sheetViews>
    <sheetView workbookViewId="0"/>
  </sheetViews>
  <sheetFormatPr defaultColWidth="9.140625" defaultRowHeight="15"/>
  <cols>
    <col min="1" max="1" width="33.28515625" customWidth="1"/>
    <col min="2" max="2" width="15.85546875" customWidth="1"/>
    <col min="4" max="4" width="27.140625" customWidth="1"/>
    <col min="6" max="6" width="11.85546875" customWidth="1"/>
  </cols>
  <sheetData>
    <row r="2" spans="1:10">
      <c r="A2" s="7" t="s">
        <v>30</v>
      </c>
      <c r="B2" s="7" t="s">
        <v>27</v>
      </c>
      <c r="C2" s="7" t="s">
        <v>28</v>
      </c>
      <c r="D2" s="7" t="s">
        <v>32</v>
      </c>
      <c r="E2" s="7" t="s">
        <v>29</v>
      </c>
    </row>
    <row r="3" spans="1:10" ht="18.75">
      <c r="A3" s="34" t="s">
        <v>70</v>
      </c>
    </row>
    <row r="5" spans="1:10">
      <c r="A5" s="7" t="s">
        <v>0</v>
      </c>
    </row>
    <row r="7" spans="1:10">
      <c r="A7" t="s">
        <v>31</v>
      </c>
    </row>
    <row r="8" spans="1:10" ht="18">
      <c r="A8" t="s">
        <v>2</v>
      </c>
      <c r="B8" t="s">
        <v>38</v>
      </c>
      <c r="C8" t="s">
        <v>1</v>
      </c>
      <c r="D8" t="s">
        <v>33</v>
      </c>
      <c r="E8" s="8">
        <v>0.2</v>
      </c>
    </row>
    <row r="9" spans="1:10" ht="18">
      <c r="A9" t="s">
        <v>36</v>
      </c>
      <c r="B9" t="s">
        <v>35</v>
      </c>
      <c r="C9" t="s">
        <v>17</v>
      </c>
      <c r="D9" t="s">
        <v>34</v>
      </c>
      <c r="E9" s="8">
        <v>150</v>
      </c>
    </row>
    <row r="10" spans="1:10" ht="18">
      <c r="A10" t="s">
        <v>3</v>
      </c>
      <c r="B10" t="s">
        <v>39</v>
      </c>
      <c r="C10" t="s">
        <v>4</v>
      </c>
      <c r="E10" s="15">
        <f>+E8*E9</f>
        <v>30</v>
      </c>
    </row>
    <row r="11" spans="1:10">
      <c r="E11" s="7"/>
    </row>
    <row r="12" spans="1:10">
      <c r="E12" t="s">
        <v>13</v>
      </c>
      <c r="F12" t="s">
        <v>41</v>
      </c>
      <c r="G12" s="1" t="s">
        <v>14</v>
      </c>
      <c r="H12" s="1" t="s">
        <v>10</v>
      </c>
      <c r="I12" s="1" t="s">
        <v>15</v>
      </c>
    </row>
    <row r="13" spans="1:10" ht="18">
      <c r="G13" t="s">
        <v>42</v>
      </c>
      <c r="H13" t="s">
        <v>43</v>
      </c>
      <c r="I13" t="s">
        <v>44</v>
      </c>
    </row>
    <row r="14" spans="1:10">
      <c r="A14" t="s">
        <v>45</v>
      </c>
      <c r="G14" s="1" t="s">
        <v>20</v>
      </c>
      <c r="H14" s="1" t="s">
        <v>20</v>
      </c>
      <c r="I14" s="1" t="s">
        <v>20</v>
      </c>
    </row>
    <row r="15" spans="1:10">
      <c r="A15" t="s">
        <v>37</v>
      </c>
      <c r="C15" t="s">
        <v>40</v>
      </c>
      <c r="E15" s="1">
        <v>1</v>
      </c>
      <c r="F15" s="1"/>
      <c r="G15" s="9">
        <v>0</v>
      </c>
      <c r="H15" s="9">
        <v>0</v>
      </c>
      <c r="I15" s="9">
        <v>0</v>
      </c>
      <c r="J15" t="s">
        <v>21</v>
      </c>
    </row>
    <row r="16" spans="1:10">
      <c r="E16" s="1">
        <v>2</v>
      </c>
      <c r="F16" s="1"/>
      <c r="G16" s="9">
        <v>0</v>
      </c>
      <c r="H16" s="9">
        <v>0</v>
      </c>
      <c r="I16" s="9">
        <v>0</v>
      </c>
    </row>
    <row r="17" spans="5:9">
      <c r="E17" s="1">
        <v>3</v>
      </c>
      <c r="F17" s="1"/>
      <c r="G17" s="9">
        <v>0</v>
      </c>
      <c r="H17" s="9">
        <v>0</v>
      </c>
      <c r="I17" s="9">
        <v>0</v>
      </c>
    </row>
    <row r="18" spans="5:9">
      <c r="E18" s="1">
        <v>4</v>
      </c>
      <c r="F18" s="1"/>
      <c r="G18" s="9">
        <v>0</v>
      </c>
      <c r="H18" s="9">
        <v>0</v>
      </c>
      <c r="I18" s="9">
        <v>0</v>
      </c>
    </row>
    <row r="19" spans="5:9">
      <c r="E19" s="1">
        <v>5</v>
      </c>
      <c r="F19" s="1"/>
      <c r="G19" s="9">
        <v>0</v>
      </c>
      <c r="H19" s="9">
        <v>0</v>
      </c>
      <c r="I19" s="9">
        <v>0</v>
      </c>
    </row>
    <row r="20" spans="5:9">
      <c r="E20" s="1">
        <v>6</v>
      </c>
      <c r="F20" s="1"/>
      <c r="G20" s="9">
        <v>0</v>
      </c>
      <c r="H20" s="9">
        <v>0</v>
      </c>
      <c r="I20" s="9">
        <v>0</v>
      </c>
    </row>
    <row r="21" spans="5:9">
      <c r="E21" s="1">
        <v>7</v>
      </c>
      <c r="F21" s="1"/>
      <c r="G21" s="9">
        <v>0</v>
      </c>
      <c r="H21" s="9">
        <v>0</v>
      </c>
      <c r="I21" s="9">
        <v>0</v>
      </c>
    </row>
    <row r="22" spans="5:9">
      <c r="E22" s="1">
        <v>8</v>
      </c>
      <c r="F22" s="1"/>
      <c r="G22" s="9">
        <v>0.1</v>
      </c>
      <c r="H22" s="9">
        <v>0.1</v>
      </c>
      <c r="I22" s="9">
        <v>0</v>
      </c>
    </row>
    <row r="23" spans="5:9">
      <c r="E23" s="1">
        <v>9</v>
      </c>
      <c r="F23" s="1"/>
      <c r="G23" s="9">
        <v>0.1</v>
      </c>
      <c r="H23" s="9">
        <v>0.1</v>
      </c>
      <c r="I23" s="9">
        <v>0</v>
      </c>
    </row>
    <row r="24" spans="5:9">
      <c r="E24" s="1">
        <v>10</v>
      </c>
      <c r="F24" s="1"/>
      <c r="G24" s="9">
        <v>0</v>
      </c>
      <c r="H24" s="9">
        <v>0</v>
      </c>
      <c r="I24" s="9">
        <v>0</v>
      </c>
    </row>
    <row r="25" spans="5:9">
      <c r="E25" s="1">
        <v>11</v>
      </c>
      <c r="F25" s="1"/>
      <c r="G25" s="9">
        <v>0</v>
      </c>
      <c r="H25" s="9">
        <v>0</v>
      </c>
      <c r="I25" s="9">
        <v>0</v>
      </c>
    </row>
    <row r="26" spans="5:9">
      <c r="E26" s="1">
        <v>12</v>
      </c>
      <c r="F26" s="1"/>
      <c r="G26" s="9">
        <v>0.2</v>
      </c>
      <c r="H26" s="9">
        <v>0.1</v>
      </c>
      <c r="I26" s="9">
        <v>0</v>
      </c>
    </row>
    <row r="27" spans="5:9">
      <c r="E27" s="1">
        <v>13</v>
      </c>
      <c r="F27" s="1"/>
      <c r="G27" s="9">
        <v>0.2</v>
      </c>
      <c r="H27" s="9">
        <v>0</v>
      </c>
      <c r="I27" s="9">
        <v>0</v>
      </c>
    </row>
    <row r="28" spans="5:9">
      <c r="E28" s="1">
        <v>14</v>
      </c>
      <c r="F28" s="1"/>
      <c r="G28" s="9">
        <v>0.2</v>
      </c>
      <c r="H28" s="9">
        <v>0</v>
      </c>
      <c r="I28" s="9">
        <v>0</v>
      </c>
    </row>
    <row r="29" spans="5:9">
      <c r="E29" s="1">
        <v>15</v>
      </c>
      <c r="F29" s="1"/>
      <c r="G29" s="9">
        <v>0</v>
      </c>
      <c r="H29" s="9">
        <v>0</v>
      </c>
      <c r="I29" s="9">
        <v>0</v>
      </c>
    </row>
    <row r="30" spans="5:9">
      <c r="E30" s="1">
        <v>16</v>
      </c>
      <c r="F30" s="1"/>
      <c r="G30" s="9">
        <v>0.1</v>
      </c>
      <c r="H30" s="9">
        <v>0</v>
      </c>
      <c r="I30" s="9">
        <v>0</v>
      </c>
    </row>
    <row r="31" spans="5:9">
      <c r="E31" s="1">
        <v>17</v>
      </c>
      <c r="F31" s="1"/>
      <c r="G31" s="9">
        <v>0.1</v>
      </c>
      <c r="H31" s="9">
        <v>0</v>
      </c>
      <c r="I31" s="9">
        <v>0</v>
      </c>
    </row>
    <row r="32" spans="5:9">
      <c r="E32" s="1">
        <v>18</v>
      </c>
      <c r="F32" s="1"/>
      <c r="G32" s="9">
        <v>0</v>
      </c>
      <c r="H32" s="9">
        <v>0</v>
      </c>
      <c r="I32" s="9">
        <v>0</v>
      </c>
    </row>
    <row r="33" spans="1:9">
      <c r="E33" s="1">
        <v>19</v>
      </c>
      <c r="F33" s="1"/>
      <c r="G33" s="9">
        <v>0</v>
      </c>
      <c r="H33" s="9">
        <v>0</v>
      </c>
      <c r="I33" s="9">
        <v>0</v>
      </c>
    </row>
    <row r="34" spans="1:9">
      <c r="E34" s="1">
        <v>20</v>
      </c>
      <c r="F34" s="1"/>
      <c r="G34" s="9">
        <v>0</v>
      </c>
      <c r="H34" s="9">
        <v>0</v>
      </c>
      <c r="I34" s="9">
        <v>0</v>
      </c>
    </row>
    <row r="35" spans="1:9">
      <c r="E35" s="1">
        <v>21</v>
      </c>
      <c r="F35" s="1"/>
      <c r="G35" s="9">
        <v>0</v>
      </c>
      <c r="H35" s="9">
        <v>0</v>
      </c>
      <c r="I35" s="9">
        <v>0</v>
      </c>
    </row>
    <row r="36" spans="1:9">
      <c r="E36" s="1">
        <v>22</v>
      </c>
      <c r="F36" s="1"/>
      <c r="G36" s="9">
        <v>0</v>
      </c>
      <c r="H36" s="9">
        <v>0</v>
      </c>
      <c r="I36" s="9">
        <v>0</v>
      </c>
    </row>
    <row r="37" spans="1:9">
      <c r="E37" s="1">
        <v>23</v>
      </c>
      <c r="F37" s="1"/>
      <c r="G37" s="9">
        <v>0</v>
      </c>
      <c r="H37" s="9">
        <v>0</v>
      </c>
      <c r="I37" s="9">
        <v>0</v>
      </c>
    </row>
    <row r="38" spans="1:9">
      <c r="E38" s="1">
        <v>24</v>
      </c>
      <c r="F38" s="1"/>
      <c r="G38" s="9">
        <v>0</v>
      </c>
      <c r="H38" s="9">
        <v>0</v>
      </c>
      <c r="I38" s="9">
        <v>0</v>
      </c>
    </row>
    <row r="39" spans="1:9" ht="18">
      <c r="B39" t="s">
        <v>56</v>
      </c>
      <c r="C39" s="1" t="s">
        <v>20</v>
      </c>
      <c r="E39" s="3" t="s">
        <v>12</v>
      </c>
      <c r="F39" s="3"/>
      <c r="G39" s="16">
        <f>SUM(G15:G38)</f>
        <v>1</v>
      </c>
    </row>
    <row r="40" spans="1:9" ht="18">
      <c r="B40" t="s">
        <v>57</v>
      </c>
      <c r="C40" s="1" t="s">
        <v>20</v>
      </c>
      <c r="H40" s="16">
        <f>SUM(H15:H38)</f>
        <v>0.30000000000000004</v>
      </c>
    </row>
    <row r="41" spans="1:9" ht="18">
      <c r="B41" t="s">
        <v>58</v>
      </c>
      <c r="C41" s="1" t="s">
        <v>20</v>
      </c>
      <c r="I41" s="16">
        <f>SUM(I15:I38)</f>
        <v>0</v>
      </c>
    </row>
    <row r="42" spans="1:9" ht="15.75" thickBot="1"/>
    <row r="43" spans="1:9">
      <c r="A43" s="18" t="s">
        <v>46</v>
      </c>
      <c r="B43" s="19"/>
      <c r="C43" s="19"/>
      <c r="D43" s="19"/>
      <c r="E43" s="20">
        <v>2015</v>
      </c>
      <c r="F43" s="20"/>
      <c r="G43" s="19"/>
      <c r="H43" s="19"/>
      <c r="I43" s="21"/>
    </row>
    <row r="44" spans="1:9">
      <c r="A44" s="22" t="s">
        <v>5</v>
      </c>
      <c r="C44" s="1" t="s">
        <v>17</v>
      </c>
      <c r="D44" s="1"/>
      <c r="F44" s="1"/>
      <c r="G44" s="13" t="e">
        <f>+#REF!</f>
        <v>#REF!</v>
      </c>
      <c r="H44" s="14"/>
      <c r="I44" s="23"/>
    </row>
    <row r="45" spans="1:9">
      <c r="A45" s="22" t="s">
        <v>6</v>
      </c>
      <c r="C45" s="1" t="s">
        <v>17</v>
      </c>
      <c r="D45" s="1"/>
      <c r="F45" s="1"/>
      <c r="G45" s="13" t="e">
        <f>+#REF!</f>
        <v>#REF!</v>
      </c>
      <c r="H45" s="14"/>
      <c r="I45" s="23"/>
    </row>
    <row r="46" spans="1:9">
      <c r="A46" s="22" t="s">
        <v>7</v>
      </c>
      <c r="C46" s="1" t="s">
        <v>17</v>
      </c>
      <c r="D46" s="1"/>
      <c r="F46" s="1"/>
      <c r="G46" s="13" t="e">
        <f>+#REF!</f>
        <v>#REF!</v>
      </c>
      <c r="H46" s="14"/>
      <c r="I46" s="23"/>
    </row>
    <row r="47" spans="1:9">
      <c r="A47" s="22" t="s">
        <v>8</v>
      </c>
      <c r="C47" s="1" t="s">
        <v>17</v>
      </c>
      <c r="D47" s="1"/>
      <c r="F47" s="1"/>
      <c r="G47" s="13" t="e">
        <f>+#REF!</f>
        <v>#REF!</v>
      </c>
      <c r="H47" s="14"/>
      <c r="I47" s="23"/>
    </row>
    <row r="48" spans="1:9">
      <c r="A48" s="22" t="s">
        <v>9</v>
      </c>
      <c r="C48" s="1" t="s">
        <v>17</v>
      </c>
      <c r="D48" s="1"/>
      <c r="F48" s="1"/>
      <c r="G48" s="13" t="e">
        <f>+#REF!</f>
        <v>#REF!</v>
      </c>
      <c r="H48" s="14"/>
      <c r="I48" s="23"/>
    </row>
    <row r="49" spans="1:11">
      <c r="A49" s="22" t="s">
        <v>10</v>
      </c>
      <c r="C49" s="1" t="s">
        <v>17</v>
      </c>
      <c r="D49" s="1"/>
      <c r="F49" s="1"/>
      <c r="G49" s="14"/>
      <c r="H49" s="13" t="e">
        <f>+#REF!</f>
        <v>#REF!</v>
      </c>
      <c r="I49" s="23"/>
    </row>
    <row r="50" spans="1:11">
      <c r="A50" s="22" t="s">
        <v>11</v>
      </c>
      <c r="C50" s="1" t="s">
        <v>17</v>
      </c>
      <c r="D50" s="1"/>
      <c r="F50" s="1"/>
      <c r="G50" s="14"/>
      <c r="H50" s="14"/>
      <c r="I50" s="24" t="e">
        <f>+#REF!</f>
        <v>#REF!</v>
      </c>
    </row>
    <row r="51" spans="1:11">
      <c r="A51" s="22"/>
      <c r="C51" s="1"/>
      <c r="D51" s="1"/>
      <c r="E51" s="1"/>
      <c r="F51" s="1"/>
      <c r="I51" s="25"/>
    </row>
    <row r="52" spans="1:11" ht="18">
      <c r="A52" s="22" t="s">
        <v>25</v>
      </c>
      <c r="B52" t="s">
        <v>47</v>
      </c>
      <c r="C52" s="1" t="s">
        <v>17</v>
      </c>
      <c r="D52" s="1"/>
      <c r="G52" s="11" t="e">
        <f>SUM(G44:G48)</f>
        <v>#REF!</v>
      </c>
      <c r="I52" s="25"/>
    </row>
    <row r="53" spans="1:11" ht="18">
      <c r="A53" s="22"/>
      <c r="B53" t="s">
        <v>48</v>
      </c>
      <c r="C53" s="1"/>
      <c r="D53" s="1"/>
      <c r="E53" s="1"/>
      <c r="F53" s="1"/>
      <c r="H53" s="11" t="e">
        <f>+H49</f>
        <v>#REF!</v>
      </c>
      <c r="I53" s="25"/>
      <c r="J53" s="12"/>
      <c r="K53" s="12"/>
    </row>
    <row r="54" spans="1:11" ht="18">
      <c r="A54" s="22"/>
      <c r="B54" t="s">
        <v>49</v>
      </c>
      <c r="C54" s="1"/>
      <c r="D54" s="1"/>
      <c r="E54" s="1"/>
      <c r="F54" s="1"/>
      <c r="I54" s="26" t="e">
        <f>+I50</f>
        <v>#REF!</v>
      </c>
    </row>
    <row r="55" spans="1:11" ht="18.75" thickBot="1">
      <c r="A55" s="27"/>
      <c r="B55" s="28" t="s">
        <v>50</v>
      </c>
      <c r="C55" s="29"/>
      <c r="D55" s="29"/>
      <c r="E55" s="29"/>
      <c r="F55" s="30" t="e">
        <f>SUM(G52:I54)</f>
        <v>#REF!</v>
      </c>
      <c r="G55" s="28"/>
      <c r="H55" s="28"/>
      <c r="I55" s="31"/>
    </row>
    <row r="56" spans="1:11">
      <c r="C56" s="1"/>
      <c r="D56" s="1"/>
      <c r="E56" s="1"/>
      <c r="F56" s="1"/>
    </row>
    <row r="57" spans="1:11">
      <c r="A57" t="s">
        <v>51</v>
      </c>
      <c r="C57" s="1"/>
      <c r="D57" s="1"/>
      <c r="E57" s="1"/>
      <c r="F57" s="1"/>
      <c r="G57" s="1" t="s">
        <v>18</v>
      </c>
      <c r="H57" s="1" t="s">
        <v>18</v>
      </c>
      <c r="I57" s="1" t="s">
        <v>18</v>
      </c>
    </row>
    <row r="58" spans="1:11">
      <c r="C58" s="1"/>
      <c r="D58" s="1"/>
      <c r="E58" s="1"/>
      <c r="F58" s="1"/>
      <c r="G58" s="1"/>
      <c r="H58" s="1"/>
      <c r="I58" s="1"/>
    </row>
    <row r="59" spans="1:11" ht="18">
      <c r="A59" t="s">
        <v>24</v>
      </c>
      <c r="B59" t="s">
        <v>52</v>
      </c>
      <c r="C59" s="1" t="s">
        <v>20</v>
      </c>
      <c r="D59" s="1"/>
      <c r="F59" s="1"/>
      <c r="G59" s="5" t="e">
        <f>+G39*G52</f>
        <v>#REF!</v>
      </c>
      <c r="H59" s="1"/>
      <c r="I59" s="1"/>
    </row>
    <row r="60" spans="1:11" ht="18">
      <c r="B60" t="s">
        <v>53</v>
      </c>
      <c r="C60" s="1" t="s">
        <v>20</v>
      </c>
      <c r="H60" s="5" t="e">
        <f>+H40*H53</f>
        <v>#REF!</v>
      </c>
    </row>
    <row r="61" spans="1:11" ht="18">
      <c r="B61" t="s">
        <v>54</v>
      </c>
      <c r="C61" s="1" t="s">
        <v>20</v>
      </c>
      <c r="I61" s="5" t="e">
        <f>+I41*I54</f>
        <v>#REF!</v>
      </c>
    </row>
    <row r="62" spans="1:11" ht="18">
      <c r="B62" t="s">
        <v>55</v>
      </c>
      <c r="C62" s="1" t="s">
        <v>20</v>
      </c>
      <c r="F62" s="11" t="e">
        <f>SUM(G59:I61)</f>
        <v>#REF!</v>
      </c>
    </row>
    <row r="64" spans="1:11">
      <c r="C64" s="1"/>
      <c r="D64" s="1"/>
      <c r="F64" s="1"/>
      <c r="G64" s="1"/>
      <c r="H64" s="1"/>
      <c r="I64" s="1"/>
    </row>
    <row r="66" spans="1:9" ht="21.75" customHeight="1">
      <c r="A66" t="s">
        <v>19</v>
      </c>
      <c r="B66" t="s">
        <v>63</v>
      </c>
      <c r="F66" s="10" t="e">
        <f>+F55/F62</f>
        <v>#REF!</v>
      </c>
    </row>
    <row r="68" spans="1:9" ht="18">
      <c r="A68" t="s">
        <v>59</v>
      </c>
      <c r="B68" t="s">
        <v>60</v>
      </c>
      <c r="E68" s="1">
        <v>1</v>
      </c>
      <c r="G68" s="17" t="e">
        <f>+G15*$F$66</f>
        <v>#REF!</v>
      </c>
      <c r="H68" s="17" t="e">
        <f t="shared" ref="H68:I68" si="0">+H15*$F$66</f>
        <v>#REF!</v>
      </c>
      <c r="I68" s="17" t="e">
        <f t="shared" si="0"/>
        <v>#REF!</v>
      </c>
    </row>
    <row r="69" spans="1:9" ht="18">
      <c r="B69" t="s">
        <v>61</v>
      </c>
      <c r="E69" s="1">
        <v>2</v>
      </c>
      <c r="G69" s="17" t="e">
        <f t="shared" ref="G69:I69" si="1">+G16*$F$66</f>
        <v>#REF!</v>
      </c>
      <c r="H69" s="17" t="e">
        <f t="shared" si="1"/>
        <v>#REF!</v>
      </c>
      <c r="I69" s="17" t="e">
        <f t="shared" si="1"/>
        <v>#REF!</v>
      </c>
    </row>
    <row r="70" spans="1:9" ht="18">
      <c r="B70" t="s">
        <v>62</v>
      </c>
      <c r="E70" s="1">
        <v>3</v>
      </c>
      <c r="G70" s="17" t="e">
        <f t="shared" ref="G70:I70" si="2">+G17*$F$66</f>
        <v>#REF!</v>
      </c>
      <c r="H70" s="17" t="e">
        <f t="shared" si="2"/>
        <v>#REF!</v>
      </c>
      <c r="I70" s="17" t="e">
        <f t="shared" si="2"/>
        <v>#REF!</v>
      </c>
    </row>
    <row r="71" spans="1:9">
      <c r="E71" s="1">
        <v>4</v>
      </c>
      <c r="G71" s="17" t="e">
        <f t="shared" ref="G71:I71" si="3">+G18*$F$66</f>
        <v>#REF!</v>
      </c>
      <c r="H71" s="17" t="e">
        <f t="shared" si="3"/>
        <v>#REF!</v>
      </c>
      <c r="I71" s="17" t="e">
        <f t="shared" si="3"/>
        <v>#REF!</v>
      </c>
    </row>
    <row r="72" spans="1:9">
      <c r="E72" s="1">
        <v>5</v>
      </c>
      <c r="G72" s="17" t="e">
        <f t="shared" ref="G72:I72" si="4">+G19*$F$66</f>
        <v>#REF!</v>
      </c>
      <c r="H72" s="17" t="e">
        <f t="shared" si="4"/>
        <v>#REF!</v>
      </c>
      <c r="I72" s="17" t="e">
        <f t="shared" si="4"/>
        <v>#REF!</v>
      </c>
    </row>
    <row r="73" spans="1:9">
      <c r="E73" s="1">
        <v>6</v>
      </c>
      <c r="G73" s="17" t="e">
        <f t="shared" ref="G73:I73" si="5">+G20*$F$66</f>
        <v>#REF!</v>
      </c>
      <c r="H73" s="17" t="e">
        <f t="shared" si="5"/>
        <v>#REF!</v>
      </c>
      <c r="I73" s="17" t="e">
        <f t="shared" si="5"/>
        <v>#REF!</v>
      </c>
    </row>
    <row r="74" spans="1:9">
      <c r="E74" s="1">
        <v>7</v>
      </c>
      <c r="G74" s="17" t="e">
        <f t="shared" ref="G74:I74" si="6">+G21*$F$66</f>
        <v>#REF!</v>
      </c>
      <c r="H74" s="17" t="e">
        <f t="shared" si="6"/>
        <v>#REF!</v>
      </c>
      <c r="I74" s="17" t="e">
        <f t="shared" si="6"/>
        <v>#REF!</v>
      </c>
    </row>
    <row r="75" spans="1:9">
      <c r="E75" s="1">
        <v>8</v>
      </c>
      <c r="G75" s="17" t="e">
        <f t="shared" ref="G75:I75" si="7">+G22*$F$66</f>
        <v>#REF!</v>
      </c>
      <c r="H75" s="17" t="e">
        <f t="shared" si="7"/>
        <v>#REF!</v>
      </c>
      <c r="I75" s="17" t="e">
        <f t="shared" si="7"/>
        <v>#REF!</v>
      </c>
    </row>
    <row r="76" spans="1:9">
      <c r="E76" s="1">
        <v>9</v>
      </c>
      <c r="G76" s="17" t="e">
        <f t="shared" ref="G76:I76" si="8">+G23*$F$66</f>
        <v>#REF!</v>
      </c>
      <c r="H76" s="17" t="e">
        <f t="shared" si="8"/>
        <v>#REF!</v>
      </c>
      <c r="I76" s="17" t="e">
        <f t="shared" si="8"/>
        <v>#REF!</v>
      </c>
    </row>
    <row r="77" spans="1:9">
      <c r="E77" s="1">
        <v>10</v>
      </c>
      <c r="G77" s="17" t="e">
        <f t="shared" ref="G77:I77" si="9">+G24*$F$66</f>
        <v>#REF!</v>
      </c>
      <c r="H77" s="17" t="e">
        <f t="shared" si="9"/>
        <v>#REF!</v>
      </c>
      <c r="I77" s="17" t="e">
        <f t="shared" si="9"/>
        <v>#REF!</v>
      </c>
    </row>
    <row r="78" spans="1:9">
      <c r="E78" s="1">
        <v>11</v>
      </c>
      <c r="G78" s="17" t="e">
        <f t="shared" ref="G78:I78" si="10">+G25*$F$66</f>
        <v>#REF!</v>
      </c>
      <c r="H78" s="17" t="e">
        <f t="shared" si="10"/>
        <v>#REF!</v>
      </c>
      <c r="I78" s="17" t="e">
        <f t="shared" si="10"/>
        <v>#REF!</v>
      </c>
    </row>
    <row r="79" spans="1:9">
      <c r="E79" s="1">
        <v>12</v>
      </c>
      <c r="G79" s="17" t="e">
        <f t="shared" ref="G79:I79" si="11">+G26*$F$66</f>
        <v>#REF!</v>
      </c>
      <c r="H79" s="17" t="e">
        <f t="shared" si="11"/>
        <v>#REF!</v>
      </c>
      <c r="I79" s="17" t="e">
        <f t="shared" si="11"/>
        <v>#REF!</v>
      </c>
    </row>
    <row r="80" spans="1:9">
      <c r="E80" s="1">
        <v>13</v>
      </c>
      <c r="G80" s="17" t="e">
        <f t="shared" ref="G80:I80" si="12">+G27*$F$66</f>
        <v>#REF!</v>
      </c>
      <c r="H80" s="17" t="e">
        <f t="shared" si="12"/>
        <v>#REF!</v>
      </c>
      <c r="I80" s="17" t="e">
        <f t="shared" si="12"/>
        <v>#REF!</v>
      </c>
    </row>
    <row r="81" spans="5:9">
      <c r="E81" s="1">
        <v>14</v>
      </c>
      <c r="G81" s="17" t="e">
        <f t="shared" ref="G81:I81" si="13">+G28*$F$66</f>
        <v>#REF!</v>
      </c>
      <c r="H81" s="17" t="e">
        <f t="shared" si="13"/>
        <v>#REF!</v>
      </c>
      <c r="I81" s="17" t="e">
        <f t="shared" si="13"/>
        <v>#REF!</v>
      </c>
    </row>
    <row r="82" spans="5:9">
      <c r="E82" s="1">
        <v>15</v>
      </c>
      <c r="G82" s="17" t="e">
        <f t="shared" ref="G82:I82" si="14">+G29*$F$66</f>
        <v>#REF!</v>
      </c>
      <c r="H82" s="17" t="e">
        <f t="shared" si="14"/>
        <v>#REF!</v>
      </c>
      <c r="I82" s="17" t="e">
        <f t="shared" si="14"/>
        <v>#REF!</v>
      </c>
    </row>
    <row r="83" spans="5:9">
      <c r="E83" s="1">
        <v>16</v>
      </c>
      <c r="G83" s="17" t="e">
        <f t="shared" ref="G83:I83" si="15">+G30*$F$66</f>
        <v>#REF!</v>
      </c>
      <c r="H83" s="17" t="e">
        <f t="shared" si="15"/>
        <v>#REF!</v>
      </c>
      <c r="I83" s="17" t="e">
        <f t="shared" si="15"/>
        <v>#REF!</v>
      </c>
    </row>
    <row r="84" spans="5:9">
      <c r="E84" s="1">
        <v>17</v>
      </c>
      <c r="G84" s="17" t="e">
        <f t="shared" ref="G84:I84" si="16">+G31*$F$66</f>
        <v>#REF!</v>
      </c>
      <c r="H84" s="17" t="e">
        <f t="shared" si="16"/>
        <v>#REF!</v>
      </c>
      <c r="I84" s="17" t="e">
        <f t="shared" si="16"/>
        <v>#REF!</v>
      </c>
    </row>
    <row r="85" spans="5:9">
      <c r="E85" s="1">
        <v>18</v>
      </c>
      <c r="G85" s="17" t="e">
        <f t="shared" ref="G85:I85" si="17">+G32*$F$66</f>
        <v>#REF!</v>
      </c>
      <c r="H85" s="17" t="e">
        <f t="shared" si="17"/>
        <v>#REF!</v>
      </c>
      <c r="I85" s="17" t="e">
        <f t="shared" si="17"/>
        <v>#REF!</v>
      </c>
    </row>
    <row r="86" spans="5:9">
      <c r="E86" s="1">
        <v>19</v>
      </c>
      <c r="G86" s="17" t="e">
        <f t="shared" ref="G86:I86" si="18">+G33*$F$66</f>
        <v>#REF!</v>
      </c>
      <c r="H86" s="17" t="e">
        <f t="shared" si="18"/>
        <v>#REF!</v>
      </c>
      <c r="I86" s="17" t="e">
        <f t="shared" si="18"/>
        <v>#REF!</v>
      </c>
    </row>
    <row r="87" spans="5:9">
      <c r="E87" s="1">
        <v>20</v>
      </c>
      <c r="G87" s="17" t="e">
        <f t="shared" ref="G87:I87" si="19">+G34*$F$66</f>
        <v>#REF!</v>
      </c>
      <c r="H87" s="17" t="e">
        <f t="shared" si="19"/>
        <v>#REF!</v>
      </c>
      <c r="I87" s="17" t="e">
        <f t="shared" si="19"/>
        <v>#REF!</v>
      </c>
    </row>
    <row r="88" spans="5:9">
      <c r="E88" s="1">
        <v>21</v>
      </c>
      <c r="G88" s="17" t="e">
        <f t="shared" ref="G88:I88" si="20">+G35*$F$66</f>
        <v>#REF!</v>
      </c>
      <c r="H88" s="17" t="e">
        <f t="shared" si="20"/>
        <v>#REF!</v>
      </c>
      <c r="I88" s="17" t="e">
        <f t="shared" si="20"/>
        <v>#REF!</v>
      </c>
    </row>
    <row r="89" spans="5:9">
      <c r="E89" s="1">
        <v>22</v>
      </c>
      <c r="G89" s="17" t="e">
        <f t="shared" ref="G89:I89" si="21">+G36*$F$66</f>
        <v>#REF!</v>
      </c>
      <c r="H89" s="17" t="e">
        <f t="shared" si="21"/>
        <v>#REF!</v>
      </c>
      <c r="I89" s="17" t="e">
        <f t="shared" si="21"/>
        <v>#REF!</v>
      </c>
    </row>
    <row r="90" spans="5:9">
      <c r="E90" s="1">
        <v>23</v>
      </c>
      <c r="G90" s="17" t="e">
        <f t="shared" ref="G90:I90" si="22">+G37*$F$66</f>
        <v>#REF!</v>
      </c>
      <c r="H90" s="17" t="e">
        <f t="shared" si="22"/>
        <v>#REF!</v>
      </c>
      <c r="I90" s="17" t="e">
        <f t="shared" si="22"/>
        <v>#REF!</v>
      </c>
    </row>
    <row r="91" spans="5:9">
      <c r="E91" s="1">
        <v>24</v>
      </c>
      <c r="G91" s="17" t="e">
        <f t="shared" ref="G91:I91" si="23">+G38*$F$66</f>
        <v>#REF!</v>
      </c>
      <c r="H91" s="17" t="e">
        <f t="shared" si="23"/>
        <v>#REF!</v>
      </c>
      <c r="I91" s="17" t="e">
        <f t="shared" si="23"/>
        <v>#REF!</v>
      </c>
    </row>
    <row r="92" spans="5:9">
      <c r="E92" s="3" t="s">
        <v>12</v>
      </c>
      <c r="G92" s="17" t="e">
        <f>SUM(G68:G91)</f>
        <v>#REF!</v>
      </c>
      <c r="H92" s="17" t="e">
        <f t="shared" ref="H92:I92" si="24">SUM(H68:H91)</f>
        <v>#REF!</v>
      </c>
      <c r="I92" s="17" t="e">
        <f t="shared" si="24"/>
        <v>#REF!</v>
      </c>
    </row>
    <row r="97" spans="1:9">
      <c r="A97" t="s">
        <v>65</v>
      </c>
      <c r="E97" t="s">
        <v>13</v>
      </c>
      <c r="G97" t="s">
        <v>14</v>
      </c>
      <c r="H97" t="s">
        <v>10</v>
      </c>
      <c r="I97" t="s">
        <v>15</v>
      </c>
    </row>
    <row r="98" spans="1:9">
      <c r="G98" s="1" t="s">
        <v>22</v>
      </c>
      <c r="H98" s="1" t="s">
        <v>22</v>
      </c>
      <c r="I98" s="1" t="s">
        <v>22</v>
      </c>
    </row>
    <row r="99" spans="1:9">
      <c r="B99" t="s">
        <v>64</v>
      </c>
      <c r="C99" t="s">
        <v>69</v>
      </c>
      <c r="E99" s="1">
        <v>1</v>
      </c>
      <c r="F99" s="1"/>
      <c r="G99" s="2" t="e">
        <f>+G68*$E$10</f>
        <v>#REF!</v>
      </c>
      <c r="H99" s="2" t="e">
        <f t="shared" ref="H99:I99" si="25">+H68*$E$10</f>
        <v>#REF!</v>
      </c>
      <c r="I99" s="2" t="e">
        <f t="shared" si="25"/>
        <v>#REF!</v>
      </c>
    </row>
    <row r="100" spans="1:9">
      <c r="E100" s="1">
        <v>2</v>
      </c>
      <c r="F100" s="1"/>
      <c r="G100" s="2" t="e">
        <f t="shared" ref="G100:I100" si="26">+G69*$E$10</f>
        <v>#REF!</v>
      </c>
      <c r="H100" s="2" t="e">
        <f t="shared" si="26"/>
        <v>#REF!</v>
      </c>
      <c r="I100" s="2" t="e">
        <f t="shared" si="26"/>
        <v>#REF!</v>
      </c>
    </row>
    <row r="101" spans="1:9">
      <c r="E101" s="1">
        <v>3</v>
      </c>
      <c r="F101" s="1"/>
      <c r="G101" s="2" t="e">
        <f t="shared" ref="G101:I101" si="27">+G70*$E$10</f>
        <v>#REF!</v>
      </c>
      <c r="H101" s="2" t="e">
        <f t="shared" si="27"/>
        <v>#REF!</v>
      </c>
      <c r="I101" s="2" t="e">
        <f t="shared" si="27"/>
        <v>#REF!</v>
      </c>
    </row>
    <row r="102" spans="1:9">
      <c r="E102" s="1">
        <v>4</v>
      </c>
      <c r="F102" s="1"/>
      <c r="G102" s="2" t="e">
        <f t="shared" ref="G102:I102" si="28">+G71*$E$10</f>
        <v>#REF!</v>
      </c>
      <c r="H102" s="2" t="e">
        <f t="shared" si="28"/>
        <v>#REF!</v>
      </c>
      <c r="I102" s="2" t="e">
        <f t="shared" si="28"/>
        <v>#REF!</v>
      </c>
    </row>
    <row r="103" spans="1:9">
      <c r="E103" s="1">
        <v>5</v>
      </c>
      <c r="F103" s="1"/>
      <c r="G103" s="2" t="e">
        <f t="shared" ref="G103:I103" si="29">+G72*$E$10</f>
        <v>#REF!</v>
      </c>
      <c r="H103" s="2" t="e">
        <f t="shared" si="29"/>
        <v>#REF!</v>
      </c>
      <c r="I103" s="2" t="e">
        <f t="shared" si="29"/>
        <v>#REF!</v>
      </c>
    </row>
    <row r="104" spans="1:9">
      <c r="E104" s="1">
        <v>6</v>
      </c>
      <c r="F104" s="1"/>
      <c r="G104" s="2" t="e">
        <f t="shared" ref="G104:I104" si="30">+G73*$E$10</f>
        <v>#REF!</v>
      </c>
      <c r="H104" s="2" t="e">
        <f t="shared" si="30"/>
        <v>#REF!</v>
      </c>
      <c r="I104" s="2" t="e">
        <f t="shared" si="30"/>
        <v>#REF!</v>
      </c>
    </row>
    <row r="105" spans="1:9">
      <c r="E105" s="1">
        <v>7</v>
      </c>
      <c r="F105" s="1"/>
      <c r="G105" s="2" t="e">
        <f t="shared" ref="G105:I105" si="31">+G74*$E$10</f>
        <v>#REF!</v>
      </c>
      <c r="H105" s="2" t="e">
        <f t="shared" si="31"/>
        <v>#REF!</v>
      </c>
      <c r="I105" s="2" t="e">
        <f t="shared" si="31"/>
        <v>#REF!</v>
      </c>
    </row>
    <row r="106" spans="1:9">
      <c r="E106" s="1">
        <v>8</v>
      </c>
      <c r="F106" s="1"/>
      <c r="G106" s="2" t="e">
        <f t="shared" ref="G106:I106" si="32">+G75*$E$10</f>
        <v>#REF!</v>
      </c>
      <c r="H106" s="2" t="e">
        <f t="shared" si="32"/>
        <v>#REF!</v>
      </c>
      <c r="I106" s="2" t="e">
        <f t="shared" si="32"/>
        <v>#REF!</v>
      </c>
    </row>
    <row r="107" spans="1:9">
      <c r="E107" s="1">
        <v>9</v>
      </c>
      <c r="F107" s="1"/>
      <c r="G107" s="2" t="e">
        <f t="shared" ref="G107:I107" si="33">+G76*$E$10</f>
        <v>#REF!</v>
      </c>
      <c r="H107" s="2" t="e">
        <f t="shared" si="33"/>
        <v>#REF!</v>
      </c>
      <c r="I107" s="2" t="e">
        <f t="shared" si="33"/>
        <v>#REF!</v>
      </c>
    </row>
    <row r="108" spans="1:9">
      <c r="E108" s="1">
        <v>10</v>
      </c>
      <c r="F108" s="1"/>
      <c r="G108" s="2" t="e">
        <f t="shared" ref="G108:I108" si="34">+G77*$E$10</f>
        <v>#REF!</v>
      </c>
      <c r="H108" s="2" t="e">
        <f t="shared" si="34"/>
        <v>#REF!</v>
      </c>
      <c r="I108" s="2" t="e">
        <f t="shared" si="34"/>
        <v>#REF!</v>
      </c>
    </row>
    <row r="109" spans="1:9">
      <c r="E109" s="1">
        <v>11</v>
      </c>
      <c r="F109" s="1"/>
      <c r="G109" s="2" t="e">
        <f t="shared" ref="G109:I109" si="35">+G78*$E$10</f>
        <v>#REF!</v>
      </c>
      <c r="H109" s="2" t="e">
        <f t="shared" si="35"/>
        <v>#REF!</v>
      </c>
      <c r="I109" s="2" t="e">
        <f t="shared" si="35"/>
        <v>#REF!</v>
      </c>
    </row>
    <row r="110" spans="1:9">
      <c r="E110" s="1">
        <v>12</v>
      </c>
      <c r="F110" s="1"/>
      <c r="G110" s="2" t="e">
        <f t="shared" ref="G110:I110" si="36">+G79*$E$10</f>
        <v>#REF!</v>
      </c>
      <c r="H110" s="2" t="e">
        <f t="shared" si="36"/>
        <v>#REF!</v>
      </c>
      <c r="I110" s="2" t="e">
        <f t="shared" si="36"/>
        <v>#REF!</v>
      </c>
    </row>
    <row r="111" spans="1:9">
      <c r="E111" s="1">
        <v>13</v>
      </c>
      <c r="F111" s="1"/>
      <c r="G111" s="2" t="e">
        <f t="shared" ref="G111:I111" si="37">+G80*$E$10</f>
        <v>#REF!</v>
      </c>
      <c r="H111" s="2" t="e">
        <f t="shared" si="37"/>
        <v>#REF!</v>
      </c>
      <c r="I111" s="2" t="e">
        <f t="shared" si="37"/>
        <v>#REF!</v>
      </c>
    </row>
    <row r="112" spans="1:9">
      <c r="E112" s="1">
        <v>14</v>
      </c>
      <c r="F112" s="1"/>
      <c r="G112" s="2" t="e">
        <f t="shared" ref="G112:I112" si="38">+G81*$E$10</f>
        <v>#REF!</v>
      </c>
      <c r="H112" s="2" t="e">
        <f t="shared" si="38"/>
        <v>#REF!</v>
      </c>
      <c r="I112" s="2" t="e">
        <f t="shared" si="38"/>
        <v>#REF!</v>
      </c>
    </row>
    <row r="113" spans="1:9">
      <c r="E113" s="1">
        <v>15</v>
      </c>
      <c r="F113" s="1"/>
      <c r="G113" s="2" t="e">
        <f t="shared" ref="G113:I113" si="39">+G82*$E$10</f>
        <v>#REF!</v>
      </c>
      <c r="H113" s="2" t="e">
        <f t="shared" si="39"/>
        <v>#REF!</v>
      </c>
      <c r="I113" s="2" t="e">
        <f t="shared" si="39"/>
        <v>#REF!</v>
      </c>
    </row>
    <row r="114" spans="1:9">
      <c r="E114" s="1">
        <v>16</v>
      </c>
      <c r="F114" s="1"/>
      <c r="G114" s="2" t="e">
        <f t="shared" ref="G114:I114" si="40">+G83*$E$10</f>
        <v>#REF!</v>
      </c>
      <c r="H114" s="2" t="e">
        <f t="shared" si="40"/>
        <v>#REF!</v>
      </c>
      <c r="I114" s="2" t="e">
        <f t="shared" si="40"/>
        <v>#REF!</v>
      </c>
    </row>
    <row r="115" spans="1:9">
      <c r="E115" s="1">
        <v>17</v>
      </c>
      <c r="F115" s="1"/>
      <c r="G115" s="2" t="e">
        <f t="shared" ref="G115:I115" si="41">+G84*$E$10</f>
        <v>#REF!</v>
      </c>
      <c r="H115" s="2" t="e">
        <f t="shared" si="41"/>
        <v>#REF!</v>
      </c>
      <c r="I115" s="2" t="e">
        <f t="shared" si="41"/>
        <v>#REF!</v>
      </c>
    </row>
    <row r="116" spans="1:9">
      <c r="E116" s="1">
        <v>18</v>
      </c>
      <c r="F116" s="1"/>
      <c r="G116" s="2" t="e">
        <f t="shared" ref="G116:I116" si="42">+G85*$E$10</f>
        <v>#REF!</v>
      </c>
      <c r="H116" s="2" t="e">
        <f t="shared" si="42"/>
        <v>#REF!</v>
      </c>
      <c r="I116" s="2" t="e">
        <f t="shared" si="42"/>
        <v>#REF!</v>
      </c>
    </row>
    <row r="117" spans="1:9">
      <c r="E117" s="1">
        <v>19</v>
      </c>
      <c r="F117" s="1"/>
      <c r="G117" s="2" t="e">
        <f t="shared" ref="G117:I117" si="43">+G86*$E$10</f>
        <v>#REF!</v>
      </c>
      <c r="H117" s="2" t="e">
        <f t="shared" si="43"/>
        <v>#REF!</v>
      </c>
      <c r="I117" s="2" t="e">
        <f t="shared" si="43"/>
        <v>#REF!</v>
      </c>
    </row>
    <row r="118" spans="1:9">
      <c r="E118" s="1">
        <v>20</v>
      </c>
      <c r="F118" s="1"/>
      <c r="G118" s="2" t="e">
        <f t="shared" ref="G118:I118" si="44">+G87*$E$10</f>
        <v>#REF!</v>
      </c>
      <c r="H118" s="2" t="e">
        <f t="shared" si="44"/>
        <v>#REF!</v>
      </c>
      <c r="I118" s="2" t="e">
        <f t="shared" si="44"/>
        <v>#REF!</v>
      </c>
    </row>
    <row r="119" spans="1:9">
      <c r="E119" s="1">
        <v>21</v>
      </c>
      <c r="F119" s="1"/>
      <c r="G119" s="2" t="e">
        <f t="shared" ref="G119:I119" si="45">+G88*$E$10</f>
        <v>#REF!</v>
      </c>
      <c r="H119" s="2" t="e">
        <f t="shared" si="45"/>
        <v>#REF!</v>
      </c>
      <c r="I119" s="2" t="e">
        <f t="shared" si="45"/>
        <v>#REF!</v>
      </c>
    </row>
    <row r="120" spans="1:9">
      <c r="E120" s="1">
        <v>22</v>
      </c>
      <c r="F120" s="1"/>
      <c r="G120" s="2" t="e">
        <f t="shared" ref="G120:I120" si="46">+G89*$E$10</f>
        <v>#REF!</v>
      </c>
      <c r="H120" s="2" t="e">
        <f t="shared" si="46"/>
        <v>#REF!</v>
      </c>
      <c r="I120" s="2" t="e">
        <f t="shared" si="46"/>
        <v>#REF!</v>
      </c>
    </row>
    <row r="121" spans="1:9">
      <c r="E121" s="1">
        <v>23</v>
      </c>
      <c r="F121" s="1"/>
      <c r="G121" s="2" t="e">
        <f t="shared" ref="G121:I121" si="47">+G90*$E$10</f>
        <v>#REF!</v>
      </c>
      <c r="H121" s="2" t="e">
        <f t="shared" si="47"/>
        <v>#REF!</v>
      </c>
      <c r="I121" s="2" t="e">
        <f t="shared" si="47"/>
        <v>#REF!</v>
      </c>
    </row>
    <row r="122" spans="1:9">
      <c r="E122" s="1">
        <v>24</v>
      </c>
      <c r="F122" s="1"/>
      <c r="G122" s="2" t="e">
        <f t="shared" ref="G122:I122" si="48">+G91*$E$10</f>
        <v>#REF!</v>
      </c>
      <c r="H122" s="2" t="e">
        <f t="shared" si="48"/>
        <v>#REF!</v>
      </c>
      <c r="I122" s="2" t="e">
        <f t="shared" si="48"/>
        <v>#REF!</v>
      </c>
    </row>
    <row r="123" spans="1:9">
      <c r="A123" t="s">
        <v>16</v>
      </c>
      <c r="E123" s="3" t="s">
        <v>12</v>
      </c>
      <c r="F123" s="3"/>
      <c r="G123" s="4" t="e">
        <f>SUM(G99:G122)</f>
        <v>#REF!</v>
      </c>
      <c r="H123" s="4" t="e">
        <f t="shared" ref="H123" si="49">SUM(H99:H122)</f>
        <v>#REF!</v>
      </c>
      <c r="I123" s="4" t="e">
        <f t="shared" ref="I123" si="50">SUM(I99:I122)</f>
        <v>#REF!</v>
      </c>
    </row>
    <row r="125" spans="1:9">
      <c r="A125" s="7" t="s">
        <v>23</v>
      </c>
      <c r="B125" s="7"/>
      <c r="C125" s="7" t="s">
        <v>69</v>
      </c>
      <c r="D125" s="32" t="s">
        <v>67</v>
      </c>
      <c r="E125" s="33" t="e">
        <f>SUM(G125:I125)</f>
        <v>#REF!</v>
      </c>
      <c r="G125" s="6" t="e">
        <f>+G123*G52</f>
        <v>#REF!</v>
      </c>
      <c r="H125" s="6" t="e">
        <f>+H123*H53</f>
        <v>#REF!</v>
      </c>
      <c r="I125" s="6" t="e">
        <f>+I123*I54</f>
        <v>#REF!</v>
      </c>
    </row>
    <row r="127" spans="1:9" ht="18">
      <c r="A127" s="7" t="s">
        <v>68</v>
      </c>
      <c r="B127" t="s">
        <v>39</v>
      </c>
      <c r="C127" t="s">
        <v>4</v>
      </c>
      <c r="E127" s="3">
        <f>+E10</f>
        <v>30</v>
      </c>
    </row>
    <row r="128" spans="1:9">
      <c r="A128" s="7" t="s">
        <v>26</v>
      </c>
      <c r="B128" s="7"/>
      <c r="C128" s="7"/>
      <c r="D128" s="32" t="s">
        <v>66</v>
      </c>
      <c r="E128" s="33" t="e">
        <f>+E8*E9*F55</f>
        <v>#REF!</v>
      </c>
    </row>
  </sheetData>
  <pageMargins left="0.7" right="0.7" top="0.75" bottom="0.75" header="0.3" footer="0.3"/>
  <pageSetup paperSize="9" orientation="portrait" horizontalDpi="0" verticalDpi="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4B28D-2E55-4413-8FFE-17573A8DFC0B}">
  <sheetPr codeName="Foglio14"/>
  <dimension ref="A1:F40"/>
  <sheetViews>
    <sheetView workbookViewId="0"/>
  </sheetViews>
  <sheetFormatPr defaultColWidth="9.140625" defaultRowHeight="15"/>
  <cols>
    <col min="1" max="1" width="25.28515625" style="50" customWidth="1"/>
    <col min="2" max="2" width="41.85546875" style="51" customWidth="1"/>
    <col min="3" max="16384" width="9.140625" style="50"/>
  </cols>
  <sheetData>
    <row r="1" spans="1:6">
      <c r="A1" s="50" t="s">
        <v>179</v>
      </c>
    </row>
    <row r="3" spans="1:6">
      <c r="A3" s="56" t="s">
        <v>182</v>
      </c>
      <c r="B3" s="57" t="s">
        <v>183</v>
      </c>
    </row>
    <row r="5" spans="1:6">
      <c r="A5" s="50" t="s">
        <v>137</v>
      </c>
      <c r="B5" s="51" t="s">
        <v>175</v>
      </c>
      <c r="F5" s="52"/>
    </row>
    <row r="6" spans="1:6">
      <c r="A6" s="50" t="s">
        <v>138</v>
      </c>
      <c r="B6" s="51" t="s">
        <v>175</v>
      </c>
      <c r="D6" s="53"/>
      <c r="E6" s="35"/>
      <c r="F6" s="53"/>
    </row>
    <row r="7" spans="1:6">
      <c r="A7" s="50" t="s">
        <v>139</v>
      </c>
      <c r="B7" s="51" t="s">
        <v>175</v>
      </c>
      <c r="D7" s="53"/>
      <c r="E7" s="35"/>
      <c r="F7" s="53"/>
    </row>
    <row r="8" spans="1:6">
      <c r="A8" s="50" t="s">
        <v>140</v>
      </c>
      <c r="B8" s="51" t="s">
        <v>175</v>
      </c>
      <c r="D8" s="53"/>
      <c r="E8" s="35"/>
      <c r="F8" s="53"/>
    </row>
    <row r="9" spans="1:6">
      <c r="A9" s="50" t="s">
        <v>141</v>
      </c>
      <c r="B9" s="55" t="s">
        <v>175</v>
      </c>
      <c r="C9" s="50" t="s">
        <v>181</v>
      </c>
      <c r="D9" s="53"/>
      <c r="E9" s="35"/>
      <c r="F9" s="53"/>
    </row>
    <row r="10" spans="1:6">
      <c r="A10" s="50" t="s">
        <v>142</v>
      </c>
      <c r="B10" s="55" t="s">
        <v>175</v>
      </c>
      <c r="C10" s="50" t="s">
        <v>181</v>
      </c>
      <c r="D10" s="53"/>
      <c r="E10" s="35"/>
      <c r="F10" s="53"/>
    </row>
    <row r="11" spans="1:6">
      <c r="A11" s="50" t="s">
        <v>143</v>
      </c>
      <c r="B11" s="49" t="s">
        <v>163</v>
      </c>
      <c r="D11" s="53"/>
      <c r="E11" s="35"/>
      <c r="F11" s="53"/>
    </row>
    <row r="12" spans="1:6">
      <c r="A12" s="50" t="s">
        <v>144</v>
      </c>
      <c r="B12" s="49" t="s">
        <v>163</v>
      </c>
      <c r="D12" s="53"/>
      <c r="E12" s="35"/>
      <c r="F12" s="53"/>
    </row>
    <row r="13" spans="1:6">
      <c r="A13" s="50" t="s">
        <v>145</v>
      </c>
      <c r="B13" s="49" t="s">
        <v>163</v>
      </c>
      <c r="D13" s="53"/>
      <c r="E13" s="35"/>
      <c r="F13" s="53"/>
    </row>
    <row r="14" spans="1:6">
      <c r="A14" s="50" t="s">
        <v>146</v>
      </c>
      <c r="B14" s="49" t="s">
        <v>163</v>
      </c>
      <c r="D14" s="53"/>
      <c r="E14" s="35"/>
      <c r="F14" s="53"/>
    </row>
    <row r="15" spans="1:6">
      <c r="A15" s="50" t="s">
        <v>147</v>
      </c>
      <c r="B15" s="49" t="s">
        <v>163</v>
      </c>
      <c r="D15" s="53"/>
      <c r="E15" s="35"/>
      <c r="F15" s="53"/>
    </row>
    <row r="16" spans="1:6">
      <c r="A16" s="54" t="s">
        <v>178</v>
      </c>
      <c r="B16" s="49" t="s">
        <v>164</v>
      </c>
      <c r="C16" s="50" t="s">
        <v>180</v>
      </c>
      <c r="D16" s="53"/>
      <c r="E16" s="35"/>
      <c r="F16" s="53"/>
    </row>
    <row r="17" spans="1:6">
      <c r="A17" s="50" t="s">
        <v>148</v>
      </c>
      <c r="B17" s="49" t="s">
        <v>167</v>
      </c>
      <c r="D17" s="53"/>
      <c r="E17" s="35"/>
      <c r="F17" s="53"/>
    </row>
    <row r="18" spans="1:6">
      <c r="A18" s="50" t="s">
        <v>149</v>
      </c>
      <c r="B18" s="49" t="s">
        <v>167</v>
      </c>
      <c r="D18" s="53"/>
      <c r="E18" s="35"/>
      <c r="F18" s="53"/>
    </row>
    <row r="19" spans="1:6">
      <c r="A19" s="50" t="s">
        <v>176</v>
      </c>
      <c r="B19" s="49" t="s">
        <v>161</v>
      </c>
      <c r="D19" s="53"/>
      <c r="E19" s="35"/>
      <c r="F19" s="53"/>
    </row>
    <row r="20" spans="1:6" ht="24">
      <c r="A20" s="54" t="s">
        <v>177</v>
      </c>
      <c r="B20" s="49" t="s">
        <v>162</v>
      </c>
      <c r="C20" s="50" t="s">
        <v>180</v>
      </c>
      <c r="D20" s="53"/>
      <c r="E20" s="35"/>
      <c r="F20" s="53"/>
    </row>
    <row r="21" spans="1:6">
      <c r="A21" s="50" t="s">
        <v>150</v>
      </c>
      <c r="B21" s="49" t="s">
        <v>158</v>
      </c>
      <c r="D21" s="53"/>
      <c r="E21" s="35"/>
      <c r="F21" s="53"/>
    </row>
    <row r="22" spans="1:6">
      <c r="A22" s="50" t="s">
        <v>150</v>
      </c>
      <c r="B22" s="49" t="s">
        <v>159</v>
      </c>
      <c r="D22" s="53"/>
      <c r="E22" s="35"/>
      <c r="F22" s="53"/>
    </row>
    <row r="23" spans="1:6">
      <c r="A23" s="50" t="s">
        <v>150</v>
      </c>
      <c r="B23" s="49" t="s">
        <v>160</v>
      </c>
      <c r="D23" s="53"/>
      <c r="E23" s="35"/>
      <c r="F23" s="53"/>
    </row>
    <row r="24" spans="1:6">
      <c r="A24" s="54" t="s">
        <v>184</v>
      </c>
      <c r="B24" s="49" t="s">
        <v>173</v>
      </c>
      <c r="D24" s="53"/>
      <c r="E24" s="35"/>
      <c r="F24" s="53"/>
    </row>
    <row r="25" spans="1:6">
      <c r="A25" s="54" t="s">
        <v>185</v>
      </c>
      <c r="B25" s="49" t="s">
        <v>172</v>
      </c>
      <c r="D25" s="53"/>
      <c r="E25" s="35"/>
      <c r="F25" s="53"/>
    </row>
    <row r="26" spans="1:6">
      <c r="A26" s="50" t="s">
        <v>151</v>
      </c>
      <c r="B26" s="49" t="s">
        <v>170</v>
      </c>
      <c r="D26" s="53"/>
      <c r="E26" s="35"/>
      <c r="F26" s="53"/>
    </row>
    <row r="27" spans="1:6">
      <c r="A27" s="50" t="s">
        <v>151</v>
      </c>
      <c r="B27" s="49" t="s">
        <v>171</v>
      </c>
      <c r="D27" s="53"/>
      <c r="E27" s="35"/>
      <c r="F27" s="53"/>
    </row>
    <row r="28" spans="1:6">
      <c r="A28" s="50" t="s">
        <v>152</v>
      </c>
      <c r="B28" s="49" t="s">
        <v>165</v>
      </c>
      <c r="D28" s="53"/>
      <c r="E28" s="35"/>
      <c r="F28" s="53"/>
    </row>
    <row r="29" spans="1:6" ht="24">
      <c r="A29" s="50" t="s">
        <v>153</v>
      </c>
      <c r="B29" s="49" t="s">
        <v>168</v>
      </c>
      <c r="D29" s="53"/>
      <c r="E29" s="35"/>
      <c r="F29" s="53"/>
    </row>
    <row r="30" spans="1:6" ht="24">
      <c r="A30" s="50" t="s">
        <v>153</v>
      </c>
      <c r="B30" s="49" t="s">
        <v>169</v>
      </c>
      <c r="D30" s="53"/>
      <c r="E30" s="35"/>
      <c r="F30" s="53"/>
    </row>
    <row r="31" spans="1:6" ht="24">
      <c r="A31" s="50" t="s">
        <v>154</v>
      </c>
      <c r="B31" s="49" t="s">
        <v>168</v>
      </c>
      <c r="D31" s="53"/>
      <c r="E31" s="35"/>
      <c r="F31" s="53"/>
    </row>
    <row r="32" spans="1:6" ht="24">
      <c r="A32" s="50" t="s">
        <v>154</v>
      </c>
      <c r="B32" s="49" t="s">
        <v>169</v>
      </c>
      <c r="D32" s="53"/>
      <c r="E32" s="35"/>
      <c r="F32" s="53"/>
    </row>
    <row r="33" spans="1:6">
      <c r="A33" s="50" t="s">
        <v>155</v>
      </c>
      <c r="B33" s="55"/>
      <c r="C33" s="50" t="s">
        <v>186</v>
      </c>
      <c r="D33" s="53"/>
      <c r="E33" s="35"/>
      <c r="F33" s="53"/>
    </row>
    <row r="34" spans="1:6">
      <c r="A34" s="50" t="s">
        <v>156</v>
      </c>
      <c r="B34" s="49" t="s">
        <v>174</v>
      </c>
      <c r="D34" s="53"/>
      <c r="E34" s="35"/>
      <c r="F34" s="53"/>
    </row>
    <row r="35" spans="1:6">
      <c r="A35" s="50" t="s">
        <v>157</v>
      </c>
      <c r="B35" s="49" t="s">
        <v>166</v>
      </c>
      <c r="D35" s="53"/>
      <c r="E35" s="35"/>
      <c r="F35" s="53"/>
    </row>
    <row r="36" spans="1:6">
      <c r="B36" s="49" t="s">
        <v>174</v>
      </c>
      <c r="D36" s="53"/>
      <c r="E36" s="35"/>
      <c r="F36" s="53"/>
    </row>
    <row r="37" spans="1:6">
      <c r="A37" s="58" t="s">
        <v>187</v>
      </c>
      <c r="D37" s="53"/>
      <c r="E37" s="35"/>
      <c r="F37" s="53"/>
    </row>
    <row r="38" spans="1:6">
      <c r="A38" s="58" t="s">
        <v>188</v>
      </c>
      <c r="D38" s="53"/>
      <c r="E38" s="35"/>
      <c r="F38" s="53"/>
    </row>
    <row r="39" spans="1:6">
      <c r="A39" s="58"/>
      <c r="D39" s="53"/>
      <c r="E39" s="35"/>
      <c r="F39" s="53"/>
    </row>
    <row r="40" spans="1:6">
      <c r="A40" s="58"/>
      <c r="D40" s="53"/>
      <c r="E40" s="35"/>
      <c r="F40" s="53"/>
    </row>
  </sheetData>
  <pageMargins left="0.7" right="0.7" top="0.75" bottom="0.75"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A7BA-85EF-4E23-9A74-398A67842DF0}">
  <sheetPr codeName="Foglio15"/>
  <dimension ref="A1:R34"/>
  <sheetViews>
    <sheetView workbookViewId="0"/>
  </sheetViews>
  <sheetFormatPr defaultColWidth="8.85546875" defaultRowHeight="15"/>
  <cols>
    <col min="1" max="1" width="5.7109375" style="38" customWidth="1"/>
    <col min="2" max="14" width="8.85546875" style="38"/>
    <col min="15" max="15" width="4.28515625" style="38" customWidth="1"/>
    <col min="16" max="16384" width="8.85546875" style="38"/>
  </cols>
  <sheetData>
    <row r="1" spans="1:18">
      <c r="A1" s="36" t="s">
        <v>71</v>
      </c>
      <c r="B1" s="37"/>
      <c r="C1" s="37"/>
      <c r="D1" s="38" t="s">
        <v>72</v>
      </c>
    </row>
    <row r="2" spans="1:18">
      <c r="A2" s="36" t="s">
        <v>73</v>
      </c>
      <c r="B2" s="37"/>
      <c r="C2" s="37"/>
      <c r="D2" s="38" t="s">
        <v>74</v>
      </c>
    </row>
    <row r="3" spans="1:18">
      <c r="A3" s="36" t="s">
        <v>75</v>
      </c>
      <c r="B3" s="37"/>
      <c r="C3" s="37"/>
      <c r="D3" s="38" t="s">
        <v>76</v>
      </c>
      <c r="L3" s="38" t="s">
        <v>194</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39" t="s">
        <v>81</v>
      </c>
      <c r="B8" s="808"/>
      <c r="C8" s="808"/>
      <c r="D8" s="809"/>
      <c r="G8" s="62" t="s">
        <v>81</v>
      </c>
      <c r="H8" s="811"/>
      <c r="I8" s="811"/>
      <c r="J8" s="812"/>
      <c r="K8" s="61"/>
    </row>
    <row r="9" spans="1:18">
      <c r="A9" s="40">
        <v>1</v>
      </c>
      <c r="B9" s="41">
        <v>0</v>
      </c>
      <c r="C9" s="41">
        <v>0</v>
      </c>
      <c r="D9" s="41">
        <v>0</v>
      </c>
      <c r="G9" s="63">
        <v>1</v>
      </c>
      <c r="H9" s="64">
        <v>1</v>
      </c>
      <c r="I9" s="64">
        <v>1</v>
      </c>
      <c r="J9" s="64">
        <v>1</v>
      </c>
      <c r="K9" s="61"/>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0</v>
      </c>
      <c r="C10" s="41">
        <v>0</v>
      </c>
      <c r="D10" s="41">
        <v>0</v>
      </c>
      <c r="G10" s="63">
        <v>2</v>
      </c>
      <c r="H10" s="64">
        <v>1</v>
      </c>
      <c r="I10" s="64">
        <v>1</v>
      </c>
      <c r="J10" s="64">
        <v>1</v>
      </c>
      <c r="K10" s="61"/>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0</v>
      </c>
      <c r="C11" s="41">
        <v>0</v>
      </c>
      <c r="D11" s="41">
        <v>0</v>
      </c>
      <c r="G11" s="63">
        <v>3</v>
      </c>
      <c r="H11" s="64">
        <v>1</v>
      </c>
      <c r="I11" s="64">
        <v>1</v>
      </c>
      <c r="J11" s="64">
        <v>1</v>
      </c>
      <c r="K11" s="61"/>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63">
        <v>4</v>
      </c>
      <c r="H12" s="64">
        <v>1</v>
      </c>
      <c r="I12" s="64">
        <v>1</v>
      </c>
      <c r="J12" s="64">
        <v>1</v>
      </c>
      <c r="K12" s="61"/>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0</v>
      </c>
      <c r="C13" s="41">
        <v>0</v>
      </c>
      <c r="D13" s="41">
        <v>0</v>
      </c>
      <c r="G13" s="63">
        <v>5</v>
      </c>
      <c r="H13" s="64">
        <v>1</v>
      </c>
      <c r="I13" s="64">
        <v>1</v>
      </c>
      <c r="J13" s="64">
        <v>1</v>
      </c>
      <c r="K13" s="61"/>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2</v>
      </c>
      <c r="C14" s="41">
        <v>0</v>
      </c>
      <c r="D14" s="41">
        <v>0</v>
      </c>
      <c r="G14" s="63">
        <v>6</v>
      </c>
      <c r="H14" s="64">
        <v>1</v>
      </c>
      <c r="I14" s="64">
        <v>1</v>
      </c>
      <c r="J14" s="64">
        <v>1</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16</v>
      </c>
      <c r="C15" s="41">
        <v>2</v>
      </c>
      <c r="D15" s="41">
        <v>2</v>
      </c>
      <c r="G15" s="63">
        <v>7</v>
      </c>
      <c r="H15" s="64">
        <v>0.5</v>
      </c>
      <c r="I15" s="64">
        <v>0.8</v>
      </c>
      <c r="J15" s="64">
        <v>0.8</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20</v>
      </c>
      <c r="C16" s="41">
        <v>16</v>
      </c>
      <c r="D16" s="41">
        <v>16</v>
      </c>
      <c r="G16" s="63">
        <v>8</v>
      </c>
      <c r="H16" s="64">
        <v>0.5</v>
      </c>
      <c r="I16" s="64">
        <v>0.8</v>
      </c>
      <c r="J16" s="64">
        <v>0.8</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8</v>
      </c>
      <c r="C17" s="41">
        <v>20</v>
      </c>
      <c r="D17" s="41">
        <v>20</v>
      </c>
      <c r="G17" s="63">
        <v>9</v>
      </c>
      <c r="H17" s="64">
        <v>0.5</v>
      </c>
      <c r="I17" s="64">
        <v>0.8</v>
      </c>
      <c r="J17" s="64">
        <v>0.8</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2</v>
      </c>
      <c r="C18" s="41">
        <v>8</v>
      </c>
      <c r="D18" s="41">
        <v>8</v>
      </c>
      <c r="G18" s="63">
        <v>10</v>
      </c>
      <c r="H18" s="64">
        <v>0.1</v>
      </c>
      <c r="I18" s="64">
        <v>0.8</v>
      </c>
      <c r="J18" s="64">
        <v>0.8</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0</v>
      </c>
      <c r="C19" s="41">
        <v>2</v>
      </c>
      <c r="D19" s="41">
        <v>2</v>
      </c>
      <c r="G19" s="63">
        <v>11</v>
      </c>
      <c r="H19" s="64">
        <v>0.1</v>
      </c>
      <c r="I19" s="64">
        <v>0.8</v>
      </c>
      <c r="J19" s="64">
        <v>0.8</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0</v>
      </c>
      <c r="C20" s="41">
        <v>2</v>
      </c>
      <c r="D20" s="41">
        <v>2</v>
      </c>
      <c r="G20" s="63">
        <v>12</v>
      </c>
      <c r="H20" s="64">
        <v>0.1</v>
      </c>
      <c r="I20" s="64">
        <v>0.8</v>
      </c>
      <c r="J20" s="64">
        <v>0.8</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2</v>
      </c>
      <c r="C21" s="41">
        <v>4</v>
      </c>
      <c r="D21" s="41">
        <v>4</v>
      </c>
      <c r="G21" s="63">
        <v>13</v>
      </c>
      <c r="H21" s="64">
        <v>0.1</v>
      </c>
      <c r="I21" s="64">
        <v>0.8</v>
      </c>
      <c r="J21" s="64">
        <v>0.8</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4</v>
      </c>
      <c r="C22" s="41">
        <v>2</v>
      </c>
      <c r="D22" s="41">
        <v>2</v>
      </c>
      <c r="G22" s="63">
        <v>14</v>
      </c>
      <c r="H22" s="64">
        <v>0.2</v>
      </c>
      <c r="I22" s="64">
        <v>0.8</v>
      </c>
      <c r="J22" s="64">
        <v>0.8</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2</v>
      </c>
      <c r="C23" s="41">
        <v>4</v>
      </c>
      <c r="D23" s="41">
        <v>4</v>
      </c>
      <c r="G23" s="63">
        <v>15</v>
      </c>
      <c r="H23" s="64">
        <v>0.2</v>
      </c>
      <c r="I23" s="64">
        <v>0.8</v>
      </c>
      <c r="J23" s="64">
        <v>0.8</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0</v>
      </c>
      <c r="C24" s="41">
        <v>2</v>
      </c>
      <c r="D24" s="41">
        <v>2</v>
      </c>
      <c r="G24" s="63">
        <v>16</v>
      </c>
      <c r="H24" s="64">
        <v>0.2</v>
      </c>
      <c r="I24" s="64">
        <v>0.8</v>
      </c>
      <c r="J24" s="64">
        <v>0.8</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2</v>
      </c>
      <c r="C25" s="41">
        <v>0</v>
      </c>
      <c r="D25" s="41">
        <v>0</v>
      </c>
      <c r="G25" s="63">
        <v>17</v>
      </c>
      <c r="H25" s="64">
        <v>0.5</v>
      </c>
      <c r="I25" s="64">
        <v>0.8</v>
      </c>
      <c r="J25" s="64">
        <v>0.8</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2</v>
      </c>
      <c r="C26" s="41">
        <v>2</v>
      </c>
      <c r="D26" s="41">
        <v>2</v>
      </c>
      <c r="G26" s="63">
        <v>18</v>
      </c>
      <c r="H26" s="64">
        <v>0.5</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6</v>
      </c>
      <c r="C27" s="41">
        <v>4</v>
      </c>
      <c r="D27" s="41">
        <v>4</v>
      </c>
      <c r="G27" s="63">
        <v>19</v>
      </c>
      <c r="H27" s="64">
        <v>0.5</v>
      </c>
      <c r="I27" s="64">
        <v>0.8</v>
      </c>
      <c r="J27" s="64">
        <v>0.8</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8</v>
      </c>
      <c r="C28" s="41">
        <v>6</v>
      </c>
      <c r="D28" s="41">
        <v>6</v>
      </c>
      <c r="G28" s="63">
        <v>20</v>
      </c>
      <c r="H28" s="64">
        <v>0.8</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63">
        <v>21</v>
      </c>
      <c r="H29" s="64">
        <v>0.8</v>
      </c>
      <c r="I29" s="64">
        <v>0.8</v>
      </c>
      <c r="J29" s="64">
        <v>0.8</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10</v>
      </c>
      <c r="C30" s="41">
        <v>10</v>
      </c>
      <c r="D30" s="41">
        <v>10</v>
      </c>
      <c r="G30" s="63">
        <v>22</v>
      </c>
      <c r="H30" s="64">
        <v>0.8</v>
      </c>
      <c r="I30" s="64">
        <v>0.8</v>
      </c>
      <c r="J30" s="64">
        <v>0.8</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4</v>
      </c>
      <c r="C31" s="41">
        <v>4</v>
      </c>
      <c r="D31" s="41">
        <v>4</v>
      </c>
      <c r="G31" s="63">
        <v>23</v>
      </c>
      <c r="H31" s="64">
        <v>1</v>
      </c>
      <c r="I31" s="64">
        <v>1</v>
      </c>
      <c r="J31" s="64">
        <v>1</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2</v>
      </c>
      <c r="C32" s="41">
        <v>2</v>
      </c>
      <c r="D32" s="41">
        <v>2</v>
      </c>
      <c r="G32" s="63">
        <v>24</v>
      </c>
      <c r="H32" s="64">
        <v>1</v>
      </c>
      <c r="I32" s="64">
        <v>1</v>
      </c>
      <c r="J32" s="64">
        <v>1</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6">
      <dataBar>
        <cfvo type="min"/>
        <cfvo type="max"/>
        <color rgb="FF63C384"/>
      </dataBar>
      <extLst>
        <ext xmlns:x14="http://schemas.microsoft.com/office/spreadsheetml/2009/9/main" uri="{B025F937-C7B1-47D3-B67F-A62EFF666E3E}">
          <x14:id>{251AC73B-00AB-4763-A641-D3A5ACDD72FC}</x14:id>
        </ext>
      </extLst>
    </cfRule>
  </conditionalFormatting>
  <conditionalFormatting sqref="H9:J32">
    <cfRule type="dataBar" priority="5">
      <dataBar>
        <cfvo type="min"/>
        <cfvo type="max"/>
        <color rgb="FF63C384"/>
      </dataBar>
      <extLst>
        <ext xmlns:x14="http://schemas.microsoft.com/office/spreadsheetml/2009/9/main" uri="{B025F937-C7B1-47D3-B67F-A62EFF666E3E}">
          <x14:id>{F74D36B0-03A7-4874-A02F-0DEBF645A0DB}</x14:id>
        </ext>
      </extLst>
    </cfRule>
  </conditionalFormatting>
  <conditionalFormatting sqref="L9:N32">
    <cfRule type="dataBar" priority="2">
      <dataBar>
        <cfvo type="min"/>
        <cfvo type="max"/>
        <color rgb="FF63C384"/>
      </dataBar>
      <extLst>
        <ext xmlns:x14="http://schemas.microsoft.com/office/spreadsheetml/2009/9/main" uri="{B025F937-C7B1-47D3-B67F-A62EFF666E3E}">
          <x14:id>{E5AD8B99-4B4F-4098-A8C5-695F1D7A97F0}</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{5ECD9C32-653F-414E-AB76-BD90BB2ED943}</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251AC73B-00AB-4763-A641-D3A5ACDD72FC}">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F74D36B0-03A7-4874-A02F-0DEBF645A0DB}">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E5AD8B99-4B4F-4098-A8C5-695F1D7A97F0}">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5ECD9C32-653F-414E-AB76-BD90BB2ED943}">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23437-0A2A-465D-A915-C7C28528DF39}">
  <sheetPr codeName="Foglio16"/>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82</v>
      </c>
    </row>
    <row r="2" spans="1:18">
      <c r="A2" s="36" t="s">
        <v>73</v>
      </c>
      <c r="B2" s="37"/>
      <c r="C2" s="37"/>
      <c r="D2" s="38" t="s">
        <v>83</v>
      </c>
    </row>
    <row r="3" spans="1:18">
      <c r="A3" s="36" t="s">
        <v>75</v>
      </c>
      <c r="B3" s="37"/>
      <c r="C3" s="37"/>
      <c r="D3" s="38" t="s">
        <v>76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1</v>
      </c>
      <c r="I9" s="64">
        <v>1</v>
      </c>
      <c r="J9" s="64">
        <v>1</v>
      </c>
      <c r="K9" s="61"/>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0</v>
      </c>
      <c r="C10" s="41">
        <v>0</v>
      </c>
      <c r="D10" s="41">
        <v>0</v>
      </c>
      <c r="G10" s="63">
        <v>2</v>
      </c>
      <c r="H10" s="64">
        <v>1</v>
      </c>
      <c r="I10" s="64">
        <v>1</v>
      </c>
      <c r="J10" s="64">
        <v>1</v>
      </c>
      <c r="K10" s="61"/>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0</v>
      </c>
      <c r="C11" s="41">
        <v>0</v>
      </c>
      <c r="D11" s="41">
        <v>0</v>
      </c>
      <c r="G11" s="63">
        <v>3</v>
      </c>
      <c r="H11" s="64">
        <v>1</v>
      </c>
      <c r="I11" s="64">
        <v>1</v>
      </c>
      <c r="J11" s="64">
        <v>1</v>
      </c>
      <c r="K11" s="61"/>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63">
        <v>4</v>
      </c>
      <c r="H12" s="64">
        <v>1</v>
      </c>
      <c r="I12" s="64">
        <v>1</v>
      </c>
      <c r="J12" s="64">
        <v>1</v>
      </c>
      <c r="K12" s="61"/>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2</v>
      </c>
      <c r="C13" s="41">
        <v>2</v>
      </c>
      <c r="D13" s="41">
        <v>2</v>
      </c>
      <c r="G13" s="63">
        <v>5</v>
      </c>
      <c r="H13" s="64">
        <v>1</v>
      </c>
      <c r="I13" s="64">
        <v>1</v>
      </c>
      <c r="J13" s="64">
        <v>1</v>
      </c>
      <c r="K13" s="61"/>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4</v>
      </c>
      <c r="C14" s="41">
        <v>4</v>
      </c>
      <c r="D14" s="41">
        <v>4</v>
      </c>
      <c r="G14" s="63">
        <v>6</v>
      </c>
      <c r="H14" s="64">
        <v>1</v>
      </c>
      <c r="I14" s="64">
        <v>1</v>
      </c>
      <c r="J14" s="64">
        <v>1</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10</v>
      </c>
      <c r="C15" s="41">
        <v>6</v>
      </c>
      <c r="D15" s="41">
        <v>6</v>
      </c>
      <c r="G15" s="63">
        <v>7</v>
      </c>
      <c r="H15" s="64">
        <v>0.5</v>
      </c>
      <c r="I15" s="64">
        <v>0.8</v>
      </c>
      <c r="J15" s="64">
        <v>0.8</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10</v>
      </c>
      <c r="C16" s="41">
        <v>10</v>
      </c>
      <c r="D16" s="41">
        <v>10</v>
      </c>
      <c r="G16" s="63">
        <v>8</v>
      </c>
      <c r="H16" s="64">
        <v>0.5</v>
      </c>
      <c r="I16" s="64">
        <v>0.8</v>
      </c>
      <c r="J16" s="64">
        <v>0.8</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8</v>
      </c>
      <c r="C17" s="41">
        <v>10</v>
      </c>
      <c r="D17" s="41">
        <v>10</v>
      </c>
      <c r="G17" s="63">
        <v>9</v>
      </c>
      <c r="H17" s="64">
        <v>0.5</v>
      </c>
      <c r="I17" s="64">
        <v>0.8</v>
      </c>
      <c r="J17" s="64">
        <v>0.8</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4</v>
      </c>
      <c r="C18" s="41">
        <v>6</v>
      </c>
      <c r="D18" s="41">
        <v>6</v>
      </c>
      <c r="G18" s="63">
        <v>10</v>
      </c>
      <c r="H18" s="64">
        <v>0.1</v>
      </c>
      <c r="I18" s="64">
        <v>0.8</v>
      </c>
      <c r="J18" s="64">
        <v>0.8</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2</v>
      </c>
      <c r="C19" s="41">
        <v>2</v>
      </c>
      <c r="D19" s="41">
        <v>2</v>
      </c>
      <c r="G19" s="63">
        <v>11</v>
      </c>
      <c r="H19" s="64">
        <v>0.1</v>
      </c>
      <c r="I19" s="64">
        <v>0.8</v>
      </c>
      <c r="J19" s="64">
        <v>0.8</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2</v>
      </c>
      <c r="C20" s="41">
        <v>2</v>
      </c>
      <c r="D20" s="41">
        <v>2</v>
      </c>
      <c r="G20" s="63">
        <v>12</v>
      </c>
      <c r="H20" s="64">
        <v>0.1</v>
      </c>
      <c r="I20" s="64">
        <v>0.8</v>
      </c>
      <c r="J20" s="64">
        <v>0.8</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4</v>
      </c>
      <c r="C21" s="41">
        <v>4</v>
      </c>
      <c r="D21" s="41">
        <v>4</v>
      </c>
      <c r="G21" s="63">
        <v>13</v>
      </c>
      <c r="H21" s="64">
        <v>0.1</v>
      </c>
      <c r="I21" s="64">
        <v>0.8</v>
      </c>
      <c r="J21" s="64">
        <v>0.8</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4</v>
      </c>
      <c r="C22" s="41">
        <v>4</v>
      </c>
      <c r="D22" s="41">
        <v>4</v>
      </c>
      <c r="G22" s="63">
        <v>14</v>
      </c>
      <c r="H22" s="64">
        <v>0.2</v>
      </c>
      <c r="I22" s="64">
        <v>0.8</v>
      </c>
      <c r="J22" s="64">
        <v>0.8</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2</v>
      </c>
      <c r="C23" s="41">
        <v>2</v>
      </c>
      <c r="D23" s="41">
        <v>2</v>
      </c>
      <c r="G23" s="63">
        <v>15</v>
      </c>
      <c r="H23" s="64">
        <v>0.2</v>
      </c>
      <c r="I23" s="64">
        <v>0.8</v>
      </c>
      <c r="J23" s="64">
        <v>0.8</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2</v>
      </c>
      <c r="C24" s="41">
        <v>2</v>
      </c>
      <c r="D24" s="41">
        <v>2</v>
      </c>
      <c r="G24" s="63">
        <v>16</v>
      </c>
      <c r="H24" s="64">
        <v>0.2</v>
      </c>
      <c r="I24" s="64">
        <v>0.8</v>
      </c>
      <c r="J24" s="64">
        <v>0.8</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2</v>
      </c>
      <c r="C25" s="41">
        <v>2</v>
      </c>
      <c r="D25" s="41">
        <v>2</v>
      </c>
      <c r="G25" s="63">
        <v>17</v>
      </c>
      <c r="H25" s="64">
        <v>0.5</v>
      </c>
      <c r="I25" s="64">
        <v>0.8</v>
      </c>
      <c r="J25" s="64">
        <v>0.8</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4</v>
      </c>
      <c r="C26" s="41">
        <v>4</v>
      </c>
      <c r="D26" s="41">
        <v>4</v>
      </c>
      <c r="G26" s="63">
        <v>18</v>
      </c>
      <c r="H26" s="64">
        <v>0.5</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6</v>
      </c>
      <c r="C27" s="41">
        <v>6</v>
      </c>
      <c r="D27" s="41">
        <v>6</v>
      </c>
      <c r="G27" s="63">
        <v>19</v>
      </c>
      <c r="H27" s="64">
        <v>0.5</v>
      </c>
      <c r="I27" s="64">
        <v>0.8</v>
      </c>
      <c r="J27" s="64">
        <v>0.8</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8</v>
      </c>
      <c r="C28" s="41">
        <v>8</v>
      </c>
      <c r="D28" s="41">
        <v>8</v>
      </c>
      <c r="G28" s="63">
        <v>20</v>
      </c>
      <c r="H28" s="64">
        <v>0.8</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63">
        <v>21</v>
      </c>
      <c r="H29" s="64">
        <v>0.8</v>
      </c>
      <c r="I29" s="64">
        <v>0.8</v>
      </c>
      <c r="J29" s="64">
        <v>0.8</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8</v>
      </c>
      <c r="C30" s="41">
        <v>8</v>
      </c>
      <c r="D30" s="41">
        <v>8</v>
      </c>
      <c r="G30" s="63">
        <v>22</v>
      </c>
      <c r="H30" s="64">
        <v>0.8</v>
      </c>
      <c r="I30" s="64">
        <v>0.8</v>
      </c>
      <c r="J30" s="64">
        <v>0.8</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6</v>
      </c>
      <c r="C31" s="41">
        <v>6</v>
      </c>
      <c r="D31" s="41">
        <v>6</v>
      </c>
      <c r="G31" s="63">
        <v>23</v>
      </c>
      <c r="H31" s="64">
        <v>1</v>
      </c>
      <c r="I31" s="64">
        <v>1</v>
      </c>
      <c r="J31" s="64">
        <v>1</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2</v>
      </c>
      <c r="C32" s="41">
        <v>2</v>
      </c>
      <c r="D32" s="41">
        <v>2</v>
      </c>
      <c r="G32" s="63">
        <v>24</v>
      </c>
      <c r="H32" s="64">
        <v>1</v>
      </c>
      <c r="I32" s="64">
        <v>1</v>
      </c>
      <c r="J32" s="64">
        <v>1</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{CBCC3B37-E91B-4186-A085-707571C532B7}</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{0CDC6B56-F0E9-4046-9747-B8B41D55A0D3}</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{4004D349-5A60-4760-B0F5-3A9639C0A4B8}</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{4164BE3F-9C48-4A8F-ABEA-8B5135D927ED}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CBCC3B37-E91B-4186-A085-707571C532B7}">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0CDC6B56-F0E9-4046-9747-B8B41D55A0D3}">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4004D349-5A60-4760-B0F5-3A9639C0A4B8}">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4164BE3F-9C48-4A8F-ABEA-8B5135D927ED}">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7937-E42B-4740-88D6-77C49096EA65}">
  <sheetPr codeName="Foglio17"/>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84</v>
      </c>
    </row>
    <row r="2" spans="1:18">
      <c r="A2" s="36" t="s">
        <v>73</v>
      </c>
      <c r="B2" s="37"/>
      <c r="C2" s="37"/>
      <c r="D2" s="38" t="s">
        <v>85</v>
      </c>
    </row>
    <row r="3" spans="1:18">
      <c r="A3" s="36" t="s">
        <v>75</v>
      </c>
      <c r="B3" s="37"/>
      <c r="C3" s="37"/>
      <c r="D3" s="38" t="s">
        <v>86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0.9</v>
      </c>
      <c r="I9" s="64">
        <v>0.9</v>
      </c>
      <c r="J9" s="64">
        <v>0.9</v>
      </c>
      <c r="K9" s="61"/>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0</v>
      </c>
      <c r="C10" s="41">
        <v>0</v>
      </c>
      <c r="D10" s="41">
        <v>0</v>
      </c>
      <c r="G10" s="63">
        <v>2</v>
      </c>
      <c r="H10" s="64">
        <v>0.9</v>
      </c>
      <c r="I10" s="64">
        <v>0.9</v>
      </c>
      <c r="J10" s="64">
        <v>0.9</v>
      </c>
      <c r="K10" s="61"/>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0</v>
      </c>
      <c r="C11" s="41">
        <v>0</v>
      </c>
      <c r="D11" s="41">
        <v>0</v>
      </c>
      <c r="G11" s="63">
        <v>3</v>
      </c>
      <c r="H11" s="64">
        <v>0.9</v>
      </c>
      <c r="I11" s="64">
        <v>0.9</v>
      </c>
      <c r="J11" s="64">
        <v>0.9</v>
      </c>
      <c r="K11" s="61"/>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63">
        <v>4</v>
      </c>
      <c r="H12" s="64">
        <v>0.9</v>
      </c>
      <c r="I12" s="64">
        <v>0.9</v>
      </c>
      <c r="J12" s="64">
        <v>0.9</v>
      </c>
      <c r="K12" s="61"/>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0</v>
      </c>
      <c r="C13" s="41">
        <v>0</v>
      </c>
      <c r="D13" s="41">
        <v>0</v>
      </c>
      <c r="G13" s="63">
        <v>5</v>
      </c>
      <c r="H13" s="64">
        <v>0.9</v>
      </c>
      <c r="I13" s="64">
        <v>0.9</v>
      </c>
      <c r="J13" s="64">
        <v>0.9</v>
      </c>
      <c r="K13" s="61"/>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2</v>
      </c>
      <c r="C14" s="41">
        <v>0</v>
      </c>
      <c r="D14" s="41">
        <v>0</v>
      </c>
      <c r="G14" s="63">
        <v>6</v>
      </c>
      <c r="H14" s="64">
        <v>1</v>
      </c>
      <c r="I14" s="64">
        <v>1</v>
      </c>
      <c r="J14" s="64">
        <v>1</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16</v>
      </c>
      <c r="C15" s="41">
        <v>2</v>
      </c>
      <c r="D15" s="41">
        <v>2</v>
      </c>
      <c r="G15" s="63">
        <v>7</v>
      </c>
      <c r="H15" s="64">
        <v>1</v>
      </c>
      <c r="I15" s="64">
        <v>1</v>
      </c>
      <c r="J15" s="64">
        <v>1</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20</v>
      </c>
      <c r="C16" s="41">
        <v>16</v>
      </c>
      <c r="D16" s="41">
        <v>16</v>
      </c>
      <c r="G16" s="63">
        <v>8</v>
      </c>
      <c r="H16" s="64">
        <v>1</v>
      </c>
      <c r="I16" s="64">
        <v>1</v>
      </c>
      <c r="J16" s="64">
        <v>1</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8</v>
      </c>
      <c r="C17" s="41">
        <v>20</v>
      </c>
      <c r="D17" s="41">
        <v>20</v>
      </c>
      <c r="G17" s="63">
        <v>9</v>
      </c>
      <c r="H17" s="64">
        <v>1</v>
      </c>
      <c r="I17" s="64">
        <v>1</v>
      </c>
      <c r="J17" s="64">
        <v>1</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2</v>
      </c>
      <c r="C18" s="41">
        <v>8</v>
      </c>
      <c r="D18" s="41">
        <v>8</v>
      </c>
      <c r="G18" s="63">
        <v>10</v>
      </c>
      <c r="H18" s="64">
        <v>1</v>
      </c>
      <c r="I18" s="64">
        <v>1</v>
      </c>
      <c r="J18" s="64">
        <v>1</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0</v>
      </c>
      <c r="C19" s="41">
        <v>2</v>
      </c>
      <c r="D19" s="41">
        <v>2</v>
      </c>
      <c r="G19" s="63">
        <v>11</v>
      </c>
      <c r="H19" s="64">
        <v>1</v>
      </c>
      <c r="I19" s="64">
        <v>1</v>
      </c>
      <c r="J19" s="64">
        <v>1</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0</v>
      </c>
      <c r="C20" s="41">
        <v>2</v>
      </c>
      <c r="D20" s="41">
        <v>2</v>
      </c>
      <c r="G20" s="63">
        <v>12</v>
      </c>
      <c r="H20" s="64">
        <v>1</v>
      </c>
      <c r="I20" s="64">
        <v>1</v>
      </c>
      <c r="J20" s="64">
        <v>1</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2</v>
      </c>
      <c r="C21" s="41">
        <v>4</v>
      </c>
      <c r="D21" s="41">
        <v>4</v>
      </c>
      <c r="G21" s="63">
        <v>13</v>
      </c>
      <c r="H21" s="64">
        <v>1</v>
      </c>
      <c r="I21" s="64">
        <v>1</v>
      </c>
      <c r="J21" s="64">
        <v>1</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4</v>
      </c>
      <c r="C22" s="41">
        <v>2</v>
      </c>
      <c r="D22" s="41">
        <v>2</v>
      </c>
      <c r="G22" s="63">
        <v>14</v>
      </c>
      <c r="H22" s="64">
        <v>1</v>
      </c>
      <c r="I22" s="64">
        <v>1</v>
      </c>
      <c r="J22" s="64">
        <v>1</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2</v>
      </c>
      <c r="C23" s="41">
        <v>4</v>
      </c>
      <c r="D23" s="41">
        <v>4</v>
      </c>
      <c r="G23" s="63">
        <v>15</v>
      </c>
      <c r="H23" s="64">
        <v>1</v>
      </c>
      <c r="I23" s="64">
        <v>1</v>
      </c>
      <c r="J23" s="64">
        <v>1</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0</v>
      </c>
      <c r="C24" s="41">
        <v>2</v>
      </c>
      <c r="D24" s="41">
        <v>2</v>
      </c>
      <c r="G24" s="63">
        <v>16</v>
      </c>
      <c r="H24" s="64">
        <v>1</v>
      </c>
      <c r="I24" s="64">
        <v>1</v>
      </c>
      <c r="J24" s="64">
        <v>1</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2</v>
      </c>
      <c r="C25" s="41">
        <v>0</v>
      </c>
      <c r="D25" s="41">
        <v>0</v>
      </c>
      <c r="G25" s="63">
        <v>17</v>
      </c>
      <c r="H25" s="64">
        <v>1</v>
      </c>
      <c r="I25" s="64">
        <v>1</v>
      </c>
      <c r="J25" s="64">
        <v>1</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2</v>
      </c>
      <c r="C26" s="41">
        <v>2</v>
      </c>
      <c r="D26" s="41">
        <v>2</v>
      </c>
      <c r="G26" s="63">
        <v>18</v>
      </c>
      <c r="H26" s="64">
        <v>1</v>
      </c>
      <c r="I26" s="64">
        <v>1</v>
      </c>
      <c r="J26" s="64">
        <v>1</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6</v>
      </c>
      <c r="C27" s="41">
        <v>4</v>
      </c>
      <c r="D27" s="41">
        <v>4</v>
      </c>
      <c r="G27" s="63">
        <v>19</v>
      </c>
      <c r="H27" s="64">
        <v>1</v>
      </c>
      <c r="I27" s="64">
        <v>1</v>
      </c>
      <c r="J27" s="64">
        <v>1</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8</v>
      </c>
      <c r="C28" s="41">
        <v>6</v>
      </c>
      <c r="D28" s="41">
        <v>6</v>
      </c>
      <c r="G28" s="63">
        <v>20</v>
      </c>
      <c r="H28" s="64">
        <v>1</v>
      </c>
      <c r="I28" s="64">
        <v>1</v>
      </c>
      <c r="J28" s="64">
        <v>1</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63">
        <v>21</v>
      </c>
      <c r="H29" s="64">
        <v>1</v>
      </c>
      <c r="I29" s="64">
        <v>1</v>
      </c>
      <c r="J29" s="64">
        <v>1</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10</v>
      </c>
      <c r="C30" s="41">
        <v>10</v>
      </c>
      <c r="D30" s="41">
        <v>10</v>
      </c>
      <c r="G30" s="63">
        <v>22</v>
      </c>
      <c r="H30" s="64">
        <v>0.9</v>
      </c>
      <c r="I30" s="64">
        <v>0.9</v>
      </c>
      <c r="J30" s="64">
        <v>0.9</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4</v>
      </c>
      <c r="C31" s="41">
        <v>4</v>
      </c>
      <c r="D31" s="41">
        <v>4</v>
      </c>
      <c r="G31" s="63">
        <v>23</v>
      </c>
      <c r="H31" s="64">
        <v>0.9</v>
      </c>
      <c r="I31" s="64">
        <v>0.9</v>
      </c>
      <c r="J31" s="64">
        <v>0.9</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2</v>
      </c>
      <c r="C32" s="41">
        <v>2</v>
      </c>
      <c r="D32" s="41">
        <v>2</v>
      </c>
      <c r="G32" s="63">
        <v>24</v>
      </c>
      <c r="H32" s="64">
        <v>0.9</v>
      </c>
      <c r="I32" s="64">
        <v>0.9</v>
      </c>
      <c r="J32" s="64">
        <v>0.9</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{954498F9-BF20-4BEC-9507-C0BE470315DE}</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{85BF4588-C47D-4E05-89EC-CBFBA1EB62B8}</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{61B41682-F11E-4BFA-B6E9-AB8439EA5F88}</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{3378E973-CB7B-4B04-A41F-4EAB6E29CEA2}</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54498F9-BF20-4BEC-9507-C0BE470315DE}">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85BF4588-C47D-4E05-89EC-CBFBA1EB62B8}">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61B41682-F11E-4BFA-B6E9-AB8439EA5F88}">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3378E973-CB7B-4B04-A41F-4EAB6E29CEA2}">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F73E-13FD-4B94-A426-8B180BC56136}">
  <sheetPr codeName="Foglio18"/>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87</v>
      </c>
    </row>
    <row r="2" spans="1:18">
      <c r="A2" s="36" t="s">
        <v>73</v>
      </c>
      <c r="B2" s="37"/>
      <c r="C2" s="37"/>
      <c r="D2" s="38" t="s">
        <v>88</v>
      </c>
    </row>
    <row r="3" spans="1:18">
      <c r="A3" s="36" t="s">
        <v>75</v>
      </c>
      <c r="B3" s="37"/>
      <c r="C3" s="37"/>
      <c r="D3" s="38" t="s">
        <v>76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1</v>
      </c>
      <c r="I9" s="64">
        <v>1</v>
      </c>
      <c r="J9" s="64">
        <v>1</v>
      </c>
      <c r="K9" s="61"/>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0</v>
      </c>
      <c r="C10" s="41">
        <v>0</v>
      </c>
      <c r="D10" s="41">
        <v>0</v>
      </c>
      <c r="G10" s="63">
        <v>2</v>
      </c>
      <c r="H10" s="64">
        <v>1</v>
      </c>
      <c r="I10" s="64">
        <v>1</v>
      </c>
      <c r="J10" s="64">
        <v>1</v>
      </c>
      <c r="K10" s="61"/>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0</v>
      </c>
      <c r="C11" s="41">
        <v>0</v>
      </c>
      <c r="D11" s="41">
        <v>0</v>
      </c>
      <c r="G11" s="63">
        <v>3</v>
      </c>
      <c r="H11" s="64">
        <v>1</v>
      </c>
      <c r="I11" s="64">
        <v>1</v>
      </c>
      <c r="J11" s="64">
        <v>1</v>
      </c>
      <c r="K11" s="61"/>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63">
        <v>4</v>
      </c>
      <c r="H12" s="64">
        <v>1</v>
      </c>
      <c r="I12" s="64">
        <v>1</v>
      </c>
      <c r="J12" s="64">
        <v>1</v>
      </c>
      <c r="K12" s="61"/>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2</v>
      </c>
      <c r="C13" s="41">
        <v>2</v>
      </c>
      <c r="D13" s="41">
        <v>2</v>
      </c>
      <c r="G13" s="63">
        <v>5</v>
      </c>
      <c r="H13" s="64">
        <v>1</v>
      </c>
      <c r="I13" s="64">
        <v>1</v>
      </c>
      <c r="J13" s="64">
        <v>1</v>
      </c>
      <c r="K13" s="61"/>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4</v>
      </c>
      <c r="C14" s="41">
        <v>4</v>
      </c>
      <c r="D14" s="41">
        <v>4</v>
      </c>
      <c r="G14" s="63">
        <v>6</v>
      </c>
      <c r="H14" s="64">
        <v>1</v>
      </c>
      <c r="I14" s="64">
        <v>1</v>
      </c>
      <c r="J14" s="64">
        <v>1</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10</v>
      </c>
      <c r="C15" s="41">
        <v>6</v>
      </c>
      <c r="D15" s="41">
        <v>6</v>
      </c>
      <c r="G15" s="63">
        <v>7</v>
      </c>
      <c r="H15" s="64">
        <v>0.5</v>
      </c>
      <c r="I15" s="64">
        <v>0.8</v>
      </c>
      <c r="J15" s="64">
        <v>0.8</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10</v>
      </c>
      <c r="C16" s="41">
        <v>10</v>
      </c>
      <c r="D16" s="41">
        <v>10</v>
      </c>
      <c r="G16" s="63">
        <v>8</v>
      </c>
      <c r="H16" s="64">
        <v>0.5</v>
      </c>
      <c r="I16" s="64">
        <v>0.8</v>
      </c>
      <c r="J16" s="64">
        <v>0.8</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8</v>
      </c>
      <c r="C17" s="41">
        <v>10</v>
      </c>
      <c r="D17" s="41">
        <v>10</v>
      </c>
      <c r="G17" s="63">
        <v>9</v>
      </c>
      <c r="H17" s="64">
        <v>0.5</v>
      </c>
      <c r="I17" s="64">
        <v>0.8</v>
      </c>
      <c r="J17" s="64">
        <v>0.8</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4</v>
      </c>
      <c r="C18" s="41">
        <v>6</v>
      </c>
      <c r="D18" s="41">
        <v>6</v>
      </c>
      <c r="G18" s="63">
        <v>10</v>
      </c>
      <c r="H18" s="64">
        <v>0.1</v>
      </c>
      <c r="I18" s="64">
        <v>0.8</v>
      </c>
      <c r="J18" s="64">
        <v>0.8</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2</v>
      </c>
      <c r="C19" s="41">
        <v>2</v>
      </c>
      <c r="D19" s="41">
        <v>2</v>
      </c>
      <c r="G19" s="63">
        <v>11</v>
      </c>
      <c r="H19" s="64">
        <v>0.1</v>
      </c>
      <c r="I19" s="64">
        <v>0.8</v>
      </c>
      <c r="J19" s="64">
        <v>0.8</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2</v>
      </c>
      <c r="C20" s="41">
        <v>2</v>
      </c>
      <c r="D20" s="41">
        <v>2</v>
      </c>
      <c r="G20" s="63">
        <v>12</v>
      </c>
      <c r="H20" s="64">
        <v>0.1</v>
      </c>
      <c r="I20" s="64">
        <v>0.8</v>
      </c>
      <c r="J20" s="64">
        <v>0.8</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4</v>
      </c>
      <c r="C21" s="41">
        <v>4</v>
      </c>
      <c r="D21" s="41">
        <v>4</v>
      </c>
      <c r="G21" s="63">
        <v>13</v>
      </c>
      <c r="H21" s="64">
        <v>0.1</v>
      </c>
      <c r="I21" s="64">
        <v>0.8</v>
      </c>
      <c r="J21" s="64">
        <v>0.8</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4</v>
      </c>
      <c r="C22" s="41">
        <v>4</v>
      </c>
      <c r="D22" s="41">
        <v>4</v>
      </c>
      <c r="G22" s="63">
        <v>14</v>
      </c>
      <c r="H22" s="64">
        <v>0.2</v>
      </c>
      <c r="I22" s="64">
        <v>0.8</v>
      </c>
      <c r="J22" s="64">
        <v>0.8</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2</v>
      </c>
      <c r="C23" s="41">
        <v>2</v>
      </c>
      <c r="D23" s="41">
        <v>2</v>
      </c>
      <c r="G23" s="63">
        <v>15</v>
      </c>
      <c r="H23" s="64">
        <v>0.2</v>
      </c>
      <c r="I23" s="64">
        <v>0.8</v>
      </c>
      <c r="J23" s="64">
        <v>0.8</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2</v>
      </c>
      <c r="C24" s="41">
        <v>2</v>
      </c>
      <c r="D24" s="41">
        <v>2</v>
      </c>
      <c r="G24" s="63">
        <v>16</v>
      </c>
      <c r="H24" s="64">
        <v>0.2</v>
      </c>
      <c r="I24" s="64">
        <v>0.8</v>
      </c>
      <c r="J24" s="64">
        <v>0.8</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2</v>
      </c>
      <c r="C25" s="41">
        <v>2</v>
      </c>
      <c r="D25" s="41">
        <v>2</v>
      </c>
      <c r="G25" s="63">
        <v>17</v>
      </c>
      <c r="H25" s="64">
        <v>0.5</v>
      </c>
      <c r="I25" s="64">
        <v>0.8</v>
      </c>
      <c r="J25" s="64">
        <v>0.8</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4</v>
      </c>
      <c r="C26" s="41">
        <v>4</v>
      </c>
      <c r="D26" s="41">
        <v>4</v>
      </c>
      <c r="G26" s="63">
        <v>18</v>
      </c>
      <c r="H26" s="64">
        <v>0.5</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6</v>
      </c>
      <c r="C27" s="41">
        <v>6</v>
      </c>
      <c r="D27" s="41">
        <v>6</v>
      </c>
      <c r="G27" s="63">
        <v>19</v>
      </c>
      <c r="H27" s="64">
        <v>0.5</v>
      </c>
      <c r="I27" s="64">
        <v>0.8</v>
      </c>
      <c r="J27" s="64">
        <v>0.8</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8</v>
      </c>
      <c r="C28" s="41">
        <v>8</v>
      </c>
      <c r="D28" s="41">
        <v>8</v>
      </c>
      <c r="G28" s="63">
        <v>20</v>
      </c>
      <c r="H28" s="64">
        <v>0.8</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63">
        <v>21</v>
      </c>
      <c r="H29" s="64">
        <v>0.8</v>
      </c>
      <c r="I29" s="64">
        <v>0.8</v>
      </c>
      <c r="J29" s="64">
        <v>0.8</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8</v>
      </c>
      <c r="C30" s="41">
        <v>8</v>
      </c>
      <c r="D30" s="41">
        <v>8</v>
      </c>
      <c r="G30" s="63">
        <v>22</v>
      </c>
      <c r="H30" s="64">
        <v>0.8</v>
      </c>
      <c r="I30" s="64">
        <v>0.8</v>
      </c>
      <c r="J30" s="64">
        <v>0.8</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6</v>
      </c>
      <c r="C31" s="41">
        <v>6</v>
      </c>
      <c r="D31" s="41">
        <v>6</v>
      </c>
      <c r="G31" s="63">
        <v>23</v>
      </c>
      <c r="H31" s="64">
        <v>1</v>
      </c>
      <c r="I31" s="64">
        <v>1</v>
      </c>
      <c r="J31" s="64">
        <v>1</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2</v>
      </c>
      <c r="C32" s="41">
        <v>2</v>
      </c>
      <c r="D32" s="41">
        <v>2</v>
      </c>
      <c r="G32" s="63">
        <v>24</v>
      </c>
      <c r="H32" s="64">
        <v>1</v>
      </c>
      <c r="I32" s="64">
        <v>1</v>
      </c>
      <c r="J32" s="64">
        <v>1</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{BBA7BCEA-1AEC-42E1-8BEA-31131AC1EBBB}</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{5E104220-73A3-4173-92A0-16E4AED553DB}</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{BEDECA2D-5F2C-4F1F-8230-E8A04E98220A}</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{6B3DE45D-3FF4-4221-9779-9A855F0FD28C}</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BBA7BCEA-1AEC-42E1-8BEA-31131AC1EBBB}">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5E104220-73A3-4173-92A0-16E4AED553DB}">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BEDECA2D-5F2C-4F1F-8230-E8A04E98220A}">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6B3DE45D-3FF4-4221-9779-9A855F0FD28C}">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E23DC-23DA-49E2-BFA7-80AC1E3E5CDB}">
  <sheetPr codeName="Foglio19"/>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89</v>
      </c>
    </row>
    <row r="2" spans="1:18">
      <c r="A2" s="36" t="s">
        <v>73</v>
      </c>
      <c r="B2" s="37"/>
      <c r="C2" s="37"/>
      <c r="D2" s="38" t="s">
        <v>90</v>
      </c>
    </row>
    <row r="3" spans="1:18">
      <c r="A3" s="36" t="s">
        <v>75</v>
      </c>
      <c r="B3" s="37"/>
      <c r="C3" s="37"/>
      <c r="D3" s="38" t="s">
        <v>76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1</v>
      </c>
      <c r="I9" s="64">
        <v>1</v>
      </c>
      <c r="J9" s="64">
        <v>1</v>
      </c>
      <c r="K9" s="61"/>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0</v>
      </c>
      <c r="C10" s="41">
        <v>0</v>
      </c>
      <c r="D10" s="41">
        <v>0</v>
      </c>
      <c r="G10" s="63">
        <v>2</v>
      </c>
      <c r="H10" s="64">
        <v>1</v>
      </c>
      <c r="I10" s="64">
        <v>1</v>
      </c>
      <c r="J10" s="64">
        <v>1</v>
      </c>
      <c r="K10" s="61"/>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0</v>
      </c>
      <c r="C11" s="41">
        <v>0</v>
      </c>
      <c r="D11" s="41">
        <v>0</v>
      </c>
      <c r="G11" s="63">
        <v>3</v>
      </c>
      <c r="H11" s="64">
        <v>1</v>
      </c>
      <c r="I11" s="64">
        <v>1</v>
      </c>
      <c r="J11" s="64">
        <v>1</v>
      </c>
      <c r="K11" s="61"/>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63">
        <v>4</v>
      </c>
      <c r="H12" s="64">
        <v>1</v>
      </c>
      <c r="I12" s="64">
        <v>1</v>
      </c>
      <c r="J12" s="64">
        <v>1</v>
      </c>
      <c r="K12" s="61"/>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0</v>
      </c>
      <c r="C13" s="41">
        <v>0</v>
      </c>
      <c r="D13" s="41">
        <v>0</v>
      </c>
      <c r="G13" s="63">
        <v>5</v>
      </c>
      <c r="H13" s="64">
        <v>1</v>
      </c>
      <c r="I13" s="64">
        <v>1</v>
      </c>
      <c r="J13" s="64">
        <v>1</v>
      </c>
      <c r="K13" s="61"/>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2</v>
      </c>
      <c r="C14" s="41">
        <v>0</v>
      </c>
      <c r="D14" s="41">
        <v>0</v>
      </c>
      <c r="G14" s="63">
        <v>6</v>
      </c>
      <c r="H14" s="64">
        <v>1</v>
      </c>
      <c r="I14" s="64">
        <v>1</v>
      </c>
      <c r="J14" s="64">
        <v>1</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16</v>
      </c>
      <c r="C15" s="41">
        <v>2</v>
      </c>
      <c r="D15" s="41">
        <v>2</v>
      </c>
      <c r="G15" s="63">
        <v>7</v>
      </c>
      <c r="H15" s="64">
        <v>0.5</v>
      </c>
      <c r="I15" s="64">
        <v>0.8</v>
      </c>
      <c r="J15" s="64">
        <v>0.8</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20</v>
      </c>
      <c r="C16" s="41">
        <v>16</v>
      </c>
      <c r="D16" s="41">
        <v>16</v>
      </c>
      <c r="G16" s="63">
        <v>8</v>
      </c>
      <c r="H16" s="64">
        <v>0.5</v>
      </c>
      <c r="I16" s="64">
        <v>0.8</v>
      </c>
      <c r="J16" s="64">
        <v>0.8</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8</v>
      </c>
      <c r="C17" s="41">
        <v>20</v>
      </c>
      <c r="D17" s="41">
        <v>20</v>
      </c>
      <c r="G17" s="63">
        <v>9</v>
      </c>
      <c r="H17" s="64">
        <v>0.5</v>
      </c>
      <c r="I17" s="64">
        <v>0.8</v>
      </c>
      <c r="J17" s="64">
        <v>0.8</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2</v>
      </c>
      <c r="C18" s="41">
        <v>8</v>
      </c>
      <c r="D18" s="41">
        <v>8</v>
      </c>
      <c r="G18" s="63">
        <v>10</v>
      </c>
      <c r="H18" s="64">
        <v>0.1</v>
      </c>
      <c r="I18" s="64">
        <v>0.8</v>
      </c>
      <c r="J18" s="64">
        <v>0.8</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0</v>
      </c>
      <c r="C19" s="41">
        <v>2</v>
      </c>
      <c r="D19" s="41">
        <v>2</v>
      </c>
      <c r="G19" s="63">
        <v>11</v>
      </c>
      <c r="H19" s="64">
        <v>0.1</v>
      </c>
      <c r="I19" s="64">
        <v>0.8</v>
      </c>
      <c r="J19" s="64">
        <v>0.8</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0</v>
      </c>
      <c r="C20" s="41">
        <v>2</v>
      </c>
      <c r="D20" s="41">
        <v>2</v>
      </c>
      <c r="G20" s="63">
        <v>12</v>
      </c>
      <c r="H20" s="64">
        <v>0.1</v>
      </c>
      <c r="I20" s="64">
        <v>0.8</v>
      </c>
      <c r="J20" s="64">
        <v>0.8</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2</v>
      </c>
      <c r="C21" s="41">
        <v>4</v>
      </c>
      <c r="D21" s="41">
        <v>4</v>
      </c>
      <c r="G21" s="63">
        <v>13</v>
      </c>
      <c r="H21" s="64">
        <v>0.1</v>
      </c>
      <c r="I21" s="64">
        <v>0.8</v>
      </c>
      <c r="J21" s="64">
        <v>0.8</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4</v>
      </c>
      <c r="C22" s="41">
        <v>2</v>
      </c>
      <c r="D22" s="41">
        <v>2</v>
      </c>
      <c r="G22" s="63">
        <v>14</v>
      </c>
      <c r="H22" s="64">
        <v>0.2</v>
      </c>
      <c r="I22" s="64">
        <v>0.8</v>
      </c>
      <c r="J22" s="64">
        <v>0.8</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2</v>
      </c>
      <c r="C23" s="41">
        <v>4</v>
      </c>
      <c r="D23" s="41">
        <v>4</v>
      </c>
      <c r="G23" s="63">
        <v>15</v>
      </c>
      <c r="H23" s="64">
        <v>0.2</v>
      </c>
      <c r="I23" s="64">
        <v>0.8</v>
      </c>
      <c r="J23" s="64">
        <v>0.8</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0</v>
      </c>
      <c r="C24" s="41">
        <v>2</v>
      </c>
      <c r="D24" s="41">
        <v>2</v>
      </c>
      <c r="G24" s="63">
        <v>16</v>
      </c>
      <c r="H24" s="64">
        <v>0.2</v>
      </c>
      <c r="I24" s="64">
        <v>0.8</v>
      </c>
      <c r="J24" s="64">
        <v>0.8</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2</v>
      </c>
      <c r="C25" s="41">
        <v>0</v>
      </c>
      <c r="D25" s="41">
        <v>0</v>
      </c>
      <c r="G25" s="63">
        <v>17</v>
      </c>
      <c r="H25" s="64">
        <v>0.5</v>
      </c>
      <c r="I25" s="64">
        <v>0.8</v>
      </c>
      <c r="J25" s="64">
        <v>0.8</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2</v>
      </c>
      <c r="C26" s="41">
        <v>2</v>
      </c>
      <c r="D26" s="41">
        <v>2</v>
      </c>
      <c r="G26" s="63">
        <v>18</v>
      </c>
      <c r="H26" s="64">
        <v>0.5</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6</v>
      </c>
      <c r="C27" s="41">
        <v>4</v>
      </c>
      <c r="D27" s="41">
        <v>4</v>
      </c>
      <c r="G27" s="63">
        <v>19</v>
      </c>
      <c r="H27" s="64">
        <v>0.5</v>
      </c>
      <c r="I27" s="64">
        <v>0.8</v>
      </c>
      <c r="J27" s="64">
        <v>0.8</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8</v>
      </c>
      <c r="C28" s="41">
        <v>6</v>
      </c>
      <c r="D28" s="41">
        <v>6</v>
      </c>
      <c r="G28" s="63">
        <v>20</v>
      </c>
      <c r="H28" s="64">
        <v>0.8</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63">
        <v>21</v>
      </c>
      <c r="H29" s="64">
        <v>0.8</v>
      </c>
      <c r="I29" s="64">
        <v>0.8</v>
      </c>
      <c r="J29" s="64">
        <v>0.8</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10</v>
      </c>
      <c r="C30" s="41">
        <v>10</v>
      </c>
      <c r="D30" s="41">
        <v>10</v>
      </c>
      <c r="G30" s="63">
        <v>22</v>
      </c>
      <c r="H30" s="64">
        <v>0.8</v>
      </c>
      <c r="I30" s="64">
        <v>0.8</v>
      </c>
      <c r="J30" s="64">
        <v>0.8</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4</v>
      </c>
      <c r="C31" s="41">
        <v>4</v>
      </c>
      <c r="D31" s="41">
        <v>4</v>
      </c>
      <c r="G31" s="63">
        <v>23</v>
      </c>
      <c r="H31" s="64">
        <v>1</v>
      </c>
      <c r="I31" s="64">
        <v>1</v>
      </c>
      <c r="J31" s="64">
        <v>1</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2</v>
      </c>
      <c r="C32" s="41">
        <v>2</v>
      </c>
      <c r="D32" s="41">
        <v>2</v>
      </c>
      <c r="G32" s="63">
        <v>24</v>
      </c>
      <c r="H32" s="64">
        <v>1</v>
      </c>
      <c r="I32" s="64">
        <v>1</v>
      </c>
      <c r="J32" s="64">
        <v>1</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{63544C6D-BDDD-4A94-B399-98D88397AFAF}</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{B257AA9A-6E81-475C-8645-7F73F30808D6}</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{BFBC5EB9-38C4-4CFF-8BA4-1FFBED54D5BA}</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{F49E290E-88F9-4ACC-983B-C0EE3F4F72ED}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63544C6D-BDDD-4A94-B399-98D88397AFAF}">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B257AA9A-6E81-475C-8645-7F73F30808D6}">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BFBC5EB9-38C4-4CFF-8BA4-1FFBED54D5BA}">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F49E290E-88F9-4ACC-983B-C0EE3F4F72ED}">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E3C8D-6348-4747-BC9C-8BEA3F7CD17F}">
  <sheetPr codeName="Foglio20"/>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91</v>
      </c>
    </row>
    <row r="2" spans="1:18">
      <c r="A2" s="36" t="s">
        <v>73</v>
      </c>
      <c r="B2" s="37"/>
      <c r="C2" s="37"/>
      <c r="D2" s="38" t="s">
        <v>92</v>
      </c>
    </row>
    <row r="3" spans="1:18">
      <c r="A3" s="36" t="s">
        <v>75</v>
      </c>
      <c r="B3" s="37"/>
      <c r="C3" s="37"/>
      <c r="D3" s="38" t="s">
        <v>93</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39" t="s">
        <v>81</v>
      </c>
      <c r="B8" s="808"/>
      <c r="C8" s="808"/>
      <c r="D8" s="809"/>
      <c r="G8" s="62" t="s">
        <v>81</v>
      </c>
      <c r="H8" s="811"/>
      <c r="I8" s="811"/>
      <c r="J8" s="812"/>
      <c r="K8" s="61"/>
    </row>
    <row r="9" spans="1:18">
      <c r="A9" s="40">
        <v>1</v>
      </c>
      <c r="B9" s="41">
        <v>0</v>
      </c>
      <c r="C9" s="41">
        <v>0</v>
      </c>
      <c r="D9" s="41">
        <v>0</v>
      </c>
      <c r="G9" s="63">
        <v>1</v>
      </c>
      <c r="H9" s="64">
        <v>1</v>
      </c>
      <c r="I9" s="64">
        <v>1</v>
      </c>
      <c r="J9" s="64">
        <v>1</v>
      </c>
      <c r="K9" s="61"/>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0</v>
      </c>
      <c r="C10" s="41">
        <v>0</v>
      </c>
      <c r="D10" s="41">
        <v>0</v>
      </c>
      <c r="G10" s="63">
        <v>2</v>
      </c>
      <c r="H10" s="64">
        <v>1</v>
      </c>
      <c r="I10" s="64">
        <v>1</v>
      </c>
      <c r="J10" s="64">
        <v>1</v>
      </c>
      <c r="K10" s="61"/>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0</v>
      </c>
      <c r="C11" s="41">
        <v>0</v>
      </c>
      <c r="D11" s="41">
        <v>0</v>
      </c>
      <c r="G11" s="63">
        <v>3</v>
      </c>
      <c r="H11" s="64">
        <v>1</v>
      </c>
      <c r="I11" s="64">
        <v>1</v>
      </c>
      <c r="J11" s="64">
        <v>1</v>
      </c>
      <c r="K11" s="61"/>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63">
        <v>4</v>
      </c>
      <c r="H12" s="64">
        <v>1</v>
      </c>
      <c r="I12" s="64">
        <v>1</v>
      </c>
      <c r="J12" s="64">
        <v>1</v>
      </c>
      <c r="K12" s="61"/>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2</v>
      </c>
      <c r="C13" s="41">
        <v>2</v>
      </c>
      <c r="D13" s="41">
        <v>2</v>
      </c>
      <c r="G13" s="63">
        <v>5</v>
      </c>
      <c r="H13" s="64">
        <v>1</v>
      </c>
      <c r="I13" s="64">
        <v>1</v>
      </c>
      <c r="J13" s="64">
        <v>1</v>
      </c>
      <c r="K13" s="61"/>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4</v>
      </c>
      <c r="C14" s="41">
        <v>4</v>
      </c>
      <c r="D14" s="41">
        <v>4</v>
      </c>
      <c r="G14" s="63">
        <v>6</v>
      </c>
      <c r="H14" s="64">
        <v>1</v>
      </c>
      <c r="I14" s="64">
        <v>1</v>
      </c>
      <c r="J14" s="64">
        <v>1</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10</v>
      </c>
      <c r="C15" s="41">
        <v>6</v>
      </c>
      <c r="D15" s="41">
        <v>6</v>
      </c>
      <c r="G15" s="63">
        <v>7</v>
      </c>
      <c r="H15" s="64">
        <v>0.5</v>
      </c>
      <c r="I15" s="64">
        <v>0.8</v>
      </c>
      <c r="J15" s="64">
        <v>0.8</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10</v>
      </c>
      <c r="C16" s="41">
        <v>10</v>
      </c>
      <c r="D16" s="41">
        <v>10</v>
      </c>
      <c r="G16" s="63">
        <v>8</v>
      </c>
      <c r="H16" s="64">
        <v>0.5</v>
      </c>
      <c r="I16" s="64">
        <v>0.8</v>
      </c>
      <c r="J16" s="64">
        <v>0.8</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8</v>
      </c>
      <c r="C17" s="41">
        <v>10</v>
      </c>
      <c r="D17" s="41">
        <v>10</v>
      </c>
      <c r="G17" s="63">
        <v>9</v>
      </c>
      <c r="H17" s="64">
        <v>0.5</v>
      </c>
      <c r="I17" s="64">
        <v>0.8</v>
      </c>
      <c r="J17" s="64">
        <v>0.8</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4</v>
      </c>
      <c r="C18" s="41">
        <v>6</v>
      </c>
      <c r="D18" s="41">
        <v>6</v>
      </c>
      <c r="G18" s="63">
        <v>10</v>
      </c>
      <c r="H18" s="64">
        <v>0.1</v>
      </c>
      <c r="I18" s="64">
        <v>0.8</v>
      </c>
      <c r="J18" s="64">
        <v>0.8</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2</v>
      </c>
      <c r="C19" s="41">
        <v>2</v>
      </c>
      <c r="D19" s="41">
        <v>2</v>
      </c>
      <c r="G19" s="63">
        <v>11</v>
      </c>
      <c r="H19" s="64">
        <v>0.1</v>
      </c>
      <c r="I19" s="64">
        <v>0.8</v>
      </c>
      <c r="J19" s="64">
        <v>0.8</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2</v>
      </c>
      <c r="C20" s="41">
        <v>2</v>
      </c>
      <c r="D20" s="41">
        <v>2</v>
      </c>
      <c r="G20" s="63">
        <v>12</v>
      </c>
      <c r="H20" s="64">
        <v>0.1</v>
      </c>
      <c r="I20" s="64">
        <v>0.8</v>
      </c>
      <c r="J20" s="64">
        <v>0.8</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4</v>
      </c>
      <c r="C21" s="41">
        <v>4</v>
      </c>
      <c r="D21" s="41">
        <v>4</v>
      </c>
      <c r="G21" s="63">
        <v>13</v>
      </c>
      <c r="H21" s="64">
        <v>0.1</v>
      </c>
      <c r="I21" s="64">
        <v>0.8</v>
      </c>
      <c r="J21" s="64">
        <v>0.8</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4</v>
      </c>
      <c r="C22" s="41">
        <v>4</v>
      </c>
      <c r="D22" s="41">
        <v>4</v>
      </c>
      <c r="G22" s="63">
        <v>14</v>
      </c>
      <c r="H22" s="64">
        <v>0.2</v>
      </c>
      <c r="I22" s="64">
        <v>0.8</v>
      </c>
      <c r="J22" s="64">
        <v>0.8</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2</v>
      </c>
      <c r="C23" s="41">
        <v>2</v>
      </c>
      <c r="D23" s="41">
        <v>2</v>
      </c>
      <c r="G23" s="63">
        <v>15</v>
      </c>
      <c r="H23" s="64">
        <v>0.2</v>
      </c>
      <c r="I23" s="64">
        <v>0.8</v>
      </c>
      <c r="J23" s="64">
        <v>0.8</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2</v>
      </c>
      <c r="C24" s="41">
        <v>2</v>
      </c>
      <c r="D24" s="41">
        <v>2</v>
      </c>
      <c r="G24" s="63">
        <v>16</v>
      </c>
      <c r="H24" s="64">
        <v>0.2</v>
      </c>
      <c r="I24" s="64">
        <v>0.8</v>
      </c>
      <c r="J24" s="64">
        <v>0.8</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2</v>
      </c>
      <c r="C25" s="41">
        <v>2</v>
      </c>
      <c r="D25" s="41">
        <v>2</v>
      </c>
      <c r="G25" s="63">
        <v>17</v>
      </c>
      <c r="H25" s="64">
        <v>0.5</v>
      </c>
      <c r="I25" s="64">
        <v>0.8</v>
      </c>
      <c r="J25" s="64">
        <v>0.8</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4</v>
      </c>
      <c r="C26" s="41">
        <v>4</v>
      </c>
      <c r="D26" s="41">
        <v>4</v>
      </c>
      <c r="G26" s="63">
        <v>18</v>
      </c>
      <c r="H26" s="64">
        <v>0.5</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6</v>
      </c>
      <c r="C27" s="41">
        <v>6</v>
      </c>
      <c r="D27" s="41">
        <v>6</v>
      </c>
      <c r="G27" s="63">
        <v>19</v>
      </c>
      <c r="H27" s="64">
        <v>0.5</v>
      </c>
      <c r="I27" s="64">
        <v>0.8</v>
      </c>
      <c r="J27" s="64">
        <v>0.8</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8</v>
      </c>
      <c r="C28" s="41">
        <v>8</v>
      </c>
      <c r="D28" s="41">
        <v>8</v>
      </c>
      <c r="G28" s="63">
        <v>20</v>
      </c>
      <c r="H28" s="64">
        <v>0.8</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63">
        <v>21</v>
      </c>
      <c r="H29" s="64">
        <v>0.8</v>
      </c>
      <c r="I29" s="64">
        <v>0.8</v>
      </c>
      <c r="J29" s="64">
        <v>0.8</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8</v>
      </c>
      <c r="C30" s="41">
        <v>8</v>
      </c>
      <c r="D30" s="41">
        <v>8</v>
      </c>
      <c r="G30" s="63">
        <v>22</v>
      </c>
      <c r="H30" s="64">
        <v>0.8</v>
      </c>
      <c r="I30" s="64">
        <v>0.8</v>
      </c>
      <c r="J30" s="64">
        <v>0.8</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6</v>
      </c>
      <c r="C31" s="41">
        <v>6</v>
      </c>
      <c r="D31" s="41">
        <v>6</v>
      </c>
      <c r="G31" s="63">
        <v>23</v>
      </c>
      <c r="H31" s="64">
        <v>1</v>
      </c>
      <c r="I31" s="64">
        <v>1</v>
      </c>
      <c r="J31" s="64">
        <v>1</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2</v>
      </c>
      <c r="C32" s="41">
        <v>2</v>
      </c>
      <c r="D32" s="41">
        <v>2</v>
      </c>
      <c r="G32" s="63">
        <v>24</v>
      </c>
      <c r="H32" s="64">
        <v>1</v>
      </c>
      <c r="I32" s="64">
        <v>1</v>
      </c>
      <c r="J32" s="64">
        <v>1</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{E729B30D-1AB2-4288-8E00-A7CB003B783D}</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{B8DCC9DB-3D65-44B4-A427-ACC89CB34875}</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{C3F7B151-A381-4CDB-8507-E4CEA772DAFB}</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{5E2C8FF8-D269-4729-87AD-70DBA5A8E85F}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E729B30D-1AB2-4288-8E00-A7CB003B783D}">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B8DCC9DB-3D65-44B4-A427-ACC89CB34875}">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C3F7B151-A381-4CDB-8507-E4CEA772DAFB}">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5E2C8FF8-D269-4729-87AD-70DBA5A8E85F}">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D0D3-A505-4B6A-8022-C8AAC15EA278}">
  <sheetPr codeName="Foglio21"/>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94</v>
      </c>
    </row>
    <row r="2" spans="1:18">
      <c r="A2" s="36" t="s">
        <v>73</v>
      </c>
      <c r="B2" s="37"/>
      <c r="C2" s="37"/>
      <c r="D2" s="38" t="s">
        <v>95</v>
      </c>
    </row>
    <row r="3" spans="1:18">
      <c r="A3" s="36" t="s">
        <v>75</v>
      </c>
      <c r="B3" s="37"/>
      <c r="C3" s="37"/>
      <c r="D3" s="38" t="s">
        <v>96</v>
      </c>
    </row>
    <row r="4" spans="1:18">
      <c r="A4" s="36" t="s">
        <v>97</v>
      </c>
      <c r="B4" s="37"/>
      <c r="C4" s="37"/>
      <c r="D4" s="38" t="s">
        <v>98</v>
      </c>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1</v>
      </c>
      <c r="Q12" s="64">
        <f ca="1">IF(SUM(M12:INDIRECT(ADDRESS(ROW(M12)+$Q$7,COLUMN(M12),1,1)))&gt;0,1,0)</f>
        <v>0</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1</v>
      </c>
      <c r="Q13" s="64">
        <f ca="1">IF(SUM(M13:INDIRECT(ADDRESS(ROW(M13)+$Q$7,COLUMN(M13),1,1)))&gt;0,1,0)</f>
        <v>0</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1</v>
      </c>
      <c r="Q14" s="64">
        <f ca="1">IF(SUM(M14:INDIRECT(ADDRESS(ROW(M14)+$Q$7,COLUMN(M14),1,1)))&gt;0,1,0)</f>
        <v>0</v>
      </c>
      <c r="R14" s="64">
        <f ca="1">IF(SUM(N14:INDIRECT(ADDRESS(ROW(N14)+$Q$7,COLUMN(N14),1,1)))&gt;0,1,0)</f>
        <v>0</v>
      </c>
    </row>
    <row r="15" spans="1:18">
      <c r="A15" s="40">
        <v>7</v>
      </c>
      <c r="B15" s="41">
        <v>5</v>
      </c>
      <c r="C15" s="41">
        <v>0</v>
      </c>
      <c r="D15" s="41">
        <v>0</v>
      </c>
      <c r="G15" s="63">
        <v>7</v>
      </c>
      <c r="H15" s="64">
        <v>0.1</v>
      </c>
      <c r="I15" s="64">
        <v>0</v>
      </c>
      <c r="J15" s="64">
        <v>0</v>
      </c>
      <c r="K15" s="61"/>
      <c r="L15" s="64">
        <f t="shared" si="1"/>
        <v>1</v>
      </c>
      <c r="M15" s="64">
        <f t="shared" si="0"/>
        <v>0</v>
      </c>
      <c r="N15" s="64">
        <f t="shared" si="0"/>
        <v>0</v>
      </c>
      <c r="O15" s="72"/>
      <c r="P15" s="64">
        <f ca="1">IF(SUM(L15:INDIRECT(ADDRESS(ROW(L15)+$Q$7,COLUMN(L15),1,1)))&gt;0,1,0)</f>
        <v>1</v>
      </c>
      <c r="Q15" s="64">
        <f ca="1">IF(SUM(M15:INDIRECT(ADDRESS(ROW(M15)+$Q$7,COLUMN(M15),1,1)))&gt;0,1,0)</f>
        <v>0</v>
      </c>
      <c r="R15" s="64">
        <f ca="1">IF(SUM(N15:INDIRECT(ADDRESS(ROW(N15)+$Q$7,COLUMN(N15),1,1)))&gt;0,1,0)</f>
        <v>0</v>
      </c>
    </row>
    <row r="16" spans="1:18">
      <c r="A16" s="40">
        <v>8</v>
      </c>
      <c r="B16" s="41">
        <v>10</v>
      </c>
      <c r="C16" s="41">
        <v>0</v>
      </c>
      <c r="D16" s="41">
        <v>0</v>
      </c>
      <c r="G16" s="63">
        <v>8</v>
      </c>
      <c r="H16" s="64">
        <v>1</v>
      </c>
      <c r="I16" s="64">
        <v>0</v>
      </c>
      <c r="J16" s="64">
        <v>0</v>
      </c>
      <c r="K16" s="61"/>
      <c r="L16" s="64">
        <f t="shared" si="1"/>
        <v>1</v>
      </c>
      <c r="M16" s="64">
        <f t="shared" si="0"/>
        <v>0</v>
      </c>
      <c r="N16" s="64">
        <f t="shared" si="0"/>
        <v>0</v>
      </c>
      <c r="O16" s="72"/>
      <c r="P16" s="64">
        <f ca="1">IF(SUM(L16:INDIRECT(ADDRESS(ROW(L16)+$Q$7,COLUMN(L16),1,1)))&gt;0,1,0)</f>
        <v>1</v>
      </c>
      <c r="Q16" s="64">
        <f ca="1">IF(SUM(M16:INDIRECT(ADDRESS(ROW(M16)+$Q$7,COLUMN(M16),1,1)))&gt;0,1,0)</f>
        <v>0</v>
      </c>
      <c r="R16" s="64">
        <f ca="1">IF(SUM(N16:INDIRECT(ADDRESS(ROW(N16)+$Q$7,COLUMN(N16),1,1)))&gt;0,1,0)</f>
        <v>0</v>
      </c>
    </row>
    <row r="17" spans="1:18">
      <c r="A17" s="40">
        <v>9</v>
      </c>
      <c r="B17" s="41">
        <v>10</v>
      </c>
      <c r="C17" s="41">
        <v>0</v>
      </c>
      <c r="D17" s="41">
        <v>0</v>
      </c>
      <c r="G17" s="63">
        <v>9</v>
      </c>
      <c r="H17" s="64">
        <v>1</v>
      </c>
      <c r="I17" s="64">
        <v>0</v>
      </c>
      <c r="J17" s="64">
        <v>0</v>
      </c>
      <c r="K17" s="61"/>
      <c r="L17" s="64">
        <f t="shared" si="1"/>
        <v>1</v>
      </c>
      <c r="M17" s="64">
        <f t="shared" si="0"/>
        <v>0</v>
      </c>
      <c r="N17" s="64">
        <f t="shared" si="0"/>
        <v>0</v>
      </c>
      <c r="O17" s="72"/>
      <c r="P17" s="64">
        <f ca="1">IF(SUM(L17:INDIRECT(ADDRESS(ROW(L17)+$Q$7,COLUMN(L17),1,1)))&gt;0,1,0)</f>
        <v>1</v>
      </c>
      <c r="Q17" s="64">
        <f ca="1">IF(SUM(M17:INDIRECT(ADDRESS(ROW(M17)+$Q$7,COLUMN(M17),1,1)))&gt;0,1,0)</f>
        <v>0</v>
      </c>
      <c r="R17" s="64">
        <f ca="1">IF(SUM(N17:INDIRECT(ADDRESS(ROW(N17)+$Q$7,COLUMN(N17),1,1)))&gt;0,1,0)</f>
        <v>0</v>
      </c>
    </row>
    <row r="18" spans="1:18">
      <c r="A18" s="40">
        <v>10</v>
      </c>
      <c r="B18" s="41">
        <v>5</v>
      </c>
      <c r="C18" s="41">
        <v>0</v>
      </c>
      <c r="D18" s="41">
        <v>0</v>
      </c>
      <c r="G18" s="63">
        <v>10</v>
      </c>
      <c r="H18" s="64">
        <v>1</v>
      </c>
      <c r="I18" s="64">
        <v>0</v>
      </c>
      <c r="J18" s="64">
        <v>0</v>
      </c>
      <c r="K18" s="61"/>
      <c r="L18" s="64">
        <f t="shared" si="1"/>
        <v>1</v>
      </c>
      <c r="M18" s="64">
        <f t="shared" si="0"/>
        <v>0</v>
      </c>
      <c r="N18" s="64">
        <f t="shared" si="0"/>
        <v>0</v>
      </c>
      <c r="O18" s="72"/>
      <c r="P18" s="64">
        <f ca="1">IF(SUM(L18:INDIRECT(ADDRESS(ROW(L18)+$Q$7,COLUMN(L18),1,1)))&gt;0,1,0)</f>
        <v>1</v>
      </c>
      <c r="Q18" s="64">
        <f ca="1">IF(SUM(M18:INDIRECT(ADDRESS(ROW(M18)+$Q$7,COLUMN(M18),1,1)))&gt;0,1,0)</f>
        <v>0</v>
      </c>
      <c r="R18" s="64">
        <f ca="1">IF(SUM(N18:INDIRECT(ADDRESS(ROW(N18)+$Q$7,COLUMN(N18),1,1)))&gt;0,1,0)</f>
        <v>0</v>
      </c>
    </row>
    <row r="19" spans="1:18">
      <c r="A19" s="40">
        <v>11</v>
      </c>
      <c r="B19" s="41">
        <v>5</v>
      </c>
      <c r="C19" s="41">
        <v>0</v>
      </c>
      <c r="D19" s="41">
        <v>0</v>
      </c>
      <c r="G19" s="63">
        <v>11</v>
      </c>
      <c r="H19" s="64">
        <v>1</v>
      </c>
      <c r="I19" s="64">
        <v>0</v>
      </c>
      <c r="J19" s="64">
        <v>0</v>
      </c>
      <c r="K19" s="61"/>
      <c r="L19" s="64">
        <f t="shared" si="1"/>
        <v>1</v>
      </c>
      <c r="M19" s="64">
        <f t="shared" si="0"/>
        <v>0</v>
      </c>
      <c r="N19" s="64">
        <f t="shared" si="0"/>
        <v>0</v>
      </c>
      <c r="O19" s="72"/>
      <c r="P19" s="64">
        <f ca="1">IF(SUM(L19:INDIRECT(ADDRESS(ROW(L19)+$Q$7,COLUMN(L19),1,1)))&gt;0,1,0)</f>
        <v>1</v>
      </c>
      <c r="Q19" s="64">
        <f ca="1">IF(SUM(M19:INDIRECT(ADDRESS(ROW(M19)+$Q$7,COLUMN(M19),1,1)))&gt;0,1,0)</f>
        <v>0</v>
      </c>
      <c r="R19" s="64">
        <f ca="1">IF(SUM(N19:INDIRECT(ADDRESS(ROW(N19)+$Q$7,COLUMN(N19),1,1)))&gt;0,1,0)</f>
        <v>0</v>
      </c>
    </row>
    <row r="20" spans="1:18">
      <c r="A20" s="40">
        <v>12</v>
      </c>
      <c r="B20" s="41">
        <v>10</v>
      </c>
      <c r="C20" s="41">
        <v>0</v>
      </c>
      <c r="D20" s="41">
        <v>0</v>
      </c>
      <c r="G20" s="63">
        <v>12</v>
      </c>
      <c r="H20" s="64">
        <v>1</v>
      </c>
      <c r="I20" s="64">
        <v>0</v>
      </c>
      <c r="J20" s="64">
        <v>0</v>
      </c>
      <c r="K20" s="61"/>
      <c r="L20" s="64">
        <f t="shared" si="1"/>
        <v>1</v>
      </c>
      <c r="M20" s="64">
        <f t="shared" si="0"/>
        <v>0</v>
      </c>
      <c r="N20" s="64">
        <f t="shared" si="0"/>
        <v>0</v>
      </c>
      <c r="O20" s="72"/>
      <c r="P20" s="64">
        <f ca="1">IF(SUM(L20:INDIRECT(ADDRESS(ROW(L20)+$Q$7,COLUMN(L20),1,1)))&gt;0,1,0)</f>
        <v>1</v>
      </c>
      <c r="Q20" s="64">
        <f ca="1">IF(SUM(M20:INDIRECT(ADDRESS(ROW(M20)+$Q$7,COLUMN(M20),1,1)))&gt;0,1,0)</f>
        <v>0</v>
      </c>
      <c r="R20" s="64">
        <f ca="1">IF(SUM(N20:INDIRECT(ADDRESS(ROW(N20)+$Q$7,COLUMN(N20),1,1)))&gt;0,1,0)</f>
        <v>0</v>
      </c>
    </row>
    <row r="21" spans="1:18">
      <c r="A21" s="40">
        <v>13</v>
      </c>
      <c r="B21" s="41">
        <v>15</v>
      </c>
      <c r="C21" s="41">
        <v>0</v>
      </c>
      <c r="D21" s="41">
        <v>0</v>
      </c>
      <c r="G21" s="63">
        <v>13</v>
      </c>
      <c r="H21" s="64">
        <v>0.8</v>
      </c>
      <c r="I21" s="64">
        <v>0</v>
      </c>
      <c r="J21" s="64">
        <v>0</v>
      </c>
      <c r="K21" s="61"/>
      <c r="L21" s="64">
        <f t="shared" si="1"/>
        <v>1</v>
      </c>
      <c r="M21" s="64">
        <f t="shared" si="0"/>
        <v>0</v>
      </c>
      <c r="N21" s="64">
        <f t="shared" si="0"/>
        <v>0</v>
      </c>
      <c r="O21" s="72"/>
      <c r="P21" s="64">
        <f ca="1">IF(SUM(L21:INDIRECT(ADDRESS(ROW(L21)+$Q$7,COLUMN(L21),1,1)))&gt;0,1,0)</f>
        <v>1</v>
      </c>
      <c r="Q21" s="64">
        <f ca="1">IF(SUM(M21:INDIRECT(ADDRESS(ROW(M21)+$Q$7,COLUMN(M21),1,1)))&gt;0,1,0)</f>
        <v>0</v>
      </c>
      <c r="R21" s="64">
        <f ca="1">IF(SUM(N21:INDIRECT(ADDRESS(ROW(N21)+$Q$7,COLUMN(N21),1,1)))&gt;0,1,0)</f>
        <v>0</v>
      </c>
    </row>
    <row r="22" spans="1:18">
      <c r="A22" s="40">
        <v>14</v>
      </c>
      <c r="B22" s="41">
        <v>10</v>
      </c>
      <c r="C22" s="41">
        <v>0</v>
      </c>
      <c r="D22" s="41">
        <v>0</v>
      </c>
      <c r="G22" s="63">
        <v>14</v>
      </c>
      <c r="H22" s="64">
        <v>1</v>
      </c>
      <c r="I22" s="64">
        <v>0</v>
      </c>
      <c r="J22" s="64">
        <v>0</v>
      </c>
      <c r="K22" s="61"/>
      <c r="L22" s="64">
        <f t="shared" si="1"/>
        <v>1</v>
      </c>
      <c r="M22" s="64">
        <f t="shared" si="0"/>
        <v>0</v>
      </c>
      <c r="N22" s="64">
        <f t="shared" si="0"/>
        <v>0</v>
      </c>
      <c r="O22" s="72"/>
      <c r="P22" s="64">
        <f ca="1">IF(SUM(L22:INDIRECT(ADDRESS(ROW(L22)+$Q$7,COLUMN(L22),1,1)))&gt;0,1,0)</f>
        <v>1</v>
      </c>
      <c r="Q22" s="64">
        <f ca="1">IF(SUM(M22:INDIRECT(ADDRESS(ROW(M22)+$Q$7,COLUMN(M22),1,1)))&gt;0,1,0)</f>
        <v>0</v>
      </c>
      <c r="R22" s="64">
        <f ca="1">IF(SUM(N22:INDIRECT(ADDRESS(ROW(N22)+$Q$7,COLUMN(N22),1,1)))&gt;0,1,0)</f>
        <v>0</v>
      </c>
    </row>
    <row r="23" spans="1:18">
      <c r="A23" s="40">
        <v>15</v>
      </c>
      <c r="B23" s="41">
        <v>5</v>
      </c>
      <c r="C23" s="41">
        <v>0</v>
      </c>
      <c r="D23" s="41">
        <v>0</v>
      </c>
      <c r="G23" s="63">
        <v>15</v>
      </c>
      <c r="H23" s="64">
        <v>1</v>
      </c>
      <c r="I23" s="64">
        <v>0</v>
      </c>
      <c r="J23" s="64">
        <v>0</v>
      </c>
      <c r="K23" s="61"/>
      <c r="L23" s="64">
        <f t="shared" si="1"/>
        <v>1</v>
      </c>
      <c r="M23" s="64">
        <f t="shared" si="0"/>
        <v>0</v>
      </c>
      <c r="N23" s="64">
        <f t="shared" si="0"/>
        <v>0</v>
      </c>
      <c r="O23" s="72"/>
      <c r="P23" s="64">
        <f ca="1">IF(SUM(L23:INDIRECT(ADDRESS(ROW(L23)+$Q$7,COLUMN(L23),1,1)))&gt;0,1,0)</f>
        <v>1</v>
      </c>
      <c r="Q23" s="64">
        <f ca="1">IF(SUM(M23:INDIRECT(ADDRESS(ROW(M23)+$Q$7,COLUMN(M23),1,1)))&gt;0,1,0)</f>
        <v>0</v>
      </c>
      <c r="R23" s="64">
        <f ca="1">IF(SUM(N23:INDIRECT(ADDRESS(ROW(N23)+$Q$7,COLUMN(N23),1,1)))&gt;0,1,0)</f>
        <v>0</v>
      </c>
    </row>
    <row r="24" spans="1:18">
      <c r="A24" s="40">
        <v>16</v>
      </c>
      <c r="B24" s="41">
        <v>10</v>
      </c>
      <c r="C24" s="41">
        <v>0</v>
      </c>
      <c r="D24" s="41">
        <v>0</v>
      </c>
      <c r="G24" s="63">
        <v>16</v>
      </c>
      <c r="H24" s="64">
        <v>1</v>
      </c>
      <c r="I24" s="64">
        <v>0</v>
      </c>
      <c r="J24" s="64">
        <v>0</v>
      </c>
      <c r="K24" s="61"/>
      <c r="L24" s="64">
        <f t="shared" si="1"/>
        <v>1</v>
      </c>
      <c r="M24" s="64">
        <f t="shared" si="0"/>
        <v>0</v>
      </c>
      <c r="N24" s="64">
        <f t="shared" si="0"/>
        <v>0</v>
      </c>
      <c r="O24" s="72"/>
      <c r="P24" s="64">
        <f ca="1">IF(SUM(L24:INDIRECT(ADDRESS(ROW(L24)+$Q$7,COLUMN(L24),1,1)))&gt;0,1,0)</f>
        <v>1</v>
      </c>
      <c r="Q24" s="64">
        <f ca="1">IF(SUM(M24:INDIRECT(ADDRESS(ROW(M24)+$Q$7,COLUMN(M24),1,1)))&gt;0,1,0)</f>
        <v>0</v>
      </c>
      <c r="R24" s="64">
        <f ca="1">IF(SUM(N24:INDIRECT(ADDRESS(ROW(N24)+$Q$7,COLUMN(N24),1,1)))&gt;0,1,0)</f>
        <v>0</v>
      </c>
    </row>
    <row r="25" spans="1:18">
      <c r="A25" s="40">
        <v>17</v>
      </c>
      <c r="B25" s="41">
        <v>10</v>
      </c>
      <c r="C25" s="41">
        <v>0</v>
      </c>
      <c r="D25" s="41">
        <v>0</v>
      </c>
      <c r="G25" s="63">
        <v>17</v>
      </c>
      <c r="H25" s="64">
        <v>1</v>
      </c>
      <c r="I25" s="64">
        <v>0</v>
      </c>
      <c r="J25" s="64">
        <v>0</v>
      </c>
      <c r="K25" s="61"/>
      <c r="L25" s="64">
        <f t="shared" si="1"/>
        <v>1</v>
      </c>
      <c r="M25" s="64">
        <f t="shared" si="0"/>
        <v>0</v>
      </c>
      <c r="N25" s="64">
        <f t="shared" si="0"/>
        <v>0</v>
      </c>
      <c r="O25" s="72"/>
      <c r="P25" s="64">
        <f ca="1">IF(SUM(L25:INDIRECT(ADDRESS(ROW(L25)+$Q$7,COLUMN(L25),1,1)))&gt;0,1,0)</f>
        <v>1</v>
      </c>
      <c r="Q25" s="64">
        <f ca="1">IF(SUM(M25:INDIRECT(ADDRESS(ROW(M25)+$Q$7,COLUMN(M25),1,1)))&gt;0,1,0)</f>
        <v>0</v>
      </c>
      <c r="R25" s="64">
        <f ca="1">IF(SUM(N25:INDIRECT(ADDRESS(ROW(N25)+$Q$7,COLUMN(N25),1,1)))&gt;0,1,0)</f>
        <v>0</v>
      </c>
    </row>
    <row r="26" spans="1:18">
      <c r="A26" s="40">
        <v>18</v>
      </c>
      <c r="B26" s="41">
        <v>5</v>
      </c>
      <c r="C26" s="41">
        <v>0</v>
      </c>
      <c r="D26" s="41">
        <v>0</v>
      </c>
      <c r="G26" s="63">
        <v>18</v>
      </c>
      <c r="H26" s="64">
        <v>1</v>
      </c>
      <c r="I26" s="64">
        <v>0</v>
      </c>
      <c r="J26" s="64">
        <v>0</v>
      </c>
      <c r="K26" s="61"/>
      <c r="L26" s="64">
        <f t="shared" si="1"/>
        <v>1</v>
      </c>
      <c r="M26" s="64">
        <f t="shared" si="0"/>
        <v>0</v>
      </c>
      <c r="N26" s="64">
        <f t="shared" si="0"/>
        <v>0</v>
      </c>
      <c r="O26" s="72"/>
      <c r="P26" s="64">
        <f ca="1">IF(SUM(L26:INDIRECT(ADDRESS(ROW(L26)+$Q$7,COLUMN(L26),1,1)))&gt;0,1,0)</f>
        <v>1</v>
      </c>
      <c r="Q26" s="64">
        <f ca="1">IF(SUM(M26:INDIRECT(ADDRESS(ROW(M26)+$Q$7,COLUMN(M26),1,1)))&gt;0,1,0)</f>
        <v>0</v>
      </c>
      <c r="R26" s="64">
        <f ca="1">IF(SUM(N26:INDIRECT(ADDRESS(ROW(N26)+$Q$7,COLUMN(N26),1,1)))&gt;0,1,0)</f>
        <v>0</v>
      </c>
    </row>
    <row r="27" spans="1:18">
      <c r="A27" s="40">
        <v>19</v>
      </c>
      <c r="B27" s="41">
        <v>0</v>
      </c>
      <c r="C27" s="41">
        <v>0</v>
      </c>
      <c r="D27" s="41">
        <v>0</v>
      </c>
      <c r="G27" s="63">
        <v>19</v>
      </c>
      <c r="H27" s="64">
        <v>0.3</v>
      </c>
      <c r="I27" s="64">
        <v>0</v>
      </c>
      <c r="J27" s="64">
        <v>0</v>
      </c>
      <c r="K27" s="61"/>
      <c r="L27" s="64">
        <f t="shared" si="1"/>
        <v>1</v>
      </c>
      <c r="M27" s="64">
        <f t="shared" si="0"/>
        <v>0</v>
      </c>
      <c r="N27" s="64">
        <f t="shared" si="0"/>
        <v>0</v>
      </c>
      <c r="O27" s="72"/>
      <c r="P27" s="64">
        <f ca="1">IF(SUM(L27:INDIRECT(ADDRESS(ROW(L27)+$Q$7,COLUMN(L27),1,1)))&gt;0,1,0)</f>
        <v>1</v>
      </c>
      <c r="Q27" s="64">
        <f ca="1">IF(SUM(M27:INDIRECT(ADDRESS(ROW(M27)+$Q$7,COLUMN(M27),1,1)))&gt;0,1,0)</f>
        <v>0</v>
      </c>
      <c r="R27" s="64">
        <f ca="1">IF(SUM(N27:INDIRECT(ADDRESS(ROW(N27)+$Q$7,COLUMN(N27),1,1)))&gt;0,1,0)</f>
        <v>0</v>
      </c>
    </row>
    <row r="28" spans="1:18">
      <c r="A28" s="40">
        <v>20</v>
      </c>
      <c r="B28" s="41">
        <v>0</v>
      </c>
      <c r="C28" s="41">
        <v>0</v>
      </c>
      <c r="D28" s="41">
        <v>0</v>
      </c>
      <c r="G28" s="63">
        <v>20</v>
      </c>
      <c r="H28" s="64">
        <v>0</v>
      </c>
      <c r="I28" s="64">
        <v>0</v>
      </c>
      <c r="J28" s="64">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0">
        <v>21</v>
      </c>
      <c r="B29" s="41">
        <v>0</v>
      </c>
      <c r="C29" s="41">
        <v>0</v>
      </c>
      <c r="D29" s="41">
        <v>0</v>
      </c>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100</v>
      </c>
      <c r="C34" s="41">
        <f t="shared" ref="C34:D34" si="2">SUM(C9:C33)</f>
        <v>0</v>
      </c>
      <c r="D34" s="41">
        <f t="shared" si="2"/>
        <v>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{2170D07D-5194-4011-951E-23B4F39C9B23}</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{36E9D415-7BDD-40CE-9B34-50D670C7DF50}</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{8C933125-14C2-4F1E-9096-6CBE751401FF}</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{37096428-A01A-476A-A438-D5AA3975F1E2}</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2170D07D-5194-4011-951E-23B4F39C9B23}">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36E9D415-7BDD-40CE-9B34-50D670C7DF50}">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8C933125-14C2-4F1E-9096-6CBE751401FF}">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37096428-A01A-476A-A438-D5AA3975F1E2}">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ED9FF-52EC-464F-B2C5-CBFF37E64382}">
  <sheetPr codeName="Foglio22"/>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99</v>
      </c>
    </row>
    <row r="2" spans="1:18">
      <c r="A2" s="36" t="s">
        <v>73</v>
      </c>
      <c r="B2" s="37"/>
      <c r="C2" s="37"/>
      <c r="D2" s="38" t="s">
        <v>95</v>
      </c>
    </row>
    <row r="3" spans="1:18">
      <c r="A3" s="36" t="s">
        <v>75</v>
      </c>
      <c r="B3" s="37"/>
      <c r="C3" s="37"/>
      <c r="D3" s="38" t="s">
        <v>96</v>
      </c>
    </row>
    <row r="4" spans="1:18">
      <c r="A4" s="36" t="s">
        <v>97</v>
      </c>
      <c r="B4" s="37"/>
      <c r="C4" s="37"/>
      <c r="D4" s="38" t="s">
        <v>100</v>
      </c>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1</v>
      </c>
      <c r="Q12" s="64">
        <f ca="1">IF(SUM(M12:INDIRECT(ADDRESS(ROW(M12)+$Q$7,COLUMN(M12),1,1)))&gt;0,1,0)</f>
        <v>1</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1</v>
      </c>
      <c r="Q13" s="64">
        <f ca="1">IF(SUM(M13:INDIRECT(ADDRESS(ROW(M13)+$Q$7,COLUMN(M13),1,1)))&gt;0,1,0)</f>
        <v>1</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1</v>
      </c>
      <c r="Q14" s="64">
        <f ca="1">IF(SUM(M14:INDIRECT(ADDRESS(ROW(M14)+$Q$7,COLUMN(M14),1,1)))&gt;0,1,0)</f>
        <v>1</v>
      </c>
      <c r="R14" s="64">
        <f ca="1">IF(SUM(N14:INDIRECT(ADDRESS(ROW(N14)+$Q$7,COLUMN(N14),1,1)))&gt;0,1,0)</f>
        <v>0</v>
      </c>
    </row>
    <row r="15" spans="1:18">
      <c r="A15" s="40">
        <v>7</v>
      </c>
      <c r="B15" s="41">
        <v>5</v>
      </c>
      <c r="C15" s="41">
        <v>0</v>
      </c>
      <c r="D15" s="41">
        <v>0</v>
      </c>
      <c r="G15" s="63">
        <v>7</v>
      </c>
      <c r="H15" s="64">
        <v>0.1</v>
      </c>
      <c r="I15" s="64">
        <v>0.1</v>
      </c>
      <c r="J15" s="64">
        <v>0</v>
      </c>
      <c r="K15" s="61"/>
      <c r="L15" s="64">
        <f t="shared" si="1"/>
        <v>1</v>
      </c>
      <c r="M15" s="64">
        <f t="shared" si="0"/>
        <v>1</v>
      </c>
      <c r="N15" s="64">
        <f t="shared" si="0"/>
        <v>0</v>
      </c>
      <c r="O15" s="72"/>
      <c r="P15" s="64">
        <f ca="1">IF(SUM(L15:INDIRECT(ADDRESS(ROW(L15)+$Q$7,COLUMN(L15),1,1)))&gt;0,1,0)</f>
        <v>1</v>
      </c>
      <c r="Q15" s="64">
        <f ca="1">IF(SUM(M15:INDIRECT(ADDRESS(ROW(M15)+$Q$7,COLUMN(M15),1,1)))&gt;0,1,0)</f>
        <v>1</v>
      </c>
      <c r="R15" s="64">
        <f ca="1">IF(SUM(N15:INDIRECT(ADDRESS(ROW(N15)+$Q$7,COLUMN(N15),1,1)))&gt;0,1,0)</f>
        <v>0</v>
      </c>
    </row>
    <row r="16" spans="1:18">
      <c r="A16" s="40">
        <v>8</v>
      </c>
      <c r="B16" s="41">
        <v>20</v>
      </c>
      <c r="C16" s="41">
        <v>20</v>
      </c>
      <c r="D16" s="41">
        <v>0</v>
      </c>
      <c r="G16" s="63">
        <v>8</v>
      </c>
      <c r="H16" s="64">
        <v>1</v>
      </c>
      <c r="I16" s="64">
        <v>1</v>
      </c>
      <c r="J16" s="64">
        <v>0</v>
      </c>
      <c r="K16" s="61"/>
      <c r="L16" s="64">
        <f t="shared" si="1"/>
        <v>1</v>
      </c>
      <c r="M16" s="64">
        <f t="shared" si="0"/>
        <v>1</v>
      </c>
      <c r="N16" s="64">
        <f t="shared" si="0"/>
        <v>0</v>
      </c>
      <c r="O16" s="72"/>
      <c r="P16" s="64">
        <f ca="1">IF(SUM(L16:INDIRECT(ADDRESS(ROW(L16)+$Q$7,COLUMN(L16),1,1)))&gt;0,1,0)</f>
        <v>1</v>
      </c>
      <c r="Q16" s="64">
        <f ca="1">IF(SUM(M16:INDIRECT(ADDRESS(ROW(M16)+$Q$7,COLUMN(M16),1,1)))&gt;0,1,0)</f>
        <v>1</v>
      </c>
      <c r="R16" s="64">
        <f ca="1">IF(SUM(N16:INDIRECT(ADDRESS(ROW(N16)+$Q$7,COLUMN(N16),1,1)))&gt;0,1,0)</f>
        <v>0</v>
      </c>
    </row>
    <row r="17" spans="1:18">
      <c r="A17" s="40">
        <v>9</v>
      </c>
      <c r="B17" s="41">
        <v>5</v>
      </c>
      <c r="C17" s="41">
        <v>5</v>
      </c>
      <c r="D17" s="41">
        <v>0</v>
      </c>
      <c r="G17" s="63">
        <v>9</v>
      </c>
      <c r="H17" s="64">
        <v>1</v>
      </c>
      <c r="I17" s="64">
        <v>1</v>
      </c>
      <c r="J17" s="64">
        <v>0</v>
      </c>
      <c r="K17" s="61"/>
      <c r="L17" s="64">
        <f t="shared" si="1"/>
        <v>1</v>
      </c>
      <c r="M17" s="64">
        <f t="shared" si="0"/>
        <v>1</v>
      </c>
      <c r="N17" s="64">
        <f t="shared" si="0"/>
        <v>0</v>
      </c>
      <c r="O17" s="72"/>
      <c r="P17" s="64">
        <f ca="1">IF(SUM(L17:INDIRECT(ADDRESS(ROW(L17)+$Q$7,COLUMN(L17),1,1)))&gt;0,1,0)</f>
        <v>1</v>
      </c>
      <c r="Q17" s="64">
        <f ca="1">IF(SUM(M17:INDIRECT(ADDRESS(ROW(M17)+$Q$7,COLUMN(M17),1,1)))&gt;0,1,0)</f>
        <v>1</v>
      </c>
      <c r="R17" s="64">
        <f ca="1">IF(SUM(N17:INDIRECT(ADDRESS(ROW(N17)+$Q$7,COLUMN(N17),1,1)))&gt;0,1,0)</f>
        <v>0</v>
      </c>
    </row>
    <row r="18" spans="1:18">
      <c r="A18" s="40">
        <v>10</v>
      </c>
      <c r="B18" s="41">
        <v>5</v>
      </c>
      <c r="C18" s="41">
        <v>5</v>
      </c>
      <c r="D18" s="41">
        <v>0</v>
      </c>
      <c r="G18" s="63">
        <v>10</v>
      </c>
      <c r="H18" s="64">
        <v>1</v>
      </c>
      <c r="I18" s="64">
        <v>1</v>
      </c>
      <c r="J18" s="64">
        <v>0</v>
      </c>
      <c r="K18" s="61"/>
      <c r="L18" s="64">
        <f t="shared" si="1"/>
        <v>1</v>
      </c>
      <c r="M18" s="64">
        <f t="shared" si="0"/>
        <v>1</v>
      </c>
      <c r="N18" s="64">
        <f t="shared" si="0"/>
        <v>0</v>
      </c>
      <c r="O18" s="72"/>
      <c r="P18" s="64">
        <f ca="1">IF(SUM(L18:INDIRECT(ADDRESS(ROW(L18)+$Q$7,COLUMN(L18),1,1)))&gt;0,1,0)</f>
        <v>1</v>
      </c>
      <c r="Q18" s="64">
        <f ca="1">IF(SUM(M18:INDIRECT(ADDRESS(ROW(M18)+$Q$7,COLUMN(M18),1,1)))&gt;0,1,0)</f>
        <v>1</v>
      </c>
      <c r="R18" s="64">
        <f ca="1">IF(SUM(N18:INDIRECT(ADDRESS(ROW(N18)+$Q$7,COLUMN(N18),1,1)))&gt;0,1,0)</f>
        <v>0</v>
      </c>
    </row>
    <row r="19" spans="1:18">
      <c r="A19" s="40">
        <v>11</v>
      </c>
      <c r="B19" s="41">
        <v>30</v>
      </c>
      <c r="C19" s="41">
        <v>15</v>
      </c>
      <c r="D19" s="41">
        <v>0</v>
      </c>
      <c r="G19" s="63">
        <v>11</v>
      </c>
      <c r="H19" s="64">
        <v>1</v>
      </c>
      <c r="I19" s="64">
        <v>1</v>
      </c>
      <c r="J19" s="64">
        <v>0</v>
      </c>
      <c r="K19" s="61"/>
      <c r="L19" s="64">
        <f t="shared" si="1"/>
        <v>1</v>
      </c>
      <c r="M19" s="64">
        <f t="shared" si="0"/>
        <v>1</v>
      </c>
      <c r="N19" s="64">
        <f t="shared" si="0"/>
        <v>0</v>
      </c>
      <c r="O19" s="72"/>
      <c r="P19" s="64">
        <f ca="1">IF(SUM(L19:INDIRECT(ADDRESS(ROW(L19)+$Q$7,COLUMN(L19),1,1)))&gt;0,1,0)</f>
        <v>1</v>
      </c>
      <c r="Q19" s="64">
        <f ca="1">IF(SUM(M19:INDIRECT(ADDRESS(ROW(M19)+$Q$7,COLUMN(M19),1,1)))&gt;0,1,0)</f>
        <v>1</v>
      </c>
      <c r="R19" s="64">
        <f ca="1">IF(SUM(N19:INDIRECT(ADDRESS(ROW(N19)+$Q$7,COLUMN(N19),1,1)))&gt;0,1,0)</f>
        <v>0</v>
      </c>
    </row>
    <row r="20" spans="1:18">
      <c r="A20" s="40">
        <v>12</v>
      </c>
      <c r="B20" s="41">
        <v>5</v>
      </c>
      <c r="C20" s="41">
        <v>5</v>
      </c>
      <c r="D20" s="41">
        <v>0</v>
      </c>
      <c r="G20" s="63">
        <v>12</v>
      </c>
      <c r="H20" s="64">
        <v>1</v>
      </c>
      <c r="I20" s="64">
        <v>1</v>
      </c>
      <c r="J20" s="64">
        <v>0</v>
      </c>
      <c r="K20" s="61"/>
      <c r="L20" s="64">
        <f t="shared" si="1"/>
        <v>1</v>
      </c>
      <c r="M20" s="64">
        <f t="shared" si="0"/>
        <v>1</v>
      </c>
      <c r="N20" s="64">
        <f t="shared" si="0"/>
        <v>0</v>
      </c>
      <c r="O20" s="72"/>
      <c r="P20" s="64">
        <f ca="1">IF(SUM(L20:INDIRECT(ADDRESS(ROW(L20)+$Q$7,COLUMN(L20),1,1)))&gt;0,1,0)</f>
        <v>1</v>
      </c>
      <c r="Q20" s="64">
        <f ca="1">IF(SUM(M20:INDIRECT(ADDRESS(ROW(M20)+$Q$7,COLUMN(M20),1,1)))&gt;0,1,0)</f>
        <v>1</v>
      </c>
      <c r="R20" s="64">
        <f ca="1">IF(SUM(N20:INDIRECT(ADDRESS(ROW(N20)+$Q$7,COLUMN(N20),1,1)))&gt;0,1,0)</f>
        <v>0</v>
      </c>
    </row>
    <row r="21" spans="1:18">
      <c r="A21" s="40">
        <v>13</v>
      </c>
      <c r="B21" s="41">
        <v>10</v>
      </c>
      <c r="C21" s="41">
        <v>5</v>
      </c>
      <c r="D21" s="41">
        <v>0</v>
      </c>
      <c r="G21" s="63">
        <v>13</v>
      </c>
      <c r="H21" s="64">
        <v>1</v>
      </c>
      <c r="I21" s="64">
        <v>1</v>
      </c>
      <c r="J21" s="64">
        <v>0</v>
      </c>
      <c r="K21" s="61"/>
      <c r="L21" s="64">
        <f t="shared" si="1"/>
        <v>1</v>
      </c>
      <c r="M21" s="64">
        <f t="shared" si="0"/>
        <v>1</v>
      </c>
      <c r="N21" s="64">
        <f t="shared" si="0"/>
        <v>0</v>
      </c>
      <c r="O21" s="72"/>
      <c r="P21" s="64">
        <f ca="1">IF(SUM(L21:INDIRECT(ADDRESS(ROW(L21)+$Q$7,COLUMN(L21),1,1)))&gt;0,1,0)</f>
        <v>1</v>
      </c>
      <c r="Q21" s="64">
        <f ca="1">IF(SUM(M21:INDIRECT(ADDRESS(ROW(M21)+$Q$7,COLUMN(M21),1,1)))&gt;0,1,0)</f>
        <v>1</v>
      </c>
      <c r="R21" s="64">
        <f ca="1">IF(SUM(N21:INDIRECT(ADDRESS(ROW(N21)+$Q$7,COLUMN(N21),1,1)))&gt;0,1,0)</f>
        <v>0</v>
      </c>
    </row>
    <row r="22" spans="1:18">
      <c r="A22" s="40">
        <v>14</v>
      </c>
      <c r="B22" s="41">
        <v>10</v>
      </c>
      <c r="C22" s="41">
        <v>0</v>
      </c>
      <c r="D22" s="41">
        <v>0</v>
      </c>
      <c r="G22" s="63">
        <v>14</v>
      </c>
      <c r="H22" s="64">
        <v>0.5</v>
      </c>
      <c r="I22" s="64">
        <v>0.1</v>
      </c>
      <c r="J22" s="64">
        <v>0</v>
      </c>
      <c r="K22" s="61"/>
      <c r="L22" s="64">
        <f t="shared" si="1"/>
        <v>1</v>
      </c>
      <c r="M22" s="64">
        <f t="shared" si="0"/>
        <v>1</v>
      </c>
      <c r="N22" s="64">
        <f t="shared" si="0"/>
        <v>0</v>
      </c>
      <c r="O22" s="72"/>
      <c r="P22" s="64">
        <f ca="1">IF(SUM(L22:INDIRECT(ADDRESS(ROW(L22)+$Q$7,COLUMN(L22),1,1)))&gt;0,1,0)</f>
        <v>1</v>
      </c>
      <c r="Q22" s="64">
        <f ca="1">IF(SUM(M22:INDIRECT(ADDRESS(ROW(M22)+$Q$7,COLUMN(M22),1,1)))&gt;0,1,0)</f>
        <v>1</v>
      </c>
      <c r="R22" s="64">
        <f ca="1">IF(SUM(N22:INDIRECT(ADDRESS(ROW(N22)+$Q$7,COLUMN(N22),1,1)))&gt;0,1,0)</f>
        <v>0</v>
      </c>
    </row>
    <row r="23" spans="1:18">
      <c r="A23" s="40">
        <v>15</v>
      </c>
      <c r="B23" s="41">
        <v>5</v>
      </c>
      <c r="C23" s="41">
        <v>0</v>
      </c>
      <c r="D23" s="41">
        <v>0</v>
      </c>
      <c r="G23" s="63">
        <v>15</v>
      </c>
      <c r="H23" s="64">
        <v>1</v>
      </c>
      <c r="I23" s="64">
        <v>0</v>
      </c>
      <c r="J23" s="64">
        <v>0</v>
      </c>
      <c r="K23" s="61"/>
      <c r="L23" s="64">
        <f t="shared" si="1"/>
        <v>1</v>
      </c>
      <c r="M23" s="64">
        <f t="shared" si="0"/>
        <v>0</v>
      </c>
      <c r="N23" s="64">
        <f t="shared" si="0"/>
        <v>0</v>
      </c>
      <c r="O23" s="72"/>
      <c r="P23" s="64">
        <f ca="1">IF(SUM(L23:INDIRECT(ADDRESS(ROW(L23)+$Q$7,COLUMN(L23),1,1)))&gt;0,1,0)</f>
        <v>1</v>
      </c>
      <c r="Q23" s="64">
        <f ca="1">IF(SUM(M23:INDIRECT(ADDRESS(ROW(M23)+$Q$7,COLUMN(M23),1,1)))&gt;0,1,0)</f>
        <v>0</v>
      </c>
      <c r="R23" s="64">
        <f ca="1">IF(SUM(N23:INDIRECT(ADDRESS(ROW(N23)+$Q$7,COLUMN(N23),1,1)))&gt;0,1,0)</f>
        <v>0</v>
      </c>
    </row>
    <row r="24" spans="1:18">
      <c r="A24" s="40">
        <v>16</v>
      </c>
      <c r="B24" s="41">
        <v>0</v>
      </c>
      <c r="C24" s="41">
        <v>0</v>
      </c>
      <c r="D24" s="41">
        <v>0</v>
      </c>
      <c r="G24" s="63">
        <v>16</v>
      </c>
      <c r="H24" s="64">
        <v>1</v>
      </c>
      <c r="I24" s="64">
        <v>0</v>
      </c>
      <c r="J24" s="64">
        <v>0</v>
      </c>
      <c r="K24" s="61"/>
      <c r="L24" s="64">
        <f t="shared" si="1"/>
        <v>1</v>
      </c>
      <c r="M24" s="64">
        <f t="shared" si="0"/>
        <v>0</v>
      </c>
      <c r="N24" s="64">
        <f t="shared" si="0"/>
        <v>0</v>
      </c>
      <c r="O24" s="72"/>
      <c r="P24" s="64">
        <f ca="1">IF(SUM(L24:INDIRECT(ADDRESS(ROW(L24)+$Q$7,COLUMN(L24),1,1)))&gt;0,1,0)</f>
        <v>1</v>
      </c>
      <c r="Q24" s="64">
        <f ca="1">IF(SUM(M24:INDIRECT(ADDRESS(ROW(M24)+$Q$7,COLUMN(M24),1,1)))&gt;0,1,0)</f>
        <v>0</v>
      </c>
      <c r="R24" s="64">
        <f ca="1">IF(SUM(N24:INDIRECT(ADDRESS(ROW(N24)+$Q$7,COLUMN(N24),1,1)))&gt;0,1,0)</f>
        <v>0</v>
      </c>
    </row>
    <row r="25" spans="1:18">
      <c r="A25" s="40">
        <v>17</v>
      </c>
      <c r="B25" s="41">
        <v>0</v>
      </c>
      <c r="C25" s="41">
        <v>0</v>
      </c>
      <c r="D25" s="41">
        <v>0</v>
      </c>
      <c r="G25" s="63">
        <v>17</v>
      </c>
      <c r="H25" s="64">
        <v>1</v>
      </c>
      <c r="I25" s="64">
        <v>0</v>
      </c>
      <c r="J25" s="64">
        <v>0</v>
      </c>
      <c r="K25" s="61"/>
      <c r="L25" s="64">
        <f t="shared" si="1"/>
        <v>1</v>
      </c>
      <c r="M25" s="64">
        <f t="shared" si="0"/>
        <v>0</v>
      </c>
      <c r="N25" s="64">
        <f t="shared" si="0"/>
        <v>0</v>
      </c>
      <c r="O25" s="72"/>
      <c r="P25" s="64">
        <f ca="1">IF(SUM(L25:INDIRECT(ADDRESS(ROW(L25)+$Q$7,COLUMN(L25),1,1)))&gt;0,1,0)</f>
        <v>1</v>
      </c>
      <c r="Q25" s="64">
        <f ca="1">IF(SUM(M25:INDIRECT(ADDRESS(ROW(M25)+$Q$7,COLUMN(M25),1,1)))&gt;0,1,0)</f>
        <v>0</v>
      </c>
      <c r="R25" s="64">
        <f ca="1">IF(SUM(N25:INDIRECT(ADDRESS(ROW(N25)+$Q$7,COLUMN(N25),1,1)))&gt;0,1,0)</f>
        <v>0</v>
      </c>
    </row>
    <row r="26" spans="1:18">
      <c r="A26" s="40">
        <v>18</v>
      </c>
      <c r="B26" s="41">
        <v>0</v>
      </c>
      <c r="C26" s="41">
        <v>0</v>
      </c>
      <c r="D26" s="41">
        <v>0</v>
      </c>
      <c r="G26" s="63">
        <v>18</v>
      </c>
      <c r="H26" s="64">
        <v>0.1</v>
      </c>
      <c r="I26" s="64">
        <v>0</v>
      </c>
      <c r="J26" s="64">
        <v>0</v>
      </c>
      <c r="K26" s="61"/>
      <c r="L26" s="64">
        <f t="shared" si="1"/>
        <v>1</v>
      </c>
      <c r="M26" s="64">
        <f t="shared" si="0"/>
        <v>0</v>
      </c>
      <c r="N26" s="64">
        <f t="shared" si="0"/>
        <v>0</v>
      </c>
      <c r="O26" s="72"/>
      <c r="P26" s="64">
        <f ca="1">IF(SUM(L26:INDIRECT(ADDRESS(ROW(L26)+$Q$7,COLUMN(L26),1,1)))&gt;0,1,0)</f>
        <v>1</v>
      </c>
      <c r="Q26" s="64">
        <f ca="1">IF(SUM(M26:INDIRECT(ADDRESS(ROW(M26)+$Q$7,COLUMN(M26),1,1)))&gt;0,1,0)</f>
        <v>0</v>
      </c>
      <c r="R26" s="64">
        <f ca="1">IF(SUM(N26:INDIRECT(ADDRESS(ROW(N26)+$Q$7,COLUMN(N26),1,1)))&gt;0,1,0)</f>
        <v>0</v>
      </c>
    </row>
    <row r="27" spans="1:18">
      <c r="A27" s="40">
        <v>19</v>
      </c>
      <c r="B27" s="41">
        <v>0</v>
      </c>
      <c r="C27" s="41">
        <v>0</v>
      </c>
      <c r="D27" s="41">
        <v>0</v>
      </c>
      <c r="G27" s="63">
        <v>19</v>
      </c>
      <c r="H27" s="64">
        <v>0</v>
      </c>
      <c r="I27" s="64">
        <v>0</v>
      </c>
      <c r="J27" s="64">
        <v>0</v>
      </c>
      <c r="K27" s="61"/>
      <c r="L27" s="64">
        <f t="shared" si="1"/>
        <v>0</v>
      </c>
      <c r="M27" s="64">
        <f t="shared" si="0"/>
        <v>0</v>
      </c>
      <c r="N27" s="64">
        <f t="shared" si="0"/>
        <v>0</v>
      </c>
      <c r="O27" s="72"/>
      <c r="P27" s="64">
        <f ca="1">IF(SUM(L27:INDIRECT(ADDRESS(ROW(L27)+$Q$7,COLUMN(L27),1,1)))&gt;0,1,0)</f>
        <v>0</v>
      </c>
      <c r="Q27" s="64">
        <f ca="1">IF(SUM(M27:INDIRECT(ADDRESS(ROW(M27)+$Q$7,COLUMN(M27),1,1)))&gt;0,1,0)</f>
        <v>0</v>
      </c>
      <c r="R27" s="64">
        <f ca="1">IF(SUM(N27:INDIRECT(ADDRESS(ROW(N27)+$Q$7,COLUMN(N27),1,1)))&gt;0,1,0)</f>
        <v>0</v>
      </c>
    </row>
    <row r="28" spans="1:18">
      <c r="A28" s="40">
        <v>20</v>
      </c>
      <c r="B28" s="41">
        <v>0</v>
      </c>
      <c r="C28" s="41">
        <v>0</v>
      </c>
      <c r="D28" s="41">
        <v>0</v>
      </c>
      <c r="G28" s="63">
        <v>20</v>
      </c>
      <c r="H28" s="64">
        <v>0</v>
      </c>
      <c r="I28" s="64">
        <v>0</v>
      </c>
      <c r="J28" s="64">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0">
        <v>21</v>
      </c>
      <c r="B29" s="41">
        <v>0</v>
      </c>
      <c r="C29" s="41">
        <v>0</v>
      </c>
      <c r="D29" s="41">
        <v>0</v>
      </c>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95</v>
      </c>
      <c r="C34" s="41">
        <f t="shared" ref="C34:D34" si="2">SUM(C9:C33)</f>
        <v>55</v>
      </c>
      <c r="D34" s="41">
        <f t="shared" si="2"/>
        <v>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{A5897F50-B6AC-4446-9B1F-D7428895ECA5}</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{15BE4D33-29BE-4BE8-AF43-FA44EAA2760D}</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{F0971F60-60DB-4A09-8256-12D352BB9724}</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{110BB71B-C1F2-4910-B397-41B2239FF53F}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5897F50-B6AC-4446-9B1F-D7428895ECA5}">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15BE4D33-29BE-4BE8-AF43-FA44EAA2760D}">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F0971F60-60DB-4A09-8256-12D352BB9724}">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110BB71B-C1F2-4910-B397-41B2239FF53F}">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CF051-BFB4-401E-AE44-54B871285FCF}">
  <sheetPr codeName="Foglio23"/>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101</v>
      </c>
    </row>
    <row r="2" spans="1:18">
      <c r="A2" s="36" t="s">
        <v>73</v>
      </c>
      <c r="B2" s="37"/>
      <c r="C2" s="37"/>
      <c r="D2" s="38" t="s">
        <v>95</v>
      </c>
    </row>
    <row r="3" spans="1:18">
      <c r="A3" s="36" t="s">
        <v>75</v>
      </c>
      <c r="B3" s="37"/>
      <c r="C3" s="37"/>
      <c r="D3" s="38" t="s">
        <v>96</v>
      </c>
    </row>
    <row r="4" spans="1:18">
      <c r="A4" s="36" t="s">
        <v>97</v>
      </c>
      <c r="B4" s="37"/>
      <c r="C4" s="37"/>
      <c r="D4" s="38" t="s">
        <v>102</v>
      </c>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1</v>
      </c>
      <c r="Q12" s="64">
        <f ca="1">IF(SUM(M12:INDIRECT(ADDRESS(ROW(M12)+$Q$7,COLUMN(M12),1,1)))&gt;0,1,0)</f>
        <v>1</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1</v>
      </c>
      <c r="Q13" s="64">
        <f ca="1">IF(SUM(M13:INDIRECT(ADDRESS(ROW(M13)+$Q$7,COLUMN(M13),1,1)))&gt;0,1,0)</f>
        <v>1</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1</v>
      </c>
      <c r="Q14" s="64">
        <f ca="1">IF(SUM(M14:INDIRECT(ADDRESS(ROW(M14)+$Q$7,COLUMN(M14),1,1)))&gt;0,1,0)</f>
        <v>1</v>
      </c>
      <c r="R14" s="64">
        <f ca="1">IF(SUM(N14:INDIRECT(ADDRESS(ROW(N14)+$Q$7,COLUMN(N14),1,1)))&gt;0,1,0)</f>
        <v>0</v>
      </c>
    </row>
    <row r="15" spans="1:18">
      <c r="A15" s="40">
        <v>7</v>
      </c>
      <c r="B15" s="41">
        <v>5</v>
      </c>
      <c r="C15" s="41">
        <v>5</v>
      </c>
      <c r="D15" s="41">
        <v>0</v>
      </c>
      <c r="G15" s="63">
        <v>7</v>
      </c>
      <c r="H15" s="64">
        <v>0.1</v>
      </c>
      <c r="I15" s="64">
        <v>0.1</v>
      </c>
      <c r="J15" s="64">
        <v>0</v>
      </c>
      <c r="K15" s="61"/>
      <c r="L15" s="64">
        <f t="shared" si="1"/>
        <v>1</v>
      </c>
      <c r="M15" s="64">
        <f t="shared" si="0"/>
        <v>1</v>
      </c>
      <c r="N15" s="64">
        <f t="shared" si="0"/>
        <v>0</v>
      </c>
      <c r="O15" s="72"/>
      <c r="P15" s="64">
        <f ca="1">IF(SUM(L15:INDIRECT(ADDRESS(ROW(L15)+$Q$7,COLUMN(L15),1,1)))&gt;0,1,0)</f>
        <v>1</v>
      </c>
      <c r="Q15" s="64">
        <f ca="1">IF(SUM(M15:INDIRECT(ADDRESS(ROW(M15)+$Q$7,COLUMN(M15),1,1)))&gt;0,1,0)</f>
        <v>1</v>
      </c>
      <c r="R15" s="64">
        <f ca="1">IF(SUM(N15:INDIRECT(ADDRESS(ROW(N15)+$Q$7,COLUMN(N15),1,1)))&gt;0,1,0)</f>
        <v>0</v>
      </c>
    </row>
    <row r="16" spans="1:18">
      <c r="A16" s="40">
        <v>8</v>
      </c>
      <c r="B16" s="41">
        <v>20</v>
      </c>
      <c r="C16" s="41">
        <v>20</v>
      </c>
      <c r="D16" s="41">
        <v>0</v>
      </c>
      <c r="G16" s="63">
        <v>8</v>
      </c>
      <c r="H16" s="64">
        <v>1</v>
      </c>
      <c r="I16" s="64">
        <v>1</v>
      </c>
      <c r="J16" s="64">
        <v>0</v>
      </c>
      <c r="K16" s="61"/>
      <c r="L16" s="64">
        <f t="shared" si="1"/>
        <v>1</v>
      </c>
      <c r="M16" s="64">
        <f t="shared" si="0"/>
        <v>1</v>
      </c>
      <c r="N16" s="64">
        <f t="shared" si="0"/>
        <v>0</v>
      </c>
      <c r="O16" s="72"/>
      <c r="P16" s="64">
        <f ca="1">IF(SUM(L16:INDIRECT(ADDRESS(ROW(L16)+$Q$7,COLUMN(L16),1,1)))&gt;0,1,0)</f>
        <v>1</v>
      </c>
      <c r="Q16" s="64">
        <f ca="1">IF(SUM(M16:INDIRECT(ADDRESS(ROW(M16)+$Q$7,COLUMN(M16),1,1)))&gt;0,1,0)</f>
        <v>1</v>
      </c>
      <c r="R16" s="64">
        <f ca="1">IF(SUM(N16:INDIRECT(ADDRESS(ROW(N16)+$Q$7,COLUMN(N16),1,1)))&gt;0,1,0)</f>
        <v>0</v>
      </c>
    </row>
    <row r="17" spans="1:18">
      <c r="A17" s="40">
        <v>9</v>
      </c>
      <c r="B17" s="41">
        <v>5</v>
      </c>
      <c r="C17" s="41">
        <v>5</v>
      </c>
      <c r="D17" s="41">
        <v>0</v>
      </c>
      <c r="G17" s="63">
        <v>9</v>
      </c>
      <c r="H17" s="64">
        <v>1</v>
      </c>
      <c r="I17" s="64">
        <v>1</v>
      </c>
      <c r="J17" s="64">
        <v>0</v>
      </c>
      <c r="K17" s="61"/>
      <c r="L17" s="64">
        <f t="shared" si="1"/>
        <v>1</v>
      </c>
      <c r="M17" s="64">
        <f t="shared" si="0"/>
        <v>1</v>
      </c>
      <c r="N17" s="64">
        <f t="shared" si="0"/>
        <v>0</v>
      </c>
      <c r="O17" s="72"/>
      <c r="P17" s="64">
        <f ca="1">IF(SUM(L17:INDIRECT(ADDRESS(ROW(L17)+$Q$7,COLUMN(L17),1,1)))&gt;0,1,0)</f>
        <v>1</v>
      </c>
      <c r="Q17" s="64">
        <f ca="1">IF(SUM(M17:INDIRECT(ADDRESS(ROW(M17)+$Q$7,COLUMN(M17),1,1)))&gt;0,1,0)</f>
        <v>1</v>
      </c>
      <c r="R17" s="64">
        <f ca="1">IF(SUM(N17:INDIRECT(ADDRESS(ROW(N17)+$Q$7,COLUMN(N17),1,1)))&gt;0,1,0)</f>
        <v>0</v>
      </c>
    </row>
    <row r="18" spans="1:18">
      <c r="A18" s="40">
        <v>10</v>
      </c>
      <c r="B18" s="41">
        <v>5</v>
      </c>
      <c r="C18" s="41">
        <v>5</v>
      </c>
      <c r="D18" s="41">
        <v>0</v>
      </c>
      <c r="G18" s="63">
        <v>10</v>
      </c>
      <c r="H18" s="64">
        <v>1</v>
      </c>
      <c r="I18" s="64">
        <v>1</v>
      </c>
      <c r="J18" s="64">
        <v>0</v>
      </c>
      <c r="K18" s="61"/>
      <c r="L18" s="64">
        <f t="shared" si="1"/>
        <v>1</v>
      </c>
      <c r="M18" s="64">
        <f t="shared" si="0"/>
        <v>1</v>
      </c>
      <c r="N18" s="64">
        <f t="shared" si="0"/>
        <v>0</v>
      </c>
      <c r="O18" s="72"/>
      <c r="P18" s="64">
        <f ca="1">IF(SUM(L18:INDIRECT(ADDRESS(ROW(L18)+$Q$7,COLUMN(L18),1,1)))&gt;0,1,0)</f>
        <v>1</v>
      </c>
      <c r="Q18" s="64">
        <f ca="1">IF(SUM(M18:INDIRECT(ADDRESS(ROW(M18)+$Q$7,COLUMN(M18),1,1)))&gt;0,1,0)</f>
        <v>1</v>
      </c>
      <c r="R18" s="64">
        <f ca="1">IF(SUM(N18:INDIRECT(ADDRESS(ROW(N18)+$Q$7,COLUMN(N18),1,1)))&gt;0,1,0)</f>
        <v>0</v>
      </c>
    </row>
    <row r="19" spans="1:18">
      <c r="A19" s="40">
        <v>11</v>
      </c>
      <c r="B19" s="41">
        <v>30</v>
      </c>
      <c r="C19" s="41">
        <v>30</v>
      </c>
      <c r="D19" s="41">
        <v>0</v>
      </c>
      <c r="G19" s="63">
        <v>11</v>
      </c>
      <c r="H19" s="64">
        <v>1</v>
      </c>
      <c r="I19" s="64">
        <v>1</v>
      </c>
      <c r="J19" s="64">
        <v>0</v>
      </c>
      <c r="K19" s="61"/>
      <c r="L19" s="64">
        <f t="shared" si="1"/>
        <v>1</v>
      </c>
      <c r="M19" s="64">
        <f t="shared" si="0"/>
        <v>1</v>
      </c>
      <c r="N19" s="64">
        <f t="shared" si="0"/>
        <v>0</v>
      </c>
      <c r="O19" s="72"/>
      <c r="P19" s="64">
        <f ca="1">IF(SUM(L19:INDIRECT(ADDRESS(ROW(L19)+$Q$7,COLUMN(L19),1,1)))&gt;0,1,0)</f>
        <v>1</v>
      </c>
      <c r="Q19" s="64">
        <f ca="1">IF(SUM(M19:INDIRECT(ADDRESS(ROW(M19)+$Q$7,COLUMN(M19),1,1)))&gt;0,1,0)</f>
        <v>1</v>
      </c>
      <c r="R19" s="64">
        <f ca="1">IF(SUM(N19:INDIRECT(ADDRESS(ROW(N19)+$Q$7,COLUMN(N19),1,1)))&gt;0,1,0)</f>
        <v>0</v>
      </c>
    </row>
    <row r="20" spans="1:18">
      <c r="A20" s="40">
        <v>12</v>
      </c>
      <c r="B20" s="41">
        <v>5</v>
      </c>
      <c r="C20" s="41">
        <v>5</v>
      </c>
      <c r="D20" s="41">
        <v>0</v>
      </c>
      <c r="G20" s="63">
        <v>12</v>
      </c>
      <c r="H20" s="64">
        <v>1</v>
      </c>
      <c r="I20" s="64">
        <v>1</v>
      </c>
      <c r="J20" s="64">
        <v>0</v>
      </c>
      <c r="K20" s="61"/>
      <c r="L20" s="64">
        <f t="shared" si="1"/>
        <v>1</v>
      </c>
      <c r="M20" s="64">
        <f t="shared" si="0"/>
        <v>1</v>
      </c>
      <c r="N20" s="64">
        <f t="shared" si="0"/>
        <v>0</v>
      </c>
      <c r="O20" s="72"/>
      <c r="P20" s="64">
        <f ca="1">IF(SUM(L20:INDIRECT(ADDRESS(ROW(L20)+$Q$7,COLUMN(L20),1,1)))&gt;0,1,0)</f>
        <v>1</v>
      </c>
      <c r="Q20" s="64">
        <f ca="1">IF(SUM(M20:INDIRECT(ADDRESS(ROW(M20)+$Q$7,COLUMN(M20),1,1)))&gt;0,1,0)</f>
        <v>1</v>
      </c>
      <c r="R20" s="64">
        <f ca="1">IF(SUM(N20:INDIRECT(ADDRESS(ROW(N20)+$Q$7,COLUMN(N20),1,1)))&gt;0,1,0)</f>
        <v>0</v>
      </c>
    </row>
    <row r="21" spans="1:18">
      <c r="A21" s="40">
        <v>13</v>
      </c>
      <c r="B21" s="41">
        <v>10</v>
      </c>
      <c r="C21" s="41">
        <v>10</v>
      </c>
      <c r="D21" s="41">
        <v>0</v>
      </c>
      <c r="G21" s="63">
        <v>13</v>
      </c>
      <c r="H21" s="64">
        <v>1</v>
      </c>
      <c r="I21" s="64">
        <v>1</v>
      </c>
      <c r="J21" s="64">
        <v>0</v>
      </c>
      <c r="K21" s="61"/>
      <c r="L21" s="64">
        <f t="shared" si="1"/>
        <v>1</v>
      </c>
      <c r="M21" s="64">
        <f t="shared" si="0"/>
        <v>1</v>
      </c>
      <c r="N21" s="64">
        <f t="shared" si="0"/>
        <v>0</v>
      </c>
      <c r="O21" s="72"/>
      <c r="P21" s="64">
        <f ca="1">IF(SUM(L21:INDIRECT(ADDRESS(ROW(L21)+$Q$7,COLUMN(L21),1,1)))&gt;0,1,0)</f>
        <v>1</v>
      </c>
      <c r="Q21" s="64">
        <f ca="1">IF(SUM(M21:INDIRECT(ADDRESS(ROW(M21)+$Q$7,COLUMN(M21),1,1)))&gt;0,1,0)</f>
        <v>1</v>
      </c>
      <c r="R21" s="64">
        <f ca="1">IF(SUM(N21:INDIRECT(ADDRESS(ROW(N21)+$Q$7,COLUMN(N21),1,1)))&gt;0,1,0)</f>
        <v>0</v>
      </c>
    </row>
    <row r="22" spans="1:18">
      <c r="A22" s="40">
        <v>14</v>
      </c>
      <c r="B22" s="41">
        <v>10</v>
      </c>
      <c r="C22" s="41">
        <v>10</v>
      </c>
      <c r="D22" s="41">
        <v>0</v>
      </c>
      <c r="G22" s="63">
        <v>14</v>
      </c>
      <c r="H22" s="64">
        <v>1</v>
      </c>
      <c r="I22" s="64">
        <v>1</v>
      </c>
      <c r="J22" s="64">
        <v>0</v>
      </c>
      <c r="K22" s="61"/>
      <c r="L22" s="64">
        <f t="shared" si="1"/>
        <v>1</v>
      </c>
      <c r="M22" s="64">
        <f t="shared" si="0"/>
        <v>1</v>
      </c>
      <c r="N22" s="64">
        <f t="shared" si="0"/>
        <v>0</v>
      </c>
      <c r="O22" s="72"/>
      <c r="P22" s="64">
        <f ca="1">IF(SUM(L22:INDIRECT(ADDRESS(ROW(L22)+$Q$7,COLUMN(L22),1,1)))&gt;0,1,0)</f>
        <v>1</v>
      </c>
      <c r="Q22" s="64">
        <f ca="1">IF(SUM(M22:INDIRECT(ADDRESS(ROW(M22)+$Q$7,COLUMN(M22),1,1)))&gt;0,1,0)</f>
        <v>1</v>
      </c>
      <c r="R22" s="64">
        <f ca="1">IF(SUM(N22:INDIRECT(ADDRESS(ROW(N22)+$Q$7,COLUMN(N22),1,1)))&gt;0,1,0)</f>
        <v>0</v>
      </c>
    </row>
    <row r="23" spans="1:18">
      <c r="A23" s="40">
        <v>15</v>
      </c>
      <c r="B23" s="41">
        <v>0</v>
      </c>
      <c r="C23" s="41">
        <v>0</v>
      </c>
      <c r="D23" s="41">
        <v>0</v>
      </c>
      <c r="G23" s="63">
        <v>15</v>
      </c>
      <c r="H23" s="64">
        <v>0.1</v>
      </c>
      <c r="I23" s="64">
        <v>0.1</v>
      </c>
      <c r="J23" s="64">
        <v>0</v>
      </c>
      <c r="K23" s="61"/>
      <c r="L23" s="64">
        <f t="shared" si="1"/>
        <v>1</v>
      </c>
      <c r="M23" s="64">
        <f t="shared" si="0"/>
        <v>1</v>
      </c>
      <c r="N23" s="64">
        <f t="shared" si="0"/>
        <v>0</v>
      </c>
      <c r="O23" s="72"/>
      <c r="P23" s="64">
        <f ca="1">IF(SUM(L23:INDIRECT(ADDRESS(ROW(L23)+$Q$7,COLUMN(L23),1,1)))&gt;0,1,0)</f>
        <v>1</v>
      </c>
      <c r="Q23" s="64">
        <f ca="1">IF(SUM(M23:INDIRECT(ADDRESS(ROW(M23)+$Q$7,COLUMN(M23),1,1)))&gt;0,1,0)</f>
        <v>1</v>
      </c>
      <c r="R23" s="64">
        <f ca="1">IF(SUM(N23:INDIRECT(ADDRESS(ROW(N23)+$Q$7,COLUMN(N23),1,1)))&gt;0,1,0)</f>
        <v>0</v>
      </c>
    </row>
    <row r="24" spans="1:18">
      <c r="A24" s="40">
        <v>16</v>
      </c>
      <c r="B24" s="41">
        <v>0</v>
      </c>
      <c r="C24" s="41">
        <v>0</v>
      </c>
      <c r="D24" s="41">
        <v>0</v>
      </c>
      <c r="G24" s="63">
        <v>16</v>
      </c>
      <c r="H24" s="64">
        <v>0</v>
      </c>
      <c r="I24" s="64">
        <v>0</v>
      </c>
      <c r="J24" s="64">
        <v>0</v>
      </c>
      <c r="K24" s="61"/>
      <c r="L24" s="64">
        <f t="shared" si="1"/>
        <v>0</v>
      </c>
      <c r="M24" s="64">
        <f t="shared" si="0"/>
        <v>0</v>
      </c>
      <c r="N24" s="64">
        <f t="shared" si="0"/>
        <v>0</v>
      </c>
      <c r="O24" s="72"/>
      <c r="P24" s="64">
        <f ca="1">IF(SUM(L24:INDIRECT(ADDRESS(ROW(L24)+$Q$7,COLUMN(L24),1,1)))&gt;0,1,0)</f>
        <v>0</v>
      </c>
      <c r="Q24" s="64">
        <f ca="1">IF(SUM(M24:INDIRECT(ADDRESS(ROW(M24)+$Q$7,COLUMN(M24),1,1)))&gt;0,1,0)</f>
        <v>0</v>
      </c>
      <c r="R24" s="64">
        <f ca="1">IF(SUM(N24:INDIRECT(ADDRESS(ROW(N24)+$Q$7,COLUMN(N24),1,1)))&gt;0,1,0)</f>
        <v>0</v>
      </c>
    </row>
    <row r="25" spans="1:18">
      <c r="A25" s="40">
        <v>17</v>
      </c>
      <c r="B25" s="41">
        <v>0</v>
      </c>
      <c r="C25" s="41">
        <v>0</v>
      </c>
      <c r="D25" s="41">
        <v>0</v>
      </c>
      <c r="G25" s="63">
        <v>17</v>
      </c>
      <c r="H25" s="64">
        <v>0</v>
      </c>
      <c r="I25" s="64">
        <v>0</v>
      </c>
      <c r="J25" s="64">
        <v>0</v>
      </c>
      <c r="K25" s="61"/>
      <c r="L25" s="64">
        <f t="shared" si="1"/>
        <v>0</v>
      </c>
      <c r="M25" s="64">
        <f t="shared" si="0"/>
        <v>0</v>
      </c>
      <c r="N25" s="64">
        <f t="shared" si="0"/>
        <v>0</v>
      </c>
      <c r="O25" s="72"/>
      <c r="P25" s="64">
        <f ca="1">IF(SUM(L25:INDIRECT(ADDRESS(ROW(L25)+$Q$7,COLUMN(L25),1,1)))&gt;0,1,0)</f>
        <v>0</v>
      </c>
      <c r="Q25" s="64">
        <f ca="1">IF(SUM(M25:INDIRECT(ADDRESS(ROW(M25)+$Q$7,COLUMN(M25),1,1)))&gt;0,1,0)</f>
        <v>0</v>
      </c>
      <c r="R25" s="64">
        <f ca="1">IF(SUM(N25:INDIRECT(ADDRESS(ROW(N25)+$Q$7,COLUMN(N25),1,1)))&gt;0,1,0)</f>
        <v>0</v>
      </c>
    </row>
    <row r="26" spans="1:18">
      <c r="A26" s="40">
        <v>18</v>
      </c>
      <c r="B26" s="41">
        <v>0</v>
      </c>
      <c r="C26" s="41">
        <v>0</v>
      </c>
      <c r="D26" s="41">
        <v>0</v>
      </c>
      <c r="G26" s="63">
        <v>18</v>
      </c>
      <c r="H26" s="64">
        <v>0</v>
      </c>
      <c r="I26" s="64">
        <v>0</v>
      </c>
      <c r="J26" s="64">
        <v>0</v>
      </c>
      <c r="K26" s="61"/>
      <c r="L26" s="64">
        <f t="shared" si="1"/>
        <v>0</v>
      </c>
      <c r="M26" s="64">
        <f t="shared" si="0"/>
        <v>0</v>
      </c>
      <c r="N26" s="64">
        <f t="shared" si="0"/>
        <v>0</v>
      </c>
      <c r="O26" s="72"/>
      <c r="P26" s="64">
        <f ca="1">IF(SUM(L26:INDIRECT(ADDRESS(ROW(L26)+$Q$7,COLUMN(L26),1,1)))&gt;0,1,0)</f>
        <v>0</v>
      </c>
      <c r="Q26" s="64">
        <f ca="1">IF(SUM(M26:INDIRECT(ADDRESS(ROW(M26)+$Q$7,COLUMN(M26),1,1)))&gt;0,1,0)</f>
        <v>0</v>
      </c>
      <c r="R26" s="64">
        <f ca="1">IF(SUM(N26:INDIRECT(ADDRESS(ROW(N26)+$Q$7,COLUMN(N26),1,1)))&gt;0,1,0)</f>
        <v>0</v>
      </c>
    </row>
    <row r="27" spans="1:18">
      <c r="A27" s="40">
        <v>19</v>
      </c>
      <c r="B27" s="41">
        <v>0</v>
      </c>
      <c r="C27" s="41">
        <v>0</v>
      </c>
      <c r="D27" s="41">
        <v>0</v>
      </c>
      <c r="G27" s="63">
        <v>19</v>
      </c>
      <c r="H27" s="64">
        <v>0</v>
      </c>
      <c r="I27" s="64">
        <v>0</v>
      </c>
      <c r="J27" s="64">
        <v>0</v>
      </c>
      <c r="K27" s="61"/>
      <c r="L27" s="64">
        <f t="shared" si="1"/>
        <v>0</v>
      </c>
      <c r="M27" s="64">
        <f t="shared" si="0"/>
        <v>0</v>
      </c>
      <c r="N27" s="64">
        <f t="shared" si="0"/>
        <v>0</v>
      </c>
      <c r="O27" s="72"/>
      <c r="P27" s="64">
        <f ca="1">IF(SUM(L27:INDIRECT(ADDRESS(ROW(L27)+$Q$7,COLUMN(L27),1,1)))&gt;0,1,0)</f>
        <v>0</v>
      </c>
      <c r="Q27" s="64">
        <f ca="1">IF(SUM(M27:INDIRECT(ADDRESS(ROW(M27)+$Q$7,COLUMN(M27),1,1)))&gt;0,1,0)</f>
        <v>0</v>
      </c>
      <c r="R27" s="64">
        <f ca="1">IF(SUM(N27:INDIRECT(ADDRESS(ROW(N27)+$Q$7,COLUMN(N27),1,1)))&gt;0,1,0)</f>
        <v>0</v>
      </c>
    </row>
    <row r="28" spans="1:18">
      <c r="A28" s="40">
        <v>20</v>
      </c>
      <c r="B28" s="41">
        <v>0</v>
      </c>
      <c r="C28" s="41">
        <v>0</v>
      </c>
      <c r="D28" s="41">
        <v>0</v>
      </c>
      <c r="G28" s="63">
        <v>20</v>
      </c>
      <c r="H28" s="64">
        <v>0</v>
      </c>
      <c r="I28" s="64">
        <v>0</v>
      </c>
      <c r="J28" s="64">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0">
        <v>21</v>
      </c>
      <c r="B29" s="41">
        <v>0</v>
      </c>
      <c r="C29" s="41">
        <v>0</v>
      </c>
      <c r="D29" s="41">
        <v>0</v>
      </c>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90</v>
      </c>
      <c r="C34" s="41">
        <f t="shared" ref="C34:D34" si="2">SUM(C9:C33)</f>
        <v>90</v>
      </c>
      <c r="D34" s="41">
        <f t="shared" si="2"/>
        <v>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{518EA3A9-AEA4-42E2-AEEB-9990691D1092}</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{99E5F984-668C-4332-BD9A-C5B79FF611E0}</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{F0441452-96FF-4A4B-92A5-419B1D447DA0}</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{5CDACC8B-8A02-4AD7-8963-84DEE5DDD341}</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18EA3A9-AEA4-42E2-AEEB-9990691D1092}">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99E5F984-668C-4332-BD9A-C5B79FF611E0}">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F0441452-96FF-4A4B-92A5-419B1D447DA0}">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5CDACC8B-8A02-4AD7-8963-84DEE5DDD341}">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6405-FA8B-4BA1-BA19-7D590E626298}">
  <sheetPr codeName="Foglio24"/>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103</v>
      </c>
    </row>
    <row r="2" spans="1:18">
      <c r="A2" s="36" t="s">
        <v>73</v>
      </c>
      <c r="B2" s="37"/>
      <c r="C2" s="37"/>
      <c r="D2" s="38" t="s">
        <v>95</v>
      </c>
    </row>
    <row r="3" spans="1:18">
      <c r="A3" s="36" t="s">
        <v>75</v>
      </c>
      <c r="B3" s="37"/>
      <c r="C3" s="37"/>
      <c r="D3" s="38" t="s">
        <v>96</v>
      </c>
    </row>
    <row r="4" spans="1:18">
      <c r="A4" s="36" t="s">
        <v>97</v>
      </c>
      <c r="B4" s="37"/>
      <c r="C4" s="37"/>
      <c r="D4" s="38" t="s">
        <v>104</v>
      </c>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1</v>
      </c>
      <c r="Q12" s="64">
        <f ca="1">IF(SUM(M12:INDIRECT(ADDRESS(ROW(M12)+$Q$7,COLUMN(M12),1,1)))&gt;0,1,0)</f>
        <v>1</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1</v>
      </c>
      <c r="Q13" s="64">
        <f ca="1">IF(SUM(M13:INDIRECT(ADDRESS(ROW(M13)+$Q$7,COLUMN(M13),1,1)))&gt;0,1,0)</f>
        <v>1</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1</v>
      </c>
      <c r="Q14" s="64">
        <f ca="1">IF(SUM(M14:INDIRECT(ADDRESS(ROW(M14)+$Q$7,COLUMN(M14),1,1)))&gt;0,1,0)</f>
        <v>1</v>
      </c>
      <c r="R14" s="64">
        <f ca="1">IF(SUM(N14:INDIRECT(ADDRESS(ROW(N14)+$Q$7,COLUMN(N14),1,1)))&gt;0,1,0)</f>
        <v>0</v>
      </c>
    </row>
    <row r="15" spans="1:18">
      <c r="A15" s="40">
        <v>7</v>
      </c>
      <c r="B15" s="41">
        <v>5</v>
      </c>
      <c r="C15" s="41">
        <v>5</v>
      </c>
      <c r="D15" s="41">
        <v>0</v>
      </c>
      <c r="G15" s="63">
        <v>7</v>
      </c>
      <c r="H15" s="64">
        <v>0.1</v>
      </c>
      <c r="I15" s="64">
        <v>0.1</v>
      </c>
      <c r="J15" s="64">
        <v>0</v>
      </c>
      <c r="K15" s="61"/>
      <c r="L15" s="64">
        <f t="shared" si="1"/>
        <v>1</v>
      </c>
      <c r="M15" s="64">
        <f t="shared" si="0"/>
        <v>1</v>
      </c>
      <c r="N15" s="64">
        <f t="shared" si="0"/>
        <v>0</v>
      </c>
      <c r="O15" s="72"/>
      <c r="P15" s="64">
        <f ca="1">IF(SUM(L15:INDIRECT(ADDRESS(ROW(L15)+$Q$7,COLUMN(L15),1,1)))&gt;0,1,0)</f>
        <v>1</v>
      </c>
      <c r="Q15" s="64">
        <f ca="1">IF(SUM(M15:INDIRECT(ADDRESS(ROW(M15)+$Q$7,COLUMN(M15),1,1)))&gt;0,1,0)</f>
        <v>1</v>
      </c>
      <c r="R15" s="64">
        <f ca="1">IF(SUM(N15:INDIRECT(ADDRESS(ROW(N15)+$Q$7,COLUMN(N15),1,1)))&gt;0,1,0)</f>
        <v>0</v>
      </c>
    </row>
    <row r="16" spans="1:18">
      <c r="A16" s="40">
        <v>8</v>
      </c>
      <c r="B16" s="41">
        <v>30</v>
      </c>
      <c r="C16" s="41">
        <v>30</v>
      </c>
      <c r="D16" s="41">
        <v>0</v>
      </c>
      <c r="G16" s="63">
        <v>8</v>
      </c>
      <c r="H16" s="64">
        <v>1</v>
      </c>
      <c r="I16" s="64">
        <v>1</v>
      </c>
      <c r="J16" s="64">
        <v>0</v>
      </c>
      <c r="K16" s="61"/>
      <c r="L16" s="64">
        <f t="shared" si="1"/>
        <v>1</v>
      </c>
      <c r="M16" s="64">
        <f t="shared" si="0"/>
        <v>1</v>
      </c>
      <c r="N16" s="64">
        <f t="shared" si="0"/>
        <v>0</v>
      </c>
      <c r="O16" s="72"/>
      <c r="P16" s="64">
        <f ca="1">IF(SUM(L16:INDIRECT(ADDRESS(ROW(L16)+$Q$7,COLUMN(L16),1,1)))&gt;0,1,0)</f>
        <v>1</v>
      </c>
      <c r="Q16" s="64">
        <f ca="1">IF(SUM(M16:INDIRECT(ADDRESS(ROW(M16)+$Q$7,COLUMN(M16),1,1)))&gt;0,1,0)</f>
        <v>1</v>
      </c>
      <c r="R16" s="64">
        <f ca="1">IF(SUM(N16:INDIRECT(ADDRESS(ROW(N16)+$Q$7,COLUMN(N16),1,1)))&gt;0,1,0)</f>
        <v>0</v>
      </c>
    </row>
    <row r="17" spans="1:18">
      <c r="A17" s="40">
        <v>9</v>
      </c>
      <c r="B17" s="41">
        <v>5</v>
      </c>
      <c r="C17" s="41">
        <v>5</v>
      </c>
      <c r="D17" s="41">
        <v>0</v>
      </c>
      <c r="G17" s="63">
        <v>9</v>
      </c>
      <c r="H17" s="64">
        <v>1</v>
      </c>
      <c r="I17" s="64">
        <v>1</v>
      </c>
      <c r="J17" s="64">
        <v>0</v>
      </c>
      <c r="K17" s="61"/>
      <c r="L17" s="64">
        <f t="shared" si="1"/>
        <v>1</v>
      </c>
      <c r="M17" s="64">
        <f t="shared" si="0"/>
        <v>1</v>
      </c>
      <c r="N17" s="64">
        <f t="shared" si="0"/>
        <v>0</v>
      </c>
      <c r="O17" s="72"/>
      <c r="P17" s="64">
        <f ca="1">IF(SUM(L17:INDIRECT(ADDRESS(ROW(L17)+$Q$7,COLUMN(L17),1,1)))&gt;0,1,0)</f>
        <v>1</v>
      </c>
      <c r="Q17" s="64">
        <f ca="1">IF(SUM(M17:INDIRECT(ADDRESS(ROW(M17)+$Q$7,COLUMN(M17),1,1)))&gt;0,1,0)</f>
        <v>1</v>
      </c>
      <c r="R17" s="64">
        <f ca="1">IF(SUM(N17:INDIRECT(ADDRESS(ROW(N17)+$Q$7,COLUMN(N17),1,1)))&gt;0,1,0)</f>
        <v>0</v>
      </c>
    </row>
    <row r="18" spans="1:18">
      <c r="A18" s="40">
        <v>10</v>
      </c>
      <c r="B18" s="41">
        <v>5</v>
      </c>
      <c r="C18" s="41">
        <v>5</v>
      </c>
      <c r="D18" s="41">
        <v>0</v>
      </c>
      <c r="G18" s="63">
        <v>10</v>
      </c>
      <c r="H18" s="64">
        <v>1</v>
      </c>
      <c r="I18" s="64">
        <v>1</v>
      </c>
      <c r="J18" s="64">
        <v>0</v>
      </c>
      <c r="K18" s="61"/>
      <c r="L18" s="64">
        <f t="shared" si="1"/>
        <v>1</v>
      </c>
      <c r="M18" s="64">
        <f t="shared" si="0"/>
        <v>1</v>
      </c>
      <c r="N18" s="64">
        <f t="shared" si="0"/>
        <v>0</v>
      </c>
      <c r="O18" s="72"/>
      <c r="P18" s="64">
        <f ca="1">IF(SUM(L18:INDIRECT(ADDRESS(ROW(L18)+$Q$7,COLUMN(L18),1,1)))&gt;0,1,0)</f>
        <v>1</v>
      </c>
      <c r="Q18" s="64">
        <f ca="1">IF(SUM(M18:INDIRECT(ADDRESS(ROW(M18)+$Q$7,COLUMN(M18),1,1)))&gt;0,1,0)</f>
        <v>1</v>
      </c>
      <c r="R18" s="64">
        <f ca="1">IF(SUM(N18:INDIRECT(ADDRESS(ROW(N18)+$Q$7,COLUMN(N18),1,1)))&gt;0,1,0)</f>
        <v>0</v>
      </c>
    </row>
    <row r="19" spans="1:18">
      <c r="A19" s="40">
        <v>11</v>
      </c>
      <c r="B19" s="41">
        <v>30</v>
      </c>
      <c r="C19" s="41">
        <v>30</v>
      </c>
      <c r="D19" s="41">
        <v>0</v>
      </c>
      <c r="G19" s="63">
        <v>11</v>
      </c>
      <c r="H19" s="64">
        <v>1</v>
      </c>
      <c r="I19" s="64">
        <v>1</v>
      </c>
      <c r="J19" s="64">
        <v>0</v>
      </c>
      <c r="K19" s="61"/>
      <c r="L19" s="64">
        <f t="shared" si="1"/>
        <v>1</v>
      </c>
      <c r="M19" s="64">
        <f t="shared" si="0"/>
        <v>1</v>
      </c>
      <c r="N19" s="64">
        <f t="shared" si="0"/>
        <v>0</v>
      </c>
      <c r="O19" s="72"/>
      <c r="P19" s="64">
        <f ca="1">IF(SUM(L19:INDIRECT(ADDRESS(ROW(L19)+$Q$7,COLUMN(L19),1,1)))&gt;0,1,0)</f>
        <v>1</v>
      </c>
      <c r="Q19" s="64">
        <f ca="1">IF(SUM(M19:INDIRECT(ADDRESS(ROW(M19)+$Q$7,COLUMN(M19),1,1)))&gt;0,1,0)</f>
        <v>1</v>
      </c>
      <c r="R19" s="64">
        <f ca="1">IF(SUM(N19:INDIRECT(ADDRESS(ROW(N19)+$Q$7,COLUMN(N19),1,1)))&gt;0,1,0)</f>
        <v>0</v>
      </c>
    </row>
    <row r="20" spans="1:18">
      <c r="A20" s="40">
        <v>12</v>
      </c>
      <c r="B20" s="41">
        <v>5</v>
      </c>
      <c r="C20" s="41">
        <v>5</v>
      </c>
      <c r="D20" s="41">
        <v>0</v>
      </c>
      <c r="G20" s="63">
        <v>12</v>
      </c>
      <c r="H20" s="64">
        <v>1</v>
      </c>
      <c r="I20" s="64">
        <v>1</v>
      </c>
      <c r="J20" s="64">
        <v>0</v>
      </c>
      <c r="K20" s="61"/>
      <c r="L20" s="64">
        <f t="shared" si="1"/>
        <v>1</v>
      </c>
      <c r="M20" s="64">
        <f t="shared" si="0"/>
        <v>1</v>
      </c>
      <c r="N20" s="64">
        <f t="shared" si="0"/>
        <v>0</v>
      </c>
      <c r="O20" s="72"/>
      <c r="P20" s="64">
        <f ca="1">IF(SUM(L20:INDIRECT(ADDRESS(ROW(L20)+$Q$7,COLUMN(L20),1,1)))&gt;0,1,0)</f>
        <v>1</v>
      </c>
      <c r="Q20" s="64">
        <f ca="1">IF(SUM(M20:INDIRECT(ADDRESS(ROW(M20)+$Q$7,COLUMN(M20),1,1)))&gt;0,1,0)</f>
        <v>1</v>
      </c>
      <c r="R20" s="64">
        <f ca="1">IF(SUM(N20:INDIRECT(ADDRESS(ROW(N20)+$Q$7,COLUMN(N20),1,1)))&gt;0,1,0)</f>
        <v>0</v>
      </c>
    </row>
    <row r="21" spans="1:18">
      <c r="A21" s="40">
        <v>13</v>
      </c>
      <c r="B21" s="41">
        <v>10</v>
      </c>
      <c r="C21" s="41">
        <v>10</v>
      </c>
      <c r="D21" s="41">
        <v>0</v>
      </c>
      <c r="G21" s="63">
        <v>13</v>
      </c>
      <c r="H21" s="64">
        <v>1</v>
      </c>
      <c r="I21" s="64">
        <v>1</v>
      </c>
      <c r="J21" s="64">
        <v>0</v>
      </c>
      <c r="K21" s="61"/>
      <c r="L21" s="64">
        <f t="shared" si="1"/>
        <v>1</v>
      </c>
      <c r="M21" s="64">
        <f t="shared" si="0"/>
        <v>1</v>
      </c>
      <c r="N21" s="64">
        <f t="shared" si="0"/>
        <v>0</v>
      </c>
      <c r="O21" s="72"/>
      <c r="P21" s="64">
        <f ca="1">IF(SUM(L21:INDIRECT(ADDRESS(ROW(L21)+$Q$7,COLUMN(L21),1,1)))&gt;0,1,0)</f>
        <v>1</v>
      </c>
      <c r="Q21" s="64">
        <f ca="1">IF(SUM(M21:INDIRECT(ADDRESS(ROW(M21)+$Q$7,COLUMN(M21),1,1)))&gt;0,1,0)</f>
        <v>1</v>
      </c>
      <c r="R21" s="64">
        <f ca="1">IF(SUM(N21:INDIRECT(ADDRESS(ROW(N21)+$Q$7,COLUMN(N21),1,1)))&gt;0,1,0)</f>
        <v>0</v>
      </c>
    </row>
    <row r="22" spans="1:18">
      <c r="A22" s="40">
        <v>14</v>
      </c>
      <c r="B22" s="41">
        <v>0</v>
      </c>
      <c r="C22" s="41">
        <v>0.3</v>
      </c>
      <c r="D22" s="41">
        <v>0</v>
      </c>
      <c r="G22" s="63">
        <v>14</v>
      </c>
      <c r="H22" s="64">
        <v>0.3</v>
      </c>
      <c r="I22" s="64">
        <v>0.3</v>
      </c>
      <c r="J22" s="64">
        <v>0</v>
      </c>
      <c r="K22" s="61"/>
      <c r="L22" s="64">
        <f t="shared" si="1"/>
        <v>1</v>
      </c>
      <c r="M22" s="64">
        <f t="shared" si="0"/>
        <v>1</v>
      </c>
      <c r="N22" s="64">
        <f t="shared" si="0"/>
        <v>0</v>
      </c>
      <c r="O22" s="72"/>
      <c r="P22" s="64">
        <f ca="1">IF(SUM(L22:INDIRECT(ADDRESS(ROW(L22)+$Q$7,COLUMN(L22),1,1)))&gt;0,1,0)</f>
        <v>1</v>
      </c>
      <c r="Q22" s="64">
        <f ca="1">IF(SUM(M22:INDIRECT(ADDRESS(ROW(M22)+$Q$7,COLUMN(M22),1,1)))&gt;0,1,0)</f>
        <v>1</v>
      </c>
      <c r="R22" s="64">
        <f ca="1">IF(SUM(N22:INDIRECT(ADDRESS(ROW(N22)+$Q$7,COLUMN(N22),1,1)))&gt;0,1,0)</f>
        <v>0</v>
      </c>
    </row>
    <row r="23" spans="1:18">
      <c r="A23" s="40">
        <v>15</v>
      </c>
      <c r="B23" s="41">
        <v>0</v>
      </c>
      <c r="C23" s="41">
        <v>0</v>
      </c>
      <c r="D23" s="41">
        <v>0</v>
      </c>
      <c r="G23" s="63">
        <v>15</v>
      </c>
      <c r="H23" s="64">
        <v>0</v>
      </c>
      <c r="I23" s="64">
        <v>0</v>
      </c>
      <c r="J23" s="64">
        <v>0</v>
      </c>
      <c r="K23" s="61"/>
      <c r="L23" s="64">
        <f t="shared" si="1"/>
        <v>0</v>
      </c>
      <c r="M23" s="64">
        <f t="shared" si="0"/>
        <v>0</v>
      </c>
      <c r="N23" s="64">
        <f t="shared" si="0"/>
        <v>0</v>
      </c>
      <c r="O23" s="72"/>
      <c r="P23" s="64">
        <f ca="1">IF(SUM(L23:INDIRECT(ADDRESS(ROW(L23)+$Q$7,COLUMN(L23),1,1)))&gt;0,1,0)</f>
        <v>0</v>
      </c>
      <c r="Q23" s="64">
        <f ca="1">IF(SUM(M23:INDIRECT(ADDRESS(ROW(M23)+$Q$7,COLUMN(M23),1,1)))&gt;0,1,0)</f>
        <v>0</v>
      </c>
      <c r="R23" s="64">
        <f ca="1">IF(SUM(N23:INDIRECT(ADDRESS(ROW(N23)+$Q$7,COLUMN(N23),1,1)))&gt;0,1,0)</f>
        <v>0</v>
      </c>
    </row>
    <row r="24" spans="1:18">
      <c r="A24" s="40">
        <v>16</v>
      </c>
      <c r="B24" s="41">
        <v>0</v>
      </c>
      <c r="C24" s="41">
        <v>0</v>
      </c>
      <c r="D24" s="41">
        <v>0</v>
      </c>
      <c r="G24" s="63">
        <v>16</v>
      </c>
      <c r="H24" s="64">
        <v>0</v>
      </c>
      <c r="I24" s="64">
        <v>0</v>
      </c>
      <c r="J24" s="64">
        <v>0</v>
      </c>
      <c r="K24" s="61"/>
      <c r="L24" s="64">
        <f t="shared" si="1"/>
        <v>0</v>
      </c>
      <c r="M24" s="64">
        <f t="shared" si="0"/>
        <v>0</v>
      </c>
      <c r="N24" s="64">
        <f t="shared" si="0"/>
        <v>0</v>
      </c>
      <c r="O24" s="72"/>
      <c r="P24" s="64">
        <f ca="1">IF(SUM(L24:INDIRECT(ADDRESS(ROW(L24)+$Q$7,COLUMN(L24),1,1)))&gt;0,1,0)</f>
        <v>0</v>
      </c>
      <c r="Q24" s="64">
        <f ca="1">IF(SUM(M24:INDIRECT(ADDRESS(ROW(M24)+$Q$7,COLUMN(M24),1,1)))&gt;0,1,0)</f>
        <v>0</v>
      </c>
      <c r="R24" s="64">
        <f ca="1">IF(SUM(N24:INDIRECT(ADDRESS(ROW(N24)+$Q$7,COLUMN(N24),1,1)))&gt;0,1,0)</f>
        <v>0</v>
      </c>
    </row>
    <row r="25" spans="1:18">
      <c r="A25" s="40">
        <v>17</v>
      </c>
      <c r="B25" s="41">
        <v>0</v>
      </c>
      <c r="C25" s="41">
        <v>0</v>
      </c>
      <c r="D25" s="41">
        <v>0</v>
      </c>
      <c r="G25" s="63">
        <v>17</v>
      </c>
      <c r="H25" s="64">
        <v>0</v>
      </c>
      <c r="I25" s="64">
        <v>0</v>
      </c>
      <c r="J25" s="64">
        <v>0</v>
      </c>
      <c r="K25" s="61"/>
      <c r="L25" s="64">
        <f t="shared" si="1"/>
        <v>0</v>
      </c>
      <c r="M25" s="64">
        <f t="shared" si="0"/>
        <v>0</v>
      </c>
      <c r="N25" s="64">
        <f t="shared" si="0"/>
        <v>0</v>
      </c>
      <c r="O25" s="72"/>
      <c r="P25" s="64">
        <f ca="1">IF(SUM(L25:INDIRECT(ADDRESS(ROW(L25)+$Q$7,COLUMN(L25),1,1)))&gt;0,1,0)</f>
        <v>0</v>
      </c>
      <c r="Q25" s="64">
        <f ca="1">IF(SUM(M25:INDIRECT(ADDRESS(ROW(M25)+$Q$7,COLUMN(M25),1,1)))&gt;0,1,0)</f>
        <v>0</v>
      </c>
      <c r="R25" s="64">
        <f ca="1">IF(SUM(N25:INDIRECT(ADDRESS(ROW(N25)+$Q$7,COLUMN(N25),1,1)))&gt;0,1,0)</f>
        <v>0</v>
      </c>
    </row>
    <row r="26" spans="1:18">
      <c r="A26" s="40">
        <v>18</v>
      </c>
      <c r="B26" s="41">
        <v>0</v>
      </c>
      <c r="C26" s="41">
        <v>0</v>
      </c>
      <c r="D26" s="41">
        <v>0</v>
      </c>
      <c r="G26" s="63">
        <v>18</v>
      </c>
      <c r="H26" s="64">
        <v>0</v>
      </c>
      <c r="I26" s="64">
        <v>0</v>
      </c>
      <c r="J26" s="64">
        <v>0</v>
      </c>
      <c r="K26" s="61"/>
      <c r="L26" s="64">
        <f t="shared" si="1"/>
        <v>0</v>
      </c>
      <c r="M26" s="64">
        <f t="shared" si="0"/>
        <v>0</v>
      </c>
      <c r="N26" s="64">
        <f t="shared" si="0"/>
        <v>0</v>
      </c>
      <c r="O26" s="72"/>
      <c r="P26" s="64">
        <f ca="1">IF(SUM(L26:INDIRECT(ADDRESS(ROW(L26)+$Q$7,COLUMN(L26),1,1)))&gt;0,1,0)</f>
        <v>0</v>
      </c>
      <c r="Q26" s="64">
        <f ca="1">IF(SUM(M26:INDIRECT(ADDRESS(ROW(M26)+$Q$7,COLUMN(M26),1,1)))&gt;0,1,0)</f>
        <v>0</v>
      </c>
      <c r="R26" s="64">
        <f ca="1">IF(SUM(N26:INDIRECT(ADDRESS(ROW(N26)+$Q$7,COLUMN(N26),1,1)))&gt;0,1,0)</f>
        <v>0</v>
      </c>
    </row>
    <row r="27" spans="1:18">
      <c r="A27" s="40">
        <v>19</v>
      </c>
      <c r="B27" s="41">
        <v>0</v>
      </c>
      <c r="C27" s="41">
        <v>0</v>
      </c>
      <c r="D27" s="41">
        <v>0</v>
      </c>
      <c r="G27" s="63">
        <v>19</v>
      </c>
      <c r="H27" s="64">
        <v>0</v>
      </c>
      <c r="I27" s="64">
        <v>0</v>
      </c>
      <c r="J27" s="64">
        <v>0</v>
      </c>
      <c r="K27" s="61"/>
      <c r="L27" s="64">
        <f t="shared" si="1"/>
        <v>0</v>
      </c>
      <c r="M27" s="64">
        <f t="shared" si="0"/>
        <v>0</v>
      </c>
      <c r="N27" s="64">
        <f t="shared" si="0"/>
        <v>0</v>
      </c>
      <c r="O27" s="72"/>
      <c r="P27" s="64">
        <f ca="1">IF(SUM(L27:INDIRECT(ADDRESS(ROW(L27)+$Q$7,COLUMN(L27),1,1)))&gt;0,1,0)</f>
        <v>0</v>
      </c>
      <c r="Q27" s="64">
        <f ca="1">IF(SUM(M27:INDIRECT(ADDRESS(ROW(M27)+$Q$7,COLUMN(M27),1,1)))&gt;0,1,0)</f>
        <v>0</v>
      </c>
      <c r="R27" s="64">
        <f ca="1">IF(SUM(N27:INDIRECT(ADDRESS(ROW(N27)+$Q$7,COLUMN(N27),1,1)))&gt;0,1,0)</f>
        <v>0</v>
      </c>
    </row>
    <row r="28" spans="1:18">
      <c r="A28" s="40">
        <v>20</v>
      </c>
      <c r="B28" s="41">
        <v>0</v>
      </c>
      <c r="C28" s="41">
        <v>0</v>
      </c>
      <c r="D28" s="41">
        <v>0</v>
      </c>
      <c r="G28" s="63">
        <v>20</v>
      </c>
      <c r="H28" s="64">
        <v>0</v>
      </c>
      <c r="I28" s="64">
        <v>0</v>
      </c>
      <c r="J28" s="64">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0">
        <v>21</v>
      </c>
      <c r="B29" s="41">
        <v>0</v>
      </c>
      <c r="C29" s="41">
        <v>0</v>
      </c>
      <c r="D29" s="41">
        <v>0</v>
      </c>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90</v>
      </c>
      <c r="C34" s="41">
        <f t="shared" ref="C34:D34" si="2">SUM(C9:C33)</f>
        <v>90.3</v>
      </c>
      <c r="D34" s="41">
        <f t="shared" si="2"/>
        <v>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{1111F866-2FAF-4A7C-B12C-E734C648ECC9}</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{A5988E1B-AC41-4155-910A-7A673A796AB1}</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{7F73FD75-A91E-4A8F-930A-32A251D0A9C2}</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{DD2BB4E3-4B0B-4722-8F10-224ACF48662F}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1111F866-2FAF-4A7C-B12C-E734C648ECC9}">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A5988E1B-AC41-4155-910A-7A673A796AB1}">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7F73FD75-A91E-4A8F-930A-32A251D0A9C2}">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DD2BB4E3-4B0B-4722-8F10-224ACF48662F}">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67A55-3EA9-45FA-BB9B-E35B0D13430D}">
  <sheetPr codeName="Foglio25"/>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105</v>
      </c>
    </row>
    <row r="2" spans="1:18">
      <c r="A2" s="36" t="s">
        <v>73</v>
      </c>
      <c r="B2" s="37"/>
      <c r="C2" s="37"/>
      <c r="D2" s="38" t="s">
        <v>95</v>
      </c>
    </row>
    <row r="3" spans="1:18">
      <c r="A3" s="36" t="s">
        <v>75</v>
      </c>
      <c r="B3" s="37"/>
      <c r="C3" s="37"/>
      <c r="D3" s="38" t="s">
        <v>96</v>
      </c>
    </row>
    <row r="4" spans="1:18">
      <c r="A4" s="36" t="s">
        <v>97</v>
      </c>
      <c r="B4" s="37"/>
      <c r="C4" s="37"/>
      <c r="D4" s="38" t="s">
        <v>106</v>
      </c>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1</v>
      </c>
      <c r="Q12" s="64">
        <f ca="1">IF(SUM(M12:INDIRECT(ADDRESS(ROW(M12)+$Q$7,COLUMN(M12),1,1)))&gt;0,1,0)</f>
        <v>0</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1</v>
      </c>
      <c r="Q13" s="64">
        <f ca="1">IF(SUM(M13:INDIRECT(ADDRESS(ROW(M13)+$Q$7,COLUMN(M13),1,1)))&gt;0,1,0)</f>
        <v>0</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1</v>
      </c>
      <c r="Q14" s="64">
        <f ca="1">IF(SUM(M14:INDIRECT(ADDRESS(ROW(M14)+$Q$7,COLUMN(M14),1,1)))&gt;0,1,0)</f>
        <v>0</v>
      </c>
      <c r="R14" s="64">
        <f ca="1">IF(SUM(N14:INDIRECT(ADDRESS(ROW(N14)+$Q$7,COLUMN(N14),1,1)))&gt;0,1,0)</f>
        <v>0</v>
      </c>
    </row>
    <row r="15" spans="1:18">
      <c r="A15" s="40">
        <v>7</v>
      </c>
      <c r="B15" s="41">
        <v>0</v>
      </c>
      <c r="C15" s="41">
        <v>0</v>
      </c>
      <c r="D15" s="41">
        <v>0</v>
      </c>
      <c r="G15" s="63">
        <v>7</v>
      </c>
      <c r="H15" s="64">
        <v>0.1</v>
      </c>
      <c r="I15" s="64">
        <v>0</v>
      </c>
      <c r="J15" s="64">
        <v>0</v>
      </c>
      <c r="K15" s="61"/>
      <c r="L15" s="64">
        <f t="shared" si="1"/>
        <v>1</v>
      </c>
      <c r="M15" s="64">
        <f t="shared" si="0"/>
        <v>0</v>
      </c>
      <c r="N15" s="64">
        <f t="shared" si="0"/>
        <v>0</v>
      </c>
      <c r="O15" s="72"/>
      <c r="P15" s="64">
        <f ca="1">IF(SUM(L15:INDIRECT(ADDRESS(ROW(L15)+$Q$7,COLUMN(L15),1,1)))&gt;0,1,0)</f>
        <v>1</v>
      </c>
      <c r="Q15" s="64">
        <f ca="1">IF(SUM(M15:INDIRECT(ADDRESS(ROW(M15)+$Q$7,COLUMN(M15),1,1)))&gt;0,1,0)</f>
        <v>0</v>
      </c>
      <c r="R15" s="64">
        <f ca="1">IF(SUM(N15:INDIRECT(ADDRESS(ROW(N15)+$Q$7,COLUMN(N15),1,1)))&gt;0,1,0)</f>
        <v>0</v>
      </c>
    </row>
    <row r="16" spans="1:18">
      <c r="A16" s="40">
        <v>8</v>
      </c>
      <c r="B16" s="41">
        <v>5</v>
      </c>
      <c r="C16" s="41">
        <v>0</v>
      </c>
      <c r="D16" s="41">
        <v>0</v>
      </c>
      <c r="G16" s="63">
        <v>8</v>
      </c>
      <c r="H16" s="64">
        <v>1</v>
      </c>
      <c r="I16" s="64">
        <v>0</v>
      </c>
      <c r="J16" s="64">
        <v>0</v>
      </c>
      <c r="K16" s="61"/>
      <c r="L16" s="64">
        <f t="shared" si="1"/>
        <v>1</v>
      </c>
      <c r="M16" s="64">
        <f t="shared" si="0"/>
        <v>0</v>
      </c>
      <c r="N16" s="64">
        <f t="shared" si="0"/>
        <v>0</v>
      </c>
      <c r="O16" s="72"/>
      <c r="P16" s="64">
        <f ca="1">IF(SUM(L16:INDIRECT(ADDRESS(ROW(L16)+$Q$7,COLUMN(L16),1,1)))&gt;0,1,0)</f>
        <v>1</v>
      </c>
      <c r="Q16" s="64">
        <f ca="1">IF(SUM(M16:INDIRECT(ADDRESS(ROW(M16)+$Q$7,COLUMN(M16),1,1)))&gt;0,1,0)</f>
        <v>0</v>
      </c>
      <c r="R16" s="64">
        <f ca="1">IF(SUM(N16:INDIRECT(ADDRESS(ROW(N16)+$Q$7,COLUMN(N16),1,1)))&gt;0,1,0)</f>
        <v>0</v>
      </c>
    </row>
    <row r="17" spans="1:18">
      <c r="A17" s="40">
        <v>9</v>
      </c>
      <c r="B17" s="41">
        <v>15</v>
      </c>
      <c r="C17" s="41">
        <v>0</v>
      </c>
      <c r="D17" s="41">
        <v>0</v>
      </c>
      <c r="G17" s="63">
        <v>9</v>
      </c>
      <c r="H17" s="64">
        <v>1</v>
      </c>
      <c r="I17" s="64">
        <v>0</v>
      </c>
      <c r="J17" s="64">
        <v>0</v>
      </c>
      <c r="K17" s="61"/>
      <c r="L17" s="64">
        <f t="shared" si="1"/>
        <v>1</v>
      </c>
      <c r="M17" s="64">
        <f t="shared" si="0"/>
        <v>0</v>
      </c>
      <c r="N17" s="64">
        <f t="shared" si="0"/>
        <v>0</v>
      </c>
      <c r="O17" s="72"/>
      <c r="P17" s="64">
        <f ca="1">IF(SUM(L17:INDIRECT(ADDRESS(ROW(L17)+$Q$7,COLUMN(L17),1,1)))&gt;0,1,0)</f>
        <v>1</v>
      </c>
      <c r="Q17" s="64">
        <f ca="1">IF(SUM(M17:INDIRECT(ADDRESS(ROW(M17)+$Q$7,COLUMN(M17),1,1)))&gt;0,1,0)</f>
        <v>0</v>
      </c>
      <c r="R17" s="64">
        <f ca="1">IF(SUM(N17:INDIRECT(ADDRESS(ROW(N17)+$Q$7,COLUMN(N17),1,1)))&gt;0,1,0)</f>
        <v>0</v>
      </c>
    </row>
    <row r="18" spans="1:18">
      <c r="A18" s="40">
        <v>10</v>
      </c>
      <c r="B18" s="41">
        <v>5</v>
      </c>
      <c r="C18" s="41">
        <v>0</v>
      </c>
      <c r="D18" s="41">
        <v>0</v>
      </c>
      <c r="G18" s="63">
        <v>10</v>
      </c>
      <c r="H18" s="64">
        <v>1</v>
      </c>
      <c r="I18" s="64">
        <v>0</v>
      </c>
      <c r="J18" s="64">
        <v>0</v>
      </c>
      <c r="K18" s="61"/>
      <c r="L18" s="64">
        <f t="shared" si="1"/>
        <v>1</v>
      </c>
      <c r="M18" s="64">
        <f t="shared" si="0"/>
        <v>0</v>
      </c>
      <c r="N18" s="64">
        <f t="shared" si="0"/>
        <v>0</v>
      </c>
      <c r="O18" s="72"/>
      <c r="P18" s="64">
        <f ca="1">IF(SUM(L18:INDIRECT(ADDRESS(ROW(L18)+$Q$7,COLUMN(L18),1,1)))&gt;0,1,0)</f>
        <v>1</v>
      </c>
      <c r="Q18" s="64">
        <f ca="1">IF(SUM(M18:INDIRECT(ADDRESS(ROW(M18)+$Q$7,COLUMN(M18),1,1)))&gt;0,1,0)</f>
        <v>0</v>
      </c>
      <c r="R18" s="64">
        <f ca="1">IF(SUM(N18:INDIRECT(ADDRESS(ROW(N18)+$Q$7,COLUMN(N18),1,1)))&gt;0,1,0)</f>
        <v>0</v>
      </c>
    </row>
    <row r="19" spans="1:18">
      <c r="A19" s="40">
        <v>11</v>
      </c>
      <c r="B19" s="41">
        <v>20</v>
      </c>
      <c r="C19" s="41">
        <v>0</v>
      </c>
      <c r="D19" s="41">
        <v>0</v>
      </c>
      <c r="G19" s="63">
        <v>11</v>
      </c>
      <c r="H19" s="64">
        <v>1</v>
      </c>
      <c r="I19" s="64">
        <v>0</v>
      </c>
      <c r="J19" s="64">
        <v>0</v>
      </c>
      <c r="K19" s="61"/>
      <c r="L19" s="64">
        <f t="shared" si="1"/>
        <v>1</v>
      </c>
      <c r="M19" s="64">
        <f t="shared" si="0"/>
        <v>0</v>
      </c>
      <c r="N19" s="64">
        <f t="shared" si="0"/>
        <v>0</v>
      </c>
      <c r="O19" s="72"/>
      <c r="P19" s="64">
        <f ca="1">IF(SUM(L19:INDIRECT(ADDRESS(ROW(L19)+$Q$7,COLUMN(L19),1,1)))&gt;0,1,0)</f>
        <v>1</v>
      </c>
      <c r="Q19" s="64">
        <f ca="1">IF(SUM(M19:INDIRECT(ADDRESS(ROW(M19)+$Q$7,COLUMN(M19),1,1)))&gt;0,1,0)</f>
        <v>0</v>
      </c>
      <c r="R19" s="64">
        <f ca="1">IF(SUM(N19:INDIRECT(ADDRESS(ROW(N19)+$Q$7,COLUMN(N19),1,1)))&gt;0,1,0)</f>
        <v>0</v>
      </c>
    </row>
    <row r="20" spans="1:18">
      <c r="A20" s="40">
        <v>12</v>
      </c>
      <c r="B20" s="41">
        <v>5</v>
      </c>
      <c r="C20" s="41">
        <v>0</v>
      </c>
      <c r="D20" s="41">
        <v>0</v>
      </c>
      <c r="G20" s="63">
        <v>12</v>
      </c>
      <c r="H20" s="64">
        <v>1</v>
      </c>
      <c r="I20" s="64">
        <v>0</v>
      </c>
      <c r="J20" s="64">
        <v>0</v>
      </c>
      <c r="K20" s="61"/>
      <c r="L20" s="64">
        <f t="shared" si="1"/>
        <v>1</v>
      </c>
      <c r="M20" s="64">
        <f t="shared" si="0"/>
        <v>0</v>
      </c>
      <c r="N20" s="64">
        <f t="shared" si="0"/>
        <v>0</v>
      </c>
      <c r="O20" s="72"/>
      <c r="P20" s="64">
        <f ca="1">IF(SUM(L20:INDIRECT(ADDRESS(ROW(L20)+$Q$7,COLUMN(L20),1,1)))&gt;0,1,0)</f>
        <v>1</v>
      </c>
      <c r="Q20" s="64">
        <f ca="1">IF(SUM(M20:INDIRECT(ADDRESS(ROW(M20)+$Q$7,COLUMN(M20),1,1)))&gt;0,1,0)</f>
        <v>0</v>
      </c>
      <c r="R20" s="64">
        <f ca="1">IF(SUM(N20:INDIRECT(ADDRESS(ROW(N20)+$Q$7,COLUMN(N20),1,1)))&gt;0,1,0)</f>
        <v>0</v>
      </c>
    </row>
    <row r="21" spans="1:18">
      <c r="A21" s="40">
        <v>13</v>
      </c>
      <c r="B21" s="41">
        <v>25</v>
      </c>
      <c r="C21" s="41">
        <v>0</v>
      </c>
      <c r="D21" s="41">
        <v>0</v>
      </c>
      <c r="G21" s="63">
        <v>13</v>
      </c>
      <c r="H21" s="64">
        <v>1</v>
      </c>
      <c r="I21" s="64">
        <v>0</v>
      </c>
      <c r="J21" s="64">
        <v>0</v>
      </c>
      <c r="K21" s="61"/>
      <c r="L21" s="64">
        <f t="shared" si="1"/>
        <v>1</v>
      </c>
      <c r="M21" s="64">
        <f t="shared" si="0"/>
        <v>0</v>
      </c>
      <c r="N21" s="64">
        <f t="shared" si="0"/>
        <v>0</v>
      </c>
      <c r="O21" s="72"/>
      <c r="P21" s="64">
        <f ca="1">IF(SUM(L21:INDIRECT(ADDRESS(ROW(L21)+$Q$7,COLUMN(L21),1,1)))&gt;0,1,0)</f>
        <v>1</v>
      </c>
      <c r="Q21" s="64">
        <f ca="1">IF(SUM(M21:INDIRECT(ADDRESS(ROW(M21)+$Q$7,COLUMN(M21),1,1)))&gt;0,1,0)</f>
        <v>0</v>
      </c>
      <c r="R21" s="64">
        <f ca="1">IF(SUM(N21:INDIRECT(ADDRESS(ROW(N21)+$Q$7,COLUMN(N21),1,1)))&gt;0,1,0)</f>
        <v>0</v>
      </c>
    </row>
    <row r="22" spans="1:18">
      <c r="A22" s="40">
        <v>14</v>
      </c>
      <c r="B22" s="41">
        <v>10</v>
      </c>
      <c r="C22" s="41">
        <v>0</v>
      </c>
      <c r="D22" s="41">
        <v>0</v>
      </c>
      <c r="G22" s="63">
        <v>14</v>
      </c>
      <c r="H22" s="64">
        <v>0.5</v>
      </c>
      <c r="I22" s="64">
        <v>0</v>
      </c>
      <c r="J22" s="64">
        <v>0</v>
      </c>
      <c r="K22" s="61"/>
      <c r="L22" s="64">
        <f t="shared" si="1"/>
        <v>1</v>
      </c>
      <c r="M22" s="64">
        <f t="shared" si="0"/>
        <v>0</v>
      </c>
      <c r="N22" s="64">
        <f t="shared" si="0"/>
        <v>0</v>
      </c>
      <c r="O22" s="72"/>
      <c r="P22" s="64">
        <f ca="1">IF(SUM(L22:INDIRECT(ADDRESS(ROW(L22)+$Q$7,COLUMN(L22),1,1)))&gt;0,1,0)</f>
        <v>1</v>
      </c>
      <c r="Q22" s="64">
        <f ca="1">IF(SUM(M22:INDIRECT(ADDRESS(ROW(M22)+$Q$7,COLUMN(M22),1,1)))&gt;0,1,0)</f>
        <v>0</v>
      </c>
      <c r="R22" s="64">
        <f ca="1">IF(SUM(N22:INDIRECT(ADDRESS(ROW(N22)+$Q$7,COLUMN(N22),1,1)))&gt;0,1,0)</f>
        <v>0</v>
      </c>
    </row>
    <row r="23" spans="1:18">
      <c r="A23" s="40">
        <v>15</v>
      </c>
      <c r="B23" s="41">
        <v>5</v>
      </c>
      <c r="C23" s="41">
        <v>0</v>
      </c>
      <c r="D23" s="41">
        <v>0</v>
      </c>
      <c r="G23" s="63">
        <v>15</v>
      </c>
      <c r="H23" s="64">
        <v>1</v>
      </c>
      <c r="I23" s="64">
        <v>0</v>
      </c>
      <c r="J23" s="64">
        <v>0</v>
      </c>
      <c r="K23" s="61"/>
      <c r="L23" s="64">
        <f t="shared" si="1"/>
        <v>1</v>
      </c>
      <c r="M23" s="64">
        <f t="shared" si="0"/>
        <v>0</v>
      </c>
      <c r="N23" s="64">
        <f t="shared" si="0"/>
        <v>0</v>
      </c>
      <c r="O23" s="72"/>
      <c r="P23" s="64">
        <f ca="1">IF(SUM(L23:INDIRECT(ADDRESS(ROW(L23)+$Q$7,COLUMN(L23),1,1)))&gt;0,1,0)</f>
        <v>1</v>
      </c>
      <c r="Q23" s="64">
        <f ca="1">IF(SUM(M23:INDIRECT(ADDRESS(ROW(M23)+$Q$7,COLUMN(M23),1,1)))&gt;0,1,0)</f>
        <v>0</v>
      </c>
      <c r="R23" s="64">
        <f ca="1">IF(SUM(N23:INDIRECT(ADDRESS(ROW(N23)+$Q$7,COLUMN(N23),1,1)))&gt;0,1,0)</f>
        <v>0</v>
      </c>
    </row>
    <row r="24" spans="1:18">
      <c r="A24" s="40">
        <v>16</v>
      </c>
      <c r="B24" s="41">
        <v>10</v>
      </c>
      <c r="C24" s="41">
        <v>0</v>
      </c>
      <c r="D24" s="41">
        <v>0</v>
      </c>
      <c r="G24" s="63">
        <v>16</v>
      </c>
      <c r="H24" s="64">
        <v>1</v>
      </c>
      <c r="I24" s="64">
        <v>0</v>
      </c>
      <c r="J24" s="64">
        <v>0</v>
      </c>
      <c r="K24" s="61"/>
      <c r="L24" s="64">
        <f t="shared" si="1"/>
        <v>1</v>
      </c>
      <c r="M24" s="64">
        <f t="shared" si="0"/>
        <v>0</v>
      </c>
      <c r="N24" s="64">
        <f t="shared" si="0"/>
        <v>0</v>
      </c>
      <c r="O24" s="72"/>
      <c r="P24" s="64">
        <f ca="1">IF(SUM(L24:INDIRECT(ADDRESS(ROW(L24)+$Q$7,COLUMN(L24),1,1)))&gt;0,1,0)</f>
        <v>1</v>
      </c>
      <c r="Q24" s="64">
        <f ca="1">IF(SUM(M24:INDIRECT(ADDRESS(ROW(M24)+$Q$7,COLUMN(M24),1,1)))&gt;0,1,0)</f>
        <v>0</v>
      </c>
      <c r="R24" s="64">
        <f ca="1">IF(SUM(N24:INDIRECT(ADDRESS(ROW(N24)+$Q$7,COLUMN(N24),1,1)))&gt;0,1,0)</f>
        <v>0</v>
      </c>
    </row>
    <row r="25" spans="1:18">
      <c r="A25" s="40">
        <v>17</v>
      </c>
      <c r="B25" s="41">
        <v>0</v>
      </c>
      <c r="C25" s="41">
        <v>0</v>
      </c>
      <c r="D25" s="41">
        <v>0</v>
      </c>
      <c r="G25" s="63">
        <v>17</v>
      </c>
      <c r="H25" s="64">
        <v>0.3</v>
      </c>
      <c r="I25" s="64">
        <v>0</v>
      </c>
      <c r="J25" s="64">
        <v>0</v>
      </c>
      <c r="K25" s="61"/>
      <c r="L25" s="64">
        <f t="shared" si="1"/>
        <v>1</v>
      </c>
      <c r="M25" s="64">
        <f t="shared" si="0"/>
        <v>0</v>
      </c>
      <c r="N25" s="64">
        <f t="shared" si="0"/>
        <v>0</v>
      </c>
      <c r="O25" s="72"/>
      <c r="P25" s="64">
        <f ca="1">IF(SUM(L25:INDIRECT(ADDRESS(ROW(L25)+$Q$7,COLUMN(L25),1,1)))&gt;0,1,0)</f>
        <v>1</v>
      </c>
      <c r="Q25" s="64">
        <f ca="1">IF(SUM(M25:INDIRECT(ADDRESS(ROW(M25)+$Q$7,COLUMN(M25),1,1)))&gt;0,1,0)</f>
        <v>0</v>
      </c>
      <c r="R25" s="64">
        <f ca="1">IF(SUM(N25:INDIRECT(ADDRESS(ROW(N25)+$Q$7,COLUMN(N25),1,1)))&gt;0,1,0)</f>
        <v>0</v>
      </c>
    </row>
    <row r="26" spans="1:18">
      <c r="A26" s="40">
        <v>18</v>
      </c>
      <c r="B26" s="41">
        <v>0</v>
      </c>
      <c r="C26" s="41">
        <v>0</v>
      </c>
      <c r="D26" s="41">
        <v>0</v>
      </c>
      <c r="G26" s="63">
        <v>18</v>
      </c>
      <c r="H26" s="64">
        <v>0</v>
      </c>
      <c r="I26" s="64">
        <v>0</v>
      </c>
      <c r="J26" s="64">
        <v>0</v>
      </c>
      <c r="K26" s="61"/>
      <c r="L26" s="64">
        <f t="shared" si="1"/>
        <v>0</v>
      </c>
      <c r="M26" s="64">
        <f t="shared" si="0"/>
        <v>0</v>
      </c>
      <c r="N26" s="64">
        <f t="shared" si="0"/>
        <v>0</v>
      </c>
      <c r="O26" s="72"/>
      <c r="P26" s="64">
        <f ca="1">IF(SUM(L26:INDIRECT(ADDRESS(ROW(L26)+$Q$7,COLUMN(L26),1,1)))&gt;0,1,0)</f>
        <v>0</v>
      </c>
      <c r="Q26" s="64">
        <f ca="1">IF(SUM(M26:INDIRECT(ADDRESS(ROW(M26)+$Q$7,COLUMN(M26),1,1)))&gt;0,1,0)</f>
        <v>0</v>
      </c>
      <c r="R26" s="64">
        <f ca="1">IF(SUM(N26:INDIRECT(ADDRESS(ROW(N26)+$Q$7,COLUMN(N26),1,1)))&gt;0,1,0)</f>
        <v>0</v>
      </c>
    </row>
    <row r="27" spans="1:18">
      <c r="A27" s="40">
        <v>19</v>
      </c>
      <c r="B27" s="41">
        <v>0</v>
      </c>
      <c r="C27" s="41">
        <v>0</v>
      </c>
      <c r="D27" s="41">
        <v>0</v>
      </c>
      <c r="G27" s="63">
        <v>19</v>
      </c>
      <c r="H27" s="64">
        <v>0</v>
      </c>
      <c r="I27" s="64">
        <v>0</v>
      </c>
      <c r="J27" s="64">
        <v>0</v>
      </c>
      <c r="K27" s="61"/>
      <c r="L27" s="64">
        <f t="shared" si="1"/>
        <v>0</v>
      </c>
      <c r="M27" s="64">
        <f t="shared" si="0"/>
        <v>0</v>
      </c>
      <c r="N27" s="64">
        <f t="shared" si="0"/>
        <v>0</v>
      </c>
      <c r="O27" s="72"/>
      <c r="P27" s="64">
        <f ca="1">IF(SUM(L27:INDIRECT(ADDRESS(ROW(L27)+$Q$7,COLUMN(L27),1,1)))&gt;0,1,0)</f>
        <v>0</v>
      </c>
      <c r="Q27" s="64">
        <f ca="1">IF(SUM(M27:INDIRECT(ADDRESS(ROW(M27)+$Q$7,COLUMN(M27),1,1)))&gt;0,1,0)</f>
        <v>0</v>
      </c>
      <c r="R27" s="64">
        <f ca="1">IF(SUM(N27:INDIRECT(ADDRESS(ROW(N27)+$Q$7,COLUMN(N27),1,1)))&gt;0,1,0)</f>
        <v>0</v>
      </c>
    </row>
    <row r="28" spans="1:18">
      <c r="A28" s="40">
        <v>20</v>
      </c>
      <c r="B28" s="41">
        <v>0</v>
      </c>
      <c r="C28" s="41">
        <v>0</v>
      </c>
      <c r="D28" s="41">
        <v>0</v>
      </c>
      <c r="G28" s="63">
        <v>20</v>
      </c>
      <c r="H28" s="64">
        <v>0</v>
      </c>
      <c r="I28" s="64">
        <v>0</v>
      </c>
      <c r="J28" s="64">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0">
        <v>21</v>
      </c>
      <c r="B29" s="41">
        <v>0</v>
      </c>
      <c r="C29" s="41">
        <v>0</v>
      </c>
      <c r="D29" s="41">
        <v>0</v>
      </c>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100</v>
      </c>
      <c r="C34" s="41">
        <f t="shared" ref="C34:D34" si="2">SUM(C9:C33)</f>
        <v>0</v>
      </c>
      <c r="D34" s="41">
        <f t="shared" si="2"/>
        <v>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{961F353B-B0BA-4A95-A8F8-D13CEB64FBC5}</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{B2A03A3D-3CDE-4810-BBBD-93C937653BF1}</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{65619326-0547-4181-B142-2951C199E514}</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{4E0DA8E7-C262-4DCE-A766-C31E95F1C4CC}</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61F353B-B0BA-4A95-A8F8-D13CEB64FBC5}">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B2A03A3D-3CDE-4810-BBBD-93C937653BF1}">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65619326-0547-4181-B142-2951C199E514}">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4E0DA8E7-C262-4DCE-A766-C31E95F1C4CC}">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71E54-3E6A-4AEA-8F6D-179F910151D8}">
  <sheetPr codeName="Foglio26"/>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107</v>
      </c>
      <c r="N1" s="42"/>
    </row>
    <row r="2" spans="1:18">
      <c r="A2" s="36" t="s">
        <v>73</v>
      </c>
      <c r="B2" s="37"/>
      <c r="C2" s="37"/>
      <c r="D2" s="38" t="s">
        <v>108</v>
      </c>
    </row>
    <row r="3" spans="1:18">
      <c r="A3" s="36" t="s">
        <v>75</v>
      </c>
      <c r="B3" s="37"/>
      <c r="C3" s="37"/>
      <c r="D3" s="38" t="s">
        <v>109</v>
      </c>
    </row>
    <row r="4" spans="1:18">
      <c r="A4" s="37"/>
      <c r="B4" s="37"/>
      <c r="C4" s="37"/>
      <c r="Q4" s="72"/>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0</v>
      </c>
      <c r="Q12" s="64">
        <f ca="1">IF(SUM(M12:INDIRECT(ADDRESS(ROW(M12)+$Q$7,COLUMN(M12),1,1)))&gt;0,1,0)</f>
        <v>0</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0</v>
      </c>
      <c r="Q13" s="64">
        <f ca="1">IF(SUM(M13:INDIRECT(ADDRESS(ROW(M13)+$Q$7,COLUMN(M13),1,1)))&gt;0,1,0)</f>
        <v>0</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1</v>
      </c>
      <c r="Q14" s="64">
        <f ca="1">IF(SUM(M14:INDIRECT(ADDRESS(ROW(M14)+$Q$7,COLUMN(M14),1,1)))&gt;0,1,0)</f>
        <v>0</v>
      </c>
      <c r="R14" s="64">
        <f ca="1">IF(SUM(N14:INDIRECT(ADDRESS(ROW(N14)+$Q$7,COLUMN(N14),1,1)))&gt;0,1,0)</f>
        <v>0</v>
      </c>
    </row>
    <row r="15" spans="1:18">
      <c r="A15" s="40">
        <v>7</v>
      </c>
      <c r="B15" s="41">
        <v>0</v>
      </c>
      <c r="C15" s="41">
        <v>0</v>
      </c>
      <c r="D15" s="41">
        <v>0</v>
      </c>
      <c r="G15" s="63">
        <v>7</v>
      </c>
      <c r="H15" s="64">
        <v>0</v>
      </c>
      <c r="I15" s="64">
        <v>0</v>
      </c>
      <c r="J15" s="64">
        <v>0</v>
      </c>
      <c r="K15" s="61"/>
      <c r="L15" s="64">
        <f t="shared" si="1"/>
        <v>0</v>
      </c>
      <c r="M15" s="64">
        <f t="shared" si="0"/>
        <v>0</v>
      </c>
      <c r="N15" s="64">
        <f t="shared" si="0"/>
        <v>0</v>
      </c>
      <c r="O15" s="72"/>
      <c r="P15" s="64">
        <f ca="1">IF(SUM(L15:INDIRECT(ADDRESS(ROW(L15)+$Q$7,COLUMN(L15),1,1)))&gt;0,1,0)</f>
        <v>1</v>
      </c>
      <c r="Q15" s="64">
        <f ca="1">IF(SUM(M15:INDIRECT(ADDRESS(ROW(M15)+$Q$7,COLUMN(M15),1,1)))&gt;0,1,0)</f>
        <v>0</v>
      </c>
      <c r="R15" s="64">
        <f ca="1">IF(SUM(N15:INDIRECT(ADDRESS(ROW(N15)+$Q$7,COLUMN(N15),1,1)))&gt;0,1,0)</f>
        <v>0</v>
      </c>
    </row>
    <row r="16" spans="1:18">
      <c r="A16" s="40">
        <v>8</v>
      </c>
      <c r="B16" s="41">
        <v>0</v>
      </c>
      <c r="C16" s="41">
        <v>0</v>
      </c>
      <c r="D16" s="41">
        <v>0</v>
      </c>
      <c r="G16" s="63">
        <v>8</v>
      </c>
      <c r="H16" s="64">
        <v>0</v>
      </c>
      <c r="I16" s="64">
        <v>0</v>
      </c>
      <c r="J16" s="64">
        <v>0</v>
      </c>
      <c r="K16" s="61"/>
      <c r="L16" s="64">
        <f t="shared" si="1"/>
        <v>0</v>
      </c>
      <c r="M16" s="64">
        <f t="shared" si="0"/>
        <v>0</v>
      </c>
      <c r="N16" s="64">
        <f t="shared" si="0"/>
        <v>0</v>
      </c>
      <c r="O16" s="72"/>
      <c r="P16" s="64">
        <f ca="1">IF(SUM(L16:INDIRECT(ADDRESS(ROW(L16)+$Q$7,COLUMN(L16),1,1)))&gt;0,1,0)</f>
        <v>1</v>
      </c>
      <c r="Q16" s="64">
        <f ca="1">IF(SUM(M16:INDIRECT(ADDRESS(ROW(M16)+$Q$7,COLUMN(M16),1,1)))&gt;0,1,0)</f>
        <v>0</v>
      </c>
      <c r="R16" s="64">
        <f ca="1">IF(SUM(N16:INDIRECT(ADDRESS(ROW(N16)+$Q$7,COLUMN(N16),1,1)))&gt;0,1,0)</f>
        <v>0</v>
      </c>
    </row>
    <row r="17" spans="1:18">
      <c r="A17" s="40">
        <v>9</v>
      </c>
      <c r="B17" s="41">
        <v>5</v>
      </c>
      <c r="C17" s="41">
        <v>0</v>
      </c>
      <c r="D17" s="41">
        <v>0</v>
      </c>
      <c r="G17" s="63">
        <v>9</v>
      </c>
      <c r="H17" s="64">
        <v>0.5</v>
      </c>
      <c r="I17" s="64">
        <v>0</v>
      </c>
      <c r="J17" s="64">
        <v>0</v>
      </c>
      <c r="K17" s="61"/>
      <c r="L17" s="64">
        <f t="shared" si="1"/>
        <v>1</v>
      </c>
      <c r="M17" s="64">
        <f t="shared" si="0"/>
        <v>0</v>
      </c>
      <c r="N17" s="64">
        <f t="shared" si="0"/>
        <v>0</v>
      </c>
      <c r="O17" s="72"/>
      <c r="P17" s="64">
        <f ca="1">IF(SUM(L17:INDIRECT(ADDRESS(ROW(L17)+$Q$7,COLUMN(L17),1,1)))&gt;0,1,0)</f>
        <v>1</v>
      </c>
      <c r="Q17" s="64">
        <f ca="1">IF(SUM(M17:INDIRECT(ADDRESS(ROW(M17)+$Q$7,COLUMN(M17),1,1)))&gt;0,1,0)</f>
        <v>0</v>
      </c>
      <c r="R17" s="64">
        <f ca="1">IF(SUM(N17:INDIRECT(ADDRESS(ROW(N17)+$Q$7,COLUMN(N17),1,1)))&gt;0,1,0)</f>
        <v>0</v>
      </c>
    </row>
    <row r="18" spans="1:18">
      <c r="A18" s="40">
        <v>10</v>
      </c>
      <c r="B18" s="41">
        <v>10</v>
      </c>
      <c r="C18" s="41">
        <v>0</v>
      </c>
      <c r="D18" s="41">
        <v>0</v>
      </c>
      <c r="G18" s="63">
        <v>10</v>
      </c>
      <c r="H18" s="64">
        <v>1</v>
      </c>
      <c r="I18" s="64">
        <v>0</v>
      </c>
      <c r="J18" s="64">
        <v>0</v>
      </c>
      <c r="K18" s="61"/>
      <c r="L18" s="64">
        <f t="shared" si="1"/>
        <v>1</v>
      </c>
      <c r="M18" s="64">
        <f t="shared" si="0"/>
        <v>0</v>
      </c>
      <c r="N18" s="64">
        <f t="shared" si="0"/>
        <v>0</v>
      </c>
      <c r="O18" s="72"/>
      <c r="P18" s="64">
        <f ca="1">IF(SUM(L18:INDIRECT(ADDRESS(ROW(L18)+$Q$7,COLUMN(L18),1,1)))&gt;0,1,0)</f>
        <v>1</v>
      </c>
      <c r="Q18" s="64">
        <f ca="1">IF(SUM(M18:INDIRECT(ADDRESS(ROW(M18)+$Q$7,COLUMN(M18),1,1)))&gt;0,1,0)</f>
        <v>0</v>
      </c>
      <c r="R18" s="64">
        <f ca="1">IF(SUM(N18:INDIRECT(ADDRESS(ROW(N18)+$Q$7,COLUMN(N18),1,1)))&gt;0,1,0)</f>
        <v>0</v>
      </c>
    </row>
    <row r="19" spans="1:18">
      <c r="A19" s="40">
        <v>11</v>
      </c>
      <c r="B19" s="41">
        <v>10</v>
      </c>
      <c r="C19" s="41">
        <v>0</v>
      </c>
      <c r="D19" s="41">
        <v>0</v>
      </c>
      <c r="G19" s="63">
        <v>11</v>
      </c>
      <c r="H19" s="64">
        <v>1</v>
      </c>
      <c r="I19" s="64">
        <v>0</v>
      </c>
      <c r="J19" s="64">
        <v>0</v>
      </c>
      <c r="K19" s="61"/>
      <c r="L19" s="64">
        <f t="shared" si="1"/>
        <v>1</v>
      </c>
      <c r="M19" s="64">
        <f t="shared" si="0"/>
        <v>0</v>
      </c>
      <c r="N19" s="64">
        <f t="shared" si="0"/>
        <v>0</v>
      </c>
      <c r="O19" s="72"/>
      <c r="P19" s="64">
        <f ca="1">IF(SUM(L19:INDIRECT(ADDRESS(ROW(L19)+$Q$7,COLUMN(L19),1,1)))&gt;0,1,0)</f>
        <v>1</v>
      </c>
      <c r="Q19" s="64">
        <f ca="1">IF(SUM(M19:INDIRECT(ADDRESS(ROW(M19)+$Q$7,COLUMN(M19),1,1)))&gt;0,1,0)</f>
        <v>0</v>
      </c>
      <c r="R19" s="64">
        <f ca="1">IF(SUM(N19:INDIRECT(ADDRESS(ROW(N19)+$Q$7,COLUMN(N19),1,1)))&gt;0,1,0)</f>
        <v>0</v>
      </c>
    </row>
    <row r="20" spans="1:18">
      <c r="A20" s="40">
        <v>12</v>
      </c>
      <c r="B20" s="41">
        <v>10</v>
      </c>
      <c r="C20" s="41">
        <v>0</v>
      </c>
      <c r="D20" s="41">
        <v>0</v>
      </c>
      <c r="G20" s="63">
        <v>12</v>
      </c>
      <c r="H20" s="64">
        <v>1</v>
      </c>
      <c r="I20" s="64">
        <v>0</v>
      </c>
      <c r="J20" s="64">
        <v>0</v>
      </c>
      <c r="K20" s="61"/>
      <c r="L20" s="64">
        <f t="shared" si="1"/>
        <v>1</v>
      </c>
      <c r="M20" s="64">
        <f t="shared" si="0"/>
        <v>0</v>
      </c>
      <c r="N20" s="64">
        <f t="shared" si="0"/>
        <v>0</v>
      </c>
      <c r="O20" s="72"/>
      <c r="P20" s="64">
        <f ca="1">IF(SUM(L20:INDIRECT(ADDRESS(ROW(L20)+$Q$7,COLUMN(L20),1,1)))&gt;0,1,0)</f>
        <v>1</v>
      </c>
      <c r="Q20" s="64">
        <f ca="1">IF(SUM(M20:INDIRECT(ADDRESS(ROW(M20)+$Q$7,COLUMN(M20),1,1)))&gt;0,1,0)</f>
        <v>0</v>
      </c>
      <c r="R20" s="64">
        <f ca="1">IF(SUM(N20:INDIRECT(ADDRESS(ROW(N20)+$Q$7,COLUMN(N20),1,1)))&gt;0,1,0)</f>
        <v>0</v>
      </c>
    </row>
    <row r="21" spans="1:18">
      <c r="A21" s="40">
        <v>13</v>
      </c>
      <c r="B21" s="41">
        <v>20</v>
      </c>
      <c r="C21" s="41">
        <v>0</v>
      </c>
      <c r="D21" s="41">
        <v>0</v>
      </c>
      <c r="G21" s="63">
        <v>13</v>
      </c>
      <c r="H21" s="64">
        <v>1</v>
      </c>
      <c r="I21" s="64">
        <v>0</v>
      </c>
      <c r="J21" s="64">
        <v>0</v>
      </c>
      <c r="K21" s="61"/>
      <c r="L21" s="64">
        <f t="shared" si="1"/>
        <v>1</v>
      </c>
      <c r="M21" s="64">
        <f t="shared" si="0"/>
        <v>0</v>
      </c>
      <c r="N21" s="64">
        <f t="shared" si="0"/>
        <v>0</v>
      </c>
      <c r="O21" s="72"/>
      <c r="P21" s="64">
        <f ca="1">IF(SUM(L21:INDIRECT(ADDRESS(ROW(L21)+$Q$7,COLUMN(L21),1,1)))&gt;0,1,0)</f>
        <v>1</v>
      </c>
      <c r="Q21" s="64">
        <f ca="1">IF(SUM(M21:INDIRECT(ADDRESS(ROW(M21)+$Q$7,COLUMN(M21),1,1)))&gt;0,1,0)</f>
        <v>0</v>
      </c>
      <c r="R21" s="64">
        <f ca="1">IF(SUM(N21:INDIRECT(ADDRESS(ROW(N21)+$Q$7,COLUMN(N21),1,1)))&gt;0,1,0)</f>
        <v>0</v>
      </c>
    </row>
    <row r="22" spans="1:18">
      <c r="A22" s="40">
        <v>14</v>
      </c>
      <c r="B22" s="41">
        <v>10</v>
      </c>
      <c r="C22" s="41">
        <v>0</v>
      </c>
      <c r="D22" s="41">
        <v>0</v>
      </c>
      <c r="G22" s="63">
        <v>14</v>
      </c>
      <c r="H22" s="64">
        <v>0.5</v>
      </c>
      <c r="I22" s="64">
        <v>0</v>
      </c>
      <c r="J22" s="64">
        <v>0</v>
      </c>
      <c r="K22" s="61"/>
      <c r="L22" s="64">
        <f t="shared" si="1"/>
        <v>1</v>
      </c>
      <c r="M22" s="64">
        <f t="shared" si="0"/>
        <v>0</v>
      </c>
      <c r="N22" s="64">
        <f t="shared" si="0"/>
        <v>0</v>
      </c>
      <c r="O22" s="72"/>
      <c r="P22" s="64">
        <f ca="1">IF(SUM(L22:INDIRECT(ADDRESS(ROW(L22)+$Q$7,COLUMN(L22),1,1)))&gt;0,1,0)</f>
        <v>1</v>
      </c>
      <c r="Q22" s="64">
        <f ca="1">IF(SUM(M22:INDIRECT(ADDRESS(ROW(M22)+$Q$7,COLUMN(M22),1,1)))&gt;0,1,0)</f>
        <v>0</v>
      </c>
      <c r="R22" s="64">
        <f ca="1">IF(SUM(N22:INDIRECT(ADDRESS(ROW(N22)+$Q$7,COLUMN(N22),1,1)))&gt;0,1,0)</f>
        <v>0</v>
      </c>
    </row>
    <row r="23" spans="1:18">
      <c r="A23" s="40">
        <v>15</v>
      </c>
      <c r="B23" s="41">
        <v>10</v>
      </c>
      <c r="C23" s="41">
        <v>0</v>
      </c>
      <c r="D23" s="41">
        <v>0</v>
      </c>
      <c r="G23" s="63">
        <v>15</v>
      </c>
      <c r="H23" s="64">
        <v>1</v>
      </c>
      <c r="I23" s="64">
        <v>0</v>
      </c>
      <c r="J23" s="64">
        <v>0</v>
      </c>
      <c r="K23" s="61"/>
      <c r="L23" s="64">
        <f t="shared" si="1"/>
        <v>1</v>
      </c>
      <c r="M23" s="64">
        <f t="shared" si="0"/>
        <v>0</v>
      </c>
      <c r="N23" s="64">
        <f t="shared" si="0"/>
        <v>0</v>
      </c>
      <c r="O23" s="72"/>
      <c r="P23" s="64">
        <f ca="1">IF(SUM(L23:INDIRECT(ADDRESS(ROW(L23)+$Q$7,COLUMN(L23),1,1)))&gt;0,1,0)</f>
        <v>1</v>
      </c>
      <c r="Q23" s="64">
        <f ca="1">IF(SUM(M23:INDIRECT(ADDRESS(ROW(M23)+$Q$7,COLUMN(M23),1,1)))&gt;0,1,0)</f>
        <v>0</v>
      </c>
      <c r="R23" s="64">
        <f ca="1">IF(SUM(N23:INDIRECT(ADDRESS(ROW(N23)+$Q$7,COLUMN(N23),1,1)))&gt;0,1,0)</f>
        <v>0</v>
      </c>
    </row>
    <row r="24" spans="1:18">
      <c r="A24" s="40">
        <v>16</v>
      </c>
      <c r="B24" s="41">
        <v>10</v>
      </c>
      <c r="C24" s="41">
        <v>0</v>
      </c>
      <c r="D24" s="41">
        <v>0</v>
      </c>
      <c r="G24" s="63">
        <v>16</v>
      </c>
      <c r="H24" s="64">
        <v>1</v>
      </c>
      <c r="I24" s="64">
        <v>0</v>
      </c>
      <c r="J24" s="64">
        <v>0</v>
      </c>
      <c r="K24" s="61"/>
      <c r="L24" s="64">
        <f t="shared" si="1"/>
        <v>1</v>
      </c>
      <c r="M24" s="64">
        <f t="shared" si="0"/>
        <v>0</v>
      </c>
      <c r="N24" s="64">
        <f t="shared" si="0"/>
        <v>0</v>
      </c>
      <c r="O24" s="72"/>
      <c r="P24" s="64">
        <f ca="1">IF(SUM(L24:INDIRECT(ADDRESS(ROW(L24)+$Q$7,COLUMN(L24),1,1)))&gt;0,1,0)</f>
        <v>1</v>
      </c>
      <c r="Q24" s="64">
        <f ca="1">IF(SUM(M24:INDIRECT(ADDRESS(ROW(M24)+$Q$7,COLUMN(M24),1,1)))&gt;0,1,0)</f>
        <v>0</v>
      </c>
      <c r="R24" s="64">
        <f ca="1">IF(SUM(N24:INDIRECT(ADDRESS(ROW(N24)+$Q$7,COLUMN(N24),1,1)))&gt;0,1,0)</f>
        <v>0</v>
      </c>
    </row>
    <row r="25" spans="1:18">
      <c r="A25" s="40">
        <v>17</v>
      </c>
      <c r="B25" s="41">
        <v>10</v>
      </c>
      <c r="C25" s="41">
        <v>0</v>
      </c>
      <c r="D25" s="41">
        <v>0</v>
      </c>
      <c r="G25" s="63">
        <v>17</v>
      </c>
      <c r="H25" s="64">
        <v>1</v>
      </c>
      <c r="I25" s="64">
        <v>0</v>
      </c>
      <c r="J25" s="64">
        <v>0</v>
      </c>
      <c r="K25" s="61"/>
      <c r="L25" s="64">
        <f t="shared" si="1"/>
        <v>1</v>
      </c>
      <c r="M25" s="64">
        <f t="shared" si="0"/>
        <v>0</v>
      </c>
      <c r="N25" s="64">
        <f t="shared" si="0"/>
        <v>0</v>
      </c>
      <c r="O25" s="72"/>
      <c r="P25" s="64">
        <f ca="1">IF(SUM(L25:INDIRECT(ADDRESS(ROW(L25)+$Q$7,COLUMN(L25),1,1)))&gt;0,1,0)</f>
        <v>1</v>
      </c>
      <c r="Q25" s="64">
        <f ca="1">IF(SUM(M25:INDIRECT(ADDRESS(ROW(M25)+$Q$7,COLUMN(M25),1,1)))&gt;0,1,0)</f>
        <v>0</v>
      </c>
      <c r="R25" s="64">
        <f ca="1">IF(SUM(N25:INDIRECT(ADDRESS(ROW(N25)+$Q$7,COLUMN(N25),1,1)))&gt;0,1,0)</f>
        <v>0</v>
      </c>
    </row>
    <row r="26" spans="1:18">
      <c r="A26" s="40">
        <v>18</v>
      </c>
      <c r="B26" s="41">
        <v>5</v>
      </c>
      <c r="C26" s="41">
        <v>0</v>
      </c>
      <c r="D26" s="41">
        <v>0</v>
      </c>
      <c r="G26" s="63">
        <v>18</v>
      </c>
      <c r="H26" s="64">
        <v>0.5</v>
      </c>
      <c r="I26" s="64">
        <v>0</v>
      </c>
      <c r="J26" s="64">
        <v>0</v>
      </c>
      <c r="K26" s="61"/>
      <c r="L26" s="64">
        <f t="shared" si="1"/>
        <v>1</v>
      </c>
      <c r="M26" s="64">
        <f t="shared" si="0"/>
        <v>0</v>
      </c>
      <c r="N26" s="64">
        <f t="shared" si="0"/>
        <v>0</v>
      </c>
      <c r="O26" s="72"/>
      <c r="P26" s="64">
        <f ca="1">IF(SUM(L26:INDIRECT(ADDRESS(ROW(L26)+$Q$7,COLUMN(L26),1,1)))&gt;0,1,0)</f>
        <v>1</v>
      </c>
      <c r="Q26" s="64">
        <f ca="1">IF(SUM(M26:INDIRECT(ADDRESS(ROW(M26)+$Q$7,COLUMN(M26),1,1)))&gt;0,1,0)</f>
        <v>0</v>
      </c>
      <c r="R26" s="64">
        <f ca="1">IF(SUM(N26:INDIRECT(ADDRESS(ROW(N26)+$Q$7,COLUMN(N26),1,1)))&gt;0,1,0)</f>
        <v>0</v>
      </c>
    </row>
    <row r="27" spans="1:18">
      <c r="A27" s="40">
        <v>19</v>
      </c>
      <c r="B27" s="41">
        <v>0</v>
      </c>
      <c r="C27" s="41">
        <v>0</v>
      </c>
      <c r="D27" s="41">
        <v>0</v>
      </c>
      <c r="G27" s="63">
        <v>19</v>
      </c>
      <c r="H27" s="64">
        <v>0</v>
      </c>
      <c r="I27" s="64">
        <v>0</v>
      </c>
      <c r="J27" s="64">
        <v>0</v>
      </c>
      <c r="K27" s="61"/>
      <c r="L27" s="64">
        <f t="shared" si="1"/>
        <v>0</v>
      </c>
      <c r="M27" s="64">
        <f t="shared" si="0"/>
        <v>0</v>
      </c>
      <c r="N27" s="64">
        <f t="shared" si="0"/>
        <v>0</v>
      </c>
      <c r="O27" s="72"/>
      <c r="P27" s="64">
        <f ca="1">IF(SUM(L27:INDIRECT(ADDRESS(ROW(L27)+$Q$7,COLUMN(L27),1,1)))&gt;0,1,0)</f>
        <v>0</v>
      </c>
      <c r="Q27" s="64">
        <f ca="1">IF(SUM(M27:INDIRECT(ADDRESS(ROW(M27)+$Q$7,COLUMN(M27),1,1)))&gt;0,1,0)</f>
        <v>0</v>
      </c>
      <c r="R27" s="64">
        <f ca="1">IF(SUM(N27:INDIRECT(ADDRESS(ROW(N27)+$Q$7,COLUMN(N27),1,1)))&gt;0,1,0)</f>
        <v>0</v>
      </c>
    </row>
    <row r="28" spans="1:18">
      <c r="A28" s="40">
        <v>20</v>
      </c>
      <c r="B28" s="41">
        <v>0</v>
      </c>
      <c r="C28" s="41">
        <v>0</v>
      </c>
      <c r="D28" s="41">
        <v>0</v>
      </c>
      <c r="G28" s="63">
        <v>20</v>
      </c>
      <c r="H28" s="64">
        <v>0</v>
      </c>
      <c r="I28" s="64">
        <v>0</v>
      </c>
      <c r="J28" s="64">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0">
        <v>21</v>
      </c>
      <c r="B29" s="41">
        <v>0</v>
      </c>
      <c r="C29" s="41">
        <v>0</v>
      </c>
      <c r="D29" s="41">
        <v>0</v>
      </c>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100</v>
      </c>
      <c r="C34" s="41">
        <f t="shared" ref="C34:D34" si="2">SUM(C9:C33)</f>
        <v>0</v>
      </c>
      <c r="D34" s="41">
        <f t="shared" si="2"/>
        <v>0</v>
      </c>
    </row>
  </sheetData>
  <mergeCells count="8">
    <mergeCell ref="A6:E6"/>
    <mergeCell ref="B7:B8"/>
    <mergeCell ref="C7:C8"/>
    <mergeCell ref="D7:D8"/>
    <mergeCell ref="G6:K6"/>
    <mergeCell ref="H7:H8"/>
    <mergeCell ref="I7:I8"/>
    <mergeCell ref="J7:J8"/>
  </mergeCells>
  <conditionalFormatting sqref="B9:B32">
    <cfRule type="dataBar" priority="6">
      <dataBar>
        <cfvo type="min"/>
        <cfvo type="max"/>
        <color rgb="FF63C384"/>
      </dataBar>
      <extLst>
        <ext xmlns:x14="http://schemas.microsoft.com/office/spreadsheetml/2009/9/main" uri="{B025F937-C7B1-47D3-B67F-A62EFF666E3E}">
          <x14:id>{3F0B378A-775C-41F8-A230-7B65C44F6481}</x14:id>
        </ext>
      </extLst>
    </cfRule>
  </conditionalFormatting>
  <conditionalFormatting sqref="C9:D32">
    <cfRule type="dataBar" priority="7">
      <dataBar>
        <cfvo type="min"/>
        <cfvo type="max"/>
        <color rgb="FF63C384"/>
      </dataBar>
      <extLst>
        <ext xmlns:x14="http://schemas.microsoft.com/office/spreadsheetml/2009/9/main" uri="{B025F937-C7B1-47D3-B67F-A62EFF666E3E}">
          <x14:id>{33002B07-C6F6-4282-915C-AF543D1AB632}</x14:id>
        </ext>
      </extLst>
    </cfRule>
  </conditionalFormatting>
  <conditionalFormatting sqref="H9:H32">
    <cfRule type="dataBar" priority="4">
      <dataBar>
        <cfvo type="min"/>
        <cfvo type="max"/>
        <color rgb="FF63C384"/>
      </dataBar>
      <extLst>
        <ext xmlns:x14="http://schemas.microsoft.com/office/spreadsheetml/2009/9/main" uri="{B025F937-C7B1-47D3-B67F-A62EFF666E3E}">
          <x14:id>{483BC2AB-5462-4985-8D7E-EE3B0BEDF404}</x14:id>
        </ext>
      </extLst>
    </cfRule>
  </conditionalFormatting>
  <conditionalFormatting sqref="I9:J32">
    <cfRule type="dataBar" priority="5">
      <dataBar>
        <cfvo type="min"/>
        <cfvo type="max"/>
        <color rgb="FF63C384"/>
      </dataBar>
      <extLst>
        <ext xmlns:x14="http://schemas.microsoft.com/office/spreadsheetml/2009/9/main" uri="{B025F937-C7B1-47D3-B67F-A62EFF666E3E}">
          <x14:id>{D82F989F-EA7E-4723-B2ED-4FABBC05EC93}</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{69114047-64C2-4B68-98B1-14A4C5D30A89}</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{1B9A6F92-BB5A-4A7D-889C-984CDCE74597}</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F0B378A-775C-41F8-A230-7B65C44F6481}">
            <x14:dataBar minLength="0" maxLength="100" border="1" negativeBarBorderColorSameAsPositive="0">
              <x14:cfvo type="autoMin"/>
              <x14:cfvo type="autoMax"/>
              <x14:borderColor rgb="FF63C384"/>
              <x14:negativeFillColor rgb="FFFF0000"/>
              <x14:negativeBorderColor rgb="FFFF0000"/>
              <x14:axisColor rgb="FF000000"/>
            </x14:dataBar>
          </x14:cfRule>
          <xm:sqref>B9:B32</xm:sqref>
        </x14:conditionalFormatting>
        <x14:conditionalFormatting xmlns:xm="http://schemas.microsoft.com/office/excel/2006/main">
          <x14:cfRule type="dataBar" id="{33002B07-C6F6-4282-915C-AF543D1AB632}">
            <x14:dataBar minLength="0" maxLength="100" border="1" negativeBarBorderColorSameAsPositive="0">
              <x14:cfvo type="autoMin"/>
              <x14:cfvo type="autoMax"/>
              <x14:borderColor rgb="FF63C384"/>
              <x14:negativeFillColor rgb="FFFF0000"/>
              <x14:negativeBorderColor rgb="FFFF0000"/>
              <x14:axisColor rgb="FF000000"/>
            </x14:dataBar>
          </x14:cfRule>
          <xm:sqref>C9:D32</xm:sqref>
        </x14:conditionalFormatting>
        <x14:conditionalFormatting xmlns:xm="http://schemas.microsoft.com/office/excel/2006/main">
          <x14:cfRule type="dataBar" id="{483BC2AB-5462-4985-8D7E-EE3B0BEDF404}">
            <x14:dataBar minLength="0" maxLength="100" border="1" negativeBarBorderColorSameAsPositive="0">
              <x14:cfvo type="autoMin"/>
              <x14:cfvo type="autoMax"/>
              <x14:borderColor rgb="FF63C384"/>
              <x14:negativeFillColor rgb="FFFF0000"/>
              <x14:negativeBorderColor rgb="FFFF0000"/>
              <x14:axisColor rgb="FF000000"/>
            </x14:dataBar>
          </x14:cfRule>
          <xm:sqref>H9:H32</xm:sqref>
        </x14:conditionalFormatting>
        <x14:conditionalFormatting xmlns:xm="http://schemas.microsoft.com/office/excel/2006/main">
          <x14:cfRule type="dataBar" id="{D82F989F-EA7E-4723-B2ED-4FABBC05EC93}">
            <x14:dataBar minLength="0" maxLength="100" border="1" negativeBarBorderColorSameAsPositive="0">
              <x14:cfvo type="autoMin"/>
              <x14:cfvo type="autoMax"/>
              <x14:borderColor rgb="FF63C384"/>
              <x14:negativeFillColor rgb="FFFF0000"/>
              <x14:negativeBorderColor rgb="FFFF0000"/>
              <x14:axisColor rgb="FF000000"/>
            </x14:dataBar>
          </x14:cfRule>
          <xm:sqref>I9:J32</xm:sqref>
        </x14:conditionalFormatting>
        <x14:conditionalFormatting xmlns:xm="http://schemas.microsoft.com/office/excel/2006/main">
          <x14:cfRule type="dataBar" id="{69114047-64C2-4B68-98B1-14A4C5D30A89}">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1B9A6F92-BB5A-4A7D-889C-984CDCE74597}">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2C05-E8C7-4CBD-9602-F9B49C0AF418}">
  <sheetPr codeName="Foglio27"/>
  <dimension ref="A1:R34"/>
  <sheetViews>
    <sheetView workbookViewId="0"/>
  </sheetViews>
  <sheetFormatPr defaultColWidth="9.140625" defaultRowHeight="15"/>
  <cols>
    <col min="1" max="1" width="8" style="42" customWidth="1"/>
    <col min="2" max="16384" width="9.140625" style="42"/>
  </cols>
  <sheetData>
    <row r="1" spans="1:18">
      <c r="A1" s="43" t="s">
        <v>71</v>
      </c>
      <c r="B1" s="44"/>
      <c r="C1" s="44"/>
      <c r="D1" s="42" t="s">
        <v>107</v>
      </c>
      <c r="F1" s="38"/>
    </row>
    <row r="2" spans="1:18">
      <c r="A2" s="43" t="s">
        <v>73</v>
      </c>
      <c r="B2" s="44"/>
      <c r="C2" s="44"/>
      <c r="D2" s="42" t="s">
        <v>110</v>
      </c>
      <c r="E2" s="42" t="s">
        <v>111</v>
      </c>
      <c r="F2" s="38"/>
    </row>
    <row r="3" spans="1:18">
      <c r="A3" s="43" t="s">
        <v>75</v>
      </c>
      <c r="B3" s="44"/>
      <c r="C3" s="44"/>
      <c r="D3" s="42" t="s">
        <v>109</v>
      </c>
      <c r="F3" s="38"/>
    </row>
    <row r="4" spans="1:18">
      <c r="A4" s="44"/>
      <c r="B4" s="44"/>
      <c r="C4" s="44"/>
      <c r="F4" s="38"/>
    </row>
    <row r="5" spans="1:18">
      <c r="F5" s="38"/>
    </row>
    <row r="6" spans="1:18">
      <c r="A6" s="813" t="s">
        <v>191</v>
      </c>
      <c r="B6" s="814"/>
      <c r="C6" s="814"/>
      <c r="D6" s="814"/>
      <c r="E6" s="815"/>
      <c r="F6" s="38"/>
      <c r="G6" s="818" t="s">
        <v>77</v>
      </c>
      <c r="H6" s="818"/>
      <c r="I6" s="818"/>
      <c r="J6" s="818"/>
      <c r="K6" s="818"/>
      <c r="L6" s="65"/>
      <c r="M6" s="66" t="s">
        <v>193</v>
      </c>
      <c r="N6" s="67"/>
      <c r="O6" s="66"/>
      <c r="P6" s="65"/>
      <c r="Q6" s="66" t="s">
        <v>192</v>
      </c>
      <c r="R6" s="67"/>
    </row>
    <row r="7" spans="1:18">
      <c r="B7" s="816" t="s">
        <v>78</v>
      </c>
      <c r="C7" s="816" t="s">
        <v>79</v>
      </c>
      <c r="D7" s="817" t="s">
        <v>80</v>
      </c>
      <c r="E7" s="38"/>
      <c r="G7"/>
      <c r="H7" s="819" t="s">
        <v>78</v>
      </c>
      <c r="I7" s="819" t="s">
        <v>79</v>
      </c>
      <c r="J7" s="820" t="s">
        <v>80</v>
      </c>
      <c r="K7" s="61"/>
      <c r="L7" s="38"/>
      <c r="M7" s="38"/>
      <c r="N7" s="38"/>
      <c r="O7" s="38"/>
      <c r="P7" s="73" t="s">
        <v>195</v>
      </c>
      <c r="Q7" s="74">
        <v>3</v>
      </c>
      <c r="R7" s="38"/>
    </row>
    <row r="8" spans="1:18">
      <c r="A8" s="45" t="s">
        <v>81</v>
      </c>
      <c r="B8" s="816"/>
      <c r="C8" s="816"/>
      <c r="D8" s="817"/>
      <c r="E8" s="38"/>
      <c r="G8" s="68" t="s">
        <v>81</v>
      </c>
      <c r="H8" s="819"/>
      <c r="I8" s="819"/>
      <c r="J8" s="820"/>
      <c r="K8" s="61"/>
      <c r="L8" s="38"/>
      <c r="M8" s="38"/>
      <c r="N8" s="38"/>
      <c r="O8" s="38"/>
      <c r="P8" s="38"/>
      <c r="Q8" s="38"/>
      <c r="R8" s="38"/>
    </row>
    <row r="9" spans="1:18">
      <c r="A9" s="45">
        <v>1</v>
      </c>
      <c r="B9" s="41">
        <v>0</v>
      </c>
      <c r="C9" s="46">
        <v>0</v>
      </c>
      <c r="D9" s="46">
        <v>0</v>
      </c>
      <c r="E9" s="38"/>
      <c r="G9" s="68">
        <v>1</v>
      </c>
      <c r="H9" s="69">
        <v>0</v>
      </c>
      <c r="I9" s="69">
        <v>0</v>
      </c>
      <c r="J9" s="69">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5">
        <v>2</v>
      </c>
      <c r="B10" s="41">
        <v>0</v>
      </c>
      <c r="C10" s="46">
        <v>0</v>
      </c>
      <c r="D10" s="46">
        <v>0</v>
      </c>
      <c r="E10" s="38"/>
      <c r="G10" s="68">
        <v>2</v>
      </c>
      <c r="H10" s="69">
        <v>0</v>
      </c>
      <c r="I10" s="69">
        <v>0</v>
      </c>
      <c r="J10" s="69">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5">
        <v>3</v>
      </c>
      <c r="B11" s="41">
        <v>0</v>
      </c>
      <c r="C11" s="46">
        <v>0</v>
      </c>
      <c r="D11" s="46">
        <v>0</v>
      </c>
      <c r="E11" s="38"/>
      <c r="G11" s="68">
        <v>3</v>
      </c>
      <c r="H11" s="69">
        <v>0</v>
      </c>
      <c r="I11" s="69">
        <v>0</v>
      </c>
      <c r="J11" s="69">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5">
        <v>4</v>
      </c>
      <c r="B12" s="41">
        <v>0</v>
      </c>
      <c r="C12" s="46">
        <v>0</v>
      </c>
      <c r="D12" s="46">
        <v>0</v>
      </c>
      <c r="E12" s="38"/>
      <c r="G12" s="68">
        <v>4</v>
      </c>
      <c r="H12" s="69">
        <v>0</v>
      </c>
      <c r="I12" s="69">
        <v>0</v>
      </c>
      <c r="J12" s="69">
        <v>0</v>
      </c>
      <c r="K12" s="61"/>
      <c r="L12" s="64">
        <f t="shared" si="1"/>
        <v>0</v>
      </c>
      <c r="M12" s="64">
        <f t="shared" si="0"/>
        <v>0</v>
      </c>
      <c r="N12" s="64">
        <f t="shared" si="0"/>
        <v>0</v>
      </c>
      <c r="O12" s="72"/>
      <c r="P12" s="64">
        <f ca="1">IF(SUM(L12:INDIRECT(ADDRESS(ROW(L12)+$Q$7,COLUMN(L12),1,1)))&gt;0,1,0)</f>
        <v>0</v>
      </c>
      <c r="Q12" s="64">
        <f ca="1">IF(SUM(M12:INDIRECT(ADDRESS(ROW(M12)+$Q$7,COLUMN(M12),1,1)))&gt;0,1,0)</f>
        <v>0</v>
      </c>
      <c r="R12" s="64">
        <f ca="1">IF(SUM(N12:INDIRECT(ADDRESS(ROW(N12)+$Q$7,COLUMN(N12),1,1)))&gt;0,1,0)</f>
        <v>0</v>
      </c>
    </row>
    <row r="13" spans="1:18">
      <c r="A13" s="45">
        <v>5</v>
      </c>
      <c r="B13" s="41">
        <v>0</v>
      </c>
      <c r="C13" s="46">
        <v>0</v>
      </c>
      <c r="D13" s="46">
        <v>0</v>
      </c>
      <c r="E13" s="38"/>
      <c r="G13" s="68">
        <v>5</v>
      </c>
      <c r="H13" s="69">
        <v>0</v>
      </c>
      <c r="I13" s="69">
        <v>0</v>
      </c>
      <c r="J13" s="69">
        <v>0</v>
      </c>
      <c r="K13" s="61"/>
      <c r="L13" s="64">
        <f t="shared" si="1"/>
        <v>0</v>
      </c>
      <c r="M13" s="64">
        <f t="shared" si="0"/>
        <v>0</v>
      </c>
      <c r="N13" s="64">
        <f t="shared" si="0"/>
        <v>0</v>
      </c>
      <c r="O13" s="72"/>
      <c r="P13" s="64">
        <f ca="1">IF(SUM(L13:INDIRECT(ADDRESS(ROW(L13)+$Q$7,COLUMN(L13),1,1)))&gt;0,1,0)</f>
        <v>0</v>
      </c>
      <c r="Q13" s="64">
        <f ca="1">IF(SUM(M13:INDIRECT(ADDRESS(ROW(M13)+$Q$7,COLUMN(M13),1,1)))&gt;0,1,0)</f>
        <v>0</v>
      </c>
      <c r="R13" s="64">
        <f ca="1">IF(SUM(N13:INDIRECT(ADDRESS(ROW(N13)+$Q$7,COLUMN(N13),1,1)))&gt;0,1,0)</f>
        <v>0</v>
      </c>
    </row>
    <row r="14" spans="1:18">
      <c r="A14" s="45">
        <v>6</v>
      </c>
      <c r="B14" s="41">
        <v>0</v>
      </c>
      <c r="C14" s="46">
        <v>0</v>
      </c>
      <c r="D14" s="46">
        <v>0</v>
      </c>
      <c r="E14" s="38"/>
      <c r="G14" s="68">
        <v>6</v>
      </c>
      <c r="H14" s="69">
        <v>0</v>
      </c>
      <c r="I14" s="69">
        <v>0</v>
      </c>
      <c r="J14" s="69">
        <v>0</v>
      </c>
      <c r="K14" s="61"/>
      <c r="L14" s="64">
        <f t="shared" si="1"/>
        <v>0</v>
      </c>
      <c r="M14" s="64">
        <f t="shared" si="0"/>
        <v>0</v>
      </c>
      <c r="N14" s="64">
        <f t="shared" si="0"/>
        <v>0</v>
      </c>
      <c r="O14" s="72"/>
      <c r="P14" s="64">
        <f ca="1">IF(SUM(L14:INDIRECT(ADDRESS(ROW(L14)+$Q$7,COLUMN(L14),1,1)))&gt;0,1,0)</f>
        <v>1</v>
      </c>
      <c r="Q14" s="64">
        <f ca="1">IF(SUM(M14:INDIRECT(ADDRESS(ROW(M14)+$Q$7,COLUMN(M14),1,1)))&gt;0,1,0)</f>
        <v>1</v>
      </c>
      <c r="R14" s="64">
        <f ca="1">IF(SUM(N14:INDIRECT(ADDRESS(ROW(N14)+$Q$7,COLUMN(N14),1,1)))&gt;0,1,0)</f>
        <v>0</v>
      </c>
    </row>
    <row r="15" spans="1:18">
      <c r="A15" s="45">
        <v>7</v>
      </c>
      <c r="B15" s="41">
        <v>0</v>
      </c>
      <c r="C15" s="46">
        <v>0</v>
      </c>
      <c r="D15" s="46">
        <v>0</v>
      </c>
      <c r="E15" s="38"/>
      <c r="G15" s="68">
        <v>7</v>
      </c>
      <c r="H15" s="69">
        <v>0</v>
      </c>
      <c r="I15" s="69">
        <v>0</v>
      </c>
      <c r="J15" s="69">
        <v>0</v>
      </c>
      <c r="K15" s="61"/>
      <c r="L15" s="64">
        <f t="shared" si="1"/>
        <v>0</v>
      </c>
      <c r="M15" s="64">
        <f t="shared" si="0"/>
        <v>0</v>
      </c>
      <c r="N15" s="64">
        <f t="shared" si="0"/>
        <v>0</v>
      </c>
      <c r="O15" s="72"/>
      <c r="P15" s="64">
        <f ca="1">IF(SUM(L15:INDIRECT(ADDRESS(ROW(L15)+$Q$7,COLUMN(L15),1,1)))&gt;0,1,0)</f>
        <v>1</v>
      </c>
      <c r="Q15" s="64">
        <f ca="1">IF(SUM(M15:INDIRECT(ADDRESS(ROW(M15)+$Q$7,COLUMN(M15),1,1)))&gt;0,1,0)</f>
        <v>1</v>
      </c>
      <c r="R15" s="64">
        <f ca="1">IF(SUM(N15:INDIRECT(ADDRESS(ROW(N15)+$Q$7,COLUMN(N15),1,1)))&gt;0,1,0)</f>
        <v>0</v>
      </c>
    </row>
    <row r="16" spans="1:18">
      <c r="A16" s="45">
        <v>8</v>
      </c>
      <c r="B16" s="41">
        <v>0</v>
      </c>
      <c r="C16" s="46">
        <v>0</v>
      </c>
      <c r="D16" s="46">
        <v>0</v>
      </c>
      <c r="E16" s="38"/>
      <c r="G16" s="68">
        <v>8</v>
      </c>
      <c r="H16" s="64">
        <v>0</v>
      </c>
      <c r="I16" s="69">
        <v>0</v>
      </c>
      <c r="J16" s="69">
        <v>0</v>
      </c>
      <c r="K16" s="61"/>
      <c r="L16" s="64">
        <f t="shared" si="1"/>
        <v>0</v>
      </c>
      <c r="M16" s="64">
        <f t="shared" si="0"/>
        <v>0</v>
      </c>
      <c r="N16" s="64">
        <f t="shared" si="0"/>
        <v>0</v>
      </c>
      <c r="O16" s="72"/>
      <c r="P16" s="64">
        <f ca="1">IF(SUM(L16:INDIRECT(ADDRESS(ROW(L16)+$Q$7,COLUMN(L16),1,1)))&gt;0,1,0)</f>
        <v>1</v>
      </c>
      <c r="Q16" s="64">
        <f ca="1">IF(SUM(M16:INDIRECT(ADDRESS(ROW(M16)+$Q$7,COLUMN(M16),1,1)))&gt;0,1,0)</f>
        <v>1</v>
      </c>
      <c r="R16" s="64">
        <f ca="1">IF(SUM(N16:INDIRECT(ADDRESS(ROW(N16)+$Q$7,COLUMN(N16),1,1)))&gt;0,1,0)</f>
        <v>0</v>
      </c>
    </row>
    <row r="17" spans="1:18">
      <c r="A17" s="45">
        <v>9</v>
      </c>
      <c r="B17" s="41">
        <v>5</v>
      </c>
      <c r="C17" s="46">
        <v>5</v>
      </c>
      <c r="D17" s="46">
        <v>0</v>
      </c>
      <c r="E17" s="38"/>
      <c r="G17" s="68">
        <v>9</v>
      </c>
      <c r="H17" s="64">
        <v>0.5</v>
      </c>
      <c r="I17" s="69">
        <v>0.5</v>
      </c>
      <c r="J17" s="69">
        <v>0</v>
      </c>
      <c r="K17" s="61"/>
      <c r="L17" s="64">
        <f t="shared" si="1"/>
        <v>1</v>
      </c>
      <c r="M17" s="64">
        <f t="shared" si="0"/>
        <v>1</v>
      </c>
      <c r="N17" s="64">
        <f t="shared" si="0"/>
        <v>0</v>
      </c>
      <c r="O17" s="72"/>
      <c r="P17" s="64">
        <f ca="1">IF(SUM(L17:INDIRECT(ADDRESS(ROW(L17)+$Q$7,COLUMN(L17),1,1)))&gt;0,1,0)</f>
        <v>1</v>
      </c>
      <c r="Q17" s="64">
        <f ca="1">IF(SUM(M17:INDIRECT(ADDRESS(ROW(M17)+$Q$7,COLUMN(M17),1,1)))&gt;0,1,0)</f>
        <v>1</v>
      </c>
      <c r="R17" s="64">
        <f ca="1">IF(SUM(N17:INDIRECT(ADDRESS(ROW(N17)+$Q$7,COLUMN(N17),1,1)))&gt;0,1,0)</f>
        <v>0</v>
      </c>
    </row>
    <row r="18" spans="1:18">
      <c r="A18" s="45">
        <v>10</v>
      </c>
      <c r="B18" s="41">
        <v>10</v>
      </c>
      <c r="C18" s="46">
        <v>10</v>
      </c>
      <c r="D18" s="46">
        <v>0</v>
      </c>
      <c r="E18" s="38"/>
      <c r="G18" s="68">
        <v>10</v>
      </c>
      <c r="H18" s="64">
        <v>1</v>
      </c>
      <c r="I18" s="69">
        <v>1</v>
      </c>
      <c r="J18" s="69">
        <v>0</v>
      </c>
      <c r="K18" s="61"/>
      <c r="L18" s="64">
        <f t="shared" si="1"/>
        <v>1</v>
      </c>
      <c r="M18" s="64">
        <f t="shared" si="0"/>
        <v>1</v>
      </c>
      <c r="N18" s="64">
        <f t="shared" si="0"/>
        <v>0</v>
      </c>
      <c r="O18" s="72"/>
      <c r="P18" s="64">
        <f ca="1">IF(SUM(L18:INDIRECT(ADDRESS(ROW(L18)+$Q$7,COLUMN(L18),1,1)))&gt;0,1,0)</f>
        <v>1</v>
      </c>
      <c r="Q18" s="64">
        <f ca="1">IF(SUM(M18:INDIRECT(ADDRESS(ROW(M18)+$Q$7,COLUMN(M18),1,1)))&gt;0,1,0)</f>
        <v>1</v>
      </c>
      <c r="R18" s="64">
        <f ca="1">IF(SUM(N18:INDIRECT(ADDRESS(ROW(N18)+$Q$7,COLUMN(N18),1,1)))&gt;0,1,0)</f>
        <v>0</v>
      </c>
    </row>
    <row r="19" spans="1:18">
      <c r="A19" s="45">
        <v>11</v>
      </c>
      <c r="B19" s="41">
        <v>10</v>
      </c>
      <c r="C19" s="46">
        <v>10</v>
      </c>
      <c r="D19" s="46">
        <v>0</v>
      </c>
      <c r="E19" s="38"/>
      <c r="G19" s="68">
        <v>11</v>
      </c>
      <c r="H19" s="64">
        <v>1</v>
      </c>
      <c r="I19" s="69">
        <v>1</v>
      </c>
      <c r="J19" s="69">
        <v>0</v>
      </c>
      <c r="K19" s="61"/>
      <c r="L19" s="64">
        <f t="shared" si="1"/>
        <v>1</v>
      </c>
      <c r="M19" s="64">
        <f t="shared" si="0"/>
        <v>1</v>
      </c>
      <c r="N19" s="64">
        <f t="shared" si="0"/>
        <v>0</v>
      </c>
      <c r="O19" s="72"/>
      <c r="P19" s="64">
        <f ca="1">IF(SUM(L19:INDIRECT(ADDRESS(ROW(L19)+$Q$7,COLUMN(L19),1,1)))&gt;0,1,0)</f>
        <v>1</v>
      </c>
      <c r="Q19" s="64">
        <f ca="1">IF(SUM(M19:INDIRECT(ADDRESS(ROW(M19)+$Q$7,COLUMN(M19),1,1)))&gt;0,1,0)</f>
        <v>1</v>
      </c>
      <c r="R19" s="64">
        <f ca="1">IF(SUM(N19:INDIRECT(ADDRESS(ROW(N19)+$Q$7,COLUMN(N19),1,1)))&gt;0,1,0)</f>
        <v>0</v>
      </c>
    </row>
    <row r="20" spans="1:18">
      <c r="A20" s="45">
        <v>12</v>
      </c>
      <c r="B20" s="41">
        <v>10</v>
      </c>
      <c r="C20" s="46">
        <v>10</v>
      </c>
      <c r="D20" s="46">
        <v>0</v>
      </c>
      <c r="E20" s="38"/>
      <c r="G20" s="68">
        <v>12</v>
      </c>
      <c r="H20" s="64">
        <v>1</v>
      </c>
      <c r="I20" s="69">
        <v>1</v>
      </c>
      <c r="J20" s="69">
        <v>0</v>
      </c>
      <c r="K20" s="61"/>
      <c r="L20" s="64">
        <f t="shared" si="1"/>
        <v>1</v>
      </c>
      <c r="M20" s="64">
        <f t="shared" si="0"/>
        <v>1</v>
      </c>
      <c r="N20" s="64">
        <f t="shared" si="0"/>
        <v>0</v>
      </c>
      <c r="O20" s="72"/>
      <c r="P20" s="64">
        <f ca="1">IF(SUM(L20:INDIRECT(ADDRESS(ROW(L20)+$Q$7,COLUMN(L20),1,1)))&gt;0,1,0)</f>
        <v>1</v>
      </c>
      <c r="Q20" s="64">
        <f ca="1">IF(SUM(M20:INDIRECT(ADDRESS(ROW(M20)+$Q$7,COLUMN(M20),1,1)))&gt;0,1,0)</f>
        <v>1</v>
      </c>
      <c r="R20" s="64">
        <f ca="1">IF(SUM(N20:INDIRECT(ADDRESS(ROW(N20)+$Q$7,COLUMN(N20),1,1)))&gt;0,1,0)</f>
        <v>0</v>
      </c>
    </row>
    <row r="21" spans="1:18">
      <c r="A21" s="45">
        <v>13</v>
      </c>
      <c r="B21" s="41">
        <v>20</v>
      </c>
      <c r="C21" s="46">
        <v>5</v>
      </c>
      <c r="D21" s="46">
        <v>0</v>
      </c>
      <c r="E21" s="38"/>
      <c r="G21" s="68">
        <v>13</v>
      </c>
      <c r="H21" s="64">
        <v>1</v>
      </c>
      <c r="I21" s="69">
        <v>0.5</v>
      </c>
      <c r="J21" s="69">
        <v>0</v>
      </c>
      <c r="K21" s="61"/>
      <c r="L21" s="64">
        <f t="shared" si="1"/>
        <v>1</v>
      </c>
      <c r="M21" s="64">
        <f t="shared" si="0"/>
        <v>1</v>
      </c>
      <c r="N21" s="64">
        <f t="shared" si="0"/>
        <v>0</v>
      </c>
      <c r="O21" s="72"/>
      <c r="P21" s="64">
        <f ca="1">IF(SUM(L21:INDIRECT(ADDRESS(ROW(L21)+$Q$7,COLUMN(L21),1,1)))&gt;0,1,0)</f>
        <v>1</v>
      </c>
      <c r="Q21" s="64">
        <f ca="1">IF(SUM(M21:INDIRECT(ADDRESS(ROW(M21)+$Q$7,COLUMN(M21),1,1)))&gt;0,1,0)</f>
        <v>1</v>
      </c>
      <c r="R21" s="64">
        <f ca="1">IF(SUM(N21:INDIRECT(ADDRESS(ROW(N21)+$Q$7,COLUMN(N21),1,1)))&gt;0,1,0)</f>
        <v>0</v>
      </c>
    </row>
    <row r="22" spans="1:18">
      <c r="A22" s="45">
        <v>14</v>
      </c>
      <c r="B22" s="41">
        <v>10</v>
      </c>
      <c r="C22" s="46">
        <v>0</v>
      </c>
      <c r="D22" s="46">
        <v>0</v>
      </c>
      <c r="E22" s="38"/>
      <c r="G22" s="68">
        <v>14</v>
      </c>
      <c r="H22" s="64">
        <v>0.5</v>
      </c>
      <c r="I22" s="69">
        <v>0</v>
      </c>
      <c r="J22" s="69">
        <v>0</v>
      </c>
      <c r="K22" s="61"/>
      <c r="L22" s="64">
        <f t="shared" si="1"/>
        <v>1</v>
      </c>
      <c r="M22" s="64">
        <f t="shared" si="0"/>
        <v>0</v>
      </c>
      <c r="N22" s="64">
        <f t="shared" si="0"/>
        <v>0</v>
      </c>
      <c r="O22" s="72"/>
      <c r="P22" s="64">
        <f ca="1">IF(SUM(L22:INDIRECT(ADDRESS(ROW(L22)+$Q$7,COLUMN(L22),1,1)))&gt;0,1,0)</f>
        <v>1</v>
      </c>
      <c r="Q22" s="64">
        <f ca="1">IF(SUM(M22:INDIRECT(ADDRESS(ROW(M22)+$Q$7,COLUMN(M22),1,1)))&gt;0,1,0)</f>
        <v>0</v>
      </c>
      <c r="R22" s="64">
        <f ca="1">IF(SUM(N22:INDIRECT(ADDRESS(ROW(N22)+$Q$7,COLUMN(N22),1,1)))&gt;0,1,0)</f>
        <v>0</v>
      </c>
    </row>
    <row r="23" spans="1:18">
      <c r="A23" s="45">
        <v>15</v>
      </c>
      <c r="B23" s="41">
        <v>10</v>
      </c>
      <c r="C23" s="46">
        <v>0</v>
      </c>
      <c r="D23" s="46">
        <v>0</v>
      </c>
      <c r="E23" s="38"/>
      <c r="G23" s="68">
        <v>15</v>
      </c>
      <c r="H23" s="64">
        <v>1</v>
      </c>
      <c r="I23" s="69">
        <v>0</v>
      </c>
      <c r="J23" s="69">
        <v>0</v>
      </c>
      <c r="K23" s="61"/>
      <c r="L23" s="64">
        <f t="shared" si="1"/>
        <v>1</v>
      </c>
      <c r="M23" s="64">
        <f t="shared" si="0"/>
        <v>0</v>
      </c>
      <c r="N23" s="64">
        <f t="shared" si="0"/>
        <v>0</v>
      </c>
      <c r="O23" s="72"/>
      <c r="P23" s="64">
        <f ca="1">IF(SUM(L23:INDIRECT(ADDRESS(ROW(L23)+$Q$7,COLUMN(L23),1,1)))&gt;0,1,0)</f>
        <v>1</v>
      </c>
      <c r="Q23" s="64">
        <f ca="1">IF(SUM(M23:INDIRECT(ADDRESS(ROW(M23)+$Q$7,COLUMN(M23),1,1)))&gt;0,1,0)</f>
        <v>0</v>
      </c>
      <c r="R23" s="64">
        <f ca="1">IF(SUM(N23:INDIRECT(ADDRESS(ROW(N23)+$Q$7,COLUMN(N23),1,1)))&gt;0,1,0)</f>
        <v>0</v>
      </c>
    </row>
    <row r="24" spans="1:18">
      <c r="A24" s="45">
        <v>16</v>
      </c>
      <c r="B24" s="41">
        <v>10</v>
      </c>
      <c r="C24" s="46">
        <v>0</v>
      </c>
      <c r="D24" s="46">
        <v>0</v>
      </c>
      <c r="E24" s="38"/>
      <c r="G24" s="68">
        <v>16</v>
      </c>
      <c r="H24" s="64">
        <v>1</v>
      </c>
      <c r="I24" s="69">
        <v>0</v>
      </c>
      <c r="J24" s="69">
        <v>0</v>
      </c>
      <c r="K24" s="61"/>
      <c r="L24" s="64">
        <f t="shared" si="1"/>
        <v>1</v>
      </c>
      <c r="M24" s="64">
        <f t="shared" si="0"/>
        <v>0</v>
      </c>
      <c r="N24" s="64">
        <f t="shared" si="0"/>
        <v>0</v>
      </c>
      <c r="O24" s="72"/>
      <c r="P24" s="64">
        <f ca="1">IF(SUM(L24:INDIRECT(ADDRESS(ROW(L24)+$Q$7,COLUMN(L24),1,1)))&gt;0,1,0)</f>
        <v>1</v>
      </c>
      <c r="Q24" s="64">
        <f ca="1">IF(SUM(M24:INDIRECT(ADDRESS(ROW(M24)+$Q$7,COLUMN(M24),1,1)))&gt;0,1,0)</f>
        <v>0</v>
      </c>
      <c r="R24" s="64">
        <f ca="1">IF(SUM(N24:INDIRECT(ADDRESS(ROW(N24)+$Q$7,COLUMN(N24),1,1)))&gt;0,1,0)</f>
        <v>0</v>
      </c>
    </row>
    <row r="25" spans="1:18">
      <c r="A25" s="45">
        <v>17</v>
      </c>
      <c r="B25" s="41">
        <v>10</v>
      </c>
      <c r="C25" s="46">
        <v>0</v>
      </c>
      <c r="D25" s="46">
        <v>0</v>
      </c>
      <c r="E25" s="38"/>
      <c r="G25" s="68">
        <v>17</v>
      </c>
      <c r="H25" s="64">
        <v>1</v>
      </c>
      <c r="I25" s="69">
        <v>0</v>
      </c>
      <c r="J25" s="69">
        <v>0</v>
      </c>
      <c r="K25" s="61"/>
      <c r="L25" s="64">
        <f t="shared" si="1"/>
        <v>1</v>
      </c>
      <c r="M25" s="64">
        <f t="shared" si="0"/>
        <v>0</v>
      </c>
      <c r="N25" s="64">
        <f t="shared" si="0"/>
        <v>0</v>
      </c>
      <c r="O25" s="72"/>
      <c r="P25" s="64">
        <f ca="1">IF(SUM(L25:INDIRECT(ADDRESS(ROW(L25)+$Q$7,COLUMN(L25),1,1)))&gt;0,1,0)</f>
        <v>1</v>
      </c>
      <c r="Q25" s="64">
        <f ca="1">IF(SUM(M25:INDIRECT(ADDRESS(ROW(M25)+$Q$7,COLUMN(M25),1,1)))&gt;0,1,0)</f>
        <v>0</v>
      </c>
      <c r="R25" s="64">
        <f ca="1">IF(SUM(N25:INDIRECT(ADDRESS(ROW(N25)+$Q$7,COLUMN(N25),1,1)))&gt;0,1,0)</f>
        <v>0</v>
      </c>
    </row>
    <row r="26" spans="1:18">
      <c r="A26" s="45">
        <v>18</v>
      </c>
      <c r="B26" s="41">
        <v>5</v>
      </c>
      <c r="C26" s="46">
        <v>0</v>
      </c>
      <c r="D26" s="46">
        <v>0</v>
      </c>
      <c r="E26" s="38"/>
      <c r="G26" s="68">
        <v>18</v>
      </c>
      <c r="H26" s="69">
        <v>0.5</v>
      </c>
      <c r="I26" s="69">
        <v>0</v>
      </c>
      <c r="J26" s="69">
        <v>0</v>
      </c>
      <c r="K26" s="61"/>
      <c r="L26" s="64">
        <f t="shared" si="1"/>
        <v>1</v>
      </c>
      <c r="M26" s="64">
        <f t="shared" si="0"/>
        <v>0</v>
      </c>
      <c r="N26" s="64">
        <f t="shared" si="0"/>
        <v>0</v>
      </c>
      <c r="O26" s="72"/>
      <c r="P26" s="64">
        <f ca="1">IF(SUM(L26:INDIRECT(ADDRESS(ROW(L26)+$Q$7,COLUMN(L26),1,1)))&gt;0,1,0)</f>
        <v>1</v>
      </c>
      <c r="Q26" s="64">
        <f ca="1">IF(SUM(M26:INDIRECT(ADDRESS(ROW(M26)+$Q$7,COLUMN(M26),1,1)))&gt;0,1,0)</f>
        <v>0</v>
      </c>
      <c r="R26" s="64">
        <f ca="1">IF(SUM(N26:INDIRECT(ADDRESS(ROW(N26)+$Q$7,COLUMN(N26),1,1)))&gt;0,1,0)</f>
        <v>0</v>
      </c>
    </row>
    <row r="27" spans="1:18">
      <c r="A27" s="45">
        <v>19</v>
      </c>
      <c r="B27" s="41">
        <v>0</v>
      </c>
      <c r="C27" s="46">
        <v>0</v>
      </c>
      <c r="D27" s="46">
        <v>0</v>
      </c>
      <c r="E27" s="38"/>
      <c r="G27" s="68">
        <v>19</v>
      </c>
      <c r="H27" s="69">
        <v>0</v>
      </c>
      <c r="I27" s="69">
        <v>0</v>
      </c>
      <c r="J27" s="69">
        <v>0</v>
      </c>
      <c r="K27" s="61"/>
      <c r="L27" s="64">
        <f t="shared" si="1"/>
        <v>0</v>
      </c>
      <c r="M27" s="64">
        <f t="shared" si="0"/>
        <v>0</v>
      </c>
      <c r="N27" s="64">
        <f t="shared" si="0"/>
        <v>0</v>
      </c>
      <c r="O27" s="72"/>
      <c r="P27" s="64">
        <f ca="1">IF(SUM(L27:INDIRECT(ADDRESS(ROW(L27)+$Q$7,COLUMN(L27),1,1)))&gt;0,1,0)</f>
        <v>0</v>
      </c>
      <c r="Q27" s="64">
        <f ca="1">IF(SUM(M27:INDIRECT(ADDRESS(ROW(M27)+$Q$7,COLUMN(M27),1,1)))&gt;0,1,0)</f>
        <v>0</v>
      </c>
      <c r="R27" s="64">
        <f ca="1">IF(SUM(N27:INDIRECT(ADDRESS(ROW(N27)+$Q$7,COLUMN(N27),1,1)))&gt;0,1,0)</f>
        <v>0</v>
      </c>
    </row>
    <row r="28" spans="1:18">
      <c r="A28" s="45">
        <v>20</v>
      </c>
      <c r="B28" s="41">
        <v>0</v>
      </c>
      <c r="C28" s="46">
        <v>0</v>
      </c>
      <c r="D28" s="46">
        <v>0</v>
      </c>
      <c r="E28" s="38"/>
      <c r="G28" s="68">
        <v>20</v>
      </c>
      <c r="H28" s="69">
        <v>0</v>
      </c>
      <c r="I28" s="69">
        <v>0</v>
      </c>
      <c r="J28" s="69">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5">
        <v>21</v>
      </c>
      <c r="B29" s="41">
        <v>0</v>
      </c>
      <c r="C29" s="46">
        <v>0</v>
      </c>
      <c r="D29" s="46">
        <v>0</v>
      </c>
      <c r="E29" s="38"/>
      <c r="G29" s="68">
        <v>21</v>
      </c>
      <c r="H29" s="69">
        <v>0</v>
      </c>
      <c r="I29" s="69">
        <v>0</v>
      </c>
      <c r="J29" s="69">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5">
        <v>22</v>
      </c>
      <c r="B30" s="41">
        <v>0</v>
      </c>
      <c r="C30" s="46">
        <v>0</v>
      </c>
      <c r="D30" s="46">
        <v>0</v>
      </c>
      <c r="E30" s="38"/>
      <c r="G30" s="68">
        <v>22</v>
      </c>
      <c r="H30" s="69">
        <v>0</v>
      </c>
      <c r="I30" s="69">
        <v>0</v>
      </c>
      <c r="J30" s="69">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5">
        <v>23</v>
      </c>
      <c r="B31" s="41">
        <v>0</v>
      </c>
      <c r="C31" s="46">
        <v>0</v>
      </c>
      <c r="D31" s="46">
        <v>0</v>
      </c>
      <c r="E31" s="38"/>
      <c r="G31" s="68">
        <v>23</v>
      </c>
      <c r="H31" s="69">
        <v>0</v>
      </c>
      <c r="I31" s="69">
        <v>0</v>
      </c>
      <c r="J31" s="69">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5">
        <v>24</v>
      </c>
      <c r="B32" s="41">
        <v>0</v>
      </c>
      <c r="C32" s="46">
        <v>0</v>
      </c>
      <c r="D32" s="46">
        <v>0</v>
      </c>
      <c r="E32" s="38"/>
      <c r="G32" s="68">
        <v>24</v>
      </c>
      <c r="H32" s="69">
        <v>0</v>
      </c>
      <c r="I32" s="69">
        <v>0</v>
      </c>
      <c r="J32" s="69">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3" spans="1:6">
      <c r="A33" s="38"/>
      <c r="B33" s="38"/>
      <c r="C33" s="38"/>
      <c r="D33" s="38"/>
      <c r="E33" s="38"/>
      <c r="F33" s="38"/>
    </row>
    <row r="34" spans="1:6">
      <c r="A34" s="215" t="s">
        <v>396</v>
      </c>
      <c r="B34" s="46">
        <f>SUM(B9:B33)</f>
        <v>100</v>
      </c>
      <c r="C34" s="46">
        <f t="shared" ref="C34:D34" si="2">SUM(C9:C33)</f>
        <v>40</v>
      </c>
      <c r="D34" s="46">
        <f t="shared" si="2"/>
        <v>0</v>
      </c>
    </row>
  </sheetData>
  <mergeCells count="8">
    <mergeCell ref="A6:E6"/>
    <mergeCell ref="B7:B8"/>
    <mergeCell ref="C7:C8"/>
    <mergeCell ref="D7:D8"/>
    <mergeCell ref="G6:K6"/>
    <mergeCell ref="H7:H8"/>
    <mergeCell ref="I7:I8"/>
    <mergeCell ref="J7:J8"/>
  </mergeCells>
  <conditionalFormatting sqref="B9:B32">
    <cfRule type="dataBar" priority="11">
      <dataBar>
        <cfvo type="min"/>
        <cfvo type="max"/>
        <color rgb="FF63C384"/>
      </dataBar>
      <extLst>
        <ext xmlns:x14="http://schemas.microsoft.com/office/spreadsheetml/2009/9/main" uri="{B025F937-C7B1-47D3-B67F-A62EFF666E3E}">
          <x14:id>{71DCFC5F-97B6-4694-AD64-285A1CD78D4B}</x14:id>
        </ext>
      </extLst>
    </cfRule>
  </conditionalFormatting>
  <conditionalFormatting sqref="C9:D32">
    <cfRule type="dataBar" priority="14">
      <dataBar>
        <cfvo type="min"/>
        <cfvo type="max"/>
        <color rgb="FF63C384"/>
      </dataBar>
      <extLst>
        <ext xmlns:x14="http://schemas.microsoft.com/office/spreadsheetml/2009/9/main" uri="{B025F937-C7B1-47D3-B67F-A62EFF666E3E}">
          <x14:id>{7D22EAC9-C970-452D-AD71-080D5B85EAD5}</x14:id>
        </ext>
      </extLst>
    </cfRule>
  </conditionalFormatting>
  <conditionalFormatting sqref="H9:H15 H26:H32">
    <cfRule type="dataBar" priority="9">
      <dataBar>
        <cfvo type="min"/>
        <cfvo type="max"/>
        <color rgb="FF63C384"/>
      </dataBar>
      <extLst>
        <ext xmlns:x14="http://schemas.microsoft.com/office/spreadsheetml/2009/9/main" uri="{B025F937-C7B1-47D3-B67F-A62EFF666E3E}">
          <x14:id>{9EF8EB07-2F4C-4E55-BACB-E39BF5C5F719}</x14:id>
        </ext>
      </extLst>
    </cfRule>
  </conditionalFormatting>
  <conditionalFormatting sqref="H16:H25">
    <cfRule type="dataBar" priority="8">
      <dataBar>
        <cfvo type="min"/>
        <cfvo type="max"/>
        <color rgb="FF63C384"/>
      </dataBar>
      <extLst>
        <ext xmlns:x14="http://schemas.microsoft.com/office/spreadsheetml/2009/9/main" uri="{B025F937-C7B1-47D3-B67F-A62EFF666E3E}">
          <x14:id>{14FAF4FB-BBC9-472C-9421-85C7F188B68F}</x14:id>
        </ext>
      </extLst>
    </cfRule>
  </conditionalFormatting>
  <conditionalFormatting sqref="I9:J32">
    <cfRule type="dataBar" priority="10">
      <dataBar>
        <cfvo type="min"/>
        <cfvo type="max"/>
        <color rgb="FF63C384"/>
      </dataBar>
      <extLst>
        <ext xmlns:x14="http://schemas.microsoft.com/office/spreadsheetml/2009/9/main" uri="{B025F937-C7B1-47D3-B67F-A62EFF666E3E}">
          <x14:id>{B6CD5716-C161-4D04-BAAA-BC1420155239}</x14:id>
        </ext>
      </extLst>
    </cfRule>
  </conditionalFormatting>
  <conditionalFormatting sqref="L9:N32">
    <cfRule type="dataBar" priority="7">
      <dataBar>
        <cfvo type="min"/>
        <cfvo type="max"/>
        <color rgb="FF63C384"/>
      </dataBar>
      <extLst>
        <ext xmlns:x14="http://schemas.microsoft.com/office/spreadsheetml/2009/9/main" uri="{B025F937-C7B1-47D3-B67F-A62EFF666E3E}">
          <x14:id>{787FB13F-39EC-4DD8-AFE5-A00523D1FA38}</x14:id>
        </ext>
      </extLst>
    </cfRule>
  </conditionalFormatting>
  <conditionalFormatting sqref="P9:R32">
    <cfRule type="dataBar" priority="5">
      <dataBar>
        <cfvo type="min"/>
        <cfvo type="max"/>
        <color rgb="FF63C384"/>
      </dataBar>
      <extLst>
        <ext xmlns:x14="http://schemas.microsoft.com/office/spreadsheetml/2009/9/main" uri="{B025F937-C7B1-47D3-B67F-A62EFF666E3E}">
          <x14:id>{CA6B002D-7487-4895-8E2C-325373D5D8CB}</x14:id>
        </ext>
      </extLst>
    </cfRule>
  </conditionalFormatting>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dataBar" id="{71DCFC5F-97B6-4694-AD64-285A1CD78D4B}">
            <x14:dataBar minLength="0" maxLength="100" border="1" negativeBarBorderColorSameAsPositive="0">
              <x14:cfvo type="autoMin"/>
              <x14:cfvo type="autoMax"/>
              <x14:borderColor rgb="FF63C384"/>
              <x14:negativeFillColor rgb="FFFF0000"/>
              <x14:negativeBorderColor rgb="FFFF0000"/>
              <x14:axisColor rgb="FF000000"/>
            </x14:dataBar>
          </x14:cfRule>
          <xm:sqref>B9:B32</xm:sqref>
        </x14:conditionalFormatting>
        <x14:conditionalFormatting xmlns:xm="http://schemas.microsoft.com/office/excel/2006/main">
          <x14:cfRule type="dataBar" id="{7D22EAC9-C970-452D-AD71-080D5B85EAD5}">
            <x14:dataBar minLength="0" maxLength="100" border="1" negativeBarBorderColorSameAsPositive="0">
              <x14:cfvo type="autoMin"/>
              <x14:cfvo type="autoMax"/>
              <x14:borderColor rgb="FF63C384"/>
              <x14:negativeFillColor rgb="FFFF0000"/>
              <x14:negativeBorderColor rgb="FFFF0000"/>
              <x14:axisColor rgb="FF000000"/>
            </x14:dataBar>
          </x14:cfRule>
          <xm:sqref>C9:D32</xm:sqref>
        </x14:conditionalFormatting>
        <x14:conditionalFormatting xmlns:xm="http://schemas.microsoft.com/office/excel/2006/main">
          <x14:cfRule type="dataBar" id="{9EF8EB07-2F4C-4E55-BACB-E39BF5C5F719}">
            <x14:dataBar minLength="0" maxLength="100" border="1" negativeBarBorderColorSameAsPositive="0">
              <x14:cfvo type="autoMin"/>
              <x14:cfvo type="autoMax"/>
              <x14:borderColor rgb="FF63C384"/>
              <x14:negativeFillColor rgb="FFFF0000"/>
              <x14:negativeBorderColor rgb="FFFF0000"/>
              <x14:axisColor rgb="FF000000"/>
            </x14:dataBar>
          </x14:cfRule>
          <xm:sqref>H9:H15 H26:H32</xm:sqref>
        </x14:conditionalFormatting>
        <x14:conditionalFormatting xmlns:xm="http://schemas.microsoft.com/office/excel/2006/main">
          <x14:cfRule type="dataBar" id="{14FAF4FB-BBC9-472C-9421-85C7F188B68F}">
            <x14:dataBar minLength="0" maxLength="100" border="1" negativeBarBorderColorSameAsPositive="0">
              <x14:cfvo type="autoMin"/>
              <x14:cfvo type="autoMax"/>
              <x14:borderColor rgb="FF63C384"/>
              <x14:negativeFillColor rgb="FFFF0000"/>
              <x14:negativeBorderColor rgb="FFFF0000"/>
              <x14:axisColor rgb="FF000000"/>
            </x14:dataBar>
          </x14:cfRule>
          <xm:sqref>H16:H25</xm:sqref>
        </x14:conditionalFormatting>
        <x14:conditionalFormatting xmlns:xm="http://schemas.microsoft.com/office/excel/2006/main">
          <x14:cfRule type="dataBar" id="{B6CD5716-C161-4D04-BAAA-BC1420155239}">
            <x14:dataBar minLength="0" maxLength="100" border="1" negativeBarBorderColorSameAsPositive="0">
              <x14:cfvo type="autoMin"/>
              <x14:cfvo type="autoMax"/>
              <x14:borderColor rgb="FF63C384"/>
              <x14:negativeFillColor rgb="FFFF0000"/>
              <x14:negativeBorderColor rgb="FFFF0000"/>
              <x14:axisColor rgb="FF000000"/>
            </x14:dataBar>
          </x14:cfRule>
          <xm:sqref>I9:J32</xm:sqref>
        </x14:conditionalFormatting>
        <x14:conditionalFormatting xmlns:xm="http://schemas.microsoft.com/office/excel/2006/main">
          <x14:cfRule type="dataBar" id="{787FB13F-39EC-4DD8-AFE5-A00523D1FA38}">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CA6B002D-7487-4895-8E2C-325373D5D8CB}">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AC45-EE01-428F-A1A9-02CFB51F0FEE}">
  <sheetPr codeName="Foglio28"/>
  <dimension ref="A1:P61"/>
  <sheetViews>
    <sheetView workbookViewId="0"/>
  </sheetViews>
  <sheetFormatPr defaultColWidth="9.140625" defaultRowHeight="15"/>
  <cols>
    <col min="1" max="1" width="9.140625" style="53"/>
    <col min="2" max="2" width="5.28515625" style="53" customWidth="1"/>
    <col min="3" max="5" width="10.42578125" style="53" customWidth="1"/>
    <col min="6" max="6" width="4.7109375" style="53" customWidth="1"/>
    <col min="7" max="7" width="4.5703125" style="53" customWidth="1"/>
    <col min="8" max="28" width="5.140625" style="53" customWidth="1"/>
    <col min="29" max="16384" width="9.140625" style="53"/>
  </cols>
  <sheetData>
    <row r="1" spans="1:16">
      <c r="A1" s="216"/>
      <c r="B1" s="216"/>
      <c r="C1" s="216"/>
      <c r="D1" s="216"/>
      <c r="E1" s="216"/>
      <c r="F1" s="216"/>
      <c r="G1" s="216"/>
      <c r="H1" s="216"/>
      <c r="I1" s="216"/>
      <c r="J1" s="216"/>
      <c r="K1" s="216"/>
      <c r="L1" s="216"/>
      <c r="M1" s="216"/>
      <c r="N1" s="216"/>
      <c r="O1" s="216"/>
      <c r="P1" s="216"/>
    </row>
    <row r="2" spans="1:16">
      <c r="A2" s="216"/>
      <c r="B2" s="216"/>
      <c r="C2" s="216"/>
      <c r="D2" s="216"/>
      <c r="E2" s="216"/>
      <c r="F2" s="216"/>
      <c r="G2" s="216"/>
      <c r="H2" s="216"/>
      <c r="I2" s="216"/>
      <c r="J2" s="216"/>
      <c r="K2" s="216"/>
      <c r="L2" s="216"/>
      <c r="M2" s="216"/>
      <c r="N2" s="216"/>
      <c r="O2" s="216"/>
      <c r="P2" s="216"/>
    </row>
    <row r="3" spans="1:16">
      <c r="A3" s="216"/>
      <c r="B3" s="216"/>
      <c r="C3" s="216"/>
      <c r="D3" s="216"/>
      <c r="E3" s="216"/>
      <c r="F3" s="216"/>
      <c r="G3" s="216"/>
      <c r="H3" s="216"/>
      <c r="I3" s="216"/>
      <c r="J3" s="216"/>
      <c r="K3" s="216"/>
      <c r="L3" s="216"/>
      <c r="M3" s="216"/>
      <c r="N3" s="216"/>
      <c r="O3" s="216"/>
      <c r="P3" s="216"/>
    </row>
    <row r="4" spans="1:16">
      <c r="A4" s="216"/>
      <c r="B4" s="216"/>
      <c r="C4" s="216"/>
      <c r="D4" s="216"/>
      <c r="E4" s="216"/>
      <c r="F4" s="216"/>
      <c r="G4" s="216"/>
      <c r="H4" s="216"/>
      <c r="I4" s="216"/>
      <c r="J4" s="216"/>
      <c r="K4" s="216"/>
      <c r="L4" s="216"/>
      <c r="M4" s="216"/>
      <c r="N4" s="216"/>
      <c r="O4" s="216"/>
      <c r="P4" s="216"/>
    </row>
    <row r="5" spans="1:16">
      <c r="A5" s="216"/>
      <c r="B5" s="216"/>
      <c r="C5" s="216"/>
      <c r="D5" s="216"/>
      <c r="E5" s="216"/>
      <c r="F5" s="216"/>
      <c r="G5" s="216"/>
      <c r="H5" s="216"/>
      <c r="I5" s="216"/>
      <c r="J5" s="216"/>
      <c r="K5" s="216"/>
      <c r="L5" s="216"/>
      <c r="M5" s="216"/>
      <c r="N5" s="216"/>
      <c r="O5" s="216"/>
      <c r="P5" s="216"/>
    </row>
    <row r="6" spans="1:16" ht="58.5" customHeight="1">
      <c r="A6" s="216"/>
      <c r="B6" s="233" t="s">
        <v>447</v>
      </c>
      <c r="C6" s="234" t="s">
        <v>471</v>
      </c>
      <c r="D6" s="235" t="s">
        <v>79</v>
      </c>
      <c r="E6" s="236" t="s">
        <v>78</v>
      </c>
      <c r="F6" s="821" t="s">
        <v>472</v>
      </c>
      <c r="G6" s="824" t="s">
        <v>473</v>
      </c>
      <c r="H6" s="217"/>
      <c r="I6" s="217"/>
      <c r="J6" s="216"/>
      <c r="K6" s="216"/>
      <c r="L6" s="216"/>
      <c r="M6" s="216"/>
      <c r="N6" s="216"/>
      <c r="O6" s="216"/>
      <c r="P6" s="216"/>
    </row>
    <row r="7" spans="1:16" ht="16.5" customHeight="1">
      <c r="A7" s="216"/>
      <c r="B7" s="229">
        <v>1</v>
      </c>
      <c r="C7" s="230">
        <v>0</v>
      </c>
      <c r="D7" s="231">
        <v>0</v>
      </c>
      <c r="E7" s="232">
        <v>0</v>
      </c>
      <c r="F7" s="822"/>
      <c r="G7" s="825"/>
      <c r="H7" s="217"/>
      <c r="I7" s="217"/>
      <c r="J7" s="216"/>
      <c r="K7" s="216"/>
      <c r="L7" s="216"/>
      <c r="M7" s="216"/>
      <c r="N7" s="216"/>
      <c r="O7" s="216"/>
      <c r="P7" s="216"/>
    </row>
    <row r="8" spans="1:16" ht="16.5" customHeight="1">
      <c r="A8" s="216"/>
      <c r="B8" s="226">
        <v>2</v>
      </c>
      <c r="C8" s="223">
        <v>0</v>
      </c>
      <c r="D8" s="219">
        <v>0</v>
      </c>
      <c r="E8" s="220">
        <v>0</v>
      </c>
      <c r="F8" s="822"/>
      <c r="G8" s="825"/>
      <c r="H8" s="217"/>
      <c r="I8" s="217"/>
      <c r="J8" s="216"/>
      <c r="K8" s="216"/>
      <c r="L8" s="216"/>
      <c r="M8" s="216"/>
      <c r="N8" s="216"/>
      <c r="O8" s="216"/>
      <c r="P8" s="216"/>
    </row>
    <row r="9" spans="1:16" ht="16.5" customHeight="1">
      <c r="A9" s="216"/>
      <c r="B9" s="226">
        <v>3</v>
      </c>
      <c r="C9" s="223">
        <v>0</v>
      </c>
      <c r="D9" s="219">
        <v>0</v>
      </c>
      <c r="E9" s="220">
        <v>0</v>
      </c>
      <c r="F9" s="822"/>
      <c r="G9" s="825"/>
      <c r="H9" s="217"/>
      <c r="I9" s="217"/>
      <c r="J9" s="216"/>
      <c r="K9" s="216"/>
      <c r="L9" s="216"/>
      <c r="M9" s="216"/>
      <c r="N9" s="216"/>
      <c r="O9" s="216"/>
      <c r="P9" s="216"/>
    </row>
    <row r="10" spans="1:16" ht="16.5" customHeight="1">
      <c r="A10" s="216"/>
      <c r="B10" s="226">
        <v>4</v>
      </c>
      <c r="C10" s="223">
        <v>0</v>
      </c>
      <c r="D10" s="219">
        <v>0</v>
      </c>
      <c r="E10" s="220">
        <v>0</v>
      </c>
      <c r="F10" s="822"/>
      <c r="G10" s="825"/>
      <c r="H10" s="217"/>
      <c r="I10" s="217"/>
      <c r="J10" s="216"/>
      <c r="K10" s="216"/>
      <c r="L10" s="216"/>
      <c r="M10" s="216"/>
      <c r="N10" s="216"/>
      <c r="O10" s="216"/>
      <c r="P10" s="216"/>
    </row>
    <row r="11" spans="1:16" ht="16.5" customHeight="1">
      <c r="A11" s="216"/>
      <c r="B11" s="226">
        <v>5</v>
      </c>
      <c r="C11" s="223">
        <v>0</v>
      </c>
      <c r="D11" s="219">
        <v>0</v>
      </c>
      <c r="E11" s="220">
        <v>0</v>
      </c>
      <c r="F11" s="822"/>
      <c r="G11" s="825"/>
      <c r="H11" s="217"/>
      <c r="I11" s="217"/>
      <c r="J11" s="216"/>
      <c r="K11" s="216"/>
      <c r="L11" s="216"/>
      <c r="M11" s="216"/>
      <c r="N11" s="216"/>
      <c r="O11" s="216"/>
      <c r="P11" s="216"/>
    </row>
    <row r="12" spans="1:16" ht="16.5" customHeight="1">
      <c r="A12" s="216"/>
      <c r="B12" s="226">
        <v>6</v>
      </c>
      <c r="C12" s="223">
        <v>0</v>
      </c>
      <c r="D12" s="219">
        <v>0</v>
      </c>
      <c r="E12" s="220">
        <v>0</v>
      </c>
      <c r="F12" s="822"/>
      <c r="G12" s="825"/>
      <c r="H12" s="217"/>
      <c r="I12" s="217"/>
      <c r="J12" s="216"/>
      <c r="K12" s="216"/>
      <c r="L12" s="216"/>
      <c r="M12" s="216"/>
      <c r="N12" s="216"/>
      <c r="O12" s="216"/>
      <c r="P12" s="216"/>
    </row>
    <row r="13" spans="1:16" ht="16.5" customHeight="1">
      <c r="A13" s="216"/>
      <c r="B13" s="226">
        <v>7</v>
      </c>
      <c r="C13" s="223">
        <v>0</v>
      </c>
      <c r="D13" s="219">
        <v>0</v>
      </c>
      <c r="E13" s="220">
        <v>0</v>
      </c>
      <c r="F13" s="822"/>
      <c r="G13" s="825"/>
      <c r="H13" s="217"/>
      <c r="I13" s="217"/>
      <c r="J13" s="216"/>
      <c r="K13" s="216"/>
      <c r="L13" s="216"/>
      <c r="M13" s="216"/>
      <c r="N13" s="216"/>
      <c r="O13" s="216"/>
      <c r="P13" s="216"/>
    </row>
    <row r="14" spans="1:16" ht="16.5" customHeight="1">
      <c r="A14" s="216"/>
      <c r="B14" s="226">
        <v>8</v>
      </c>
      <c r="C14" s="223">
        <v>0</v>
      </c>
      <c r="D14" s="219">
        <v>0</v>
      </c>
      <c r="E14" s="220">
        <v>0</v>
      </c>
      <c r="F14" s="822"/>
      <c r="G14" s="825"/>
      <c r="H14" s="217"/>
      <c r="I14" s="217"/>
      <c r="J14" s="216"/>
      <c r="K14" s="216"/>
      <c r="L14" s="216"/>
      <c r="M14" s="216"/>
      <c r="N14" s="216"/>
      <c r="O14" s="216"/>
      <c r="P14" s="216"/>
    </row>
    <row r="15" spans="1:16" ht="16.5" customHeight="1">
      <c r="A15" s="216"/>
      <c r="B15" s="226">
        <v>9</v>
      </c>
      <c r="C15" s="223">
        <v>0</v>
      </c>
      <c r="D15" s="219">
        <v>5</v>
      </c>
      <c r="E15" s="220">
        <v>5</v>
      </c>
      <c r="F15" s="822"/>
      <c r="G15" s="825"/>
      <c r="H15" s="217"/>
      <c r="I15" s="217"/>
      <c r="J15" s="216"/>
      <c r="K15" s="216"/>
      <c r="L15" s="216"/>
      <c r="M15" s="216"/>
      <c r="N15" s="216"/>
      <c r="O15" s="216"/>
      <c r="P15" s="216"/>
    </row>
    <row r="16" spans="1:16" ht="16.5" customHeight="1">
      <c r="A16" s="216"/>
      <c r="B16" s="226">
        <v>10</v>
      </c>
      <c r="C16" s="223">
        <v>0</v>
      </c>
      <c r="D16" s="219">
        <v>10</v>
      </c>
      <c r="E16" s="220">
        <v>10</v>
      </c>
      <c r="F16" s="822"/>
      <c r="G16" s="825"/>
      <c r="H16" s="217"/>
      <c r="I16" s="217"/>
      <c r="J16" s="216"/>
      <c r="K16" s="216"/>
      <c r="L16" s="216"/>
      <c r="M16" s="216"/>
      <c r="N16" s="216"/>
      <c r="O16" s="216"/>
      <c r="P16" s="216"/>
    </row>
    <row r="17" spans="1:16" ht="16.5" customHeight="1">
      <c r="A17" s="216"/>
      <c r="B17" s="226">
        <v>11</v>
      </c>
      <c r="C17" s="223">
        <v>0</v>
      </c>
      <c r="D17" s="219">
        <v>10</v>
      </c>
      <c r="E17" s="220">
        <v>10</v>
      </c>
      <c r="F17" s="822"/>
      <c r="G17" s="825"/>
      <c r="H17" s="217"/>
      <c r="I17" s="217"/>
      <c r="J17" s="216"/>
      <c r="K17" s="216"/>
      <c r="L17" s="216"/>
      <c r="M17" s="216"/>
      <c r="N17" s="216"/>
      <c r="O17" s="216"/>
      <c r="P17" s="216"/>
    </row>
    <row r="18" spans="1:16" ht="16.5" customHeight="1">
      <c r="A18" s="216"/>
      <c r="B18" s="226">
        <v>12</v>
      </c>
      <c r="C18" s="223">
        <v>0</v>
      </c>
      <c r="D18" s="219">
        <v>10</v>
      </c>
      <c r="E18" s="220">
        <v>10</v>
      </c>
      <c r="F18" s="822"/>
      <c r="G18" s="825"/>
      <c r="H18" s="217"/>
      <c r="I18" s="217"/>
      <c r="J18" s="216"/>
      <c r="K18" s="216"/>
      <c r="L18" s="216"/>
      <c r="M18" s="216"/>
      <c r="N18" s="216"/>
      <c r="O18" s="216"/>
      <c r="P18" s="216"/>
    </row>
    <row r="19" spans="1:16" ht="16.5" customHeight="1">
      <c r="A19" s="216"/>
      <c r="B19" s="226">
        <v>13</v>
      </c>
      <c r="C19" s="223">
        <v>0</v>
      </c>
      <c r="D19" s="219">
        <v>5</v>
      </c>
      <c r="E19" s="220">
        <v>20</v>
      </c>
      <c r="F19" s="822"/>
      <c r="G19" s="825"/>
      <c r="H19" s="217"/>
      <c r="I19" s="217"/>
      <c r="J19" s="216"/>
      <c r="K19" s="216"/>
      <c r="L19" s="216"/>
      <c r="M19" s="216"/>
      <c r="N19" s="216"/>
      <c r="O19" s="216"/>
      <c r="P19" s="216"/>
    </row>
    <row r="20" spans="1:16" ht="16.5" customHeight="1">
      <c r="A20" s="216"/>
      <c r="B20" s="226">
        <v>14</v>
      </c>
      <c r="C20" s="223">
        <v>0</v>
      </c>
      <c r="D20" s="219">
        <v>0</v>
      </c>
      <c r="E20" s="220">
        <v>10</v>
      </c>
      <c r="F20" s="822"/>
      <c r="G20" s="825"/>
      <c r="H20" s="217"/>
      <c r="I20" s="217"/>
      <c r="J20" s="216"/>
      <c r="K20" s="216"/>
      <c r="L20" s="216"/>
      <c r="M20" s="216"/>
      <c r="N20" s="216"/>
      <c r="O20" s="216"/>
      <c r="P20" s="216"/>
    </row>
    <row r="21" spans="1:16" ht="16.5" customHeight="1">
      <c r="A21" s="216"/>
      <c r="B21" s="226">
        <v>15</v>
      </c>
      <c r="C21" s="223">
        <v>0</v>
      </c>
      <c r="D21" s="219">
        <v>0</v>
      </c>
      <c r="E21" s="220">
        <v>10</v>
      </c>
      <c r="F21" s="822"/>
      <c r="G21" s="825"/>
      <c r="H21" s="217"/>
      <c r="I21" s="217"/>
      <c r="J21" s="216"/>
      <c r="K21" s="216"/>
      <c r="L21" s="216"/>
      <c r="M21" s="216"/>
      <c r="N21" s="216"/>
      <c r="O21" s="216"/>
      <c r="P21" s="216"/>
    </row>
    <row r="22" spans="1:16" ht="16.5" customHeight="1">
      <c r="A22" s="216"/>
      <c r="B22" s="226">
        <v>16</v>
      </c>
      <c r="C22" s="223">
        <v>0</v>
      </c>
      <c r="D22" s="219">
        <v>0</v>
      </c>
      <c r="E22" s="220">
        <v>10</v>
      </c>
      <c r="F22" s="822"/>
      <c r="G22" s="825"/>
      <c r="H22" s="217"/>
      <c r="I22" s="217"/>
      <c r="J22" s="216"/>
      <c r="K22" s="216"/>
      <c r="L22" s="216"/>
      <c r="M22" s="216"/>
      <c r="N22" s="216"/>
      <c r="O22" s="216"/>
      <c r="P22" s="216"/>
    </row>
    <row r="23" spans="1:16" ht="16.5" customHeight="1">
      <c r="A23" s="216"/>
      <c r="B23" s="226">
        <v>17</v>
      </c>
      <c r="C23" s="223">
        <v>0</v>
      </c>
      <c r="D23" s="219">
        <v>0</v>
      </c>
      <c r="E23" s="220">
        <v>10</v>
      </c>
      <c r="F23" s="822"/>
      <c r="G23" s="825"/>
      <c r="H23" s="217"/>
      <c r="I23" s="217"/>
      <c r="J23" s="216"/>
      <c r="K23" s="216"/>
      <c r="L23" s="216"/>
      <c r="M23" s="216"/>
      <c r="N23" s="216"/>
      <c r="O23" s="216"/>
      <c r="P23" s="216"/>
    </row>
    <row r="24" spans="1:16" ht="16.5" customHeight="1">
      <c r="A24" s="216"/>
      <c r="B24" s="226">
        <v>18</v>
      </c>
      <c r="C24" s="223">
        <v>0</v>
      </c>
      <c r="D24" s="219">
        <v>0</v>
      </c>
      <c r="E24" s="220">
        <v>5</v>
      </c>
      <c r="F24" s="822"/>
      <c r="G24" s="825"/>
      <c r="H24" s="217"/>
      <c r="I24" s="217"/>
      <c r="J24" s="216"/>
      <c r="K24" s="216"/>
      <c r="L24" s="216"/>
      <c r="M24" s="216"/>
      <c r="N24" s="216"/>
      <c r="O24" s="216"/>
      <c r="P24" s="216"/>
    </row>
    <row r="25" spans="1:16" ht="16.5" customHeight="1">
      <c r="A25" s="216"/>
      <c r="B25" s="226">
        <v>19</v>
      </c>
      <c r="C25" s="223">
        <v>0</v>
      </c>
      <c r="D25" s="219">
        <v>0</v>
      </c>
      <c r="E25" s="220">
        <v>0</v>
      </c>
      <c r="F25" s="822"/>
      <c r="G25" s="825"/>
      <c r="H25" s="217"/>
      <c r="I25" s="217"/>
      <c r="J25" s="216"/>
      <c r="K25" s="216"/>
      <c r="L25" s="216"/>
      <c r="M25" s="216"/>
      <c r="N25" s="216"/>
      <c r="O25" s="216"/>
      <c r="P25" s="216"/>
    </row>
    <row r="26" spans="1:16" ht="16.5" customHeight="1">
      <c r="A26" s="216"/>
      <c r="B26" s="226">
        <v>20</v>
      </c>
      <c r="C26" s="223">
        <v>0</v>
      </c>
      <c r="D26" s="219">
        <v>0</v>
      </c>
      <c r="E26" s="220">
        <v>0</v>
      </c>
      <c r="F26" s="822"/>
      <c r="G26" s="825"/>
      <c r="H26" s="217"/>
      <c r="I26" s="217"/>
      <c r="J26" s="216"/>
      <c r="K26" s="216"/>
      <c r="L26" s="216"/>
      <c r="M26" s="216"/>
      <c r="N26" s="216"/>
      <c r="O26" s="216"/>
      <c r="P26" s="216"/>
    </row>
    <row r="27" spans="1:16" ht="16.5" customHeight="1">
      <c r="A27" s="216"/>
      <c r="B27" s="226">
        <v>21</v>
      </c>
      <c r="C27" s="223">
        <v>0</v>
      </c>
      <c r="D27" s="219">
        <v>0</v>
      </c>
      <c r="E27" s="220">
        <v>0</v>
      </c>
      <c r="F27" s="822"/>
      <c r="G27" s="825"/>
      <c r="H27" s="217"/>
      <c r="I27" s="217"/>
      <c r="J27" s="216"/>
      <c r="K27" s="216"/>
      <c r="L27" s="216"/>
      <c r="M27" s="216"/>
      <c r="N27" s="216"/>
      <c r="O27" s="216"/>
      <c r="P27" s="216"/>
    </row>
    <row r="28" spans="1:16" ht="16.5" customHeight="1">
      <c r="A28" s="216"/>
      <c r="B28" s="226">
        <v>22</v>
      </c>
      <c r="C28" s="223">
        <v>0</v>
      </c>
      <c r="D28" s="219">
        <v>0</v>
      </c>
      <c r="E28" s="220">
        <v>0</v>
      </c>
      <c r="F28" s="822"/>
      <c r="G28" s="825"/>
      <c r="H28" s="217"/>
      <c r="I28" s="217"/>
      <c r="J28" s="216"/>
      <c r="K28" s="216"/>
      <c r="L28" s="216"/>
      <c r="M28" s="216"/>
      <c r="N28" s="216"/>
      <c r="O28" s="216"/>
      <c r="P28" s="216"/>
    </row>
    <row r="29" spans="1:16" ht="16.5" customHeight="1">
      <c r="A29" s="216"/>
      <c r="B29" s="226">
        <v>23</v>
      </c>
      <c r="C29" s="223">
        <v>0</v>
      </c>
      <c r="D29" s="219">
        <v>0</v>
      </c>
      <c r="E29" s="220">
        <v>0</v>
      </c>
      <c r="F29" s="822"/>
      <c r="G29" s="825"/>
      <c r="H29" s="217"/>
      <c r="I29" s="217"/>
      <c r="J29" s="216"/>
      <c r="K29" s="216"/>
      <c r="L29" s="216"/>
      <c r="M29" s="216"/>
      <c r="N29" s="216"/>
      <c r="O29" s="216"/>
      <c r="P29" s="216"/>
    </row>
    <row r="30" spans="1:16" ht="16.5" customHeight="1">
      <c r="A30" s="216"/>
      <c r="B30" s="227">
        <v>24</v>
      </c>
      <c r="C30" s="224">
        <v>0</v>
      </c>
      <c r="D30" s="221">
        <v>0</v>
      </c>
      <c r="E30" s="222">
        <v>0</v>
      </c>
      <c r="F30" s="822"/>
      <c r="G30" s="825"/>
      <c r="H30" s="217"/>
      <c r="I30" s="217"/>
      <c r="J30" s="216"/>
      <c r="K30" s="216"/>
      <c r="L30" s="216"/>
      <c r="M30" s="216"/>
      <c r="N30" s="216"/>
      <c r="O30" s="216"/>
      <c r="P30" s="216"/>
    </row>
    <row r="31" spans="1:16" ht="38.25" customHeight="1">
      <c r="A31" s="216"/>
      <c r="B31" s="228" t="s">
        <v>396</v>
      </c>
      <c r="C31" s="225">
        <v>0</v>
      </c>
      <c r="D31" s="218">
        <v>40</v>
      </c>
      <c r="E31" s="218">
        <v>100</v>
      </c>
      <c r="F31" s="823"/>
      <c r="G31" s="826"/>
      <c r="H31" s="217"/>
      <c r="I31" s="217"/>
      <c r="J31" s="216"/>
      <c r="K31" s="216"/>
      <c r="L31" s="216"/>
      <c r="M31" s="216"/>
      <c r="N31" s="216"/>
      <c r="O31" s="216"/>
      <c r="P31" s="216"/>
    </row>
    <row r="32" spans="1:16">
      <c r="A32" s="216"/>
      <c r="B32" s="216"/>
      <c r="C32" s="216"/>
      <c r="D32" s="216"/>
      <c r="E32" s="216"/>
      <c r="F32" s="216"/>
      <c r="G32" s="216"/>
      <c r="H32" s="216"/>
      <c r="I32" s="216"/>
      <c r="J32" s="216"/>
      <c r="K32" s="216"/>
      <c r="L32" s="216"/>
      <c r="M32" s="216"/>
      <c r="N32" s="216"/>
      <c r="O32" s="216"/>
      <c r="P32" s="216"/>
    </row>
    <row r="33" spans="1:16">
      <c r="A33" s="216"/>
      <c r="B33" s="216"/>
      <c r="C33" s="216"/>
      <c r="D33" s="216"/>
      <c r="E33" s="216"/>
      <c r="F33" s="216"/>
      <c r="G33" s="216"/>
      <c r="H33" s="216"/>
      <c r="I33" s="216"/>
      <c r="J33" s="216"/>
      <c r="K33" s="216"/>
      <c r="L33" s="216"/>
      <c r="M33" s="216"/>
      <c r="N33" s="216"/>
      <c r="O33" s="216"/>
      <c r="P33" s="216"/>
    </row>
    <row r="34" spans="1:16">
      <c r="A34" s="216"/>
      <c r="B34" s="216"/>
      <c r="C34" s="216"/>
      <c r="D34" s="216"/>
      <c r="E34" s="216"/>
      <c r="F34" s="216"/>
      <c r="G34" s="216"/>
      <c r="H34" s="216"/>
      <c r="I34" s="216"/>
      <c r="J34" s="216"/>
      <c r="K34" s="216"/>
      <c r="L34" s="216"/>
      <c r="M34" s="216"/>
      <c r="N34" s="216"/>
      <c r="O34" s="216"/>
      <c r="P34" s="216"/>
    </row>
    <row r="35" spans="1:16">
      <c r="A35" s="216"/>
      <c r="B35" s="216"/>
      <c r="C35" s="216"/>
      <c r="D35" s="216"/>
      <c r="E35" s="216"/>
      <c r="F35" s="216"/>
      <c r="G35" s="216"/>
      <c r="H35" s="216"/>
      <c r="I35" s="216"/>
      <c r="J35" s="216"/>
      <c r="K35" s="216"/>
      <c r="L35" s="216"/>
      <c r="M35" s="216"/>
      <c r="N35" s="216"/>
      <c r="O35" s="216"/>
      <c r="P35" s="216"/>
    </row>
    <row r="36" spans="1:16">
      <c r="A36" s="216"/>
      <c r="B36" s="216"/>
      <c r="C36" s="216"/>
      <c r="D36" s="216"/>
      <c r="E36" s="216"/>
      <c r="F36" s="216"/>
      <c r="G36" s="216"/>
      <c r="H36" s="216"/>
      <c r="I36" s="216"/>
      <c r="J36" s="216"/>
      <c r="K36" s="216"/>
      <c r="L36" s="216"/>
      <c r="M36" s="216"/>
      <c r="N36" s="216"/>
      <c r="O36" s="216"/>
      <c r="P36" s="216"/>
    </row>
    <row r="37" spans="1:16">
      <c r="A37" s="216"/>
      <c r="B37" s="216"/>
      <c r="C37" s="216"/>
      <c r="D37" s="216"/>
      <c r="E37" s="216"/>
      <c r="F37" s="216"/>
      <c r="G37" s="216"/>
      <c r="H37" s="216"/>
      <c r="I37" s="216"/>
      <c r="J37" s="216"/>
      <c r="K37" s="216"/>
      <c r="L37" s="216"/>
      <c r="M37" s="216"/>
      <c r="N37" s="216"/>
      <c r="O37" s="216"/>
      <c r="P37" s="216"/>
    </row>
    <row r="38" spans="1:16">
      <c r="A38" s="216"/>
      <c r="B38" s="216"/>
      <c r="C38" s="216"/>
      <c r="D38" s="216"/>
      <c r="E38" s="216"/>
      <c r="F38" s="216"/>
      <c r="G38" s="216"/>
      <c r="H38" s="216"/>
      <c r="I38" s="216"/>
      <c r="J38" s="216"/>
      <c r="K38" s="216"/>
      <c r="L38" s="216"/>
      <c r="M38" s="216"/>
      <c r="N38" s="216"/>
      <c r="O38" s="216"/>
      <c r="P38" s="216"/>
    </row>
    <row r="39" spans="1:16">
      <c r="A39" s="216"/>
      <c r="B39" s="216"/>
      <c r="C39" s="216"/>
      <c r="D39" s="216"/>
      <c r="E39" s="216"/>
      <c r="F39" s="216"/>
      <c r="G39" s="216"/>
      <c r="H39" s="216"/>
      <c r="I39" s="216"/>
      <c r="J39" s="216"/>
      <c r="K39" s="216"/>
      <c r="L39" s="216"/>
      <c r="M39" s="216"/>
      <c r="N39" s="216"/>
      <c r="O39" s="216"/>
      <c r="P39" s="216"/>
    </row>
    <row r="40" spans="1:16">
      <c r="A40" s="216"/>
      <c r="B40" s="216"/>
      <c r="C40" s="216"/>
      <c r="D40" s="216"/>
      <c r="E40" s="216"/>
      <c r="F40" s="216"/>
      <c r="G40" s="216"/>
      <c r="H40" s="216"/>
      <c r="I40" s="216"/>
      <c r="J40" s="216"/>
      <c r="K40" s="216"/>
      <c r="L40" s="216"/>
      <c r="M40" s="216"/>
      <c r="N40" s="216"/>
      <c r="O40" s="216"/>
      <c r="P40" s="216"/>
    </row>
    <row r="41" spans="1:16">
      <c r="A41" s="216"/>
      <c r="B41" s="216"/>
      <c r="C41" s="216"/>
      <c r="D41" s="216"/>
      <c r="E41" s="216"/>
      <c r="F41" s="216"/>
      <c r="G41" s="216"/>
      <c r="H41" s="216"/>
      <c r="I41" s="216"/>
      <c r="J41" s="216"/>
      <c r="K41" s="216"/>
      <c r="L41" s="216"/>
      <c r="M41" s="216"/>
      <c r="N41" s="216"/>
      <c r="O41" s="216"/>
      <c r="P41" s="216"/>
    </row>
    <row r="42" spans="1:16">
      <c r="A42" s="216"/>
      <c r="B42" s="216"/>
      <c r="C42" s="216"/>
      <c r="D42" s="216"/>
      <c r="E42" s="216"/>
      <c r="F42" s="216"/>
      <c r="G42" s="216"/>
      <c r="H42" s="216"/>
      <c r="I42" s="216"/>
      <c r="J42" s="216"/>
      <c r="K42" s="216"/>
      <c r="L42" s="216"/>
      <c r="M42" s="216"/>
      <c r="N42" s="216"/>
      <c r="O42" s="216"/>
      <c r="P42" s="216"/>
    </row>
    <row r="43" spans="1:16">
      <c r="A43" s="216"/>
      <c r="B43" s="216"/>
      <c r="C43" s="216"/>
      <c r="D43" s="216"/>
      <c r="E43" s="216"/>
      <c r="F43" s="216"/>
      <c r="G43" s="216"/>
      <c r="H43" s="216"/>
      <c r="I43" s="216"/>
      <c r="J43" s="216"/>
      <c r="K43" s="216"/>
      <c r="L43" s="216"/>
      <c r="M43" s="216"/>
      <c r="N43" s="216"/>
      <c r="O43" s="216"/>
      <c r="P43" s="216"/>
    </row>
    <row r="44" spans="1:16">
      <c r="A44" s="216"/>
      <c r="B44" s="216"/>
      <c r="C44" s="216"/>
      <c r="D44" s="216"/>
      <c r="E44" s="216"/>
      <c r="F44" s="216"/>
      <c r="G44" s="216"/>
      <c r="H44" s="216"/>
      <c r="I44" s="216"/>
      <c r="J44" s="216"/>
      <c r="K44" s="216"/>
      <c r="L44" s="216"/>
      <c r="M44" s="216"/>
      <c r="N44" s="216"/>
      <c r="O44" s="216"/>
      <c r="P44" s="216"/>
    </row>
    <row r="45" spans="1:16">
      <c r="A45" s="216"/>
      <c r="B45" s="216"/>
      <c r="C45" s="216"/>
      <c r="D45" s="216"/>
      <c r="E45" s="216"/>
      <c r="F45" s="216"/>
      <c r="G45" s="216"/>
      <c r="H45" s="216"/>
      <c r="I45" s="216"/>
      <c r="J45" s="216"/>
      <c r="K45" s="216"/>
      <c r="L45" s="216"/>
      <c r="M45" s="216"/>
      <c r="N45" s="216"/>
      <c r="O45" s="216"/>
      <c r="P45" s="216"/>
    </row>
    <row r="46" spans="1:16">
      <c r="A46" s="216"/>
      <c r="B46" s="216"/>
      <c r="C46" s="216"/>
      <c r="D46" s="216"/>
      <c r="E46" s="216"/>
      <c r="F46" s="216"/>
      <c r="G46" s="216"/>
      <c r="H46" s="216"/>
      <c r="I46" s="216"/>
      <c r="J46" s="216"/>
      <c r="K46" s="216"/>
      <c r="L46" s="216"/>
      <c r="M46" s="216"/>
      <c r="N46" s="216"/>
      <c r="O46" s="216"/>
      <c r="P46" s="216"/>
    </row>
    <row r="47" spans="1:16">
      <c r="A47" s="216"/>
      <c r="B47" s="216"/>
      <c r="C47" s="216"/>
      <c r="D47" s="216"/>
      <c r="E47" s="216"/>
      <c r="F47" s="216"/>
      <c r="G47" s="216"/>
      <c r="H47" s="216"/>
      <c r="I47" s="216"/>
      <c r="J47" s="216"/>
      <c r="K47" s="216"/>
      <c r="L47" s="216"/>
      <c r="M47" s="216"/>
      <c r="N47" s="216"/>
      <c r="O47" s="216"/>
      <c r="P47" s="216"/>
    </row>
    <row r="48" spans="1:16">
      <c r="A48" s="216"/>
      <c r="B48" s="216"/>
      <c r="C48" s="216"/>
      <c r="D48" s="216"/>
      <c r="E48" s="216"/>
      <c r="F48" s="216"/>
      <c r="G48" s="216"/>
      <c r="H48" s="216"/>
      <c r="I48" s="216"/>
      <c r="J48" s="216"/>
      <c r="K48" s="216"/>
      <c r="L48" s="216"/>
      <c r="M48" s="216"/>
      <c r="N48" s="216"/>
      <c r="O48" s="216"/>
      <c r="P48" s="216"/>
    </row>
    <row r="49" spans="1:16">
      <c r="A49" s="216"/>
      <c r="B49" s="216"/>
      <c r="C49" s="216"/>
      <c r="D49" s="216"/>
      <c r="E49" s="216"/>
      <c r="F49" s="216"/>
      <c r="G49" s="216"/>
      <c r="H49" s="216"/>
      <c r="I49" s="216"/>
      <c r="J49" s="216"/>
      <c r="K49" s="216"/>
      <c r="L49" s="216"/>
      <c r="M49" s="216"/>
      <c r="N49" s="216"/>
      <c r="O49" s="216"/>
      <c r="P49" s="216"/>
    </row>
    <row r="50" spans="1:16">
      <c r="A50" s="216"/>
      <c r="B50" s="216"/>
      <c r="C50" s="216"/>
      <c r="D50" s="216"/>
      <c r="E50" s="216"/>
      <c r="F50" s="216"/>
      <c r="G50" s="216"/>
      <c r="H50" s="216"/>
      <c r="I50" s="216"/>
      <c r="J50" s="216"/>
      <c r="K50" s="216"/>
      <c r="L50" s="216"/>
      <c r="M50" s="216"/>
      <c r="N50" s="216"/>
      <c r="O50" s="216"/>
      <c r="P50" s="216"/>
    </row>
    <row r="51" spans="1:16">
      <c r="A51" s="216"/>
      <c r="B51" s="216"/>
      <c r="C51" s="216"/>
      <c r="D51" s="216"/>
      <c r="E51" s="216"/>
      <c r="F51" s="216"/>
      <c r="G51" s="216"/>
      <c r="H51" s="216"/>
      <c r="I51" s="216"/>
      <c r="J51" s="216"/>
      <c r="K51" s="216"/>
      <c r="L51" s="216"/>
      <c r="M51" s="216"/>
      <c r="N51" s="216"/>
      <c r="O51" s="216"/>
      <c r="P51" s="216"/>
    </row>
    <row r="52" spans="1:16">
      <c r="A52" s="216"/>
      <c r="B52" s="216"/>
      <c r="C52" s="216"/>
      <c r="D52" s="216"/>
      <c r="E52" s="216"/>
      <c r="F52" s="216"/>
      <c r="G52" s="216"/>
      <c r="H52" s="216"/>
      <c r="I52" s="216"/>
      <c r="J52" s="216"/>
      <c r="K52" s="216"/>
      <c r="L52" s="216"/>
      <c r="M52" s="216"/>
      <c r="N52" s="216"/>
      <c r="O52" s="216"/>
      <c r="P52" s="216"/>
    </row>
    <row r="53" spans="1:16">
      <c r="A53" s="216"/>
      <c r="B53" s="216"/>
      <c r="C53" s="216"/>
      <c r="D53" s="216"/>
      <c r="E53" s="216"/>
      <c r="F53" s="216"/>
      <c r="G53" s="216"/>
      <c r="H53" s="216"/>
      <c r="I53" s="216"/>
      <c r="J53" s="216"/>
      <c r="K53" s="216"/>
      <c r="L53" s="216"/>
      <c r="M53" s="216"/>
      <c r="N53" s="216"/>
      <c r="O53" s="216"/>
      <c r="P53" s="216"/>
    </row>
    <row r="54" spans="1:16">
      <c r="A54" s="216"/>
      <c r="B54" s="216"/>
      <c r="C54" s="216"/>
      <c r="D54" s="216"/>
      <c r="E54" s="216"/>
      <c r="F54" s="216"/>
      <c r="G54" s="216"/>
      <c r="H54" s="216"/>
      <c r="I54" s="216"/>
      <c r="J54" s="216"/>
      <c r="K54" s="216"/>
      <c r="L54" s="216"/>
      <c r="M54" s="216"/>
      <c r="N54" s="216"/>
      <c r="O54" s="216"/>
      <c r="P54" s="216"/>
    </row>
    <row r="55" spans="1:16">
      <c r="A55" s="216"/>
      <c r="B55" s="216"/>
      <c r="C55" s="216"/>
      <c r="D55" s="216"/>
      <c r="E55" s="216"/>
      <c r="F55" s="216"/>
      <c r="G55" s="216"/>
      <c r="H55" s="216"/>
      <c r="I55" s="216"/>
      <c r="J55" s="216"/>
      <c r="K55" s="216"/>
      <c r="L55" s="216"/>
      <c r="M55" s="216"/>
      <c r="N55" s="216"/>
      <c r="O55" s="216"/>
      <c r="P55" s="216"/>
    </row>
    <row r="56" spans="1:16">
      <c r="A56" s="216"/>
      <c r="B56" s="216"/>
      <c r="C56" s="216"/>
      <c r="D56" s="216"/>
      <c r="E56" s="216"/>
      <c r="F56" s="216"/>
      <c r="G56" s="216"/>
      <c r="H56" s="216"/>
      <c r="I56" s="216"/>
      <c r="J56" s="216"/>
      <c r="K56" s="216"/>
      <c r="L56" s="216"/>
      <c r="M56" s="216"/>
      <c r="N56" s="216"/>
      <c r="O56" s="216"/>
      <c r="P56" s="216"/>
    </row>
    <row r="57" spans="1:16">
      <c r="A57" s="216"/>
      <c r="B57" s="216"/>
      <c r="C57" s="216"/>
      <c r="D57" s="216"/>
      <c r="E57" s="216"/>
      <c r="F57" s="216"/>
      <c r="G57" s="216"/>
      <c r="H57" s="216"/>
      <c r="I57" s="216"/>
      <c r="J57" s="216"/>
      <c r="K57" s="216"/>
      <c r="L57" s="216"/>
      <c r="M57" s="216"/>
      <c r="N57" s="216"/>
      <c r="O57" s="216"/>
      <c r="P57" s="216"/>
    </row>
    <row r="58" spans="1:16">
      <c r="A58" s="216"/>
      <c r="B58" s="216"/>
      <c r="C58" s="216"/>
      <c r="D58" s="216"/>
      <c r="E58" s="216"/>
      <c r="F58" s="216"/>
      <c r="G58" s="216"/>
      <c r="H58" s="216"/>
      <c r="I58" s="216"/>
      <c r="J58" s="216"/>
      <c r="K58" s="216"/>
      <c r="L58" s="216"/>
      <c r="M58" s="216"/>
      <c r="N58" s="216"/>
      <c r="O58" s="216"/>
      <c r="P58" s="216"/>
    </row>
    <row r="59" spans="1:16">
      <c r="A59" s="216"/>
      <c r="B59" s="216"/>
      <c r="C59" s="216"/>
      <c r="D59" s="216"/>
      <c r="E59" s="216"/>
      <c r="F59" s="216"/>
      <c r="G59" s="216"/>
      <c r="H59" s="216"/>
      <c r="I59" s="216"/>
      <c r="J59" s="216"/>
      <c r="K59" s="216"/>
      <c r="L59" s="216"/>
      <c r="M59" s="216"/>
      <c r="N59" s="216"/>
      <c r="O59" s="216"/>
      <c r="P59" s="216"/>
    </row>
    <row r="60" spans="1:16">
      <c r="A60" s="216"/>
      <c r="B60" s="216"/>
      <c r="C60" s="216"/>
      <c r="D60" s="216"/>
      <c r="E60" s="216"/>
      <c r="F60" s="216"/>
      <c r="G60" s="216"/>
      <c r="H60" s="216"/>
      <c r="I60" s="216"/>
      <c r="J60" s="216"/>
      <c r="K60" s="216"/>
      <c r="L60" s="216"/>
      <c r="M60" s="216"/>
      <c r="N60" s="216"/>
      <c r="O60" s="216"/>
      <c r="P60" s="216"/>
    </row>
    <row r="61" spans="1:16">
      <c r="A61" s="216"/>
      <c r="B61" s="216"/>
      <c r="C61" s="216"/>
      <c r="D61" s="216"/>
      <c r="E61" s="216"/>
      <c r="F61" s="216"/>
      <c r="G61" s="216"/>
      <c r="H61" s="216"/>
      <c r="I61" s="216"/>
      <c r="J61" s="216"/>
      <c r="K61" s="216"/>
      <c r="L61" s="216"/>
      <c r="M61" s="216"/>
      <c r="N61" s="216"/>
      <c r="O61" s="216"/>
      <c r="P61" s="216"/>
    </row>
  </sheetData>
  <mergeCells count="2">
    <mergeCell ref="F6:F31"/>
    <mergeCell ref="G6:G31"/>
  </mergeCells>
  <conditionalFormatting sqref="C7:E30">
    <cfRule type="dataBar" priority="15">
      <dataBar>
        <cfvo type="min"/>
        <cfvo type="max"/>
        <color rgb="FFFF555A"/>
      </dataBar>
      <extLst>
        <ext xmlns:x14="http://schemas.microsoft.com/office/spreadsheetml/2009/9/main" uri="{B025F937-C7B1-47D3-B67F-A62EFF666E3E}">
          <x14:id>{4BDC0F6D-C9FB-49F4-AF5E-D60FA3CD1C18}</x14:id>
        </ext>
      </extLst>
    </cfRule>
  </conditionalFormatting>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dataBar" id="{4BDC0F6D-C9FB-49F4-AF5E-D60FA3CD1C18}">
            <x14:dataBar minLength="0" maxLength="100" border="1" negativeBarBorderColorSameAsPositive="0">
              <x14:cfvo type="autoMin"/>
              <x14:cfvo type="autoMax"/>
              <x14:borderColor rgb="FFFF555A"/>
              <x14:negativeFillColor rgb="FFFF0000"/>
              <x14:negativeBorderColor rgb="FFFF0000"/>
              <x14:axisColor rgb="FF000000"/>
            </x14:dataBar>
          </x14:cfRule>
          <xm:sqref>C7:E30</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F091D-E848-4A7C-8A94-1CB87D817DB8}">
  <sheetPr codeName="Foglio29"/>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112</v>
      </c>
    </row>
    <row r="2" spans="1:18">
      <c r="A2" s="36" t="s">
        <v>73</v>
      </c>
      <c r="B2" s="37"/>
      <c r="C2" s="37"/>
      <c r="D2" s="38" t="s">
        <v>113</v>
      </c>
    </row>
    <row r="3" spans="1:18">
      <c r="A3" s="36" t="s">
        <v>75</v>
      </c>
      <c r="B3" s="37"/>
      <c r="C3" s="37"/>
      <c r="D3" s="38" t="s">
        <v>86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2</v>
      </c>
      <c r="C9" s="41">
        <v>2</v>
      </c>
      <c r="D9" s="41">
        <v>2</v>
      </c>
      <c r="G9" s="63">
        <v>1</v>
      </c>
      <c r="H9" s="64">
        <v>0.9</v>
      </c>
      <c r="I9" s="64">
        <v>0.9</v>
      </c>
      <c r="J9" s="64">
        <v>0.9</v>
      </c>
      <c r="K9" s="61"/>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2</v>
      </c>
      <c r="C10" s="41">
        <v>2</v>
      </c>
      <c r="D10" s="41">
        <v>2</v>
      </c>
      <c r="G10" s="63">
        <v>2</v>
      </c>
      <c r="H10" s="64">
        <v>0.9</v>
      </c>
      <c r="I10" s="64">
        <v>0.9</v>
      </c>
      <c r="J10" s="64">
        <v>0.9</v>
      </c>
      <c r="K10" s="61"/>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2</v>
      </c>
      <c r="C11" s="41">
        <v>2</v>
      </c>
      <c r="D11" s="41">
        <v>2</v>
      </c>
      <c r="G11" s="63">
        <v>3</v>
      </c>
      <c r="H11" s="64">
        <v>0.9</v>
      </c>
      <c r="I11" s="64">
        <v>0.9</v>
      </c>
      <c r="J11" s="64">
        <v>0.9</v>
      </c>
      <c r="K11" s="61"/>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5</v>
      </c>
      <c r="C12" s="41">
        <v>5</v>
      </c>
      <c r="D12" s="41">
        <v>5</v>
      </c>
      <c r="G12" s="63">
        <v>4</v>
      </c>
      <c r="H12" s="64">
        <v>0.9</v>
      </c>
      <c r="I12" s="64">
        <v>0.9</v>
      </c>
      <c r="J12" s="64">
        <v>0.9</v>
      </c>
      <c r="K12" s="61"/>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5</v>
      </c>
      <c r="C13" s="41">
        <v>5</v>
      </c>
      <c r="D13" s="41">
        <v>5</v>
      </c>
      <c r="G13" s="63">
        <v>5</v>
      </c>
      <c r="H13" s="64">
        <v>0.9</v>
      </c>
      <c r="I13" s="64">
        <v>0.9</v>
      </c>
      <c r="J13" s="64">
        <v>0.9</v>
      </c>
      <c r="K13" s="61"/>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5</v>
      </c>
      <c r="C14" s="41">
        <v>5</v>
      </c>
      <c r="D14" s="41">
        <v>5</v>
      </c>
      <c r="G14" s="63">
        <v>6</v>
      </c>
      <c r="H14" s="64">
        <v>1</v>
      </c>
      <c r="I14" s="64">
        <v>1</v>
      </c>
      <c r="J14" s="64">
        <v>1</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5</v>
      </c>
      <c r="C15" s="41">
        <v>5</v>
      </c>
      <c r="D15" s="41">
        <v>5</v>
      </c>
      <c r="G15" s="63">
        <v>7</v>
      </c>
      <c r="H15" s="64">
        <v>1</v>
      </c>
      <c r="I15" s="64">
        <v>1</v>
      </c>
      <c r="J15" s="64">
        <v>1</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5</v>
      </c>
      <c r="C16" s="41">
        <v>5</v>
      </c>
      <c r="D16" s="41">
        <v>5</v>
      </c>
      <c r="G16" s="63">
        <v>8</v>
      </c>
      <c r="H16" s="64">
        <v>1</v>
      </c>
      <c r="I16" s="64">
        <v>1</v>
      </c>
      <c r="J16" s="64">
        <v>1</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5</v>
      </c>
      <c r="C17" s="41">
        <v>5</v>
      </c>
      <c r="D17" s="41">
        <v>5</v>
      </c>
      <c r="G17" s="63">
        <v>9</v>
      </c>
      <c r="H17" s="64">
        <v>1</v>
      </c>
      <c r="I17" s="64">
        <v>1</v>
      </c>
      <c r="J17" s="64">
        <v>1</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5</v>
      </c>
      <c r="C18" s="41">
        <v>5</v>
      </c>
      <c r="D18" s="41">
        <v>5</v>
      </c>
      <c r="G18" s="63">
        <v>10</v>
      </c>
      <c r="H18" s="64">
        <v>1</v>
      </c>
      <c r="I18" s="64">
        <v>1</v>
      </c>
      <c r="J18" s="64">
        <v>1</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5</v>
      </c>
      <c r="C19" s="41">
        <v>5</v>
      </c>
      <c r="D19" s="41">
        <v>5</v>
      </c>
      <c r="G19" s="63">
        <v>11</v>
      </c>
      <c r="H19" s="64">
        <v>1</v>
      </c>
      <c r="I19" s="64">
        <v>1</v>
      </c>
      <c r="J19" s="64">
        <v>1</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5</v>
      </c>
      <c r="C20" s="41">
        <v>5</v>
      </c>
      <c r="D20" s="41">
        <v>5</v>
      </c>
      <c r="G20" s="63">
        <v>12</v>
      </c>
      <c r="H20" s="64">
        <v>1</v>
      </c>
      <c r="I20" s="64">
        <v>1</v>
      </c>
      <c r="J20" s="64">
        <v>1</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5</v>
      </c>
      <c r="C21" s="41">
        <v>5</v>
      </c>
      <c r="D21" s="41">
        <v>5</v>
      </c>
      <c r="G21" s="63">
        <v>13</v>
      </c>
      <c r="H21" s="64">
        <v>1</v>
      </c>
      <c r="I21" s="64">
        <v>1</v>
      </c>
      <c r="J21" s="64">
        <v>1</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5</v>
      </c>
      <c r="C22" s="41">
        <v>5</v>
      </c>
      <c r="D22" s="41">
        <v>5</v>
      </c>
      <c r="G22" s="63">
        <v>14</v>
      </c>
      <c r="H22" s="64">
        <v>1</v>
      </c>
      <c r="I22" s="64">
        <v>1</v>
      </c>
      <c r="J22" s="64">
        <v>1</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5</v>
      </c>
      <c r="C23" s="41">
        <v>5</v>
      </c>
      <c r="D23" s="41">
        <v>5</v>
      </c>
      <c r="G23" s="63">
        <v>15</v>
      </c>
      <c r="H23" s="64">
        <v>1</v>
      </c>
      <c r="I23" s="64">
        <v>1</v>
      </c>
      <c r="J23" s="64">
        <v>1</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5</v>
      </c>
      <c r="C24" s="41">
        <v>5</v>
      </c>
      <c r="D24" s="41">
        <v>5</v>
      </c>
      <c r="G24" s="63">
        <v>16</v>
      </c>
      <c r="H24" s="64">
        <v>1</v>
      </c>
      <c r="I24" s="64">
        <v>1</v>
      </c>
      <c r="J24" s="64">
        <v>1</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5</v>
      </c>
      <c r="C25" s="41">
        <v>5</v>
      </c>
      <c r="D25" s="41">
        <v>5</v>
      </c>
      <c r="G25" s="63">
        <v>17</v>
      </c>
      <c r="H25" s="64">
        <v>1</v>
      </c>
      <c r="I25" s="64">
        <v>1</v>
      </c>
      <c r="J25" s="64">
        <v>1</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5</v>
      </c>
      <c r="C26" s="41">
        <v>5</v>
      </c>
      <c r="D26" s="41">
        <v>5</v>
      </c>
      <c r="G26" s="63">
        <v>18</v>
      </c>
      <c r="H26" s="64">
        <v>1</v>
      </c>
      <c r="I26" s="64">
        <v>1</v>
      </c>
      <c r="J26" s="64">
        <v>1</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5</v>
      </c>
      <c r="C27" s="41">
        <v>5</v>
      </c>
      <c r="D27" s="41">
        <v>5</v>
      </c>
      <c r="G27" s="63">
        <v>19</v>
      </c>
      <c r="H27" s="64">
        <v>1</v>
      </c>
      <c r="I27" s="64">
        <v>1</v>
      </c>
      <c r="J27" s="64">
        <v>1</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5</v>
      </c>
      <c r="C28" s="41">
        <v>5</v>
      </c>
      <c r="D28" s="41">
        <v>5</v>
      </c>
      <c r="G28" s="63">
        <v>20</v>
      </c>
      <c r="H28" s="64">
        <v>1</v>
      </c>
      <c r="I28" s="64">
        <v>1</v>
      </c>
      <c r="J28" s="64">
        <v>1</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3</v>
      </c>
      <c r="C29" s="41">
        <v>3</v>
      </c>
      <c r="D29" s="41">
        <v>3</v>
      </c>
      <c r="G29" s="63">
        <v>21</v>
      </c>
      <c r="H29" s="64">
        <v>1</v>
      </c>
      <c r="I29" s="64">
        <v>1</v>
      </c>
      <c r="J29" s="64">
        <v>1</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2</v>
      </c>
      <c r="C30" s="41">
        <v>2</v>
      </c>
      <c r="D30" s="41">
        <v>2</v>
      </c>
      <c r="G30" s="63">
        <v>22</v>
      </c>
      <c r="H30" s="64">
        <v>0.9</v>
      </c>
      <c r="I30" s="64">
        <v>0.9</v>
      </c>
      <c r="J30" s="64">
        <v>0.9</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2</v>
      </c>
      <c r="C31" s="41">
        <v>2</v>
      </c>
      <c r="D31" s="41">
        <v>2</v>
      </c>
      <c r="G31" s="63">
        <v>23</v>
      </c>
      <c r="H31" s="64">
        <v>0.9</v>
      </c>
      <c r="I31" s="64">
        <v>0.9</v>
      </c>
      <c r="J31" s="64">
        <v>0.9</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2</v>
      </c>
      <c r="C32" s="41">
        <v>2</v>
      </c>
      <c r="D32" s="41">
        <v>2</v>
      </c>
      <c r="G32" s="63">
        <v>24</v>
      </c>
      <c r="H32" s="64">
        <v>0.9</v>
      </c>
      <c r="I32" s="64">
        <v>0.9</v>
      </c>
      <c r="J32" s="64">
        <v>0.9</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7">
      <dataBar>
        <cfvo type="min"/>
        <cfvo type="max"/>
        <color rgb="FF63C384"/>
      </dataBar>
      <extLst>
        <ext xmlns:x14="http://schemas.microsoft.com/office/spreadsheetml/2009/9/main" uri="{B025F937-C7B1-47D3-B67F-A62EFF666E3E}">
          <x14:id>{84CD72E3-0EF9-4696-A3C5-67CAD067A68E}</x14:id>
        </ext>
      </extLst>
    </cfRule>
  </conditionalFormatting>
  <conditionalFormatting sqref="H9:J32">
    <cfRule type="dataBar" priority="6">
      <dataBar>
        <cfvo type="min"/>
        <cfvo type="max"/>
        <color rgb="FF63C384"/>
      </dataBar>
      <extLst>
        <ext xmlns:x14="http://schemas.microsoft.com/office/spreadsheetml/2009/9/main" uri="{B025F937-C7B1-47D3-B67F-A62EFF666E3E}">
          <x14:id>{C052D1C0-E21E-47F2-8A13-A175F5880B62}</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{CFFE4CAF-B400-4474-BCEE-0DD5B30F2EEB}</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{07CDDE34-E48D-4F2B-B82B-1F722C8AB79F}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4CD72E3-0EF9-4696-A3C5-67CAD067A68E}">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C052D1C0-E21E-47F2-8A13-A175F5880B62}">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CFFE4CAF-B400-4474-BCEE-0DD5B30F2EEB}">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07CDDE34-E48D-4F2B-B82B-1F722C8AB79F}">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A2A00-EAFA-4CA8-BA4B-5B66E8A7D207}">
  <sheetPr codeName="Foglio30"/>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112</v>
      </c>
    </row>
    <row r="2" spans="1:18">
      <c r="A2" s="36" t="s">
        <v>73</v>
      </c>
      <c r="B2" s="37"/>
      <c r="C2" s="37"/>
      <c r="D2" s="38" t="s">
        <v>113</v>
      </c>
    </row>
    <row r="3" spans="1:18">
      <c r="A3" s="36" t="s">
        <v>75</v>
      </c>
      <c r="B3" s="37"/>
      <c r="C3" s="37"/>
      <c r="D3" s="38" t="s">
        <v>86</v>
      </c>
    </row>
    <row r="4" spans="1:18">
      <c r="A4" s="37"/>
      <c r="B4" s="37"/>
      <c r="C4" s="37"/>
    </row>
    <row r="6" spans="1:18">
      <c r="A6" s="807" t="s">
        <v>191</v>
      </c>
      <c r="B6" s="807"/>
      <c r="C6" s="807"/>
      <c r="D6" s="807"/>
      <c r="E6" s="807"/>
      <c r="G6" s="827" t="s">
        <v>77</v>
      </c>
      <c r="H6" s="827"/>
      <c r="I6" s="827"/>
      <c r="J6" s="827"/>
      <c r="K6" s="827"/>
      <c r="L6" s="65"/>
      <c r="M6" s="66" t="s">
        <v>193</v>
      </c>
      <c r="N6" s="67"/>
      <c r="O6" s="66"/>
      <c r="P6" s="65"/>
      <c r="Q6" s="66" t="s">
        <v>192</v>
      </c>
      <c r="R6" s="67"/>
    </row>
    <row r="7" spans="1:18" ht="32.450000000000003" customHeight="1">
      <c r="B7" s="808" t="s">
        <v>78</v>
      </c>
      <c r="C7" s="808" t="s">
        <v>79</v>
      </c>
      <c r="D7" s="809" t="s">
        <v>80</v>
      </c>
      <c r="G7" s="48"/>
      <c r="H7" s="828" t="s">
        <v>78</v>
      </c>
      <c r="I7" s="828" t="s">
        <v>79</v>
      </c>
      <c r="J7" s="829" t="s">
        <v>80</v>
      </c>
      <c r="K7" s="48"/>
      <c r="P7" s="73" t="s">
        <v>195</v>
      </c>
      <c r="Q7" s="74">
        <v>3</v>
      </c>
    </row>
    <row r="8" spans="1:18">
      <c r="A8" s="40" t="s">
        <v>81</v>
      </c>
      <c r="B8" s="808"/>
      <c r="C8" s="808"/>
      <c r="D8" s="809"/>
      <c r="G8" s="70" t="s">
        <v>81</v>
      </c>
      <c r="H8" s="828"/>
      <c r="I8" s="828"/>
      <c r="J8" s="829"/>
      <c r="K8" s="48"/>
    </row>
    <row r="9" spans="1:18">
      <c r="A9" s="40">
        <v>1</v>
      </c>
      <c r="B9" s="41">
        <v>1</v>
      </c>
      <c r="C9" s="41">
        <v>1</v>
      </c>
      <c r="D9" s="41">
        <v>1</v>
      </c>
      <c r="G9" s="70">
        <v>1</v>
      </c>
      <c r="H9" s="71">
        <v>0.2</v>
      </c>
      <c r="I9" s="71">
        <v>0.9</v>
      </c>
      <c r="J9" s="71">
        <v>0.9</v>
      </c>
      <c r="K9" s="48"/>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1</v>
      </c>
      <c r="C10" s="41">
        <v>1</v>
      </c>
      <c r="D10" s="41">
        <v>1</v>
      </c>
      <c r="G10" s="70">
        <v>2</v>
      </c>
      <c r="H10" s="71">
        <v>0.2</v>
      </c>
      <c r="I10" s="71">
        <v>0.9</v>
      </c>
      <c r="J10" s="71">
        <v>0.9</v>
      </c>
      <c r="K10" s="48"/>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1</v>
      </c>
      <c r="C11" s="41">
        <v>1</v>
      </c>
      <c r="D11" s="41">
        <v>1</v>
      </c>
      <c r="G11" s="70">
        <v>3</v>
      </c>
      <c r="H11" s="71">
        <v>0.2</v>
      </c>
      <c r="I11" s="71">
        <v>0.9</v>
      </c>
      <c r="J11" s="71">
        <v>0.9</v>
      </c>
      <c r="K11" s="48"/>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1</v>
      </c>
      <c r="C12" s="41">
        <v>1</v>
      </c>
      <c r="D12" s="41">
        <v>1</v>
      </c>
      <c r="G12" s="70">
        <v>4</v>
      </c>
      <c r="H12" s="71">
        <v>0.2</v>
      </c>
      <c r="I12" s="71">
        <v>0.9</v>
      </c>
      <c r="J12" s="71">
        <v>0.9</v>
      </c>
      <c r="K12" s="48"/>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1</v>
      </c>
      <c r="C13" s="41">
        <v>1</v>
      </c>
      <c r="D13" s="41">
        <v>1</v>
      </c>
      <c r="G13" s="70">
        <v>5</v>
      </c>
      <c r="H13" s="71">
        <v>0.2</v>
      </c>
      <c r="I13" s="71">
        <v>0.9</v>
      </c>
      <c r="J13" s="71">
        <v>0.9</v>
      </c>
      <c r="K13" s="48"/>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3</v>
      </c>
      <c r="C14" s="41">
        <v>3</v>
      </c>
      <c r="D14" s="41">
        <v>3</v>
      </c>
      <c r="G14" s="70">
        <v>6</v>
      </c>
      <c r="H14" s="71">
        <v>0.5</v>
      </c>
      <c r="I14" s="71">
        <v>1</v>
      </c>
      <c r="J14" s="71">
        <v>1</v>
      </c>
      <c r="K14" s="48"/>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5</v>
      </c>
      <c r="C15" s="41">
        <v>5</v>
      </c>
      <c r="D15" s="41">
        <v>5</v>
      </c>
      <c r="G15" s="70">
        <v>7</v>
      </c>
      <c r="H15" s="71">
        <v>1</v>
      </c>
      <c r="I15" s="71">
        <v>1</v>
      </c>
      <c r="J15" s="71">
        <v>1</v>
      </c>
      <c r="K15" s="48"/>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5</v>
      </c>
      <c r="C16" s="41">
        <v>5</v>
      </c>
      <c r="D16" s="41">
        <v>5</v>
      </c>
      <c r="G16" s="70">
        <v>8</v>
      </c>
      <c r="H16" s="71">
        <v>1</v>
      </c>
      <c r="I16" s="71">
        <v>1</v>
      </c>
      <c r="J16" s="71">
        <v>1</v>
      </c>
      <c r="K16" s="48"/>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5</v>
      </c>
      <c r="C17" s="41">
        <v>5</v>
      </c>
      <c r="D17" s="41">
        <v>5</v>
      </c>
      <c r="G17" s="70">
        <v>9</v>
      </c>
      <c r="H17" s="71">
        <v>1</v>
      </c>
      <c r="I17" s="71">
        <v>1</v>
      </c>
      <c r="J17" s="71">
        <v>1</v>
      </c>
      <c r="K17" s="48"/>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5</v>
      </c>
      <c r="C18" s="41">
        <v>5</v>
      </c>
      <c r="D18" s="41">
        <v>5</v>
      </c>
      <c r="G18" s="70">
        <v>10</v>
      </c>
      <c r="H18" s="71">
        <v>1</v>
      </c>
      <c r="I18" s="71">
        <v>1</v>
      </c>
      <c r="J18" s="71">
        <v>1</v>
      </c>
      <c r="K18" s="48"/>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5</v>
      </c>
      <c r="C19" s="41">
        <v>5</v>
      </c>
      <c r="D19" s="41">
        <v>5</v>
      </c>
      <c r="G19" s="70">
        <v>11</v>
      </c>
      <c r="H19" s="71">
        <v>1</v>
      </c>
      <c r="I19" s="71">
        <v>1</v>
      </c>
      <c r="J19" s="71">
        <v>1</v>
      </c>
      <c r="K19" s="48"/>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5</v>
      </c>
      <c r="C20" s="41">
        <v>5</v>
      </c>
      <c r="D20" s="41">
        <v>5</v>
      </c>
      <c r="G20" s="70">
        <v>12</v>
      </c>
      <c r="H20" s="71">
        <v>1</v>
      </c>
      <c r="I20" s="71">
        <v>1</v>
      </c>
      <c r="J20" s="71">
        <v>1</v>
      </c>
      <c r="K20" s="48"/>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5</v>
      </c>
      <c r="C21" s="41">
        <v>5</v>
      </c>
      <c r="D21" s="41">
        <v>5</v>
      </c>
      <c r="G21" s="70">
        <v>13</v>
      </c>
      <c r="H21" s="71">
        <v>1</v>
      </c>
      <c r="I21" s="71">
        <v>1</v>
      </c>
      <c r="J21" s="71">
        <v>1</v>
      </c>
      <c r="K21" s="48"/>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5</v>
      </c>
      <c r="C22" s="41">
        <v>5</v>
      </c>
      <c r="D22" s="41">
        <v>5</v>
      </c>
      <c r="G22" s="70">
        <v>14</v>
      </c>
      <c r="H22" s="71">
        <v>1</v>
      </c>
      <c r="I22" s="71">
        <v>1</v>
      </c>
      <c r="J22" s="71">
        <v>1</v>
      </c>
      <c r="K22" s="48"/>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5</v>
      </c>
      <c r="C23" s="41">
        <v>5</v>
      </c>
      <c r="D23" s="41">
        <v>5</v>
      </c>
      <c r="G23" s="70">
        <v>15</v>
      </c>
      <c r="H23" s="71">
        <v>1</v>
      </c>
      <c r="I23" s="71">
        <v>1</v>
      </c>
      <c r="J23" s="71">
        <v>1</v>
      </c>
      <c r="K23" s="48"/>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5</v>
      </c>
      <c r="C24" s="41">
        <v>5</v>
      </c>
      <c r="D24" s="41">
        <v>5</v>
      </c>
      <c r="G24" s="70">
        <v>16</v>
      </c>
      <c r="H24" s="71">
        <v>1</v>
      </c>
      <c r="I24" s="71">
        <v>1</v>
      </c>
      <c r="J24" s="71">
        <v>1</v>
      </c>
      <c r="K24" s="48"/>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5</v>
      </c>
      <c r="C25" s="41">
        <v>5</v>
      </c>
      <c r="D25" s="41">
        <v>5</v>
      </c>
      <c r="G25" s="70">
        <v>17</v>
      </c>
      <c r="H25" s="71">
        <v>1</v>
      </c>
      <c r="I25" s="71">
        <v>1</v>
      </c>
      <c r="J25" s="71">
        <v>1</v>
      </c>
      <c r="K25" s="48"/>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5</v>
      </c>
      <c r="C26" s="41">
        <v>5</v>
      </c>
      <c r="D26" s="41">
        <v>5</v>
      </c>
      <c r="G26" s="70">
        <v>18</v>
      </c>
      <c r="H26" s="71">
        <v>1</v>
      </c>
      <c r="I26" s="71">
        <v>1</v>
      </c>
      <c r="J26" s="71">
        <v>1</v>
      </c>
      <c r="K26" s="48"/>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3</v>
      </c>
      <c r="C27" s="41">
        <v>3</v>
      </c>
      <c r="D27" s="41">
        <v>3</v>
      </c>
      <c r="G27" s="70">
        <v>19</v>
      </c>
      <c r="H27" s="71">
        <v>1</v>
      </c>
      <c r="I27" s="71">
        <v>1</v>
      </c>
      <c r="J27" s="71">
        <v>1</v>
      </c>
      <c r="K27" s="48"/>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3</v>
      </c>
      <c r="C28" s="41">
        <v>3</v>
      </c>
      <c r="D28" s="41">
        <v>3</v>
      </c>
      <c r="G28" s="70">
        <v>20</v>
      </c>
      <c r="H28" s="71">
        <v>1</v>
      </c>
      <c r="I28" s="71">
        <v>1</v>
      </c>
      <c r="J28" s="71">
        <v>1</v>
      </c>
      <c r="K28" s="48"/>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3</v>
      </c>
      <c r="C29" s="41">
        <v>3</v>
      </c>
      <c r="D29" s="41">
        <v>3</v>
      </c>
      <c r="G29" s="70">
        <v>21</v>
      </c>
      <c r="H29" s="71">
        <v>1</v>
      </c>
      <c r="I29" s="71">
        <v>1</v>
      </c>
      <c r="J29" s="71">
        <v>1</v>
      </c>
      <c r="K29" s="48"/>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1</v>
      </c>
      <c r="C30" s="41">
        <v>1</v>
      </c>
      <c r="D30" s="41">
        <v>1</v>
      </c>
      <c r="G30" s="70">
        <v>22</v>
      </c>
      <c r="H30" s="71">
        <v>0.9</v>
      </c>
      <c r="I30" s="71">
        <v>0.9</v>
      </c>
      <c r="J30" s="71">
        <v>0.9</v>
      </c>
      <c r="K30" s="48"/>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1</v>
      </c>
      <c r="C31" s="41">
        <v>1</v>
      </c>
      <c r="D31" s="41">
        <v>1</v>
      </c>
      <c r="G31" s="70">
        <v>23</v>
      </c>
      <c r="H31" s="71">
        <v>0.9</v>
      </c>
      <c r="I31" s="71">
        <v>0.9</v>
      </c>
      <c r="J31" s="71">
        <v>0.9</v>
      </c>
      <c r="K31" s="48"/>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1</v>
      </c>
      <c r="C32" s="41">
        <v>1</v>
      </c>
      <c r="D32" s="41">
        <v>1</v>
      </c>
      <c r="G32" s="70">
        <v>24</v>
      </c>
      <c r="H32" s="71">
        <v>0.9</v>
      </c>
      <c r="I32" s="71">
        <v>0.9</v>
      </c>
      <c r="J32" s="71">
        <v>0.9</v>
      </c>
      <c r="K32" s="48"/>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80</v>
      </c>
      <c r="C34" s="41">
        <f t="shared" ref="C34:D34" si="2">SUM(C9:C33)</f>
        <v>80</v>
      </c>
      <c r="D34" s="41">
        <f t="shared" si="2"/>
        <v>80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{0AAE6AA3-74CD-4C5D-B75D-7308F56A441B}</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{C3DC6020-9349-43A4-8C8F-3FE110A6A800}</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{DDC8218D-DA85-49A4-8BEB-D6EFC95FF310}</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{B1BE47F3-6E9F-434E-B855-736BBB5EDB70}</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AAE6AA3-74CD-4C5D-B75D-7308F56A441B}">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C3DC6020-9349-43A4-8C8F-3FE110A6A800}">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DDC8218D-DA85-49A4-8BEB-D6EFC95FF310}">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B1BE47F3-6E9F-434E-B855-736BBB5EDB70}">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A68D-6FC4-46E1-BCFA-E38221754AF0}">
  <sheetPr codeName="Foglio31"/>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114</v>
      </c>
    </row>
    <row r="2" spans="1:18">
      <c r="A2" s="36" t="s">
        <v>73</v>
      </c>
      <c r="B2" s="37"/>
      <c r="C2" s="37"/>
      <c r="D2" s="38" t="s">
        <v>115</v>
      </c>
    </row>
    <row r="3" spans="1:18">
      <c r="A3" s="36" t="s">
        <v>75</v>
      </c>
      <c r="B3" s="37"/>
      <c r="C3" s="37"/>
      <c r="D3" s="38" t="s">
        <v>116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2</v>
      </c>
      <c r="C9" s="41">
        <v>2</v>
      </c>
      <c r="D9" s="41">
        <v>2</v>
      </c>
      <c r="G9" s="63">
        <v>1</v>
      </c>
      <c r="H9" s="64">
        <v>1</v>
      </c>
      <c r="I9" s="64">
        <v>1</v>
      </c>
      <c r="J9" s="64">
        <v>1</v>
      </c>
      <c r="K9" s="61"/>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0</v>
      </c>
      <c r="C10" s="41">
        <v>0</v>
      </c>
      <c r="D10" s="41">
        <v>0</v>
      </c>
      <c r="G10" s="63">
        <v>2</v>
      </c>
      <c r="H10" s="64">
        <v>1</v>
      </c>
      <c r="I10" s="64">
        <v>1</v>
      </c>
      <c r="J10" s="64">
        <v>1</v>
      </c>
      <c r="K10" s="61"/>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0</v>
      </c>
      <c r="C11" s="41">
        <v>0</v>
      </c>
      <c r="D11" s="41">
        <v>0</v>
      </c>
      <c r="G11" s="63">
        <v>3</v>
      </c>
      <c r="H11" s="64">
        <v>1</v>
      </c>
      <c r="I11" s="64">
        <v>1</v>
      </c>
      <c r="J11" s="64">
        <v>1</v>
      </c>
      <c r="K11" s="61"/>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63">
        <v>4</v>
      </c>
      <c r="H12" s="64">
        <v>1</v>
      </c>
      <c r="I12" s="64">
        <v>1</v>
      </c>
      <c r="J12" s="64">
        <v>1</v>
      </c>
      <c r="K12" s="61"/>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2</v>
      </c>
      <c r="C13" s="41">
        <v>2</v>
      </c>
      <c r="D13" s="41">
        <v>2</v>
      </c>
      <c r="G13" s="63">
        <v>5</v>
      </c>
      <c r="H13" s="64">
        <v>1</v>
      </c>
      <c r="I13" s="64">
        <v>1</v>
      </c>
      <c r="J13" s="64">
        <v>1</v>
      </c>
      <c r="K13" s="61"/>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5</v>
      </c>
      <c r="C14" s="41">
        <v>5</v>
      </c>
      <c r="D14" s="41">
        <v>5</v>
      </c>
      <c r="G14" s="63">
        <v>6</v>
      </c>
      <c r="H14" s="64">
        <v>1</v>
      </c>
      <c r="I14" s="64">
        <v>1</v>
      </c>
      <c r="J14" s="64">
        <v>1</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10</v>
      </c>
      <c r="C15" s="41">
        <v>10</v>
      </c>
      <c r="D15" s="41">
        <v>10</v>
      </c>
      <c r="G15" s="63">
        <v>7</v>
      </c>
      <c r="H15" s="64">
        <v>1</v>
      </c>
      <c r="I15" s="64">
        <v>1</v>
      </c>
      <c r="J15" s="64">
        <v>1</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20</v>
      </c>
      <c r="C16" s="41">
        <v>20</v>
      </c>
      <c r="D16" s="41">
        <v>20</v>
      </c>
      <c r="G16" s="63">
        <v>8</v>
      </c>
      <c r="H16" s="64">
        <v>0.8</v>
      </c>
      <c r="I16" s="64">
        <v>0.8</v>
      </c>
      <c r="J16" s="64">
        <v>0.8</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10</v>
      </c>
      <c r="C17" s="41">
        <v>10</v>
      </c>
      <c r="D17" s="41">
        <v>10</v>
      </c>
      <c r="G17" s="63">
        <v>9</v>
      </c>
      <c r="H17" s="64">
        <v>0.5</v>
      </c>
      <c r="I17" s="64">
        <v>0.5</v>
      </c>
      <c r="J17" s="64">
        <v>0.5</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2</v>
      </c>
      <c r="C18" s="41">
        <v>2</v>
      </c>
      <c r="D18" s="41">
        <v>2</v>
      </c>
      <c r="G18" s="63">
        <v>10</v>
      </c>
      <c r="H18" s="64">
        <v>0.5</v>
      </c>
      <c r="I18" s="64">
        <v>0.5</v>
      </c>
      <c r="J18" s="64">
        <v>0.5</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2</v>
      </c>
      <c r="C19" s="41">
        <v>2</v>
      </c>
      <c r="D19" s="41">
        <v>2</v>
      </c>
      <c r="G19" s="63">
        <v>11</v>
      </c>
      <c r="H19" s="64">
        <v>0.5</v>
      </c>
      <c r="I19" s="64">
        <v>0.5</v>
      </c>
      <c r="J19" s="64">
        <v>0.5</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2</v>
      </c>
      <c r="C20" s="41">
        <v>2</v>
      </c>
      <c r="D20" s="41">
        <v>2</v>
      </c>
      <c r="G20" s="63">
        <v>12</v>
      </c>
      <c r="H20" s="64">
        <v>0.5</v>
      </c>
      <c r="I20" s="64">
        <v>0.5</v>
      </c>
      <c r="J20" s="64">
        <v>0.5</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0</v>
      </c>
      <c r="C21" s="41">
        <v>0</v>
      </c>
      <c r="D21" s="41">
        <v>0</v>
      </c>
      <c r="G21" s="63">
        <v>13</v>
      </c>
      <c r="H21" s="64">
        <v>0.5</v>
      </c>
      <c r="I21" s="64">
        <v>0.5</v>
      </c>
      <c r="J21" s="64">
        <v>0.5</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0</v>
      </c>
      <c r="C22" s="41">
        <v>0</v>
      </c>
      <c r="D22" s="41">
        <v>0</v>
      </c>
      <c r="G22" s="63">
        <v>14</v>
      </c>
      <c r="H22" s="64">
        <v>0.5</v>
      </c>
      <c r="I22" s="64">
        <v>0.5</v>
      </c>
      <c r="J22" s="64">
        <v>0.5</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0</v>
      </c>
      <c r="C23" s="41">
        <v>0</v>
      </c>
      <c r="D23" s="41">
        <v>0</v>
      </c>
      <c r="G23" s="63">
        <v>15</v>
      </c>
      <c r="H23" s="64">
        <v>0.5</v>
      </c>
      <c r="I23" s="64">
        <v>0.5</v>
      </c>
      <c r="J23" s="64">
        <v>0.5</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0</v>
      </c>
      <c r="C24" s="41">
        <v>0</v>
      </c>
      <c r="D24" s="41">
        <v>0</v>
      </c>
      <c r="G24" s="63">
        <v>16</v>
      </c>
      <c r="H24" s="64">
        <v>0.5</v>
      </c>
      <c r="I24" s="64">
        <v>0.5</v>
      </c>
      <c r="J24" s="64">
        <v>0.5</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0</v>
      </c>
      <c r="C25" s="41">
        <v>0</v>
      </c>
      <c r="D25" s="41">
        <v>0</v>
      </c>
      <c r="G25" s="63">
        <v>17</v>
      </c>
      <c r="H25" s="64">
        <v>0.8</v>
      </c>
      <c r="I25" s="64">
        <v>0.8</v>
      </c>
      <c r="J25" s="64">
        <v>0.8</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5</v>
      </c>
      <c r="C26" s="41">
        <v>5</v>
      </c>
      <c r="D26" s="41">
        <v>5</v>
      </c>
      <c r="G26" s="63">
        <v>18</v>
      </c>
      <c r="H26" s="64">
        <v>0.8</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10</v>
      </c>
      <c r="C27" s="41">
        <v>10</v>
      </c>
      <c r="D27" s="41">
        <v>10</v>
      </c>
      <c r="G27" s="63">
        <v>19</v>
      </c>
      <c r="H27" s="64">
        <v>0.8</v>
      </c>
      <c r="I27" s="64">
        <v>0.8</v>
      </c>
      <c r="J27" s="64">
        <v>0.8</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10</v>
      </c>
      <c r="C28" s="41">
        <v>10</v>
      </c>
      <c r="D28" s="41">
        <v>10</v>
      </c>
      <c r="G28" s="63">
        <v>20</v>
      </c>
      <c r="H28" s="64">
        <v>0.8</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63">
        <v>21</v>
      </c>
      <c r="H29" s="64">
        <v>0.8</v>
      </c>
      <c r="I29" s="64">
        <v>0.8</v>
      </c>
      <c r="J29" s="64">
        <v>0.8</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5</v>
      </c>
      <c r="C30" s="41">
        <v>5</v>
      </c>
      <c r="D30" s="41">
        <v>5</v>
      </c>
      <c r="G30" s="63">
        <v>22</v>
      </c>
      <c r="H30" s="64">
        <v>0.8</v>
      </c>
      <c r="I30" s="64">
        <v>0.8</v>
      </c>
      <c r="J30" s="64">
        <v>0.8</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3</v>
      </c>
      <c r="C31" s="41">
        <v>3</v>
      </c>
      <c r="D31" s="41">
        <v>3</v>
      </c>
      <c r="G31" s="63">
        <v>23</v>
      </c>
      <c r="H31" s="64">
        <v>1</v>
      </c>
      <c r="I31" s="64">
        <v>1</v>
      </c>
      <c r="J31" s="64">
        <v>1</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2</v>
      </c>
      <c r="C32" s="41">
        <v>2</v>
      </c>
      <c r="D32" s="41">
        <v>2</v>
      </c>
      <c r="G32" s="63">
        <v>24</v>
      </c>
      <c r="H32" s="64">
        <v>1</v>
      </c>
      <c r="I32" s="64">
        <v>1</v>
      </c>
      <c r="J32" s="64">
        <v>1</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{FB87104D-A90C-4365-AE8B-92E88F615E0D}</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{F3C6370E-2FAC-4812-833D-7671008272CA}</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{E8571A44-A3AD-41D8-B928-BF56713569C5}</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{AB16358C-FCB2-4431-A88A-8883E7EE1F99}</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FB87104D-A90C-4365-AE8B-92E88F615E0D}">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F3C6370E-2FAC-4812-833D-7671008272CA}">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E8571A44-A3AD-41D8-B928-BF56713569C5}">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AB16358C-FCB2-4431-A88A-8883E7EE1F99}">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D849-A93F-4890-A2C0-C95CE78A0333}">
  <sheetPr codeName="Foglio32"/>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114</v>
      </c>
    </row>
    <row r="2" spans="1:18">
      <c r="A2" s="36" t="s">
        <v>73</v>
      </c>
      <c r="B2" s="37"/>
      <c r="C2" s="37"/>
      <c r="D2" s="38" t="s">
        <v>115</v>
      </c>
    </row>
    <row r="3" spans="1:18">
      <c r="A3" s="36" t="s">
        <v>75</v>
      </c>
      <c r="B3" s="37"/>
      <c r="C3" s="37"/>
      <c r="D3" s="38" t="s">
        <v>116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1</v>
      </c>
      <c r="I9" s="64">
        <v>1</v>
      </c>
      <c r="J9" s="64">
        <v>1</v>
      </c>
      <c r="K9" s="61"/>
      <c r="L9" s="64">
        <f>IF(H9&gt;0,1,0)</f>
        <v>1</v>
      </c>
      <c r="M9" s="64">
        <f t="shared" ref="M9:N32" si="0">IF(I9&gt;0,1,0)</f>
        <v>1</v>
      </c>
      <c r="N9" s="64">
        <f t="shared" si="0"/>
        <v>1</v>
      </c>
      <c r="O9" s="72"/>
      <c r="P9" s="64">
        <f ca="1">IF(SUM(L9:INDIRECT(ADDRESS(ROW(L9)+$Q$7,COLUMN(L9),1,1)))&gt;0,1,0)</f>
        <v>1</v>
      </c>
      <c r="Q9" s="64">
        <f ca="1">IF(SUM(M9:INDIRECT(ADDRESS(ROW(M9)+$Q$7,COLUMN(M9),1,1)))&gt;0,1,0)</f>
        <v>1</v>
      </c>
      <c r="R9" s="64">
        <f ca="1">IF(SUM(N9:INDIRECT(ADDRESS(ROW(N9)+$Q$7,COLUMN(N9),1,1)))&gt;0,1,0)</f>
        <v>1</v>
      </c>
    </row>
    <row r="10" spans="1:18">
      <c r="A10" s="40">
        <v>2</v>
      </c>
      <c r="B10" s="41">
        <v>0</v>
      </c>
      <c r="C10" s="41">
        <v>0</v>
      </c>
      <c r="D10" s="41">
        <v>0</v>
      </c>
      <c r="G10" s="63">
        <v>2</v>
      </c>
      <c r="H10" s="64">
        <v>1</v>
      </c>
      <c r="I10" s="64">
        <v>1</v>
      </c>
      <c r="J10" s="64">
        <v>1</v>
      </c>
      <c r="K10" s="61"/>
      <c r="L10" s="64">
        <f t="shared" ref="L10:L32" si="1">IF(H10&gt;0,1,0)</f>
        <v>1</v>
      </c>
      <c r="M10" s="64">
        <f t="shared" si="0"/>
        <v>1</v>
      </c>
      <c r="N10" s="64">
        <f t="shared" si="0"/>
        <v>1</v>
      </c>
      <c r="O10" s="72"/>
      <c r="P10" s="64">
        <f ca="1">IF(SUM(L10:INDIRECT(ADDRESS(ROW(L10)+$Q$7,COLUMN(L10),1,1)))&gt;0,1,0)</f>
        <v>1</v>
      </c>
      <c r="Q10" s="64">
        <f ca="1">IF(SUM(M10:INDIRECT(ADDRESS(ROW(M10)+$Q$7,COLUMN(M10),1,1)))&gt;0,1,0)</f>
        <v>1</v>
      </c>
      <c r="R10" s="64">
        <f ca="1">IF(SUM(N10:INDIRECT(ADDRESS(ROW(N10)+$Q$7,COLUMN(N10),1,1)))&gt;0,1,0)</f>
        <v>1</v>
      </c>
    </row>
    <row r="11" spans="1:18">
      <c r="A11" s="40">
        <v>3</v>
      </c>
      <c r="B11" s="41">
        <v>0</v>
      </c>
      <c r="C11" s="41">
        <v>0</v>
      </c>
      <c r="D11" s="41">
        <v>0</v>
      </c>
      <c r="G11" s="63">
        <v>3</v>
      </c>
      <c r="H11" s="64">
        <v>1</v>
      </c>
      <c r="I11" s="64">
        <v>1</v>
      </c>
      <c r="J11" s="64">
        <v>1</v>
      </c>
      <c r="K11" s="61"/>
      <c r="L11" s="64">
        <f t="shared" si="1"/>
        <v>1</v>
      </c>
      <c r="M11" s="64">
        <f t="shared" si="0"/>
        <v>1</v>
      </c>
      <c r="N11" s="64">
        <f t="shared" si="0"/>
        <v>1</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63">
        <v>4</v>
      </c>
      <c r="H12" s="64">
        <v>1</v>
      </c>
      <c r="I12" s="64">
        <v>1</v>
      </c>
      <c r="J12" s="64">
        <v>1</v>
      </c>
      <c r="K12" s="61"/>
      <c r="L12" s="64">
        <f t="shared" si="1"/>
        <v>1</v>
      </c>
      <c r="M12" s="64">
        <f t="shared" si="0"/>
        <v>1</v>
      </c>
      <c r="N12" s="64">
        <f t="shared" si="0"/>
        <v>1</v>
      </c>
      <c r="O12" s="72"/>
      <c r="P12" s="64">
        <f ca="1">IF(SUM(L12:INDIRECT(ADDRESS(ROW(L12)+$Q$7,COLUMN(L12),1,1)))&gt;0,1,0)</f>
        <v>1</v>
      </c>
      <c r="Q12" s="64">
        <f ca="1">IF(SUM(M12:INDIRECT(ADDRESS(ROW(M12)+$Q$7,COLUMN(M12),1,1)))&gt;0,1,0)</f>
        <v>1</v>
      </c>
      <c r="R12" s="64">
        <f ca="1">IF(SUM(N12:INDIRECT(ADDRESS(ROW(N12)+$Q$7,COLUMN(N12),1,1)))&gt;0,1,0)</f>
        <v>1</v>
      </c>
    </row>
    <row r="13" spans="1:18">
      <c r="A13" s="40">
        <v>5</v>
      </c>
      <c r="B13" s="41">
        <v>0</v>
      </c>
      <c r="C13" s="41">
        <v>0</v>
      </c>
      <c r="D13" s="41">
        <v>0</v>
      </c>
      <c r="G13" s="63">
        <v>5</v>
      </c>
      <c r="H13" s="64">
        <v>1</v>
      </c>
      <c r="I13" s="64">
        <v>1</v>
      </c>
      <c r="J13" s="64">
        <v>1</v>
      </c>
      <c r="K13" s="61"/>
      <c r="L13" s="64">
        <f t="shared" si="1"/>
        <v>1</v>
      </c>
      <c r="M13" s="64">
        <f t="shared" si="0"/>
        <v>1</v>
      </c>
      <c r="N13" s="64">
        <f t="shared" si="0"/>
        <v>1</v>
      </c>
      <c r="O13" s="72"/>
      <c r="P13" s="64">
        <f ca="1">IF(SUM(L13:INDIRECT(ADDRESS(ROW(L13)+$Q$7,COLUMN(L13),1,1)))&gt;0,1,0)</f>
        <v>1</v>
      </c>
      <c r="Q13" s="64">
        <f ca="1">IF(SUM(M13:INDIRECT(ADDRESS(ROW(M13)+$Q$7,COLUMN(M13),1,1)))&gt;0,1,0)</f>
        <v>1</v>
      </c>
      <c r="R13" s="64">
        <f ca="1">IF(SUM(N13:INDIRECT(ADDRESS(ROW(N13)+$Q$7,COLUMN(N13),1,1)))&gt;0,1,0)</f>
        <v>1</v>
      </c>
    </row>
    <row r="14" spans="1:18">
      <c r="A14" s="40">
        <v>6</v>
      </c>
      <c r="B14" s="41">
        <v>0</v>
      </c>
      <c r="C14" s="41">
        <v>0</v>
      </c>
      <c r="D14" s="41">
        <v>0</v>
      </c>
      <c r="G14" s="63">
        <v>6</v>
      </c>
      <c r="H14" s="64">
        <v>1</v>
      </c>
      <c r="I14" s="64">
        <v>1</v>
      </c>
      <c r="J14" s="64">
        <v>1</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0</v>
      </c>
      <c r="C15" s="41">
        <v>0</v>
      </c>
      <c r="D15" s="41">
        <v>0</v>
      </c>
      <c r="G15" s="63">
        <v>7</v>
      </c>
      <c r="H15" s="64">
        <v>1</v>
      </c>
      <c r="I15" s="64">
        <v>1</v>
      </c>
      <c r="J15" s="64">
        <v>1</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0</v>
      </c>
      <c r="C16" s="41">
        <v>0</v>
      </c>
      <c r="D16" s="41">
        <v>0</v>
      </c>
      <c r="G16" s="63">
        <v>8</v>
      </c>
      <c r="H16" s="64">
        <v>0.8</v>
      </c>
      <c r="I16" s="64">
        <v>0.8</v>
      </c>
      <c r="J16" s="64">
        <v>0.8</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10</v>
      </c>
      <c r="C17" s="41">
        <v>10</v>
      </c>
      <c r="D17" s="41">
        <v>10</v>
      </c>
      <c r="G17" s="63">
        <v>9</v>
      </c>
      <c r="H17" s="64">
        <v>0.5</v>
      </c>
      <c r="I17" s="64">
        <v>0.5</v>
      </c>
      <c r="J17" s="64">
        <v>0.5</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30</v>
      </c>
      <c r="C18" s="41">
        <v>30</v>
      </c>
      <c r="D18" s="41">
        <v>30</v>
      </c>
      <c r="G18" s="63">
        <v>10</v>
      </c>
      <c r="H18" s="64">
        <v>0.5</v>
      </c>
      <c r="I18" s="64">
        <v>0.5</v>
      </c>
      <c r="J18" s="64">
        <v>0.5</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30</v>
      </c>
      <c r="C19" s="41">
        <v>30</v>
      </c>
      <c r="D19" s="41">
        <v>30</v>
      </c>
      <c r="G19" s="63">
        <v>11</v>
      </c>
      <c r="H19" s="64">
        <v>0.5</v>
      </c>
      <c r="I19" s="64">
        <v>0.5</v>
      </c>
      <c r="J19" s="64">
        <v>0.5</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20</v>
      </c>
      <c r="C20" s="41">
        <v>20</v>
      </c>
      <c r="D20" s="41">
        <v>20</v>
      </c>
      <c r="G20" s="63">
        <v>12</v>
      </c>
      <c r="H20" s="64">
        <v>0.5</v>
      </c>
      <c r="I20" s="64">
        <v>0.5</v>
      </c>
      <c r="J20" s="64">
        <v>0.5</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0</v>
      </c>
      <c r="C21" s="41">
        <v>0</v>
      </c>
      <c r="D21" s="41">
        <v>0</v>
      </c>
      <c r="G21" s="63">
        <v>13</v>
      </c>
      <c r="H21" s="64">
        <v>0.5</v>
      </c>
      <c r="I21" s="64">
        <v>0.5</v>
      </c>
      <c r="J21" s="64">
        <v>0.5</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0</v>
      </c>
      <c r="C22" s="41">
        <v>0</v>
      </c>
      <c r="D22" s="41">
        <v>0</v>
      </c>
      <c r="G22" s="63">
        <v>14</v>
      </c>
      <c r="H22" s="64">
        <v>0.5</v>
      </c>
      <c r="I22" s="64">
        <v>0.5</v>
      </c>
      <c r="J22" s="64">
        <v>0.5</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0</v>
      </c>
      <c r="C23" s="41">
        <v>0</v>
      </c>
      <c r="D23" s="41">
        <v>0</v>
      </c>
      <c r="G23" s="63">
        <v>15</v>
      </c>
      <c r="H23" s="64">
        <v>0.5</v>
      </c>
      <c r="I23" s="64">
        <v>0.5</v>
      </c>
      <c r="J23" s="64">
        <v>0.5</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0</v>
      </c>
      <c r="C24" s="41">
        <v>0</v>
      </c>
      <c r="D24" s="41">
        <v>0</v>
      </c>
      <c r="G24" s="63">
        <v>16</v>
      </c>
      <c r="H24" s="64">
        <v>0.5</v>
      </c>
      <c r="I24" s="64">
        <v>0.5</v>
      </c>
      <c r="J24" s="64">
        <v>0.5</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5</v>
      </c>
      <c r="C25" s="41">
        <v>5</v>
      </c>
      <c r="D25" s="41">
        <v>5</v>
      </c>
      <c r="G25" s="63">
        <v>17</v>
      </c>
      <c r="H25" s="64">
        <v>0.8</v>
      </c>
      <c r="I25" s="64">
        <v>0.8</v>
      </c>
      <c r="J25" s="64">
        <v>0.8</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5</v>
      </c>
      <c r="C26" s="41">
        <v>5</v>
      </c>
      <c r="D26" s="41">
        <v>5</v>
      </c>
      <c r="G26" s="63">
        <v>18</v>
      </c>
      <c r="H26" s="64">
        <v>0.8</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0</v>
      </c>
      <c r="C27" s="41">
        <v>0</v>
      </c>
      <c r="D27" s="41">
        <v>0</v>
      </c>
      <c r="G27" s="63">
        <v>19</v>
      </c>
      <c r="H27" s="64">
        <v>0.8</v>
      </c>
      <c r="I27" s="64">
        <v>0.8</v>
      </c>
      <c r="J27" s="64">
        <v>0.8</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0</v>
      </c>
      <c r="C28" s="41">
        <v>0</v>
      </c>
      <c r="D28" s="41">
        <v>0</v>
      </c>
      <c r="G28" s="63">
        <v>20</v>
      </c>
      <c r="H28" s="64">
        <v>0.8</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0</v>
      </c>
      <c r="C29" s="41">
        <v>0</v>
      </c>
      <c r="D29" s="41">
        <v>0</v>
      </c>
      <c r="G29" s="63">
        <v>21</v>
      </c>
      <c r="H29" s="64">
        <v>0.8</v>
      </c>
      <c r="I29" s="64">
        <v>0.8</v>
      </c>
      <c r="J29" s="64">
        <v>0.8</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0</v>
      </c>
      <c r="C30" s="41">
        <v>0</v>
      </c>
      <c r="D30" s="41">
        <v>0</v>
      </c>
      <c r="G30" s="63">
        <v>22</v>
      </c>
      <c r="H30" s="64">
        <v>0.8</v>
      </c>
      <c r="I30" s="64">
        <v>0.8</v>
      </c>
      <c r="J30" s="64">
        <v>0.8</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0</v>
      </c>
      <c r="C31" s="41">
        <v>0</v>
      </c>
      <c r="D31" s="41">
        <v>0</v>
      </c>
      <c r="G31" s="63">
        <v>23</v>
      </c>
      <c r="H31" s="64">
        <v>1</v>
      </c>
      <c r="I31" s="64">
        <v>1</v>
      </c>
      <c r="J31" s="64">
        <v>1</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0</v>
      </c>
      <c r="C32" s="41">
        <v>0</v>
      </c>
      <c r="D32" s="41">
        <v>0</v>
      </c>
      <c r="G32" s="63">
        <v>24</v>
      </c>
      <c r="H32" s="64">
        <v>1</v>
      </c>
      <c r="I32" s="64">
        <v>1</v>
      </c>
      <c r="J32" s="64">
        <v>1</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{9844D3A2-D183-47A8-B3AA-84E6FE300200}</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{C1929972-47A6-4F31-99D0-D313FFAF5625}</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{7F2137A7-20DB-420D-A65F-70E64F0E5298}</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{B6DAD46A-99CB-45DE-AC01-77CFF07193B2}</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844D3A2-D183-47A8-B3AA-84E6FE300200}">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C1929972-47A6-4F31-99D0-D313FFAF5625}">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7F2137A7-20DB-420D-A65F-70E64F0E5298}">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B6DAD46A-99CB-45DE-AC01-77CFF07193B2}">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50B8D-6CEF-4837-9744-8644164EAB62}">
  <sheetPr codeName="Foglio33"/>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114</v>
      </c>
    </row>
    <row r="2" spans="1:18">
      <c r="A2" s="36" t="s">
        <v>73</v>
      </c>
      <c r="B2" s="37"/>
      <c r="C2" s="37"/>
      <c r="D2" s="38" t="s">
        <v>115</v>
      </c>
    </row>
    <row r="3" spans="1:18">
      <c r="A3" s="36" t="s">
        <v>75</v>
      </c>
      <c r="B3" s="37"/>
      <c r="C3" s="37"/>
      <c r="D3" s="38" t="s">
        <v>116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0</v>
      </c>
      <c r="Q12" s="64">
        <f ca="1">IF(SUM(M12:INDIRECT(ADDRESS(ROW(M12)+$Q$7,COLUMN(M12),1,1)))&gt;0,1,0)</f>
        <v>0</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1</v>
      </c>
      <c r="Q13" s="64">
        <f ca="1">IF(SUM(M13:INDIRECT(ADDRESS(ROW(M13)+$Q$7,COLUMN(M13),1,1)))&gt;0,1,0)</f>
        <v>1</v>
      </c>
      <c r="R13" s="64">
        <f ca="1">IF(SUM(N13:INDIRECT(ADDRESS(ROW(N13)+$Q$7,COLUMN(N13),1,1)))&gt;0,1,0)</f>
        <v>1</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1</v>
      </c>
      <c r="Q14" s="64">
        <f ca="1">IF(SUM(M14:INDIRECT(ADDRESS(ROW(M14)+$Q$7,COLUMN(M14),1,1)))&gt;0,1,0)</f>
        <v>1</v>
      </c>
      <c r="R14" s="64">
        <f ca="1">IF(SUM(N14:INDIRECT(ADDRESS(ROW(N14)+$Q$7,COLUMN(N14),1,1)))&gt;0,1,0)</f>
        <v>1</v>
      </c>
    </row>
    <row r="15" spans="1:18">
      <c r="A15" s="40">
        <v>7</v>
      </c>
      <c r="B15" s="41">
        <v>0</v>
      </c>
      <c r="C15" s="41">
        <v>0</v>
      </c>
      <c r="D15" s="41">
        <v>0</v>
      </c>
      <c r="G15" s="63">
        <v>7</v>
      </c>
      <c r="H15" s="64">
        <v>0</v>
      </c>
      <c r="I15" s="64">
        <v>0</v>
      </c>
      <c r="J15" s="64">
        <v>0</v>
      </c>
      <c r="K15" s="61"/>
      <c r="L15" s="64">
        <f t="shared" si="1"/>
        <v>0</v>
      </c>
      <c r="M15" s="64">
        <f t="shared" si="0"/>
        <v>0</v>
      </c>
      <c r="N15" s="64">
        <f t="shared" si="0"/>
        <v>0</v>
      </c>
      <c r="O15" s="72"/>
      <c r="P15" s="64">
        <f ca="1">IF(SUM(L15:INDIRECT(ADDRESS(ROW(L15)+$Q$7,COLUMN(L15),1,1)))&gt;0,1,0)</f>
        <v>1</v>
      </c>
      <c r="Q15" s="64">
        <f ca="1">IF(SUM(M15:INDIRECT(ADDRESS(ROW(M15)+$Q$7,COLUMN(M15),1,1)))&gt;0,1,0)</f>
        <v>1</v>
      </c>
      <c r="R15" s="64">
        <f ca="1">IF(SUM(N15:INDIRECT(ADDRESS(ROW(N15)+$Q$7,COLUMN(N15),1,1)))&gt;0,1,0)</f>
        <v>1</v>
      </c>
    </row>
    <row r="16" spans="1:18">
      <c r="A16" s="40">
        <v>8</v>
      </c>
      <c r="B16" s="41">
        <v>2</v>
      </c>
      <c r="C16" s="41">
        <v>2</v>
      </c>
      <c r="D16" s="41">
        <v>2</v>
      </c>
      <c r="G16" s="63">
        <v>8</v>
      </c>
      <c r="H16" s="64">
        <v>0.2</v>
      </c>
      <c r="I16" s="64">
        <v>0.2</v>
      </c>
      <c r="J16" s="64">
        <v>0.2</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5</v>
      </c>
      <c r="C17" s="41">
        <v>5</v>
      </c>
      <c r="D17" s="41">
        <v>5</v>
      </c>
      <c r="G17" s="63">
        <v>9</v>
      </c>
      <c r="H17" s="64">
        <v>0.2</v>
      </c>
      <c r="I17" s="64">
        <v>0.2</v>
      </c>
      <c r="J17" s="64">
        <v>0.2</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5</v>
      </c>
      <c r="C18" s="41">
        <v>5</v>
      </c>
      <c r="D18" s="41">
        <v>5</v>
      </c>
      <c r="G18" s="63">
        <v>10</v>
      </c>
      <c r="H18" s="64">
        <v>0.2</v>
      </c>
      <c r="I18" s="64">
        <v>0.2</v>
      </c>
      <c r="J18" s="64">
        <v>0.2</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5</v>
      </c>
      <c r="C19" s="41">
        <v>5</v>
      </c>
      <c r="D19" s="41">
        <v>5</v>
      </c>
      <c r="G19" s="63">
        <v>11</v>
      </c>
      <c r="H19" s="64">
        <v>0.2</v>
      </c>
      <c r="I19" s="64">
        <v>0.2</v>
      </c>
      <c r="J19" s="64">
        <v>0.2</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5</v>
      </c>
      <c r="C20" s="41">
        <v>5</v>
      </c>
      <c r="D20" s="41">
        <v>5</v>
      </c>
      <c r="G20" s="63">
        <v>12</v>
      </c>
      <c r="H20" s="64">
        <v>0.2</v>
      </c>
      <c r="I20" s="64">
        <v>0.2</v>
      </c>
      <c r="J20" s="64">
        <v>0.2</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2</v>
      </c>
      <c r="C21" s="41">
        <v>2</v>
      </c>
      <c r="D21" s="41">
        <v>2</v>
      </c>
      <c r="G21" s="63">
        <v>13</v>
      </c>
      <c r="H21" s="64">
        <v>0.1</v>
      </c>
      <c r="I21" s="64">
        <v>0.1</v>
      </c>
      <c r="J21" s="64">
        <v>0.1</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2</v>
      </c>
      <c r="C22" s="41">
        <v>2</v>
      </c>
      <c r="D22" s="41">
        <v>2</v>
      </c>
      <c r="G22" s="63">
        <v>14</v>
      </c>
      <c r="H22" s="64">
        <v>0.1</v>
      </c>
      <c r="I22" s="64">
        <v>0.1</v>
      </c>
      <c r="J22" s="64">
        <v>0.1</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2</v>
      </c>
      <c r="C23" s="41">
        <v>2</v>
      </c>
      <c r="D23" s="41">
        <v>2</v>
      </c>
      <c r="G23" s="63">
        <v>15</v>
      </c>
      <c r="H23" s="64">
        <v>0.2</v>
      </c>
      <c r="I23" s="64">
        <v>0.2</v>
      </c>
      <c r="J23" s="64">
        <v>0.2</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5</v>
      </c>
      <c r="C24" s="41">
        <v>5</v>
      </c>
      <c r="D24" s="41">
        <v>5</v>
      </c>
      <c r="G24" s="63">
        <v>16</v>
      </c>
      <c r="H24" s="64">
        <v>0.5</v>
      </c>
      <c r="I24" s="64">
        <v>0.5</v>
      </c>
      <c r="J24" s="64">
        <v>0.5</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5</v>
      </c>
      <c r="C25" s="41">
        <v>5</v>
      </c>
      <c r="D25" s="41">
        <v>5</v>
      </c>
      <c r="G25" s="63">
        <v>17</v>
      </c>
      <c r="H25" s="64">
        <v>0.8</v>
      </c>
      <c r="I25" s="64">
        <v>0.8</v>
      </c>
      <c r="J25" s="64">
        <v>0.8</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5</v>
      </c>
      <c r="C26" s="41">
        <v>5</v>
      </c>
      <c r="D26" s="41">
        <v>5</v>
      </c>
      <c r="G26" s="63">
        <v>18</v>
      </c>
      <c r="H26" s="64">
        <v>0.8</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5</v>
      </c>
      <c r="C27" s="41">
        <v>5</v>
      </c>
      <c r="D27" s="41">
        <v>5</v>
      </c>
      <c r="G27" s="63">
        <v>19</v>
      </c>
      <c r="H27" s="64">
        <v>0.6</v>
      </c>
      <c r="I27" s="64">
        <v>0.6</v>
      </c>
      <c r="J27" s="64">
        <v>0.6</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2</v>
      </c>
      <c r="C28" s="41">
        <v>2</v>
      </c>
      <c r="D28" s="41">
        <v>2</v>
      </c>
      <c r="G28" s="63">
        <v>20</v>
      </c>
      <c r="H28" s="64">
        <v>0.5</v>
      </c>
      <c r="I28" s="64">
        <v>0.5</v>
      </c>
      <c r="J28" s="64">
        <v>0.5</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63">
        <v>21</v>
      </c>
      <c r="H29" s="64">
        <v>0.5</v>
      </c>
      <c r="I29" s="64">
        <v>0.5</v>
      </c>
      <c r="J29" s="64">
        <v>0.5</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15</v>
      </c>
      <c r="C30" s="41">
        <v>15</v>
      </c>
      <c r="D30" s="41">
        <v>15</v>
      </c>
      <c r="G30" s="63">
        <v>22</v>
      </c>
      <c r="H30" s="64">
        <v>0.8</v>
      </c>
      <c r="I30" s="64">
        <v>0.8</v>
      </c>
      <c r="J30" s="64">
        <v>0.8</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15</v>
      </c>
      <c r="C31" s="41">
        <v>15</v>
      </c>
      <c r="D31" s="41">
        <v>15</v>
      </c>
      <c r="G31" s="63">
        <v>23</v>
      </c>
      <c r="H31" s="64">
        <v>1</v>
      </c>
      <c r="I31" s="64">
        <v>1</v>
      </c>
      <c r="J31" s="64">
        <v>1</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10</v>
      </c>
      <c r="C32" s="41">
        <v>10</v>
      </c>
      <c r="D32" s="41">
        <v>10</v>
      </c>
      <c r="G32" s="63">
        <v>24</v>
      </c>
      <c r="H32" s="64">
        <v>0.5</v>
      </c>
      <c r="I32" s="64">
        <v>0.5</v>
      </c>
      <c r="J32" s="64">
        <v>0.5</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{F5212F79-ECE8-4EE0-9B3B-AE5D4A1490E4}</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{43A73DA8-A5EA-4888-9CD8-C160CCC5BF16}</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{05C5C8D8-30FF-4501-A5A4-E96654C336F3}</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{449EE6B6-83A0-4BD7-9BAB-A7874B4CB7E4}</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F5212F79-ECE8-4EE0-9B3B-AE5D4A1490E4}">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43A73DA8-A5EA-4888-9CD8-C160CCC5BF16}">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05C5C8D8-30FF-4501-A5A4-E96654C336F3}">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449EE6B6-83A0-4BD7-9BAB-A7874B4CB7E4}">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02261-B4D9-462A-BD0A-E0E848A2D475}">
  <sheetPr codeName="Foglio34"/>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117</v>
      </c>
      <c r="G1" s="36" t="s">
        <v>71</v>
      </c>
      <c r="H1" s="37"/>
      <c r="I1" s="37"/>
      <c r="J1" s="38" t="s">
        <v>117</v>
      </c>
    </row>
    <row r="2" spans="1:18">
      <c r="A2" s="36" t="s">
        <v>73</v>
      </c>
      <c r="B2" s="37"/>
      <c r="C2" s="37"/>
      <c r="D2" s="38" t="s">
        <v>118</v>
      </c>
      <c r="G2" s="36" t="s">
        <v>73</v>
      </c>
      <c r="H2" s="37"/>
      <c r="I2" s="37"/>
      <c r="J2" s="38" t="s">
        <v>119</v>
      </c>
    </row>
    <row r="3" spans="1:18">
      <c r="A3" s="36" t="s">
        <v>75</v>
      </c>
      <c r="B3" s="37"/>
      <c r="C3" s="37"/>
      <c r="D3" s="38" t="s">
        <v>120</v>
      </c>
      <c r="G3" s="36" t="s">
        <v>75</v>
      </c>
      <c r="H3" s="37"/>
      <c r="I3" s="37"/>
      <c r="J3" s="38" t="s">
        <v>120</v>
      </c>
    </row>
    <row r="4" spans="1:18">
      <c r="A4" s="37"/>
      <c r="B4" s="37"/>
      <c r="C4" s="37"/>
    </row>
    <row r="6" spans="1:18">
      <c r="A6" s="807" t="s">
        <v>191</v>
      </c>
      <c r="B6" s="807"/>
      <c r="C6" s="807"/>
      <c r="D6" s="807"/>
      <c r="E6" s="807"/>
      <c r="G6" s="807" t="s">
        <v>77</v>
      </c>
      <c r="H6" s="807"/>
      <c r="I6" s="807"/>
      <c r="J6" s="807"/>
      <c r="K6" s="807"/>
      <c r="L6" s="65"/>
      <c r="M6" s="66" t="s">
        <v>193</v>
      </c>
      <c r="N6" s="67"/>
      <c r="O6" s="66"/>
      <c r="P6" s="65"/>
      <c r="Q6" s="66" t="s">
        <v>192</v>
      </c>
      <c r="R6" s="67"/>
    </row>
    <row r="7" spans="1:18" ht="32.450000000000003" customHeight="1">
      <c r="B7" s="808" t="s">
        <v>78</v>
      </c>
      <c r="C7" s="808" t="s">
        <v>79</v>
      </c>
      <c r="D7" s="809" t="s">
        <v>80</v>
      </c>
      <c r="H7" s="808" t="s">
        <v>78</v>
      </c>
      <c r="I7" s="808" t="s">
        <v>79</v>
      </c>
      <c r="J7" s="809" t="s">
        <v>80</v>
      </c>
      <c r="P7" s="73" t="s">
        <v>195</v>
      </c>
      <c r="Q7" s="74">
        <v>3</v>
      </c>
    </row>
    <row r="8" spans="1:18">
      <c r="A8" s="40" t="s">
        <v>81</v>
      </c>
      <c r="B8" s="808"/>
      <c r="C8" s="808"/>
      <c r="D8" s="809"/>
      <c r="G8" s="40" t="s">
        <v>81</v>
      </c>
      <c r="H8" s="808"/>
      <c r="I8" s="808"/>
      <c r="J8" s="809"/>
    </row>
    <row r="9" spans="1:18">
      <c r="A9" s="40">
        <v>1</v>
      </c>
      <c r="B9" s="41">
        <v>0</v>
      </c>
      <c r="C9" s="41">
        <v>0</v>
      </c>
      <c r="D9" s="41">
        <v>0</v>
      </c>
      <c r="G9" s="40">
        <v>1</v>
      </c>
      <c r="H9" s="41">
        <v>0</v>
      </c>
      <c r="I9" s="41">
        <v>0</v>
      </c>
      <c r="J9" s="41">
        <v>0</v>
      </c>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40">
        <v>2</v>
      </c>
      <c r="H10" s="41">
        <v>0</v>
      </c>
      <c r="I10" s="41">
        <v>0</v>
      </c>
      <c r="J10" s="41">
        <v>0</v>
      </c>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40">
        <v>3</v>
      </c>
      <c r="H11" s="41">
        <v>0</v>
      </c>
      <c r="I11" s="41">
        <v>0</v>
      </c>
      <c r="J11" s="41">
        <v>0</v>
      </c>
      <c r="L11" s="64">
        <f t="shared" si="1"/>
        <v>0</v>
      </c>
      <c r="M11" s="64">
        <f t="shared" si="0"/>
        <v>0</v>
      </c>
      <c r="N11" s="64">
        <f t="shared" si="0"/>
        <v>0</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40">
        <v>4</v>
      </c>
      <c r="H12" s="41">
        <v>0</v>
      </c>
      <c r="I12" s="41">
        <v>0</v>
      </c>
      <c r="J12" s="41">
        <v>0</v>
      </c>
      <c r="L12" s="64">
        <f t="shared" si="1"/>
        <v>0</v>
      </c>
      <c r="M12" s="64">
        <f t="shared" si="0"/>
        <v>0</v>
      </c>
      <c r="N12" s="64">
        <f t="shared" si="0"/>
        <v>0</v>
      </c>
      <c r="O12" s="72"/>
      <c r="P12" s="64">
        <f ca="1">IF(SUM(L12:INDIRECT(ADDRESS(ROW(L12)+$Q$7,COLUMN(L12),1,1)))&gt;0,1,0)</f>
        <v>1</v>
      </c>
      <c r="Q12" s="64">
        <f ca="1">IF(SUM(M12:INDIRECT(ADDRESS(ROW(M12)+$Q$7,COLUMN(M12),1,1)))&gt;0,1,0)</f>
        <v>1</v>
      </c>
      <c r="R12" s="64">
        <f ca="1">IF(SUM(N12:INDIRECT(ADDRESS(ROW(N12)+$Q$7,COLUMN(N12),1,1)))&gt;0,1,0)</f>
        <v>1</v>
      </c>
    </row>
    <row r="13" spans="1:18">
      <c r="A13" s="40">
        <v>5</v>
      </c>
      <c r="B13" s="41">
        <v>0</v>
      </c>
      <c r="C13" s="41">
        <v>0</v>
      </c>
      <c r="D13" s="41">
        <v>0</v>
      </c>
      <c r="G13" s="40">
        <v>5</v>
      </c>
      <c r="H13" s="41">
        <v>0</v>
      </c>
      <c r="I13" s="41">
        <v>0</v>
      </c>
      <c r="J13" s="41">
        <v>0</v>
      </c>
      <c r="L13" s="64">
        <f t="shared" si="1"/>
        <v>0</v>
      </c>
      <c r="M13" s="64">
        <f t="shared" si="0"/>
        <v>0</v>
      </c>
      <c r="N13" s="64">
        <f t="shared" si="0"/>
        <v>0</v>
      </c>
      <c r="O13" s="72"/>
      <c r="P13" s="64">
        <f ca="1">IF(SUM(L13:INDIRECT(ADDRESS(ROW(L13)+$Q$7,COLUMN(L13),1,1)))&gt;0,1,0)</f>
        <v>1</v>
      </c>
      <c r="Q13" s="64">
        <f ca="1">IF(SUM(M13:INDIRECT(ADDRESS(ROW(M13)+$Q$7,COLUMN(M13),1,1)))&gt;0,1,0)</f>
        <v>1</v>
      </c>
      <c r="R13" s="64">
        <f ca="1">IF(SUM(N13:INDIRECT(ADDRESS(ROW(N13)+$Q$7,COLUMN(N13),1,1)))&gt;0,1,0)</f>
        <v>1</v>
      </c>
    </row>
    <row r="14" spans="1:18">
      <c r="A14" s="40">
        <v>6</v>
      </c>
      <c r="B14" s="41">
        <v>0</v>
      </c>
      <c r="C14" s="41">
        <v>0</v>
      </c>
      <c r="D14" s="41">
        <v>0</v>
      </c>
      <c r="G14" s="40">
        <v>6</v>
      </c>
      <c r="H14" s="41">
        <v>0.3</v>
      </c>
      <c r="I14" s="41">
        <v>0.3</v>
      </c>
      <c r="J14" s="41">
        <v>0.3</v>
      </c>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0</v>
      </c>
      <c r="C15" s="41">
        <v>0</v>
      </c>
      <c r="D15" s="41">
        <v>0</v>
      </c>
      <c r="G15" s="40">
        <v>7</v>
      </c>
      <c r="H15" s="41">
        <v>0.8</v>
      </c>
      <c r="I15" s="41">
        <v>0.8</v>
      </c>
      <c r="J15" s="41">
        <v>0.8</v>
      </c>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0</v>
      </c>
      <c r="C16" s="41">
        <v>0</v>
      </c>
      <c r="D16" s="41">
        <v>0</v>
      </c>
      <c r="G16" s="40">
        <v>8</v>
      </c>
      <c r="H16" s="41">
        <v>1</v>
      </c>
      <c r="I16" s="41">
        <v>1</v>
      </c>
      <c r="J16" s="41">
        <v>1</v>
      </c>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0</v>
      </c>
      <c r="C17" s="41">
        <v>0</v>
      </c>
      <c r="D17" s="41">
        <v>0</v>
      </c>
      <c r="G17" s="40">
        <v>9</v>
      </c>
      <c r="H17" s="41">
        <v>1</v>
      </c>
      <c r="I17" s="41">
        <v>1</v>
      </c>
      <c r="J17" s="41">
        <v>1</v>
      </c>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5</v>
      </c>
      <c r="C18" s="41">
        <v>5</v>
      </c>
      <c r="D18" s="41">
        <v>5</v>
      </c>
      <c r="G18" s="40">
        <v>10</v>
      </c>
      <c r="H18" s="41">
        <v>0.5</v>
      </c>
      <c r="I18" s="41">
        <v>0.5</v>
      </c>
      <c r="J18" s="41">
        <v>0.5</v>
      </c>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10</v>
      </c>
      <c r="C19" s="41">
        <v>10</v>
      </c>
      <c r="D19" s="41">
        <v>10</v>
      </c>
      <c r="G19" s="40">
        <v>11</v>
      </c>
      <c r="H19" s="41">
        <v>0.5</v>
      </c>
      <c r="I19" s="41">
        <v>0.5</v>
      </c>
      <c r="J19" s="41">
        <v>0.5</v>
      </c>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10</v>
      </c>
      <c r="C20" s="41">
        <v>10</v>
      </c>
      <c r="D20" s="41">
        <v>10</v>
      </c>
      <c r="G20" s="40">
        <v>12</v>
      </c>
      <c r="H20" s="41">
        <v>0.5</v>
      </c>
      <c r="I20" s="41">
        <v>0.5</v>
      </c>
      <c r="J20" s="41">
        <v>0.5</v>
      </c>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10</v>
      </c>
      <c r="C21" s="41">
        <v>10</v>
      </c>
      <c r="D21" s="41">
        <v>10</v>
      </c>
      <c r="G21" s="40">
        <v>13</v>
      </c>
      <c r="H21" s="41">
        <v>0.5</v>
      </c>
      <c r="I21" s="41">
        <v>0.5</v>
      </c>
      <c r="J21" s="41">
        <v>0.5</v>
      </c>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15</v>
      </c>
      <c r="C22" s="41">
        <v>15</v>
      </c>
      <c r="D22" s="41">
        <v>15</v>
      </c>
      <c r="G22" s="40">
        <v>14</v>
      </c>
      <c r="H22" s="41">
        <v>0.8</v>
      </c>
      <c r="I22" s="41">
        <v>0.8</v>
      </c>
      <c r="J22" s="41">
        <v>0.8</v>
      </c>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10</v>
      </c>
      <c r="C23" s="41">
        <v>10</v>
      </c>
      <c r="D23" s="41">
        <v>10</v>
      </c>
      <c r="G23" s="40">
        <v>15</v>
      </c>
      <c r="H23" s="41">
        <v>0.2</v>
      </c>
      <c r="I23" s="41">
        <v>0.2</v>
      </c>
      <c r="J23" s="41">
        <v>0.2</v>
      </c>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5</v>
      </c>
      <c r="C24" s="41">
        <v>5</v>
      </c>
      <c r="D24" s="41">
        <v>5</v>
      </c>
      <c r="G24" s="40">
        <v>16</v>
      </c>
      <c r="H24" s="41">
        <v>0.2</v>
      </c>
      <c r="I24" s="41">
        <v>0.2</v>
      </c>
      <c r="J24" s="41">
        <v>0.2</v>
      </c>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0</v>
      </c>
      <c r="C25" s="41">
        <v>0</v>
      </c>
      <c r="D25" s="41">
        <v>0</v>
      </c>
      <c r="G25" s="40">
        <v>17</v>
      </c>
      <c r="H25" s="41">
        <v>0.2</v>
      </c>
      <c r="I25" s="41">
        <v>0.2</v>
      </c>
      <c r="J25" s="41">
        <v>0.2</v>
      </c>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5</v>
      </c>
      <c r="C26" s="41">
        <v>5</v>
      </c>
      <c r="D26" s="41">
        <v>5</v>
      </c>
      <c r="G26" s="40">
        <v>18</v>
      </c>
      <c r="H26" s="41">
        <v>0.5</v>
      </c>
      <c r="I26" s="41">
        <v>0.5</v>
      </c>
      <c r="J26" s="41">
        <v>0.5</v>
      </c>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10</v>
      </c>
      <c r="C27" s="41">
        <v>10</v>
      </c>
      <c r="D27" s="41">
        <v>10</v>
      </c>
      <c r="G27" s="40">
        <v>19</v>
      </c>
      <c r="H27" s="41">
        <v>0.8</v>
      </c>
      <c r="I27" s="41">
        <v>0.8</v>
      </c>
      <c r="J27" s="41">
        <v>0.8</v>
      </c>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10</v>
      </c>
      <c r="C28" s="41">
        <v>10</v>
      </c>
      <c r="D28" s="41">
        <v>10</v>
      </c>
      <c r="G28" s="40">
        <v>20</v>
      </c>
      <c r="H28" s="41">
        <v>0.8</v>
      </c>
      <c r="I28" s="41">
        <v>0.8</v>
      </c>
      <c r="J28" s="41">
        <v>0.8</v>
      </c>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40">
        <v>21</v>
      </c>
      <c r="H29" s="41">
        <v>0.5</v>
      </c>
      <c r="I29" s="41">
        <v>0.5</v>
      </c>
      <c r="J29" s="41">
        <v>0.5</v>
      </c>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10</v>
      </c>
      <c r="C30" s="41">
        <v>10</v>
      </c>
      <c r="D30" s="41">
        <v>10</v>
      </c>
      <c r="G30" s="40">
        <v>22</v>
      </c>
      <c r="H30" s="41">
        <v>0.2</v>
      </c>
      <c r="I30" s="41">
        <v>0.2</v>
      </c>
      <c r="J30" s="41">
        <v>0.2</v>
      </c>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5</v>
      </c>
      <c r="C31" s="41">
        <v>5</v>
      </c>
      <c r="D31" s="41">
        <v>5</v>
      </c>
      <c r="G31" s="40">
        <v>23</v>
      </c>
      <c r="H31" s="41">
        <v>0.2</v>
      </c>
      <c r="I31" s="41">
        <v>0.2</v>
      </c>
      <c r="J31" s="41">
        <v>0.2</v>
      </c>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5</v>
      </c>
      <c r="C32" s="41">
        <v>5</v>
      </c>
      <c r="D32" s="41">
        <v>5</v>
      </c>
      <c r="G32" s="40">
        <v>24</v>
      </c>
      <c r="H32" s="41">
        <v>0</v>
      </c>
      <c r="I32" s="41">
        <v>0</v>
      </c>
      <c r="J32" s="41">
        <v>0</v>
      </c>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120</v>
      </c>
      <c r="C34" s="41">
        <f t="shared" ref="C34:D34" si="2">SUM(C9:C33)</f>
        <v>120</v>
      </c>
      <c r="D34" s="41">
        <f t="shared" si="2"/>
        <v>120</v>
      </c>
    </row>
  </sheetData>
  <mergeCells count="8">
    <mergeCell ref="A6:E6"/>
    <mergeCell ref="G6:K6"/>
    <mergeCell ref="B7:B8"/>
    <mergeCell ref="C7:C8"/>
    <mergeCell ref="D7:D8"/>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{0DBD8D76-1775-4C68-A9BA-F5515ECD91A4}</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{C06EB03D-9830-473C-9873-AC76EA100005}</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{B769436B-6A64-4832-BA6B-B4BEFAC7CA26}</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{0055268D-BCF4-4A9C-9A6F-51E6471A4BD6}</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DBD8D76-1775-4C68-A9BA-F5515ECD91A4}">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C06EB03D-9830-473C-9873-AC76EA100005}">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B769436B-6A64-4832-BA6B-B4BEFAC7CA26}">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0055268D-BCF4-4A9C-9A6F-51E6471A4BD6}">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B824C-8EC7-473B-8E0F-BBC0D8DC5715}">
  <sheetPr codeName="Foglio35"/>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190</v>
      </c>
    </row>
    <row r="2" spans="1:18">
      <c r="A2" s="36" t="s">
        <v>73</v>
      </c>
      <c r="B2" s="37"/>
      <c r="C2" s="37"/>
      <c r="D2" s="38" t="s">
        <v>119</v>
      </c>
    </row>
    <row r="3" spans="1:18">
      <c r="A3" s="36" t="s">
        <v>75</v>
      </c>
      <c r="B3" s="37"/>
      <c r="C3" s="37"/>
      <c r="D3" s="38" t="s">
        <v>120</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1</v>
      </c>
      <c r="Q11" s="64">
        <f ca="1">IF(SUM(M11:INDIRECT(ADDRESS(ROW(M11)+$Q$7,COLUMN(M11),1,1)))&gt;0,1,0)</f>
        <v>1</v>
      </c>
      <c r="R11" s="64">
        <f ca="1">IF(SUM(N11:INDIRECT(ADDRESS(ROW(N11)+$Q$7,COLUMN(N11),1,1)))&gt;0,1,0)</f>
        <v>1</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1</v>
      </c>
      <c r="Q12" s="64">
        <f ca="1">IF(SUM(M12:INDIRECT(ADDRESS(ROW(M12)+$Q$7,COLUMN(M12),1,1)))&gt;0,1,0)</f>
        <v>1</v>
      </c>
      <c r="R12" s="64">
        <f ca="1">IF(SUM(N12:INDIRECT(ADDRESS(ROW(N12)+$Q$7,COLUMN(N12),1,1)))&gt;0,1,0)</f>
        <v>1</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1</v>
      </c>
      <c r="Q13" s="64">
        <f ca="1">IF(SUM(M13:INDIRECT(ADDRESS(ROW(M13)+$Q$7,COLUMN(M13),1,1)))&gt;0,1,0)</f>
        <v>1</v>
      </c>
      <c r="R13" s="64">
        <f ca="1">IF(SUM(N13:INDIRECT(ADDRESS(ROW(N13)+$Q$7,COLUMN(N13),1,1)))&gt;0,1,0)</f>
        <v>1</v>
      </c>
    </row>
    <row r="14" spans="1:18">
      <c r="A14" s="40">
        <v>6</v>
      </c>
      <c r="B14" s="41">
        <v>5</v>
      </c>
      <c r="C14" s="41">
        <v>5</v>
      </c>
      <c r="D14" s="41">
        <v>5</v>
      </c>
      <c r="G14" s="63">
        <v>6</v>
      </c>
      <c r="H14" s="64">
        <v>0.3</v>
      </c>
      <c r="I14" s="64">
        <v>0.3</v>
      </c>
      <c r="J14" s="64">
        <v>0.3</v>
      </c>
      <c r="K14" s="61"/>
      <c r="L14" s="64">
        <f t="shared" si="1"/>
        <v>1</v>
      </c>
      <c r="M14" s="64">
        <f t="shared" si="0"/>
        <v>1</v>
      </c>
      <c r="N14" s="64">
        <f t="shared" si="0"/>
        <v>1</v>
      </c>
      <c r="O14" s="72"/>
      <c r="P14" s="64">
        <f ca="1">IF(SUM(L14:INDIRECT(ADDRESS(ROW(L14)+$Q$7,COLUMN(L14),1,1)))&gt;0,1,0)</f>
        <v>1</v>
      </c>
      <c r="Q14" s="64">
        <f ca="1">IF(SUM(M14:INDIRECT(ADDRESS(ROW(M14)+$Q$7,COLUMN(M14),1,1)))&gt;0,1,0)</f>
        <v>1</v>
      </c>
      <c r="R14" s="64">
        <f ca="1">IF(SUM(N14:INDIRECT(ADDRESS(ROW(N14)+$Q$7,COLUMN(N14),1,1)))&gt;0,1,0)</f>
        <v>1</v>
      </c>
    </row>
    <row r="15" spans="1:18">
      <c r="A15" s="40">
        <v>7</v>
      </c>
      <c r="B15" s="41">
        <v>10</v>
      </c>
      <c r="C15" s="41">
        <v>10</v>
      </c>
      <c r="D15" s="41">
        <v>10</v>
      </c>
      <c r="G15" s="63">
        <v>7</v>
      </c>
      <c r="H15" s="64">
        <v>0.8</v>
      </c>
      <c r="I15" s="64">
        <v>0.8</v>
      </c>
      <c r="J15" s="64">
        <v>0.8</v>
      </c>
      <c r="K15" s="61"/>
      <c r="L15" s="64">
        <f t="shared" si="1"/>
        <v>1</v>
      </c>
      <c r="M15" s="64">
        <f t="shared" si="0"/>
        <v>1</v>
      </c>
      <c r="N15" s="64">
        <f t="shared" si="0"/>
        <v>1</v>
      </c>
      <c r="O15" s="72"/>
      <c r="P15" s="64">
        <f ca="1">IF(SUM(L15:INDIRECT(ADDRESS(ROW(L15)+$Q$7,COLUMN(L15),1,1)))&gt;0,1,0)</f>
        <v>1</v>
      </c>
      <c r="Q15" s="64">
        <f ca="1">IF(SUM(M15:INDIRECT(ADDRESS(ROW(M15)+$Q$7,COLUMN(M15),1,1)))&gt;0,1,0)</f>
        <v>1</v>
      </c>
      <c r="R15" s="64">
        <f ca="1">IF(SUM(N15:INDIRECT(ADDRESS(ROW(N15)+$Q$7,COLUMN(N15),1,1)))&gt;0,1,0)</f>
        <v>1</v>
      </c>
    </row>
    <row r="16" spans="1:18">
      <c r="A16" s="40">
        <v>8</v>
      </c>
      <c r="B16" s="41">
        <v>10</v>
      </c>
      <c r="C16" s="41">
        <v>10</v>
      </c>
      <c r="D16" s="41">
        <v>10</v>
      </c>
      <c r="G16" s="63">
        <v>8</v>
      </c>
      <c r="H16" s="64">
        <v>1</v>
      </c>
      <c r="I16" s="64">
        <v>1</v>
      </c>
      <c r="J16" s="64">
        <v>1</v>
      </c>
      <c r="K16" s="61"/>
      <c r="L16" s="64">
        <f t="shared" si="1"/>
        <v>1</v>
      </c>
      <c r="M16" s="64">
        <f t="shared" si="0"/>
        <v>1</v>
      </c>
      <c r="N16" s="64">
        <f t="shared" si="0"/>
        <v>1</v>
      </c>
      <c r="O16" s="72"/>
      <c r="P16" s="64">
        <f ca="1">IF(SUM(L16:INDIRECT(ADDRESS(ROW(L16)+$Q$7,COLUMN(L16),1,1)))&gt;0,1,0)</f>
        <v>1</v>
      </c>
      <c r="Q16" s="64">
        <f ca="1">IF(SUM(M16:INDIRECT(ADDRESS(ROW(M16)+$Q$7,COLUMN(M16),1,1)))&gt;0,1,0)</f>
        <v>1</v>
      </c>
      <c r="R16" s="64">
        <f ca="1">IF(SUM(N16:INDIRECT(ADDRESS(ROW(N16)+$Q$7,COLUMN(N16),1,1)))&gt;0,1,0)</f>
        <v>1</v>
      </c>
    </row>
    <row r="17" spans="1:18">
      <c r="A17" s="40">
        <v>9</v>
      </c>
      <c r="B17" s="41">
        <v>5</v>
      </c>
      <c r="C17" s="41">
        <v>5</v>
      </c>
      <c r="D17" s="41">
        <v>5</v>
      </c>
      <c r="G17" s="63">
        <v>9</v>
      </c>
      <c r="H17" s="64">
        <v>1</v>
      </c>
      <c r="I17" s="64">
        <v>1</v>
      </c>
      <c r="J17" s="64">
        <v>1</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2</v>
      </c>
      <c r="C18" s="41">
        <v>2</v>
      </c>
      <c r="D18" s="41">
        <v>2</v>
      </c>
      <c r="G18" s="63">
        <v>10</v>
      </c>
      <c r="H18" s="64">
        <v>0.5</v>
      </c>
      <c r="I18" s="64">
        <v>0.5</v>
      </c>
      <c r="J18" s="64">
        <v>0.5</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2</v>
      </c>
      <c r="C19" s="41">
        <v>2</v>
      </c>
      <c r="D19" s="41">
        <v>2</v>
      </c>
      <c r="G19" s="63">
        <v>11</v>
      </c>
      <c r="H19" s="64">
        <v>0.5</v>
      </c>
      <c r="I19" s="64">
        <v>0.5</v>
      </c>
      <c r="J19" s="64">
        <v>0.5</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5</v>
      </c>
      <c r="C20" s="41">
        <v>5</v>
      </c>
      <c r="D20" s="41">
        <v>5</v>
      </c>
      <c r="G20" s="63">
        <v>12</v>
      </c>
      <c r="H20" s="64">
        <v>0.5</v>
      </c>
      <c r="I20" s="64">
        <v>0.5</v>
      </c>
      <c r="J20" s="64">
        <v>0.5</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10</v>
      </c>
      <c r="C21" s="41">
        <v>10</v>
      </c>
      <c r="D21" s="41">
        <v>10</v>
      </c>
      <c r="G21" s="63">
        <v>13</v>
      </c>
      <c r="H21" s="64">
        <v>0.5</v>
      </c>
      <c r="I21" s="64">
        <v>0.5</v>
      </c>
      <c r="J21" s="64">
        <v>0.5</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10</v>
      </c>
      <c r="C22" s="41">
        <v>10</v>
      </c>
      <c r="D22" s="41">
        <v>10</v>
      </c>
      <c r="G22" s="63">
        <v>14</v>
      </c>
      <c r="H22" s="64">
        <v>0.8</v>
      </c>
      <c r="I22" s="64">
        <v>0.8</v>
      </c>
      <c r="J22" s="64">
        <v>0.8</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5</v>
      </c>
      <c r="C23" s="41">
        <v>5</v>
      </c>
      <c r="D23" s="41">
        <v>5</v>
      </c>
      <c r="G23" s="63">
        <v>15</v>
      </c>
      <c r="H23" s="64">
        <v>0.2</v>
      </c>
      <c r="I23" s="64">
        <v>0.2</v>
      </c>
      <c r="J23" s="64">
        <v>0.2</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2</v>
      </c>
      <c r="C24" s="41">
        <v>2</v>
      </c>
      <c r="D24" s="41">
        <v>2</v>
      </c>
      <c r="G24" s="63">
        <v>16</v>
      </c>
      <c r="H24" s="64">
        <v>0.2</v>
      </c>
      <c r="I24" s="64">
        <v>0.2</v>
      </c>
      <c r="J24" s="64">
        <v>0.2</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2</v>
      </c>
      <c r="C25" s="41">
        <v>2</v>
      </c>
      <c r="D25" s="41">
        <v>2</v>
      </c>
      <c r="G25" s="63">
        <v>17</v>
      </c>
      <c r="H25" s="64">
        <v>0.2</v>
      </c>
      <c r="I25" s="64">
        <v>0.2</v>
      </c>
      <c r="J25" s="64">
        <v>0.2</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3</v>
      </c>
      <c r="C26" s="41">
        <v>3</v>
      </c>
      <c r="D26" s="41">
        <v>3</v>
      </c>
      <c r="G26" s="63">
        <v>18</v>
      </c>
      <c r="H26" s="64">
        <v>0.5</v>
      </c>
      <c r="I26" s="64">
        <v>0.5</v>
      </c>
      <c r="J26" s="64">
        <v>0.5</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10</v>
      </c>
      <c r="C27" s="41">
        <v>10</v>
      </c>
      <c r="D27" s="41">
        <v>10</v>
      </c>
      <c r="G27" s="63">
        <v>19</v>
      </c>
      <c r="H27" s="64">
        <v>0.8</v>
      </c>
      <c r="I27" s="64">
        <v>0.8</v>
      </c>
      <c r="J27" s="64">
        <v>0.8</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10</v>
      </c>
      <c r="C28" s="41">
        <v>10</v>
      </c>
      <c r="D28" s="41">
        <v>10</v>
      </c>
      <c r="G28" s="63">
        <v>20</v>
      </c>
      <c r="H28" s="64">
        <v>0.8</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5</v>
      </c>
      <c r="C29" s="41">
        <v>5</v>
      </c>
      <c r="D29" s="41">
        <v>5</v>
      </c>
      <c r="G29" s="63">
        <v>21</v>
      </c>
      <c r="H29" s="64">
        <v>0.5</v>
      </c>
      <c r="I29" s="64">
        <v>0.5</v>
      </c>
      <c r="J29" s="64">
        <v>0.5</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2</v>
      </c>
      <c r="C30" s="41">
        <v>2</v>
      </c>
      <c r="D30" s="41">
        <v>2</v>
      </c>
      <c r="G30" s="63">
        <v>22</v>
      </c>
      <c r="H30" s="64">
        <v>0.2</v>
      </c>
      <c r="I30" s="64">
        <v>0.2</v>
      </c>
      <c r="J30" s="64">
        <v>0.2</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2</v>
      </c>
      <c r="C31" s="41">
        <v>2</v>
      </c>
      <c r="D31" s="41">
        <v>2</v>
      </c>
      <c r="G31" s="63">
        <v>23</v>
      </c>
      <c r="H31" s="64">
        <v>0.2</v>
      </c>
      <c r="I31" s="64">
        <v>0.2</v>
      </c>
      <c r="J31" s="64">
        <v>0.2</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100</v>
      </c>
      <c r="C34" s="41">
        <f t="shared" ref="C34:D34" si="2">SUM(C9:C33)</f>
        <v>100</v>
      </c>
      <c r="D34" s="41">
        <f t="shared" si="2"/>
        <v>100</v>
      </c>
    </row>
  </sheetData>
  <mergeCells count="8">
    <mergeCell ref="G6:K6"/>
    <mergeCell ref="H7:H8"/>
    <mergeCell ref="I7:I8"/>
    <mergeCell ref="J7:J8"/>
    <mergeCell ref="A6:E6"/>
    <mergeCell ref="B7:B8"/>
    <mergeCell ref="C7:C8"/>
    <mergeCell ref="D7:D8"/>
  </mergeCells>
  <conditionalFormatting sqref="B9:D32">
    <cfRule type="dataBar" priority="6">
      <dataBar>
        <cfvo type="min"/>
        <cfvo type="max"/>
        <color rgb="FF63C384"/>
      </dataBar>
      <extLst>
        <ext xmlns:x14="http://schemas.microsoft.com/office/spreadsheetml/2009/9/main" uri="{B025F937-C7B1-47D3-B67F-A62EFF666E3E}">
          <x14:id>{AE394E5A-E007-43CD-8369-98BE374EB45C}</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{1AFE6DFD-4BDB-4E2B-BDD6-97D9DFE82D73}</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{71E5FCEF-C582-44A5-8232-E79621BC4500}</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{F0D2F791-8863-4101-BE8A-05CA709C96E6}</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E394E5A-E007-43CD-8369-98BE374EB45C}">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1AFE6DFD-4BDB-4E2B-BDD6-97D9DFE82D73}">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71E5FCEF-C582-44A5-8232-E79621BC4500}">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F0D2F791-8863-4101-BE8A-05CA709C96E6}">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D5F7F-F228-4E5C-A452-AE66ED235473}">
  <sheetPr codeName="Foglio36"/>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121</v>
      </c>
    </row>
    <row r="2" spans="1:18">
      <c r="A2" s="36" t="s">
        <v>73</v>
      </c>
      <c r="B2" s="37"/>
      <c r="C2" s="37"/>
      <c r="D2" s="38" t="s">
        <v>122</v>
      </c>
    </row>
    <row r="3" spans="1:18">
      <c r="A3" s="36" t="s">
        <v>75</v>
      </c>
      <c r="B3" s="37"/>
      <c r="C3" s="37"/>
      <c r="D3" s="38" t="s">
        <v>123</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0</v>
      </c>
      <c r="Q12" s="64">
        <f ca="1">IF(SUM(M12:INDIRECT(ADDRESS(ROW(M12)+$Q$7,COLUMN(M12),1,1)))&gt;0,1,0)</f>
        <v>0</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0</v>
      </c>
      <c r="Q13" s="64">
        <f ca="1">IF(SUM(M13:INDIRECT(ADDRESS(ROW(M13)+$Q$7,COLUMN(M13),1,1)))&gt;0,1,0)</f>
        <v>0</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0</v>
      </c>
      <c r="Q14" s="64">
        <f ca="1">IF(SUM(M14:INDIRECT(ADDRESS(ROW(M14)+$Q$7,COLUMN(M14),1,1)))&gt;0,1,0)</f>
        <v>0</v>
      </c>
      <c r="R14" s="64">
        <f ca="1">IF(SUM(N14:INDIRECT(ADDRESS(ROW(N14)+$Q$7,COLUMN(N14),1,1)))&gt;0,1,0)</f>
        <v>0</v>
      </c>
    </row>
    <row r="15" spans="1:18">
      <c r="A15" s="40">
        <v>7</v>
      </c>
      <c r="B15" s="41">
        <v>0</v>
      </c>
      <c r="C15" s="41">
        <v>0</v>
      </c>
      <c r="D15" s="41">
        <v>0</v>
      </c>
      <c r="G15" s="63">
        <v>7</v>
      </c>
      <c r="H15" s="64">
        <v>0</v>
      </c>
      <c r="I15" s="64">
        <v>0</v>
      </c>
      <c r="J15" s="64">
        <v>0</v>
      </c>
      <c r="K15" s="61"/>
      <c r="L15" s="64">
        <f t="shared" si="1"/>
        <v>0</v>
      </c>
      <c r="M15" s="64">
        <f t="shared" si="0"/>
        <v>0</v>
      </c>
      <c r="N15" s="64">
        <f t="shared" si="0"/>
        <v>0</v>
      </c>
      <c r="O15" s="72"/>
      <c r="P15" s="64">
        <f ca="1">IF(SUM(L15:INDIRECT(ADDRESS(ROW(L15)+$Q$7,COLUMN(L15),1,1)))&gt;0,1,0)</f>
        <v>1</v>
      </c>
      <c r="Q15" s="64">
        <f ca="1">IF(SUM(M15:INDIRECT(ADDRESS(ROW(M15)+$Q$7,COLUMN(M15),1,1)))&gt;0,1,0)</f>
        <v>1</v>
      </c>
      <c r="R15" s="64">
        <f ca="1">IF(SUM(N15:INDIRECT(ADDRESS(ROW(N15)+$Q$7,COLUMN(N15),1,1)))&gt;0,1,0)</f>
        <v>1</v>
      </c>
    </row>
    <row r="16" spans="1:18">
      <c r="A16" s="40">
        <v>8</v>
      </c>
      <c r="B16" s="41">
        <v>0</v>
      </c>
      <c r="C16" s="41">
        <v>0</v>
      </c>
      <c r="D16" s="41">
        <v>0</v>
      </c>
      <c r="G16" s="63">
        <v>8</v>
      </c>
      <c r="H16" s="64">
        <v>0</v>
      </c>
      <c r="I16" s="64">
        <v>0</v>
      </c>
      <c r="J16" s="64">
        <v>0</v>
      </c>
      <c r="K16" s="61"/>
      <c r="L16" s="64">
        <f t="shared" si="1"/>
        <v>0</v>
      </c>
      <c r="M16" s="64">
        <f t="shared" si="0"/>
        <v>0</v>
      </c>
      <c r="N16" s="64">
        <f t="shared" si="0"/>
        <v>0</v>
      </c>
      <c r="O16" s="72"/>
      <c r="P16" s="64">
        <f ca="1">IF(SUM(L16:INDIRECT(ADDRESS(ROW(L16)+$Q$7,COLUMN(L16),1,1)))&gt;0,1,0)</f>
        <v>1</v>
      </c>
      <c r="Q16" s="64">
        <f ca="1">IF(SUM(M16:INDIRECT(ADDRESS(ROW(M16)+$Q$7,COLUMN(M16),1,1)))&gt;0,1,0)</f>
        <v>1</v>
      </c>
      <c r="R16" s="64">
        <f ca="1">IF(SUM(N16:INDIRECT(ADDRESS(ROW(N16)+$Q$7,COLUMN(N16),1,1)))&gt;0,1,0)</f>
        <v>1</v>
      </c>
    </row>
    <row r="17" spans="1:18">
      <c r="A17" s="40">
        <v>9</v>
      </c>
      <c r="B17" s="41">
        <v>0</v>
      </c>
      <c r="C17" s="41">
        <v>0</v>
      </c>
      <c r="D17" s="41">
        <v>0</v>
      </c>
      <c r="G17" s="63">
        <v>9</v>
      </c>
      <c r="H17" s="64">
        <v>0</v>
      </c>
      <c r="I17" s="64">
        <v>0</v>
      </c>
      <c r="J17" s="64">
        <v>0</v>
      </c>
      <c r="K17" s="61"/>
      <c r="L17" s="64">
        <f t="shared" si="1"/>
        <v>0</v>
      </c>
      <c r="M17" s="64">
        <f t="shared" si="0"/>
        <v>0</v>
      </c>
      <c r="N17" s="64">
        <f t="shared" si="0"/>
        <v>0</v>
      </c>
      <c r="O17" s="72"/>
      <c r="P17" s="64">
        <f ca="1">IF(SUM(L17:INDIRECT(ADDRESS(ROW(L17)+$Q$7,COLUMN(L17),1,1)))&gt;0,1,0)</f>
        <v>1</v>
      </c>
      <c r="Q17" s="64">
        <f ca="1">IF(SUM(M17:INDIRECT(ADDRESS(ROW(M17)+$Q$7,COLUMN(M17),1,1)))&gt;0,1,0)</f>
        <v>1</v>
      </c>
      <c r="R17" s="64">
        <f ca="1">IF(SUM(N17:INDIRECT(ADDRESS(ROW(N17)+$Q$7,COLUMN(N17),1,1)))&gt;0,1,0)</f>
        <v>1</v>
      </c>
    </row>
    <row r="18" spans="1:18">
      <c r="A18" s="40">
        <v>10</v>
      </c>
      <c r="B18" s="41">
        <v>2</v>
      </c>
      <c r="C18" s="41">
        <v>2</v>
      </c>
      <c r="D18" s="41">
        <v>2</v>
      </c>
      <c r="G18" s="63">
        <v>10</v>
      </c>
      <c r="H18" s="64">
        <v>0.2</v>
      </c>
      <c r="I18" s="64">
        <v>0.2</v>
      </c>
      <c r="J18" s="64">
        <v>0.2</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2</v>
      </c>
      <c r="C19" s="41">
        <v>2</v>
      </c>
      <c r="D19" s="41">
        <v>2</v>
      </c>
      <c r="G19" s="63">
        <v>11</v>
      </c>
      <c r="H19" s="64">
        <v>0.2</v>
      </c>
      <c r="I19" s="64">
        <v>0.2</v>
      </c>
      <c r="J19" s="64">
        <v>0.2</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10</v>
      </c>
      <c r="C20" s="41">
        <v>10</v>
      </c>
      <c r="D20" s="41">
        <v>10</v>
      </c>
      <c r="G20" s="63">
        <v>12</v>
      </c>
      <c r="H20" s="64">
        <v>0.8</v>
      </c>
      <c r="I20" s="64">
        <v>0.8</v>
      </c>
      <c r="J20" s="64">
        <v>0.8</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10</v>
      </c>
      <c r="C21" s="41">
        <v>10</v>
      </c>
      <c r="D21" s="41">
        <v>10</v>
      </c>
      <c r="G21" s="63">
        <v>13</v>
      </c>
      <c r="H21" s="64">
        <v>0.8</v>
      </c>
      <c r="I21" s="64">
        <v>0.8</v>
      </c>
      <c r="J21" s="64">
        <v>0.8</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2</v>
      </c>
      <c r="C22" s="41">
        <v>2</v>
      </c>
      <c r="D22" s="41">
        <v>2</v>
      </c>
      <c r="G22" s="63">
        <v>14</v>
      </c>
      <c r="H22" s="64">
        <v>0.5</v>
      </c>
      <c r="I22" s="64">
        <v>0.5</v>
      </c>
      <c r="J22" s="64">
        <v>0.5</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2</v>
      </c>
      <c r="C23" s="41">
        <v>2</v>
      </c>
      <c r="D23" s="41">
        <v>2</v>
      </c>
      <c r="G23" s="63">
        <v>15</v>
      </c>
      <c r="H23" s="64">
        <v>0.5</v>
      </c>
      <c r="I23" s="64">
        <v>0.8</v>
      </c>
      <c r="J23" s="64">
        <v>0.5</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2</v>
      </c>
      <c r="C24" s="41">
        <v>2</v>
      </c>
      <c r="D24" s="41">
        <v>2</v>
      </c>
      <c r="G24" s="63">
        <v>16</v>
      </c>
      <c r="H24" s="64">
        <v>0.5</v>
      </c>
      <c r="I24" s="64">
        <v>0.8</v>
      </c>
      <c r="J24" s="64">
        <v>0.5</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5</v>
      </c>
      <c r="C25" s="41">
        <v>5</v>
      </c>
      <c r="D25" s="41">
        <v>5</v>
      </c>
      <c r="G25" s="63">
        <v>17</v>
      </c>
      <c r="H25" s="64">
        <v>0.5</v>
      </c>
      <c r="I25" s="64">
        <v>0.8</v>
      </c>
      <c r="J25" s="64">
        <v>0.5</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10</v>
      </c>
      <c r="C26" s="41">
        <v>10</v>
      </c>
      <c r="D26" s="41">
        <v>10</v>
      </c>
      <c r="G26" s="63">
        <v>18</v>
      </c>
      <c r="H26" s="64">
        <v>0.8</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10</v>
      </c>
      <c r="C27" s="41">
        <v>10</v>
      </c>
      <c r="D27" s="41">
        <v>10</v>
      </c>
      <c r="G27" s="63">
        <v>19</v>
      </c>
      <c r="H27" s="64">
        <v>1</v>
      </c>
      <c r="I27" s="64">
        <v>1</v>
      </c>
      <c r="J27" s="64">
        <v>1</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10</v>
      </c>
      <c r="C28" s="41">
        <v>10</v>
      </c>
      <c r="D28" s="41">
        <v>10</v>
      </c>
      <c r="G28" s="63">
        <v>20</v>
      </c>
      <c r="H28" s="64">
        <v>1</v>
      </c>
      <c r="I28" s="64">
        <v>1</v>
      </c>
      <c r="J28" s="64">
        <v>1</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15</v>
      </c>
      <c r="C29" s="41">
        <v>15</v>
      </c>
      <c r="D29" s="41">
        <v>15</v>
      </c>
      <c r="G29" s="63">
        <v>21</v>
      </c>
      <c r="H29" s="64">
        <v>1</v>
      </c>
      <c r="I29" s="64">
        <v>1</v>
      </c>
      <c r="J29" s="64">
        <v>1</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20</v>
      </c>
      <c r="C30" s="41">
        <v>20</v>
      </c>
      <c r="D30" s="41">
        <v>20</v>
      </c>
      <c r="G30" s="63">
        <v>22</v>
      </c>
      <c r="H30" s="64">
        <v>0.5</v>
      </c>
      <c r="I30" s="64">
        <v>0.5</v>
      </c>
      <c r="J30" s="64">
        <v>0.5</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100</v>
      </c>
      <c r="C34" s="41">
        <f t="shared" ref="C34:D34" si="2">SUM(C9:C33)</f>
        <v>100</v>
      </c>
      <c r="D34" s="41">
        <f t="shared" si="2"/>
        <v>100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{709126BC-BBDD-4BDC-A457-C5C7949BCFB6}</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{3AB1863B-EC8E-459A-B440-87A9FDA9ECF7}</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{1C91C8B8-D307-4891-93DE-21C9F66C2DA8}</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{A2A586C7-499D-47F8-ADF5-41EDB25697F1}</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709126BC-BBDD-4BDC-A457-C5C7949BCFB6}">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3AB1863B-EC8E-459A-B440-87A9FDA9ECF7}">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1C91C8B8-D307-4891-93DE-21C9F66C2DA8}">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A2A586C7-499D-47F8-ADF5-41EDB25697F1}">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D555-234B-4A10-BC76-B313302AB3EB}">
  <sheetPr codeName="Foglio37"/>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124</v>
      </c>
    </row>
    <row r="2" spans="1:18">
      <c r="A2" s="36" t="s">
        <v>73</v>
      </c>
      <c r="B2" s="37"/>
      <c r="C2" s="37"/>
      <c r="D2" s="38" t="s">
        <v>125</v>
      </c>
    </row>
    <row r="3" spans="1:18">
      <c r="A3" s="36" t="s">
        <v>75</v>
      </c>
      <c r="B3" s="37"/>
      <c r="C3" s="37"/>
      <c r="D3" s="38" t="s">
        <v>126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0</v>
      </c>
      <c r="Q12" s="64">
        <f ca="1">IF(SUM(M12:INDIRECT(ADDRESS(ROW(M12)+$Q$7,COLUMN(M12),1,1)))&gt;0,1,0)</f>
        <v>0</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0</v>
      </c>
      <c r="Q13" s="64">
        <f ca="1">IF(SUM(M13:INDIRECT(ADDRESS(ROW(M13)+$Q$7,COLUMN(M13),1,1)))&gt;0,1,0)</f>
        <v>0</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0</v>
      </c>
      <c r="Q14" s="64">
        <f ca="1">IF(SUM(M14:INDIRECT(ADDRESS(ROW(M14)+$Q$7,COLUMN(M14),1,1)))&gt;0,1,0)</f>
        <v>0</v>
      </c>
      <c r="R14" s="64">
        <f ca="1">IF(SUM(N14:INDIRECT(ADDRESS(ROW(N14)+$Q$7,COLUMN(N14),1,1)))&gt;0,1,0)</f>
        <v>0</v>
      </c>
    </row>
    <row r="15" spans="1:18">
      <c r="A15" s="40">
        <v>7</v>
      </c>
      <c r="B15" s="41">
        <v>0</v>
      </c>
      <c r="C15" s="41">
        <v>0</v>
      </c>
      <c r="D15" s="41">
        <v>0</v>
      </c>
      <c r="G15" s="63">
        <v>7</v>
      </c>
      <c r="H15" s="64">
        <v>0</v>
      </c>
      <c r="I15" s="64">
        <v>0</v>
      </c>
      <c r="J15" s="64">
        <v>0</v>
      </c>
      <c r="K15" s="61"/>
      <c r="L15" s="64">
        <f t="shared" si="1"/>
        <v>0</v>
      </c>
      <c r="M15" s="64">
        <f t="shared" si="0"/>
        <v>0</v>
      </c>
      <c r="N15" s="64">
        <f t="shared" si="0"/>
        <v>0</v>
      </c>
      <c r="O15" s="72"/>
      <c r="P15" s="64">
        <f ca="1">IF(SUM(L15:INDIRECT(ADDRESS(ROW(L15)+$Q$7,COLUMN(L15),1,1)))&gt;0,1,0)</f>
        <v>1</v>
      </c>
      <c r="Q15" s="64">
        <f ca="1">IF(SUM(M15:INDIRECT(ADDRESS(ROW(M15)+$Q$7,COLUMN(M15),1,1)))&gt;0,1,0)</f>
        <v>1</v>
      </c>
      <c r="R15" s="64">
        <f ca="1">IF(SUM(N15:INDIRECT(ADDRESS(ROW(N15)+$Q$7,COLUMN(N15),1,1)))&gt;0,1,0)</f>
        <v>0</v>
      </c>
    </row>
    <row r="16" spans="1:18">
      <c r="A16" s="40">
        <v>8</v>
      </c>
      <c r="B16" s="41">
        <v>0</v>
      </c>
      <c r="C16" s="41">
        <v>0</v>
      </c>
      <c r="D16" s="41">
        <v>0</v>
      </c>
      <c r="G16" s="63">
        <v>8</v>
      </c>
      <c r="H16" s="64">
        <v>0</v>
      </c>
      <c r="I16" s="64">
        <v>0</v>
      </c>
      <c r="J16" s="64">
        <v>0</v>
      </c>
      <c r="K16" s="61"/>
      <c r="L16" s="64">
        <f t="shared" si="1"/>
        <v>0</v>
      </c>
      <c r="M16" s="64">
        <f t="shared" si="0"/>
        <v>0</v>
      </c>
      <c r="N16" s="64">
        <f t="shared" si="0"/>
        <v>0</v>
      </c>
      <c r="O16" s="72"/>
      <c r="P16" s="64">
        <f ca="1">IF(SUM(L16:INDIRECT(ADDRESS(ROW(L16)+$Q$7,COLUMN(L16),1,1)))&gt;0,1,0)</f>
        <v>1</v>
      </c>
      <c r="Q16" s="64">
        <f ca="1">IF(SUM(M16:INDIRECT(ADDRESS(ROW(M16)+$Q$7,COLUMN(M16),1,1)))&gt;0,1,0)</f>
        <v>1</v>
      </c>
      <c r="R16" s="64">
        <f ca="1">IF(SUM(N16:INDIRECT(ADDRESS(ROW(N16)+$Q$7,COLUMN(N16),1,1)))&gt;0,1,0)</f>
        <v>0</v>
      </c>
    </row>
    <row r="17" spans="1:18">
      <c r="A17" s="40">
        <v>9</v>
      </c>
      <c r="B17" s="41">
        <v>0</v>
      </c>
      <c r="C17" s="41">
        <v>0</v>
      </c>
      <c r="D17" s="41">
        <v>0</v>
      </c>
      <c r="G17" s="63">
        <v>9</v>
      </c>
      <c r="H17" s="64">
        <v>0</v>
      </c>
      <c r="I17" s="64">
        <v>0</v>
      </c>
      <c r="J17" s="64">
        <v>0</v>
      </c>
      <c r="K17" s="61"/>
      <c r="L17" s="64">
        <f t="shared" si="1"/>
        <v>0</v>
      </c>
      <c r="M17" s="64">
        <f t="shared" si="0"/>
        <v>0</v>
      </c>
      <c r="N17" s="64">
        <f t="shared" si="0"/>
        <v>0</v>
      </c>
      <c r="O17" s="72"/>
      <c r="P17" s="64">
        <f ca="1">IF(SUM(L17:INDIRECT(ADDRESS(ROW(L17)+$Q$7,COLUMN(L17),1,1)))&gt;0,1,0)</f>
        <v>1</v>
      </c>
      <c r="Q17" s="64">
        <f ca="1">IF(SUM(M17:INDIRECT(ADDRESS(ROW(M17)+$Q$7,COLUMN(M17),1,1)))&gt;0,1,0)</f>
        <v>1</v>
      </c>
      <c r="R17" s="64">
        <f ca="1">IF(SUM(N17:INDIRECT(ADDRESS(ROW(N17)+$Q$7,COLUMN(N17),1,1)))&gt;0,1,0)</f>
        <v>0</v>
      </c>
    </row>
    <row r="18" spans="1:18">
      <c r="A18" s="40">
        <v>10</v>
      </c>
      <c r="B18" s="41">
        <v>5</v>
      </c>
      <c r="C18" s="41">
        <v>10</v>
      </c>
      <c r="D18" s="41">
        <v>0</v>
      </c>
      <c r="G18" s="63">
        <v>10</v>
      </c>
      <c r="H18" s="64">
        <v>0.5</v>
      </c>
      <c r="I18" s="64">
        <v>0.8</v>
      </c>
      <c r="J18" s="64">
        <v>0</v>
      </c>
      <c r="K18" s="61"/>
      <c r="L18" s="64">
        <f t="shared" si="1"/>
        <v>1</v>
      </c>
      <c r="M18" s="64">
        <f t="shared" si="0"/>
        <v>1</v>
      </c>
      <c r="N18" s="64">
        <f t="shared" si="0"/>
        <v>0</v>
      </c>
      <c r="O18" s="72"/>
      <c r="P18" s="64">
        <f ca="1">IF(SUM(L18:INDIRECT(ADDRESS(ROW(L18)+$Q$7,COLUMN(L18),1,1)))&gt;0,1,0)</f>
        <v>1</v>
      </c>
      <c r="Q18" s="64">
        <f ca="1">IF(SUM(M18:INDIRECT(ADDRESS(ROW(M18)+$Q$7,COLUMN(M18),1,1)))&gt;0,1,0)</f>
        <v>1</v>
      </c>
      <c r="R18" s="64">
        <f ca="1">IF(SUM(N18:INDIRECT(ADDRESS(ROW(N18)+$Q$7,COLUMN(N18),1,1)))&gt;0,1,0)</f>
        <v>0</v>
      </c>
    </row>
    <row r="19" spans="1:18">
      <c r="A19" s="40">
        <v>11</v>
      </c>
      <c r="B19" s="41">
        <v>10</v>
      </c>
      <c r="C19" s="41">
        <v>10</v>
      </c>
      <c r="D19" s="41">
        <v>0</v>
      </c>
      <c r="G19" s="63">
        <v>11</v>
      </c>
      <c r="H19" s="64">
        <v>0.5</v>
      </c>
      <c r="I19" s="64">
        <v>0.8</v>
      </c>
      <c r="J19" s="64">
        <v>0</v>
      </c>
      <c r="K19" s="61"/>
      <c r="L19" s="64">
        <f t="shared" si="1"/>
        <v>1</v>
      </c>
      <c r="M19" s="64">
        <f t="shared" si="0"/>
        <v>1</v>
      </c>
      <c r="N19" s="64">
        <f t="shared" si="0"/>
        <v>0</v>
      </c>
      <c r="O19" s="72"/>
      <c r="P19" s="64">
        <f ca="1">IF(SUM(L19:INDIRECT(ADDRESS(ROW(L19)+$Q$7,COLUMN(L19),1,1)))&gt;0,1,0)</f>
        <v>1</v>
      </c>
      <c r="Q19" s="64">
        <f ca="1">IF(SUM(M19:INDIRECT(ADDRESS(ROW(M19)+$Q$7,COLUMN(M19),1,1)))&gt;0,1,0)</f>
        <v>1</v>
      </c>
      <c r="R19" s="64">
        <f ca="1">IF(SUM(N19:INDIRECT(ADDRESS(ROW(N19)+$Q$7,COLUMN(N19),1,1)))&gt;0,1,0)</f>
        <v>0</v>
      </c>
    </row>
    <row r="20" spans="1:18">
      <c r="A20" s="40">
        <v>12</v>
      </c>
      <c r="B20" s="41">
        <v>10</v>
      </c>
      <c r="C20" s="41">
        <v>10</v>
      </c>
      <c r="D20" s="41">
        <v>0</v>
      </c>
      <c r="G20" s="63">
        <v>12</v>
      </c>
      <c r="H20" s="64">
        <v>0.8</v>
      </c>
      <c r="I20" s="64">
        <v>0.8</v>
      </c>
      <c r="J20" s="64">
        <v>0</v>
      </c>
      <c r="K20" s="61"/>
      <c r="L20" s="64">
        <f t="shared" si="1"/>
        <v>1</v>
      </c>
      <c r="M20" s="64">
        <f t="shared" si="0"/>
        <v>1</v>
      </c>
      <c r="N20" s="64">
        <f t="shared" si="0"/>
        <v>0</v>
      </c>
      <c r="O20" s="72"/>
      <c r="P20" s="64">
        <f ca="1">IF(SUM(L20:INDIRECT(ADDRESS(ROW(L20)+$Q$7,COLUMN(L20),1,1)))&gt;0,1,0)</f>
        <v>1</v>
      </c>
      <c r="Q20" s="64">
        <f ca="1">IF(SUM(M20:INDIRECT(ADDRESS(ROW(M20)+$Q$7,COLUMN(M20),1,1)))&gt;0,1,0)</f>
        <v>1</v>
      </c>
      <c r="R20" s="64">
        <f ca="1">IF(SUM(N20:INDIRECT(ADDRESS(ROW(N20)+$Q$7,COLUMN(N20),1,1)))&gt;0,1,0)</f>
        <v>0</v>
      </c>
    </row>
    <row r="21" spans="1:18">
      <c r="A21" s="40">
        <v>13</v>
      </c>
      <c r="B21" s="41">
        <v>10</v>
      </c>
      <c r="C21" s="41">
        <v>5</v>
      </c>
      <c r="D21" s="41">
        <v>0</v>
      </c>
      <c r="G21" s="63">
        <v>13</v>
      </c>
      <c r="H21" s="64">
        <v>0.8</v>
      </c>
      <c r="I21" s="64">
        <v>0.5</v>
      </c>
      <c r="J21" s="64">
        <v>0</v>
      </c>
      <c r="K21" s="61"/>
      <c r="L21" s="64">
        <f t="shared" si="1"/>
        <v>1</v>
      </c>
      <c r="M21" s="64">
        <f t="shared" si="0"/>
        <v>1</v>
      </c>
      <c r="N21" s="64">
        <f t="shared" si="0"/>
        <v>0</v>
      </c>
      <c r="O21" s="72"/>
      <c r="P21" s="64">
        <f ca="1">IF(SUM(L21:INDIRECT(ADDRESS(ROW(L21)+$Q$7,COLUMN(L21),1,1)))&gt;0,1,0)</f>
        <v>1</v>
      </c>
      <c r="Q21" s="64">
        <f ca="1">IF(SUM(M21:INDIRECT(ADDRESS(ROW(M21)+$Q$7,COLUMN(M21),1,1)))&gt;0,1,0)</f>
        <v>1</v>
      </c>
      <c r="R21" s="64">
        <f ca="1">IF(SUM(N21:INDIRECT(ADDRESS(ROW(N21)+$Q$7,COLUMN(N21),1,1)))&gt;0,1,0)</f>
        <v>0</v>
      </c>
    </row>
    <row r="22" spans="1:18">
      <c r="A22" s="40">
        <v>14</v>
      </c>
      <c r="B22" s="41">
        <v>10</v>
      </c>
      <c r="C22" s="41">
        <v>5</v>
      </c>
      <c r="D22" s="41">
        <v>0</v>
      </c>
      <c r="G22" s="63">
        <v>14</v>
      </c>
      <c r="H22" s="64">
        <v>0.5</v>
      </c>
      <c r="I22" s="64">
        <v>0.5</v>
      </c>
      <c r="J22" s="64">
        <v>0</v>
      </c>
      <c r="K22" s="61"/>
      <c r="L22" s="64">
        <f t="shared" si="1"/>
        <v>1</v>
      </c>
      <c r="M22" s="64">
        <f t="shared" si="0"/>
        <v>1</v>
      </c>
      <c r="N22" s="64">
        <f t="shared" si="0"/>
        <v>0</v>
      </c>
      <c r="O22" s="72"/>
      <c r="P22" s="64">
        <f ca="1">IF(SUM(L22:INDIRECT(ADDRESS(ROW(L22)+$Q$7,COLUMN(L22),1,1)))&gt;0,1,0)</f>
        <v>1</v>
      </c>
      <c r="Q22" s="64">
        <f ca="1">IF(SUM(M22:INDIRECT(ADDRESS(ROW(M22)+$Q$7,COLUMN(M22),1,1)))&gt;0,1,0)</f>
        <v>1</v>
      </c>
      <c r="R22" s="64">
        <f ca="1">IF(SUM(N22:INDIRECT(ADDRESS(ROW(N22)+$Q$7,COLUMN(N22),1,1)))&gt;0,1,0)</f>
        <v>0</v>
      </c>
    </row>
    <row r="23" spans="1:18">
      <c r="A23" s="40">
        <v>15</v>
      </c>
      <c r="B23" s="41">
        <v>5</v>
      </c>
      <c r="C23" s="41">
        <v>10</v>
      </c>
      <c r="D23" s="41">
        <v>0</v>
      </c>
      <c r="G23" s="63">
        <v>15</v>
      </c>
      <c r="H23" s="64">
        <v>0.5</v>
      </c>
      <c r="I23" s="64">
        <v>1</v>
      </c>
      <c r="J23" s="64">
        <v>0</v>
      </c>
      <c r="K23" s="61"/>
      <c r="L23" s="64">
        <f t="shared" si="1"/>
        <v>1</v>
      </c>
      <c r="M23" s="64">
        <f t="shared" si="0"/>
        <v>1</v>
      </c>
      <c r="N23" s="64">
        <f t="shared" si="0"/>
        <v>0</v>
      </c>
      <c r="O23" s="72"/>
      <c r="P23" s="64">
        <f ca="1">IF(SUM(L23:INDIRECT(ADDRESS(ROW(L23)+$Q$7,COLUMN(L23),1,1)))&gt;0,1,0)</f>
        <v>1</v>
      </c>
      <c r="Q23" s="64">
        <f ca="1">IF(SUM(M23:INDIRECT(ADDRESS(ROW(M23)+$Q$7,COLUMN(M23),1,1)))&gt;0,1,0)</f>
        <v>1</v>
      </c>
      <c r="R23" s="64">
        <f ca="1">IF(SUM(N23:INDIRECT(ADDRESS(ROW(N23)+$Q$7,COLUMN(N23),1,1)))&gt;0,1,0)</f>
        <v>0</v>
      </c>
    </row>
    <row r="24" spans="1:18">
      <c r="A24" s="40">
        <v>16</v>
      </c>
      <c r="B24" s="41">
        <v>5</v>
      </c>
      <c r="C24" s="41">
        <v>15</v>
      </c>
      <c r="D24" s="41">
        <v>0</v>
      </c>
      <c r="G24" s="63">
        <v>16</v>
      </c>
      <c r="H24" s="64">
        <v>0.5</v>
      </c>
      <c r="I24" s="64">
        <v>1</v>
      </c>
      <c r="J24" s="64">
        <v>0</v>
      </c>
      <c r="K24" s="61"/>
      <c r="L24" s="64">
        <f t="shared" si="1"/>
        <v>1</v>
      </c>
      <c r="M24" s="64">
        <f t="shared" si="0"/>
        <v>1</v>
      </c>
      <c r="N24" s="64">
        <f t="shared" si="0"/>
        <v>0</v>
      </c>
      <c r="O24" s="72"/>
      <c r="P24" s="64">
        <f ca="1">IF(SUM(L24:INDIRECT(ADDRESS(ROW(L24)+$Q$7,COLUMN(L24),1,1)))&gt;0,1,0)</f>
        <v>1</v>
      </c>
      <c r="Q24" s="64">
        <f ca="1">IF(SUM(M24:INDIRECT(ADDRESS(ROW(M24)+$Q$7,COLUMN(M24),1,1)))&gt;0,1,0)</f>
        <v>1</v>
      </c>
      <c r="R24" s="64">
        <f ca="1">IF(SUM(N24:INDIRECT(ADDRESS(ROW(N24)+$Q$7,COLUMN(N24),1,1)))&gt;0,1,0)</f>
        <v>0</v>
      </c>
    </row>
    <row r="25" spans="1:18">
      <c r="A25" s="40">
        <v>17</v>
      </c>
      <c r="B25" s="41">
        <v>5</v>
      </c>
      <c r="C25" s="41">
        <v>15</v>
      </c>
      <c r="D25" s="41">
        <v>0</v>
      </c>
      <c r="G25" s="63">
        <v>17</v>
      </c>
      <c r="H25" s="64">
        <v>0.5</v>
      </c>
      <c r="I25" s="64">
        <v>1</v>
      </c>
      <c r="J25" s="64">
        <v>0</v>
      </c>
      <c r="K25" s="61"/>
      <c r="L25" s="64">
        <f t="shared" si="1"/>
        <v>1</v>
      </c>
      <c r="M25" s="64">
        <f t="shared" si="0"/>
        <v>1</v>
      </c>
      <c r="N25" s="64">
        <f t="shared" si="0"/>
        <v>0</v>
      </c>
      <c r="O25" s="72"/>
      <c r="P25" s="64">
        <f ca="1">IF(SUM(L25:INDIRECT(ADDRESS(ROW(L25)+$Q$7,COLUMN(L25),1,1)))&gt;0,1,0)</f>
        <v>1</v>
      </c>
      <c r="Q25" s="64">
        <f ca="1">IF(SUM(M25:INDIRECT(ADDRESS(ROW(M25)+$Q$7,COLUMN(M25),1,1)))&gt;0,1,0)</f>
        <v>1</v>
      </c>
      <c r="R25" s="64">
        <f ca="1">IF(SUM(N25:INDIRECT(ADDRESS(ROW(N25)+$Q$7,COLUMN(N25),1,1)))&gt;0,1,0)</f>
        <v>0</v>
      </c>
    </row>
    <row r="26" spans="1:18">
      <c r="A26" s="40">
        <v>18</v>
      </c>
      <c r="B26" s="41">
        <v>10</v>
      </c>
      <c r="C26" s="41">
        <v>15</v>
      </c>
      <c r="D26" s="41">
        <v>0</v>
      </c>
      <c r="G26" s="63">
        <v>18</v>
      </c>
      <c r="H26" s="64">
        <v>0.8</v>
      </c>
      <c r="I26" s="64">
        <v>1</v>
      </c>
      <c r="J26" s="64">
        <v>0</v>
      </c>
      <c r="K26" s="61"/>
      <c r="L26" s="64">
        <f t="shared" si="1"/>
        <v>1</v>
      </c>
      <c r="M26" s="64">
        <f t="shared" si="0"/>
        <v>1</v>
      </c>
      <c r="N26" s="64">
        <f t="shared" si="0"/>
        <v>0</v>
      </c>
      <c r="O26" s="72"/>
      <c r="P26" s="64">
        <f ca="1">IF(SUM(L26:INDIRECT(ADDRESS(ROW(L26)+$Q$7,COLUMN(L26),1,1)))&gt;0,1,0)</f>
        <v>1</v>
      </c>
      <c r="Q26" s="64">
        <f ca="1">IF(SUM(M26:INDIRECT(ADDRESS(ROW(M26)+$Q$7,COLUMN(M26),1,1)))&gt;0,1,0)</f>
        <v>1</v>
      </c>
      <c r="R26" s="64">
        <f ca="1">IF(SUM(N26:INDIRECT(ADDRESS(ROW(N26)+$Q$7,COLUMN(N26),1,1)))&gt;0,1,0)</f>
        <v>0</v>
      </c>
    </row>
    <row r="27" spans="1:18">
      <c r="A27" s="40">
        <v>19</v>
      </c>
      <c r="B27" s="41">
        <v>10</v>
      </c>
      <c r="C27" s="41">
        <v>10</v>
      </c>
      <c r="D27" s="41">
        <v>0</v>
      </c>
      <c r="G27" s="63">
        <v>19</v>
      </c>
      <c r="H27" s="64">
        <v>0.8</v>
      </c>
      <c r="I27" s="64">
        <v>1</v>
      </c>
      <c r="J27" s="64">
        <v>0</v>
      </c>
      <c r="K27" s="61"/>
      <c r="L27" s="64">
        <f t="shared" si="1"/>
        <v>1</v>
      </c>
      <c r="M27" s="64">
        <f t="shared" si="0"/>
        <v>1</v>
      </c>
      <c r="N27" s="64">
        <f t="shared" si="0"/>
        <v>0</v>
      </c>
      <c r="O27" s="72"/>
      <c r="P27" s="64">
        <f ca="1">IF(SUM(L27:INDIRECT(ADDRESS(ROW(L27)+$Q$7,COLUMN(L27),1,1)))&gt;0,1,0)</f>
        <v>1</v>
      </c>
      <c r="Q27" s="64">
        <f ca="1">IF(SUM(M27:INDIRECT(ADDRESS(ROW(M27)+$Q$7,COLUMN(M27),1,1)))&gt;0,1,0)</f>
        <v>1</v>
      </c>
      <c r="R27" s="64">
        <f ca="1">IF(SUM(N27:INDIRECT(ADDRESS(ROW(N27)+$Q$7,COLUMN(N27),1,1)))&gt;0,1,0)</f>
        <v>0</v>
      </c>
    </row>
    <row r="28" spans="1:18">
      <c r="A28" s="40">
        <v>20</v>
      </c>
      <c r="B28" s="41">
        <v>0</v>
      </c>
      <c r="C28" s="41">
        <v>0</v>
      </c>
      <c r="D28" s="41">
        <v>0</v>
      </c>
      <c r="G28" s="63">
        <v>20</v>
      </c>
      <c r="H28" s="64">
        <v>0</v>
      </c>
      <c r="I28" s="64">
        <v>0</v>
      </c>
      <c r="J28" s="64">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0">
        <v>21</v>
      </c>
      <c r="B29" s="41">
        <v>0</v>
      </c>
      <c r="C29" s="41">
        <v>0</v>
      </c>
      <c r="D29" s="41">
        <v>0</v>
      </c>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80</v>
      </c>
      <c r="C34" s="41">
        <f t="shared" ref="C34:D34" si="2">SUM(C9:C33)</f>
        <v>105</v>
      </c>
      <c r="D34" s="41">
        <f t="shared" si="2"/>
        <v>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{AEEC2247-4E41-4431-A230-7404FDF9F00D}</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{48250C63-693E-4979-B3E8-E5FB7D9BA108}</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{94D22698-E2F4-42F0-AB4B-B2ED5823BA9C}</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{50910933-9456-467E-AAED-9DDB380E265A}</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EEC2247-4E41-4431-A230-7404FDF9F00D}">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48250C63-693E-4979-B3E8-E5FB7D9BA108}">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94D22698-E2F4-42F0-AB4B-B2ED5823BA9C}">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50910933-9456-467E-AAED-9DDB380E265A}">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C2D80-83B4-4FFF-A8CF-811F8714C9F2}">
  <sheetPr codeName="Foglio38"/>
  <dimension ref="A1:R34"/>
  <sheetViews>
    <sheetView workbookViewId="0"/>
  </sheetViews>
  <sheetFormatPr defaultColWidth="9.140625" defaultRowHeight="15"/>
  <cols>
    <col min="1" max="16384" width="9.140625" style="42"/>
  </cols>
  <sheetData>
    <row r="1" spans="1:18">
      <c r="A1" s="36" t="s">
        <v>71</v>
      </c>
      <c r="B1" s="37"/>
      <c r="C1" s="37"/>
      <c r="D1" s="38" t="s">
        <v>124</v>
      </c>
      <c r="E1" s="38"/>
    </row>
    <row r="2" spans="1:18">
      <c r="A2" s="36" t="s">
        <v>73</v>
      </c>
      <c r="B2" s="37"/>
      <c r="C2" s="37"/>
      <c r="D2" s="38" t="s">
        <v>127</v>
      </c>
      <c r="E2" s="38"/>
    </row>
    <row r="3" spans="1:18">
      <c r="A3" s="36" t="s">
        <v>75</v>
      </c>
      <c r="B3" s="37"/>
      <c r="C3" s="37"/>
      <c r="D3" s="38" t="s">
        <v>126</v>
      </c>
      <c r="E3" s="38"/>
    </row>
    <row r="4" spans="1:18">
      <c r="A4" s="37"/>
      <c r="B4" s="37"/>
      <c r="C4" s="37"/>
      <c r="D4" s="38"/>
      <c r="E4" s="38"/>
    </row>
    <row r="5" spans="1:18">
      <c r="A5" s="38"/>
      <c r="B5" s="38"/>
      <c r="C5" s="38"/>
      <c r="D5" s="38"/>
      <c r="E5" s="38"/>
    </row>
    <row r="6" spans="1:18">
      <c r="A6" s="807" t="s">
        <v>191</v>
      </c>
      <c r="B6" s="807"/>
      <c r="C6" s="807"/>
      <c r="D6" s="807"/>
      <c r="E6" s="807"/>
      <c r="G6" s="810" t="s">
        <v>77</v>
      </c>
      <c r="H6" s="810"/>
      <c r="I6" s="810"/>
      <c r="J6" s="810"/>
      <c r="K6" s="810"/>
      <c r="L6" s="65"/>
      <c r="M6" s="66" t="s">
        <v>193</v>
      </c>
      <c r="N6" s="67"/>
      <c r="O6" s="66"/>
      <c r="P6" s="65"/>
      <c r="Q6" s="66" t="s">
        <v>192</v>
      </c>
      <c r="R6" s="67"/>
    </row>
    <row r="7" spans="1:18">
      <c r="A7" s="38"/>
      <c r="B7" s="808" t="s">
        <v>78</v>
      </c>
      <c r="C7" s="808" t="s">
        <v>79</v>
      </c>
      <c r="D7" s="809" t="s">
        <v>80</v>
      </c>
      <c r="E7" s="38"/>
      <c r="G7" s="61"/>
      <c r="H7" s="811" t="s">
        <v>78</v>
      </c>
      <c r="I7" s="811" t="s">
        <v>79</v>
      </c>
      <c r="J7" s="812" t="s">
        <v>80</v>
      </c>
      <c r="K7" s="61"/>
      <c r="L7" s="38"/>
      <c r="M7" s="38"/>
      <c r="N7" s="38"/>
      <c r="O7" s="38"/>
      <c r="P7" s="73" t="s">
        <v>195</v>
      </c>
      <c r="Q7" s="74">
        <v>3</v>
      </c>
      <c r="R7" s="38"/>
    </row>
    <row r="8" spans="1:18">
      <c r="A8" s="40" t="s">
        <v>81</v>
      </c>
      <c r="B8" s="808"/>
      <c r="C8" s="808"/>
      <c r="D8" s="809"/>
      <c r="E8" s="38"/>
      <c r="G8" s="63" t="s">
        <v>81</v>
      </c>
      <c r="H8" s="811"/>
      <c r="I8" s="811"/>
      <c r="J8" s="812"/>
      <c r="K8" s="61"/>
      <c r="L8" s="38"/>
      <c r="M8" s="38"/>
      <c r="N8" s="38"/>
      <c r="O8" s="38"/>
      <c r="P8" s="38"/>
      <c r="Q8" s="38"/>
      <c r="R8" s="38"/>
    </row>
    <row r="9" spans="1:18">
      <c r="A9" s="40">
        <v>1</v>
      </c>
      <c r="B9" s="41">
        <v>0</v>
      </c>
      <c r="C9" s="41">
        <v>0</v>
      </c>
      <c r="D9" s="41">
        <v>0</v>
      </c>
      <c r="E9" s="38"/>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E10" s="38"/>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E11" s="38"/>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E12" s="38"/>
      <c r="G12" s="63">
        <v>4</v>
      </c>
      <c r="H12" s="64">
        <v>0</v>
      </c>
      <c r="I12" s="64">
        <v>0</v>
      </c>
      <c r="J12" s="64">
        <v>0</v>
      </c>
      <c r="K12" s="61"/>
      <c r="L12" s="64">
        <f t="shared" si="1"/>
        <v>0</v>
      </c>
      <c r="M12" s="64">
        <f t="shared" si="0"/>
        <v>0</v>
      </c>
      <c r="N12" s="64">
        <f t="shared" si="0"/>
        <v>0</v>
      </c>
      <c r="O12" s="72"/>
      <c r="P12" s="64">
        <f ca="1">IF(SUM(L12:INDIRECT(ADDRESS(ROW(L12)+$Q$7,COLUMN(L12),1,1)))&gt;0,1,0)</f>
        <v>0</v>
      </c>
      <c r="Q12" s="64">
        <f ca="1">IF(SUM(M12:INDIRECT(ADDRESS(ROW(M12)+$Q$7,COLUMN(M12),1,1)))&gt;0,1,0)</f>
        <v>0</v>
      </c>
      <c r="R12" s="64">
        <f ca="1">IF(SUM(N12:INDIRECT(ADDRESS(ROW(N12)+$Q$7,COLUMN(N12),1,1)))&gt;0,1,0)</f>
        <v>0</v>
      </c>
    </row>
    <row r="13" spans="1:18">
      <c r="A13" s="40">
        <v>5</v>
      </c>
      <c r="B13" s="41">
        <v>0</v>
      </c>
      <c r="C13" s="41">
        <v>0</v>
      </c>
      <c r="D13" s="41">
        <v>0</v>
      </c>
      <c r="E13" s="38"/>
      <c r="G13" s="63">
        <v>5</v>
      </c>
      <c r="H13" s="64">
        <v>0</v>
      </c>
      <c r="I13" s="64">
        <v>0</v>
      </c>
      <c r="J13" s="64">
        <v>0</v>
      </c>
      <c r="K13" s="61"/>
      <c r="L13" s="64">
        <f t="shared" si="1"/>
        <v>0</v>
      </c>
      <c r="M13" s="64">
        <f t="shared" si="0"/>
        <v>0</v>
      </c>
      <c r="N13" s="64">
        <f t="shared" si="0"/>
        <v>0</v>
      </c>
      <c r="O13" s="72"/>
      <c r="P13" s="64">
        <f ca="1">IF(SUM(L13:INDIRECT(ADDRESS(ROW(L13)+$Q$7,COLUMN(L13),1,1)))&gt;0,1,0)</f>
        <v>0</v>
      </c>
      <c r="Q13" s="64">
        <f ca="1">IF(SUM(M13:INDIRECT(ADDRESS(ROW(M13)+$Q$7,COLUMN(M13),1,1)))&gt;0,1,0)</f>
        <v>0</v>
      </c>
      <c r="R13" s="64">
        <f ca="1">IF(SUM(N13:INDIRECT(ADDRESS(ROW(N13)+$Q$7,COLUMN(N13),1,1)))&gt;0,1,0)</f>
        <v>0</v>
      </c>
    </row>
    <row r="14" spans="1:18">
      <c r="A14" s="40">
        <v>6</v>
      </c>
      <c r="B14" s="41">
        <v>0</v>
      </c>
      <c r="C14" s="41">
        <v>0</v>
      </c>
      <c r="D14" s="41">
        <v>0</v>
      </c>
      <c r="E14" s="38"/>
      <c r="G14" s="63">
        <v>6</v>
      </c>
      <c r="H14" s="64">
        <v>0</v>
      </c>
      <c r="I14" s="64">
        <v>0</v>
      </c>
      <c r="J14" s="64">
        <v>0</v>
      </c>
      <c r="K14" s="61"/>
      <c r="L14" s="64">
        <f t="shared" si="1"/>
        <v>0</v>
      </c>
      <c r="M14" s="64">
        <f t="shared" si="0"/>
        <v>0</v>
      </c>
      <c r="N14" s="64">
        <f t="shared" si="0"/>
        <v>0</v>
      </c>
      <c r="O14" s="72"/>
      <c r="P14" s="64">
        <f ca="1">IF(SUM(L14:INDIRECT(ADDRESS(ROW(L14)+$Q$7,COLUMN(L14),1,1)))&gt;0,1,0)</f>
        <v>0</v>
      </c>
      <c r="Q14" s="64">
        <f ca="1">IF(SUM(M14:INDIRECT(ADDRESS(ROW(M14)+$Q$7,COLUMN(M14),1,1)))&gt;0,1,0)</f>
        <v>0</v>
      </c>
      <c r="R14" s="64">
        <f ca="1">IF(SUM(N14:INDIRECT(ADDRESS(ROW(N14)+$Q$7,COLUMN(N14),1,1)))&gt;0,1,0)</f>
        <v>0</v>
      </c>
    </row>
    <row r="15" spans="1:18">
      <c r="A15" s="40">
        <v>7</v>
      </c>
      <c r="B15" s="41">
        <v>0</v>
      </c>
      <c r="C15" s="41">
        <v>0</v>
      </c>
      <c r="D15" s="41">
        <v>0</v>
      </c>
      <c r="E15" s="38"/>
      <c r="G15" s="63">
        <v>7</v>
      </c>
      <c r="H15" s="64">
        <v>0</v>
      </c>
      <c r="I15" s="64">
        <v>0</v>
      </c>
      <c r="J15" s="64">
        <v>0</v>
      </c>
      <c r="K15" s="61"/>
      <c r="L15" s="64">
        <f t="shared" si="1"/>
        <v>0</v>
      </c>
      <c r="M15" s="64">
        <f t="shared" si="0"/>
        <v>0</v>
      </c>
      <c r="N15" s="64">
        <f t="shared" si="0"/>
        <v>0</v>
      </c>
      <c r="O15" s="72"/>
      <c r="P15" s="64">
        <f ca="1">IF(SUM(L15:INDIRECT(ADDRESS(ROW(L15)+$Q$7,COLUMN(L15),1,1)))&gt;0,1,0)</f>
        <v>1</v>
      </c>
      <c r="Q15" s="64">
        <f ca="1">IF(SUM(M15:INDIRECT(ADDRESS(ROW(M15)+$Q$7,COLUMN(M15),1,1)))&gt;0,1,0)</f>
        <v>1</v>
      </c>
      <c r="R15" s="64">
        <f ca="1">IF(SUM(N15:INDIRECT(ADDRESS(ROW(N15)+$Q$7,COLUMN(N15),1,1)))&gt;0,1,0)</f>
        <v>1</v>
      </c>
    </row>
    <row r="16" spans="1:18">
      <c r="A16" s="40">
        <v>8</v>
      </c>
      <c r="B16" s="41">
        <v>0</v>
      </c>
      <c r="C16" s="41">
        <v>0</v>
      </c>
      <c r="D16" s="41">
        <v>0</v>
      </c>
      <c r="E16" s="38"/>
      <c r="G16" s="63">
        <v>8</v>
      </c>
      <c r="H16" s="64">
        <v>0</v>
      </c>
      <c r="I16" s="64">
        <v>0</v>
      </c>
      <c r="J16" s="64">
        <v>0</v>
      </c>
      <c r="K16" s="61"/>
      <c r="L16" s="64">
        <f t="shared" si="1"/>
        <v>0</v>
      </c>
      <c r="M16" s="64">
        <f t="shared" si="0"/>
        <v>0</v>
      </c>
      <c r="N16" s="64">
        <f t="shared" si="0"/>
        <v>0</v>
      </c>
      <c r="O16" s="72"/>
      <c r="P16" s="64">
        <f ca="1">IF(SUM(L16:INDIRECT(ADDRESS(ROW(L16)+$Q$7,COLUMN(L16),1,1)))&gt;0,1,0)</f>
        <v>1</v>
      </c>
      <c r="Q16" s="64">
        <f ca="1">IF(SUM(M16:INDIRECT(ADDRESS(ROW(M16)+$Q$7,COLUMN(M16),1,1)))&gt;0,1,0)</f>
        <v>1</v>
      </c>
      <c r="R16" s="64">
        <f ca="1">IF(SUM(N16:INDIRECT(ADDRESS(ROW(N16)+$Q$7,COLUMN(N16),1,1)))&gt;0,1,0)</f>
        <v>1</v>
      </c>
    </row>
    <row r="17" spans="1:18">
      <c r="A17" s="40">
        <v>9</v>
      </c>
      <c r="B17" s="41">
        <v>0</v>
      </c>
      <c r="C17" s="41">
        <v>0</v>
      </c>
      <c r="D17" s="41">
        <v>0</v>
      </c>
      <c r="E17" s="38"/>
      <c r="G17" s="63">
        <v>9</v>
      </c>
      <c r="H17" s="64">
        <v>0</v>
      </c>
      <c r="I17" s="64">
        <v>0</v>
      </c>
      <c r="J17" s="64">
        <v>0</v>
      </c>
      <c r="K17" s="61"/>
      <c r="L17" s="64">
        <f t="shared" si="1"/>
        <v>0</v>
      </c>
      <c r="M17" s="64">
        <f t="shared" si="0"/>
        <v>0</v>
      </c>
      <c r="N17" s="64">
        <f t="shared" si="0"/>
        <v>0</v>
      </c>
      <c r="O17" s="72"/>
      <c r="P17" s="64">
        <f ca="1">IF(SUM(L17:INDIRECT(ADDRESS(ROW(L17)+$Q$7,COLUMN(L17),1,1)))&gt;0,1,0)</f>
        <v>1</v>
      </c>
      <c r="Q17" s="64">
        <f ca="1">IF(SUM(M17:INDIRECT(ADDRESS(ROW(M17)+$Q$7,COLUMN(M17),1,1)))&gt;0,1,0)</f>
        <v>1</v>
      </c>
      <c r="R17" s="64">
        <f ca="1">IF(SUM(N17:INDIRECT(ADDRESS(ROW(N17)+$Q$7,COLUMN(N17),1,1)))&gt;0,1,0)</f>
        <v>1</v>
      </c>
    </row>
    <row r="18" spans="1:18">
      <c r="A18" s="40">
        <v>10</v>
      </c>
      <c r="B18" s="41">
        <v>5</v>
      </c>
      <c r="C18" s="41">
        <v>5</v>
      </c>
      <c r="D18" s="41">
        <v>5</v>
      </c>
      <c r="E18" s="38"/>
      <c r="G18" s="63">
        <v>10</v>
      </c>
      <c r="H18" s="64">
        <v>0.5</v>
      </c>
      <c r="I18" s="64">
        <v>0.8</v>
      </c>
      <c r="J18" s="64">
        <v>0.5</v>
      </c>
      <c r="K18" s="61"/>
      <c r="L18" s="64">
        <f t="shared" si="1"/>
        <v>1</v>
      </c>
      <c r="M18" s="64">
        <f t="shared" si="0"/>
        <v>1</v>
      </c>
      <c r="N18" s="64">
        <f t="shared" si="0"/>
        <v>1</v>
      </c>
      <c r="O18" s="72"/>
      <c r="P18" s="64">
        <f ca="1">IF(SUM(L18:INDIRECT(ADDRESS(ROW(L18)+$Q$7,COLUMN(L18),1,1)))&gt;0,1,0)</f>
        <v>1</v>
      </c>
      <c r="Q18" s="64">
        <f ca="1">IF(SUM(M18:INDIRECT(ADDRESS(ROW(M18)+$Q$7,COLUMN(M18),1,1)))&gt;0,1,0)</f>
        <v>1</v>
      </c>
      <c r="R18" s="64">
        <f ca="1">IF(SUM(N18:INDIRECT(ADDRESS(ROW(N18)+$Q$7,COLUMN(N18),1,1)))&gt;0,1,0)</f>
        <v>1</v>
      </c>
    </row>
    <row r="19" spans="1:18">
      <c r="A19" s="40">
        <v>11</v>
      </c>
      <c r="B19" s="41">
        <v>5</v>
      </c>
      <c r="C19" s="41">
        <v>10</v>
      </c>
      <c r="D19" s="41">
        <v>5</v>
      </c>
      <c r="E19" s="38"/>
      <c r="G19" s="63">
        <v>11</v>
      </c>
      <c r="H19" s="64">
        <v>0.5</v>
      </c>
      <c r="I19" s="64">
        <v>0.8</v>
      </c>
      <c r="J19" s="64">
        <v>0.5</v>
      </c>
      <c r="K19" s="61"/>
      <c r="L19" s="64">
        <f t="shared" si="1"/>
        <v>1</v>
      </c>
      <c r="M19" s="64">
        <f t="shared" si="0"/>
        <v>1</v>
      </c>
      <c r="N19" s="64">
        <f t="shared" si="0"/>
        <v>1</v>
      </c>
      <c r="O19" s="72"/>
      <c r="P19" s="64">
        <f ca="1">IF(SUM(L19:INDIRECT(ADDRESS(ROW(L19)+$Q$7,COLUMN(L19),1,1)))&gt;0,1,0)</f>
        <v>1</v>
      </c>
      <c r="Q19" s="64">
        <f ca="1">IF(SUM(M19:INDIRECT(ADDRESS(ROW(M19)+$Q$7,COLUMN(M19),1,1)))&gt;0,1,0)</f>
        <v>1</v>
      </c>
      <c r="R19" s="64">
        <f ca="1">IF(SUM(N19:INDIRECT(ADDRESS(ROW(N19)+$Q$7,COLUMN(N19),1,1)))&gt;0,1,0)</f>
        <v>1</v>
      </c>
    </row>
    <row r="20" spans="1:18">
      <c r="A20" s="40">
        <v>12</v>
      </c>
      <c r="B20" s="41">
        <v>10</v>
      </c>
      <c r="C20" s="41">
        <v>10</v>
      </c>
      <c r="D20" s="41">
        <v>10</v>
      </c>
      <c r="E20" s="38"/>
      <c r="G20" s="63">
        <v>12</v>
      </c>
      <c r="H20" s="64">
        <v>0.8</v>
      </c>
      <c r="I20" s="64">
        <v>0.8</v>
      </c>
      <c r="J20" s="64">
        <v>0.8</v>
      </c>
      <c r="K20" s="61"/>
      <c r="L20" s="64">
        <f t="shared" si="1"/>
        <v>1</v>
      </c>
      <c r="M20" s="64">
        <f t="shared" si="0"/>
        <v>1</v>
      </c>
      <c r="N20" s="64">
        <f t="shared" si="0"/>
        <v>1</v>
      </c>
      <c r="O20" s="72"/>
      <c r="P20" s="64">
        <f ca="1">IF(SUM(L20:INDIRECT(ADDRESS(ROW(L20)+$Q$7,COLUMN(L20),1,1)))&gt;0,1,0)</f>
        <v>1</v>
      </c>
      <c r="Q20" s="64">
        <f ca="1">IF(SUM(M20:INDIRECT(ADDRESS(ROW(M20)+$Q$7,COLUMN(M20),1,1)))&gt;0,1,0)</f>
        <v>1</v>
      </c>
      <c r="R20" s="64">
        <f ca="1">IF(SUM(N20:INDIRECT(ADDRESS(ROW(N20)+$Q$7,COLUMN(N20),1,1)))&gt;0,1,0)</f>
        <v>1</v>
      </c>
    </row>
    <row r="21" spans="1:18">
      <c r="A21" s="40">
        <v>13</v>
      </c>
      <c r="B21" s="41">
        <v>10</v>
      </c>
      <c r="C21" s="41">
        <v>10</v>
      </c>
      <c r="D21" s="41">
        <v>10</v>
      </c>
      <c r="E21" s="38"/>
      <c r="G21" s="63">
        <v>13</v>
      </c>
      <c r="H21" s="64">
        <v>0.8</v>
      </c>
      <c r="I21" s="64">
        <v>1</v>
      </c>
      <c r="J21" s="64">
        <v>0.8</v>
      </c>
      <c r="K21" s="61"/>
      <c r="L21" s="64">
        <f t="shared" si="1"/>
        <v>1</v>
      </c>
      <c r="M21" s="64">
        <f t="shared" si="0"/>
        <v>1</v>
      </c>
      <c r="N21" s="64">
        <f t="shared" si="0"/>
        <v>1</v>
      </c>
      <c r="O21" s="72"/>
      <c r="P21" s="64">
        <f ca="1">IF(SUM(L21:INDIRECT(ADDRESS(ROW(L21)+$Q$7,COLUMN(L21),1,1)))&gt;0,1,0)</f>
        <v>1</v>
      </c>
      <c r="Q21" s="64">
        <f ca="1">IF(SUM(M21:INDIRECT(ADDRESS(ROW(M21)+$Q$7,COLUMN(M21),1,1)))&gt;0,1,0)</f>
        <v>1</v>
      </c>
      <c r="R21" s="64">
        <f ca="1">IF(SUM(N21:INDIRECT(ADDRESS(ROW(N21)+$Q$7,COLUMN(N21),1,1)))&gt;0,1,0)</f>
        <v>1</v>
      </c>
    </row>
    <row r="22" spans="1:18">
      <c r="A22" s="40">
        <v>14</v>
      </c>
      <c r="B22" s="41">
        <v>10</v>
      </c>
      <c r="C22" s="41">
        <v>15</v>
      </c>
      <c r="D22" s="41">
        <v>10</v>
      </c>
      <c r="E22" s="38"/>
      <c r="G22" s="63">
        <v>14</v>
      </c>
      <c r="H22" s="64">
        <v>0.5</v>
      </c>
      <c r="I22" s="64">
        <v>1</v>
      </c>
      <c r="J22" s="64">
        <v>0.8</v>
      </c>
      <c r="K22" s="61"/>
      <c r="L22" s="64">
        <f t="shared" si="1"/>
        <v>1</v>
      </c>
      <c r="M22" s="64">
        <f t="shared" si="0"/>
        <v>1</v>
      </c>
      <c r="N22" s="64">
        <f t="shared" si="0"/>
        <v>1</v>
      </c>
      <c r="O22" s="72"/>
      <c r="P22" s="64">
        <f ca="1">IF(SUM(L22:INDIRECT(ADDRESS(ROW(L22)+$Q$7,COLUMN(L22),1,1)))&gt;0,1,0)</f>
        <v>1</v>
      </c>
      <c r="Q22" s="64">
        <f ca="1">IF(SUM(M22:INDIRECT(ADDRESS(ROW(M22)+$Q$7,COLUMN(M22),1,1)))&gt;0,1,0)</f>
        <v>1</v>
      </c>
      <c r="R22" s="64">
        <f ca="1">IF(SUM(N22:INDIRECT(ADDRESS(ROW(N22)+$Q$7,COLUMN(N22),1,1)))&gt;0,1,0)</f>
        <v>1</v>
      </c>
    </row>
    <row r="23" spans="1:18">
      <c r="A23" s="40">
        <v>15</v>
      </c>
      <c r="B23" s="41">
        <v>5</v>
      </c>
      <c r="C23" s="41">
        <v>15</v>
      </c>
      <c r="D23" s="41">
        <v>15</v>
      </c>
      <c r="E23" s="38"/>
      <c r="G23" s="63">
        <v>15</v>
      </c>
      <c r="H23" s="64">
        <v>0.5</v>
      </c>
      <c r="I23" s="64">
        <v>1</v>
      </c>
      <c r="J23" s="64">
        <v>1</v>
      </c>
      <c r="K23" s="61"/>
      <c r="L23" s="64">
        <f t="shared" si="1"/>
        <v>1</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5</v>
      </c>
      <c r="C24" s="41">
        <v>15</v>
      </c>
      <c r="D24" s="41">
        <v>15</v>
      </c>
      <c r="E24" s="38"/>
      <c r="G24" s="63">
        <v>16</v>
      </c>
      <c r="H24" s="64">
        <v>0.5</v>
      </c>
      <c r="I24" s="64">
        <v>1</v>
      </c>
      <c r="J24" s="64">
        <v>1</v>
      </c>
      <c r="K24" s="61"/>
      <c r="L24" s="64">
        <f t="shared" si="1"/>
        <v>1</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5</v>
      </c>
      <c r="C25" s="41">
        <v>15</v>
      </c>
      <c r="D25" s="41">
        <v>15</v>
      </c>
      <c r="E25" s="38"/>
      <c r="G25" s="63">
        <v>17</v>
      </c>
      <c r="H25" s="64">
        <v>0.5</v>
      </c>
      <c r="I25" s="64">
        <v>1</v>
      </c>
      <c r="J25" s="64">
        <v>1</v>
      </c>
      <c r="K25" s="61"/>
      <c r="L25" s="64">
        <f t="shared" si="1"/>
        <v>1</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10</v>
      </c>
      <c r="C26" s="41">
        <v>15</v>
      </c>
      <c r="D26" s="41">
        <v>15</v>
      </c>
      <c r="E26" s="38"/>
      <c r="G26" s="63">
        <v>18</v>
      </c>
      <c r="H26" s="64">
        <v>0.8</v>
      </c>
      <c r="I26" s="64">
        <v>1</v>
      </c>
      <c r="J26" s="64">
        <v>1</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10</v>
      </c>
      <c r="C27" s="41">
        <v>15</v>
      </c>
      <c r="D27" s="41">
        <v>15</v>
      </c>
      <c r="E27" s="38"/>
      <c r="G27" s="63">
        <v>19</v>
      </c>
      <c r="H27" s="64">
        <v>0.8</v>
      </c>
      <c r="I27" s="64">
        <v>1</v>
      </c>
      <c r="J27" s="64">
        <v>1</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10</v>
      </c>
      <c r="C28" s="41">
        <v>10</v>
      </c>
      <c r="D28" s="41">
        <v>10</v>
      </c>
      <c r="E28" s="38"/>
      <c r="G28" s="63">
        <v>20</v>
      </c>
      <c r="H28" s="64">
        <v>0.5</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0</v>
      </c>
      <c r="C29" s="41">
        <v>0</v>
      </c>
      <c r="D29" s="41">
        <v>0</v>
      </c>
      <c r="E29" s="38"/>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E30" s="38"/>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E31" s="38"/>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E32" s="38"/>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60" t="s">
        <v>189</v>
      </c>
      <c r="B34" s="46">
        <f>SUM(B9:B33)</f>
        <v>85</v>
      </c>
      <c r="C34" s="46">
        <f t="shared" ref="C34:D34" si="2">SUM(C9:C33)</f>
        <v>135</v>
      </c>
      <c r="D34" s="46">
        <f t="shared" si="2"/>
        <v>125</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{AC725B72-3DEB-48B2-8883-A55E4903B93F}</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{EC156E2B-A324-44B5-848D-C7BFE4E13BC4}</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{83806E8B-D8B4-45E2-9BBF-C4C2587833C7}</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{F4658033-0310-47FC-B780-263CB653DDC8}</x14:id>
        </ext>
      </extLst>
    </cfRule>
  </conditionalFormatting>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dataBar" id="{AC725B72-3DEB-48B2-8883-A55E4903B93F}">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EC156E2B-A324-44B5-848D-C7BFE4E13BC4}">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83806E8B-D8B4-45E2-9BBF-C4C2587833C7}">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F4658033-0310-47FC-B780-263CB653DDC8}">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5BE87-8010-4201-9042-71D8F731E77D}">
  <sheetPr codeName="Foglio39"/>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128</v>
      </c>
    </row>
    <row r="2" spans="1:18">
      <c r="A2" s="36" t="s">
        <v>73</v>
      </c>
      <c r="B2" s="37"/>
      <c r="C2" s="37"/>
      <c r="D2" s="38" t="s">
        <v>129</v>
      </c>
    </row>
    <row r="3" spans="1:18" ht="45">
      <c r="A3" s="36" t="s">
        <v>75</v>
      </c>
      <c r="B3" s="37"/>
      <c r="C3" s="37"/>
      <c r="D3" s="47" t="s">
        <v>130</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10</v>
      </c>
      <c r="G9" s="63">
        <v>1</v>
      </c>
      <c r="H9" s="64">
        <v>0</v>
      </c>
      <c r="I9" s="64">
        <v>0</v>
      </c>
      <c r="J9" s="64">
        <v>0.8</v>
      </c>
      <c r="K9" s="61"/>
      <c r="L9" s="64">
        <f>IF(H9&gt;0,1,0)</f>
        <v>0</v>
      </c>
      <c r="M9" s="64">
        <f t="shared" ref="M9:N32" si="0">IF(I9&gt;0,1,0)</f>
        <v>0</v>
      </c>
      <c r="N9" s="64">
        <f t="shared" si="0"/>
        <v>1</v>
      </c>
      <c r="O9" s="72"/>
      <c r="P9" s="64">
        <f ca="1">IF(SUM(L9:INDIRECT(ADDRESS(ROW(L9)+$Q$7,COLUMN(L9),1,1)))&gt;0,1,0)</f>
        <v>0</v>
      </c>
      <c r="Q9" s="64">
        <f ca="1">IF(SUM(M9:INDIRECT(ADDRESS(ROW(M9)+$Q$7,COLUMN(M9),1,1)))&gt;0,1,0)</f>
        <v>0</v>
      </c>
      <c r="R9" s="64">
        <f ca="1">IF(SUM(N9:INDIRECT(ADDRESS(ROW(N9)+$Q$7,COLUMN(N9),1,1)))&gt;0,1,0)</f>
        <v>1</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0</v>
      </c>
      <c r="Q12" s="64">
        <f ca="1">IF(SUM(M12:INDIRECT(ADDRESS(ROW(M12)+$Q$7,COLUMN(M12),1,1)))&gt;0,1,0)</f>
        <v>0</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0</v>
      </c>
      <c r="Q13" s="64">
        <f ca="1">IF(SUM(M13:INDIRECT(ADDRESS(ROW(M13)+$Q$7,COLUMN(M13),1,1)))&gt;0,1,0)</f>
        <v>0</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0</v>
      </c>
      <c r="Q14" s="64">
        <f ca="1">IF(SUM(M14:INDIRECT(ADDRESS(ROW(M14)+$Q$7,COLUMN(M14),1,1)))&gt;0,1,0)</f>
        <v>0</v>
      </c>
      <c r="R14" s="64">
        <f ca="1">IF(SUM(N14:INDIRECT(ADDRESS(ROW(N14)+$Q$7,COLUMN(N14),1,1)))&gt;0,1,0)</f>
        <v>0</v>
      </c>
    </row>
    <row r="15" spans="1:18">
      <c r="A15" s="40">
        <v>7</v>
      </c>
      <c r="B15" s="41">
        <v>0</v>
      </c>
      <c r="C15" s="41">
        <v>0</v>
      </c>
      <c r="D15" s="41">
        <v>0</v>
      </c>
      <c r="G15" s="63">
        <v>7</v>
      </c>
      <c r="H15" s="64">
        <v>0</v>
      </c>
      <c r="I15" s="64">
        <v>0</v>
      </c>
      <c r="J15" s="64">
        <v>0</v>
      </c>
      <c r="K15" s="61"/>
      <c r="L15" s="64">
        <f t="shared" si="1"/>
        <v>0</v>
      </c>
      <c r="M15" s="64">
        <f t="shared" si="0"/>
        <v>0</v>
      </c>
      <c r="N15" s="64">
        <f t="shared" si="0"/>
        <v>0</v>
      </c>
      <c r="O15" s="72"/>
      <c r="P15" s="64">
        <f ca="1">IF(SUM(L15:INDIRECT(ADDRESS(ROW(L15)+$Q$7,COLUMN(L15),1,1)))&gt;0,1,0)</f>
        <v>0</v>
      </c>
      <c r="Q15" s="64">
        <f ca="1">IF(SUM(M15:INDIRECT(ADDRESS(ROW(M15)+$Q$7,COLUMN(M15),1,1)))&gt;0,1,0)</f>
        <v>0</v>
      </c>
      <c r="R15" s="64">
        <f ca="1">IF(SUM(N15:INDIRECT(ADDRESS(ROW(N15)+$Q$7,COLUMN(N15),1,1)))&gt;0,1,0)</f>
        <v>0</v>
      </c>
    </row>
    <row r="16" spans="1:18">
      <c r="A16" s="40">
        <v>8</v>
      </c>
      <c r="B16" s="41">
        <v>0</v>
      </c>
      <c r="C16" s="41">
        <v>0</v>
      </c>
      <c r="D16" s="41">
        <v>0</v>
      </c>
      <c r="G16" s="63">
        <v>8</v>
      </c>
      <c r="H16" s="64">
        <v>0</v>
      </c>
      <c r="I16" s="64">
        <v>0</v>
      </c>
      <c r="J16" s="64">
        <v>0</v>
      </c>
      <c r="K16" s="61"/>
      <c r="L16" s="64">
        <f t="shared" si="1"/>
        <v>0</v>
      </c>
      <c r="M16" s="64">
        <f t="shared" si="0"/>
        <v>0</v>
      </c>
      <c r="N16" s="64">
        <f t="shared" si="0"/>
        <v>0</v>
      </c>
      <c r="O16" s="72"/>
      <c r="P16" s="64">
        <f ca="1">IF(SUM(L16:INDIRECT(ADDRESS(ROW(L16)+$Q$7,COLUMN(L16),1,1)))&gt;0,1,0)</f>
        <v>0</v>
      </c>
      <c r="Q16" s="64">
        <f ca="1">IF(SUM(M16:INDIRECT(ADDRESS(ROW(M16)+$Q$7,COLUMN(M16),1,1)))&gt;0,1,0)</f>
        <v>0</v>
      </c>
      <c r="R16" s="64">
        <f ca="1">IF(SUM(N16:INDIRECT(ADDRESS(ROW(N16)+$Q$7,COLUMN(N16),1,1)))&gt;0,1,0)</f>
        <v>0</v>
      </c>
    </row>
    <row r="17" spans="1:18">
      <c r="A17" s="40">
        <v>9</v>
      </c>
      <c r="B17" s="41">
        <v>0</v>
      </c>
      <c r="C17" s="41">
        <v>0</v>
      </c>
      <c r="D17" s="41">
        <v>0</v>
      </c>
      <c r="G17" s="63">
        <v>9</v>
      </c>
      <c r="H17" s="64">
        <v>0</v>
      </c>
      <c r="I17" s="64">
        <v>0</v>
      </c>
      <c r="J17" s="64">
        <v>0</v>
      </c>
      <c r="K17" s="61"/>
      <c r="L17" s="64">
        <f t="shared" si="1"/>
        <v>0</v>
      </c>
      <c r="M17" s="64">
        <f t="shared" si="0"/>
        <v>0</v>
      </c>
      <c r="N17" s="64">
        <f t="shared" si="0"/>
        <v>0</v>
      </c>
      <c r="O17" s="72"/>
      <c r="P17" s="64">
        <f ca="1">IF(SUM(L17:INDIRECT(ADDRESS(ROW(L17)+$Q$7,COLUMN(L17),1,1)))&gt;0,1,0)</f>
        <v>0</v>
      </c>
      <c r="Q17" s="64">
        <f ca="1">IF(SUM(M17:INDIRECT(ADDRESS(ROW(M17)+$Q$7,COLUMN(M17),1,1)))&gt;0,1,0)</f>
        <v>0</v>
      </c>
      <c r="R17" s="64">
        <f ca="1">IF(SUM(N17:INDIRECT(ADDRESS(ROW(N17)+$Q$7,COLUMN(N17),1,1)))&gt;0,1,0)</f>
        <v>0</v>
      </c>
    </row>
    <row r="18" spans="1:18">
      <c r="A18" s="40">
        <v>10</v>
      </c>
      <c r="B18" s="41">
        <v>0</v>
      </c>
      <c r="C18" s="41">
        <v>0</v>
      </c>
      <c r="D18" s="41">
        <v>0</v>
      </c>
      <c r="G18" s="63">
        <v>10</v>
      </c>
      <c r="H18" s="64">
        <v>0</v>
      </c>
      <c r="I18" s="64">
        <v>0</v>
      </c>
      <c r="J18" s="64">
        <v>0</v>
      </c>
      <c r="K18" s="61"/>
      <c r="L18" s="64">
        <f t="shared" si="1"/>
        <v>0</v>
      </c>
      <c r="M18" s="64">
        <f t="shared" si="0"/>
        <v>0</v>
      </c>
      <c r="N18" s="64">
        <f t="shared" si="0"/>
        <v>0</v>
      </c>
      <c r="O18" s="72"/>
      <c r="P18" s="64">
        <f ca="1">IF(SUM(L18:INDIRECT(ADDRESS(ROW(L18)+$Q$7,COLUMN(L18),1,1)))&gt;0,1,0)</f>
        <v>0</v>
      </c>
      <c r="Q18" s="64">
        <f ca="1">IF(SUM(M18:INDIRECT(ADDRESS(ROW(M18)+$Q$7,COLUMN(M18),1,1)))&gt;0,1,0)</f>
        <v>0</v>
      </c>
      <c r="R18" s="64">
        <f ca="1">IF(SUM(N18:INDIRECT(ADDRESS(ROW(N18)+$Q$7,COLUMN(N18),1,1)))&gt;0,1,0)</f>
        <v>0</v>
      </c>
    </row>
    <row r="19" spans="1:18">
      <c r="A19" s="40">
        <v>11</v>
      </c>
      <c r="B19" s="41">
        <v>0</v>
      </c>
      <c r="C19" s="41">
        <v>0</v>
      </c>
      <c r="D19" s="41">
        <v>0</v>
      </c>
      <c r="G19" s="63">
        <v>11</v>
      </c>
      <c r="H19" s="64">
        <v>0</v>
      </c>
      <c r="I19" s="64">
        <v>0</v>
      </c>
      <c r="J19" s="64">
        <v>0</v>
      </c>
      <c r="K19" s="61"/>
      <c r="L19" s="64">
        <f t="shared" si="1"/>
        <v>0</v>
      </c>
      <c r="M19" s="64">
        <f t="shared" si="0"/>
        <v>0</v>
      </c>
      <c r="N19" s="64">
        <f t="shared" si="0"/>
        <v>0</v>
      </c>
      <c r="O19" s="72"/>
      <c r="P19" s="64">
        <f ca="1">IF(SUM(L19:INDIRECT(ADDRESS(ROW(L19)+$Q$7,COLUMN(L19),1,1)))&gt;0,1,0)</f>
        <v>0</v>
      </c>
      <c r="Q19" s="64">
        <f ca="1">IF(SUM(M19:INDIRECT(ADDRESS(ROW(M19)+$Q$7,COLUMN(M19),1,1)))&gt;0,1,0)</f>
        <v>0</v>
      </c>
      <c r="R19" s="64">
        <f ca="1">IF(SUM(N19:INDIRECT(ADDRESS(ROW(N19)+$Q$7,COLUMN(N19),1,1)))&gt;0,1,0)</f>
        <v>0</v>
      </c>
    </row>
    <row r="20" spans="1:18">
      <c r="A20" s="40">
        <v>12</v>
      </c>
      <c r="B20" s="41">
        <v>0</v>
      </c>
      <c r="C20" s="41">
        <v>0</v>
      </c>
      <c r="D20" s="41">
        <v>0</v>
      </c>
      <c r="G20" s="63">
        <v>12</v>
      </c>
      <c r="H20" s="64">
        <v>0</v>
      </c>
      <c r="I20" s="64">
        <v>0</v>
      </c>
      <c r="J20" s="64">
        <v>0</v>
      </c>
      <c r="K20" s="61"/>
      <c r="L20" s="64">
        <f t="shared" si="1"/>
        <v>0</v>
      </c>
      <c r="M20" s="64">
        <f t="shared" si="0"/>
        <v>0</v>
      </c>
      <c r="N20" s="64">
        <f t="shared" si="0"/>
        <v>0</v>
      </c>
      <c r="O20" s="72"/>
      <c r="P20" s="64">
        <f ca="1">IF(SUM(L20:INDIRECT(ADDRESS(ROW(L20)+$Q$7,COLUMN(L20),1,1)))&gt;0,1,0)</f>
        <v>0</v>
      </c>
      <c r="Q20" s="64">
        <f ca="1">IF(SUM(M20:INDIRECT(ADDRESS(ROW(M20)+$Q$7,COLUMN(M20),1,1)))&gt;0,1,0)</f>
        <v>1</v>
      </c>
      <c r="R20" s="64">
        <f ca="1">IF(SUM(N20:INDIRECT(ADDRESS(ROW(N20)+$Q$7,COLUMN(N20),1,1)))&gt;0,1,0)</f>
        <v>1</v>
      </c>
    </row>
    <row r="21" spans="1:18">
      <c r="A21" s="40">
        <v>13</v>
      </c>
      <c r="B21" s="41">
        <v>0</v>
      </c>
      <c r="C21" s="41">
        <v>0</v>
      </c>
      <c r="D21" s="41">
        <v>0</v>
      </c>
      <c r="G21" s="63">
        <v>13</v>
      </c>
      <c r="H21" s="64">
        <v>0</v>
      </c>
      <c r="I21" s="64">
        <v>0</v>
      </c>
      <c r="J21" s="64">
        <v>0</v>
      </c>
      <c r="K21" s="61"/>
      <c r="L21" s="64">
        <f t="shared" si="1"/>
        <v>0</v>
      </c>
      <c r="M21" s="64">
        <f t="shared" si="0"/>
        <v>0</v>
      </c>
      <c r="N21" s="64">
        <f t="shared" si="0"/>
        <v>0</v>
      </c>
      <c r="O21" s="72"/>
      <c r="P21" s="64">
        <f ca="1">IF(SUM(L21:INDIRECT(ADDRESS(ROW(L21)+$Q$7,COLUMN(L21),1,1)))&gt;0,1,0)</f>
        <v>0</v>
      </c>
      <c r="Q21" s="64">
        <f ca="1">IF(SUM(M21:INDIRECT(ADDRESS(ROW(M21)+$Q$7,COLUMN(M21),1,1)))&gt;0,1,0)</f>
        <v>1</v>
      </c>
      <c r="R21" s="64">
        <f ca="1">IF(SUM(N21:INDIRECT(ADDRESS(ROW(N21)+$Q$7,COLUMN(N21),1,1)))&gt;0,1,0)</f>
        <v>1</v>
      </c>
    </row>
    <row r="22" spans="1:18">
      <c r="A22" s="40">
        <v>14</v>
      </c>
      <c r="B22" s="41">
        <v>0</v>
      </c>
      <c r="C22" s="41">
        <v>0</v>
      </c>
      <c r="D22" s="41">
        <v>0</v>
      </c>
      <c r="G22" s="63">
        <v>14</v>
      </c>
      <c r="H22" s="64">
        <v>0</v>
      </c>
      <c r="I22" s="64">
        <v>0</v>
      </c>
      <c r="J22" s="64">
        <v>0</v>
      </c>
      <c r="K22" s="61"/>
      <c r="L22" s="64">
        <f t="shared" si="1"/>
        <v>0</v>
      </c>
      <c r="M22" s="64">
        <f t="shared" si="0"/>
        <v>0</v>
      </c>
      <c r="N22" s="64">
        <f t="shared" si="0"/>
        <v>0</v>
      </c>
      <c r="O22" s="72"/>
      <c r="P22" s="64">
        <f ca="1">IF(SUM(L22:INDIRECT(ADDRESS(ROW(L22)+$Q$7,COLUMN(L22),1,1)))&gt;0,1,0)</f>
        <v>0</v>
      </c>
      <c r="Q22" s="64">
        <f ca="1">IF(SUM(M22:INDIRECT(ADDRESS(ROW(M22)+$Q$7,COLUMN(M22),1,1)))&gt;0,1,0)</f>
        <v>1</v>
      </c>
      <c r="R22" s="64">
        <f ca="1">IF(SUM(N22:INDIRECT(ADDRESS(ROW(N22)+$Q$7,COLUMN(N22),1,1)))&gt;0,1,0)</f>
        <v>1</v>
      </c>
    </row>
    <row r="23" spans="1:18">
      <c r="A23" s="40">
        <v>15</v>
      </c>
      <c r="B23" s="41">
        <v>0</v>
      </c>
      <c r="C23" s="41">
        <v>5</v>
      </c>
      <c r="D23" s="41">
        <v>5</v>
      </c>
      <c r="G23" s="63">
        <v>15</v>
      </c>
      <c r="H23" s="64">
        <v>0</v>
      </c>
      <c r="I23" s="64">
        <v>0.5</v>
      </c>
      <c r="J23" s="64">
        <v>0.5</v>
      </c>
      <c r="K23" s="61"/>
      <c r="L23" s="64">
        <f t="shared" si="1"/>
        <v>0</v>
      </c>
      <c r="M23" s="64">
        <f t="shared" si="0"/>
        <v>1</v>
      </c>
      <c r="N23" s="64">
        <f t="shared" si="0"/>
        <v>1</v>
      </c>
      <c r="O23" s="72"/>
      <c r="P23" s="64">
        <f ca="1">IF(SUM(L23:INDIRECT(ADDRESS(ROW(L23)+$Q$7,COLUMN(L23),1,1)))&gt;0,1,0)</f>
        <v>1</v>
      </c>
      <c r="Q23" s="64">
        <f ca="1">IF(SUM(M23:INDIRECT(ADDRESS(ROW(M23)+$Q$7,COLUMN(M23),1,1)))&gt;0,1,0)</f>
        <v>1</v>
      </c>
      <c r="R23" s="64">
        <f ca="1">IF(SUM(N23:INDIRECT(ADDRESS(ROW(N23)+$Q$7,COLUMN(N23),1,1)))&gt;0,1,0)</f>
        <v>1</v>
      </c>
    </row>
    <row r="24" spans="1:18">
      <c r="A24" s="40">
        <v>16</v>
      </c>
      <c r="B24" s="41">
        <v>0</v>
      </c>
      <c r="C24" s="41">
        <v>5</v>
      </c>
      <c r="D24" s="41">
        <v>5</v>
      </c>
      <c r="G24" s="63">
        <v>16</v>
      </c>
      <c r="H24" s="64">
        <v>0</v>
      </c>
      <c r="I24" s="64">
        <v>0.5</v>
      </c>
      <c r="J24" s="64">
        <v>0.5</v>
      </c>
      <c r="K24" s="61"/>
      <c r="L24" s="64">
        <f t="shared" si="1"/>
        <v>0</v>
      </c>
      <c r="M24" s="64">
        <f t="shared" si="0"/>
        <v>1</v>
      </c>
      <c r="N24" s="64">
        <f t="shared" si="0"/>
        <v>1</v>
      </c>
      <c r="O24" s="72"/>
      <c r="P24" s="64">
        <f ca="1">IF(SUM(L24:INDIRECT(ADDRESS(ROW(L24)+$Q$7,COLUMN(L24),1,1)))&gt;0,1,0)</f>
        <v>1</v>
      </c>
      <c r="Q24" s="64">
        <f ca="1">IF(SUM(M24:INDIRECT(ADDRESS(ROW(M24)+$Q$7,COLUMN(M24),1,1)))&gt;0,1,0)</f>
        <v>1</v>
      </c>
      <c r="R24" s="64">
        <f ca="1">IF(SUM(N24:INDIRECT(ADDRESS(ROW(N24)+$Q$7,COLUMN(N24),1,1)))&gt;0,1,0)</f>
        <v>1</v>
      </c>
    </row>
    <row r="25" spans="1:18">
      <c r="A25" s="40">
        <v>17</v>
      </c>
      <c r="B25" s="41">
        <v>0</v>
      </c>
      <c r="C25" s="41">
        <v>5</v>
      </c>
      <c r="D25" s="41">
        <v>5</v>
      </c>
      <c r="G25" s="63">
        <v>17</v>
      </c>
      <c r="H25" s="64">
        <v>0</v>
      </c>
      <c r="I25" s="64">
        <v>0.5</v>
      </c>
      <c r="J25" s="64">
        <v>0.5</v>
      </c>
      <c r="K25" s="61"/>
      <c r="L25" s="64">
        <f t="shared" si="1"/>
        <v>0</v>
      </c>
      <c r="M25" s="64">
        <f t="shared" si="0"/>
        <v>1</v>
      </c>
      <c r="N25" s="64">
        <f t="shared" si="0"/>
        <v>1</v>
      </c>
      <c r="O25" s="72"/>
      <c r="P25" s="64">
        <f ca="1">IF(SUM(L25:INDIRECT(ADDRESS(ROW(L25)+$Q$7,COLUMN(L25),1,1)))&gt;0,1,0)</f>
        <v>1</v>
      </c>
      <c r="Q25" s="64">
        <f ca="1">IF(SUM(M25:INDIRECT(ADDRESS(ROW(M25)+$Q$7,COLUMN(M25),1,1)))&gt;0,1,0)</f>
        <v>1</v>
      </c>
      <c r="R25" s="64">
        <f ca="1">IF(SUM(N25:INDIRECT(ADDRESS(ROW(N25)+$Q$7,COLUMN(N25),1,1)))&gt;0,1,0)</f>
        <v>1</v>
      </c>
    </row>
    <row r="26" spans="1:18">
      <c r="A26" s="40">
        <v>18</v>
      </c>
      <c r="B26" s="41">
        <v>5</v>
      </c>
      <c r="C26" s="41">
        <v>10</v>
      </c>
      <c r="D26" s="41">
        <v>10</v>
      </c>
      <c r="G26" s="63">
        <v>18</v>
      </c>
      <c r="H26" s="64">
        <v>0.8</v>
      </c>
      <c r="I26" s="64">
        <v>0.8</v>
      </c>
      <c r="J26" s="64">
        <v>0.8</v>
      </c>
      <c r="K26" s="61"/>
      <c r="L26" s="64">
        <f t="shared" si="1"/>
        <v>1</v>
      </c>
      <c r="M26" s="64">
        <f t="shared" si="0"/>
        <v>1</v>
      </c>
      <c r="N26" s="64">
        <f t="shared" si="0"/>
        <v>1</v>
      </c>
      <c r="O26" s="72"/>
      <c r="P26" s="64">
        <f ca="1">IF(SUM(L26:INDIRECT(ADDRESS(ROW(L26)+$Q$7,COLUMN(L26),1,1)))&gt;0,1,0)</f>
        <v>1</v>
      </c>
      <c r="Q26" s="64">
        <f ca="1">IF(SUM(M26:INDIRECT(ADDRESS(ROW(M26)+$Q$7,COLUMN(M26),1,1)))&gt;0,1,0)</f>
        <v>1</v>
      </c>
      <c r="R26" s="64">
        <f ca="1">IF(SUM(N26:INDIRECT(ADDRESS(ROW(N26)+$Q$7,COLUMN(N26),1,1)))&gt;0,1,0)</f>
        <v>1</v>
      </c>
    </row>
    <row r="27" spans="1:18">
      <c r="A27" s="40">
        <v>19</v>
      </c>
      <c r="B27" s="41">
        <v>10</v>
      </c>
      <c r="C27" s="41">
        <v>10</v>
      </c>
      <c r="D27" s="41">
        <v>10</v>
      </c>
      <c r="G27" s="63">
        <v>19</v>
      </c>
      <c r="H27" s="64">
        <v>0.8</v>
      </c>
      <c r="I27" s="64">
        <v>0.8</v>
      </c>
      <c r="J27" s="64">
        <v>0.8</v>
      </c>
      <c r="K27" s="61"/>
      <c r="L27" s="64">
        <f t="shared" si="1"/>
        <v>1</v>
      </c>
      <c r="M27" s="64">
        <f t="shared" si="0"/>
        <v>1</v>
      </c>
      <c r="N27" s="64">
        <f t="shared" si="0"/>
        <v>1</v>
      </c>
      <c r="O27" s="72"/>
      <c r="P27" s="64">
        <f ca="1">IF(SUM(L27:INDIRECT(ADDRESS(ROW(L27)+$Q$7,COLUMN(L27),1,1)))&gt;0,1,0)</f>
        <v>1</v>
      </c>
      <c r="Q27" s="64">
        <f ca="1">IF(SUM(M27:INDIRECT(ADDRESS(ROW(M27)+$Q$7,COLUMN(M27),1,1)))&gt;0,1,0)</f>
        <v>1</v>
      </c>
      <c r="R27" s="64">
        <f ca="1">IF(SUM(N27:INDIRECT(ADDRESS(ROW(N27)+$Q$7,COLUMN(N27),1,1)))&gt;0,1,0)</f>
        <v>1</v>
      </c>
    </row>
    <row r="28" spans="1:18">
      <c r="A28" s="40">
        <v>20</v>
      </c>
      <c r="B28" s="41">
        <v>10</v>
      </c>
      <c r="C28" s="41">
        <v>10</v>
      </c>
      <c r="D28" s="41">
        <v>10</v>
      </c>
      <c r="G28" s="63">
        <v>20</v>
      </c>
      <c r="H28" s="64">
        <v>0.8</v>
      </c>
      <c r="I28" s="64">
        <v>0.8</v>
      </c>
      <c r="J28" s="64">
        <v>0.8</v>
      </c>
      <c r="K28" s="61"/>
      <c r="L28" s="64">
        <f t="shared" si="1"/>
        <v>1</v>
      </c>
      <c r="M28" s="64">
        <f t="shared" si="0"/>
        <v>1</v>
      </c>
      <c r="N28" s="64">
        <f t="shared" si="0"/>
        <v>1</v>
      </c>
      <c r="O28" s="72"/>
      <c r="P28" s="64">
        <f ca="1">IF(SUM(L28:INDIRECT(ADDRESS(ROW(L28)+$Q$7,COLUMN(L28),1,1)))&gt;0,1,0)</f>
        <v>1</v>
      </c>
      <c r="Q28" s="64">
        <f ca="1">IF(SUM(M28:INDIRECT(ADDRESS(ROW(M28)+$Q$7,COLUMN(M28),1,1)))&gt;0,1,0)</f>
        <v>1</v>
      </c>
      <c r="R28" s="64">
        <f ca="1">IF(SUM(N28:INDIRECT(ADDRESS(ROW(N28)+$Q$7,COLUMN(N28),1,1)))&gt;0,1,0)</f>
        <v>1</v>
      </c>
    </row>
    <row r="29" spans="1:18">
      <c r="A29" s="40">
        <v>21</v>
      </c>
      <c r="B29" s="41">
        <v>10</v>
      </c>
      <c r="C29" s="41">
        <v>10</v>
      </c>
      <c r="D29" s="41">
        <v>10</v>
      </c>
      <c r="G29" s="63">
        <v>21</v>
      </c>
      <c r="H29" s="64">
        <v>0.8</v>
      </c>
      <c r="I29" s="64">
        <v>0.8</v>
      </c>
      <c r="J29" s="64">
        <v>0.8</v>
      </c>
      <c r="K29" s="61"/>
      <c r="L29" s="64">
        <f t="shared" si="1"/>
        <v>1</v>
      </c>
      <c r="M29" s="64">
        <f t="shared" si="0"/>
        <v>1</v>
      </c>
      <c r="N29" s="64">
        <f t="shared" si="0"/>
        <v>1</v>
      </c>
      <c r="O29" s="72"/>
      <c r="P29" s="64">
        <f ca="1">IF(SUM(L29:INDIRECT(ADDRESS(ROW(L29)+$Q$7,COLUMN(L29),1,1)))&gt;0,1,0)</f>
        <v>1</v>
      </c>
      <c r="Q29" s="64">
        <f ca="1">IF(SUM(M29:INDIRECT(ADDRESS(ROW(M29)+$Q$7,COLUMN(M29),1,1)))&gt;0,1,0)</f>
        <v>1</v>
      </c>
      <c r="R29" s="64">
        <f ca="1">IF(SUM(N29:INDIRECT(ADDRESS(ROW(N29)+$Q$7,COLUMN(N29),1,1)))&gt;0,1,0)</f>
        <v>1</v>
      </c>
    </row>
    <row r="30" spans="1:18">
      <c r="A30" s="40">
        <v>22</v>
      </c>
      <c r="B30" s="41">
        <v>15</v>
      </c>
      <c r="C30" s="41">
        <v>15</v>
      </c>
      <c r="D30" s="41">
        <v>15</v>
      </c>
      <c r="G30" s="63">
        <v>22</v>
      </c>
      <c r="H30" s="64">
        <v>1</v>
      </c>
      <c r="I30" s="64">
        <v>1</v>
      </c>
      <c r="J30" s="64">
        <v>1</v>
      </c>
      <c r="K30" s="61"/>
      <c r="L30" s="64">
        <f t="shared" si="1"/>
        <v>1</v>
      </c>
      <c r="M30" s="64">
        <f t="shared" si="0"/>
        <v>1</v>
      </c>
      <c r="N30" s="64">
        <f t="shared" si="0"/>
        <v>1</v>
      </c>
      <c r="O30" s="72"/>
      <c r="P30" s="64">
        <f ca="1">IF(SUM(L30:INDIRECT(ADDRESS(ROW(L30)+$Q$7,COLUMN(L30),1,1)))&gt;0,1,0)</f>
        <v>1</v>
      </c>
      <c r="Q30" s="64">
        <f ca="1">IF(SUM(M30:INDIRECT(ADDRESS(ROW(M30)+$Q$7,COLUMN(M30),1,1)))&gt;0,1,0)</f>
        <v>1</v>
      </c>
      <c r="R30" s="64">
        <f ca="1">IF(SUM(N30:INDIRECT(ADDRESS(ROW(N30)+$Q$7,COLUMN(N30),1,1)))&gt;0,1,0)</f>
        <v>1</v>
      </c>
    </row>
    <row r="31" spans="1:18">
      <c r="A31" s="40">
        <v>23</v>
      </c>
      <c r="B31" s="41">
        <v>15</v>
      </c>
      <c r="C31" s="41">
        <v>15</v>
      </c>
      <c r="D31" s="41">
        <v>15</v>
      </c>
      <c r="G31" s="63">
        <v>23</v>
      </c>
      <c r="H31" s="64">
        <v>1</v>
      </c>
      <c r="I31" s="64">
        <v>1</v>
      </c>
      <c r="J31" s="64">
        <v>1</v>
      </c>
      <c r="K31" s="61"/>
      <c r="L31" s="64">
        <f t="shared" si="1"/>
        <v>1</v>
      </c>
      <c r="M31" s="64">
        <f t="shared" si="0"/>
        <v>1</v>
      </c>
      <c r="N31" s="64">
        <f t="shared" si="0"/>
        <v>1</v>
      </c>
      <c r="O31" s="72"/>
      <c r="P31" s="64">
        <f ca="1">IF(SUM(L31:INDIRECT(ADDRESS(ROW(L31)+$Q$7,COLUMN(L31),1,1)))&gt;0,1,0)</f>
        <v>1</v>
      </c>
      <c r="Q31" s="64">
        <f ca="1">IF(SUM(M31:INDIRECT(ADDRESS(ROW(M31)+$Q$7,COLUMN(M31),1,1)))&gt;0,1,0)</f>
        <v>1</v>
      </c>
      <c r="R31" s="64">
        <f ca="1">IF(SUM(N31:INDIRECT(ADDRESS(ROW(N31)+$Q$7,COLUMN(N31),1,1)))&gt;0,1,0)</f>
        <v>1</v>
      </c>
    </row>
    <row r="32" spans="1:18">
      <c r="A32" s="40">
        <v>24</v>
      </c>
      <c r="B32" s="41">
        <v>15</v>
      </c>
      <c r="C32" s="41">
        <v>15</v>
      </c>
      <c r="D32" s="41">
        <v>15</v>
      </c>
      <c r="G32" s="63">
        <v>24</v>
      </c>
      <c r="H32" s="64">
        <v>1</v>
      </c>
      <c r="I32" s="64">
        <v>1</v>
      </c>
      <c r="J32" s="64">
        <v>1</v>
      </c>
      <c r="K32" s="61"/>
      <c r="L32" s="64">
        <f t="shared" si="1"/>
        <v>1</v>
      </c>
      <c r="M32" s="64">
        <f t="shared" si="0"/>
        <v>1</v>
      </c>
      <c r="N32" s="64">
        <f t="shared" si="0"/>
        <v>1</v>
      </c>
      <c r="O32" s="72"/>
      <c r="P32" s="64">
        <f ca="1">IF(SUM(L32:INDIRECT(ADDRESS(ROW(L32)+$Q$7,COLUMN(L32),1,1)))&gt;0,1,0)</f>
        <v>1</v>
      </c>
      <c r="Q32" s="64">
        <f ca="1">IF(SUM(M32:INDIRECT(ADDRESS(ROW(M32)+$Q$7,COLUMN(M32),1,1)))&gt;0,1,0)</f>
        <v>1</v>
      </c>
      <c r="R32" s="64">
        <f ca="1">IF(SUM(N32:INDIRECT(ADDRESS(ROW(N32)+$Q$7,COLUMN(N32),1,1)))&gt;0,1,0)</f>
        <v>1</v>
      </c>
    </row>
    <row r="34" spans="1:4">
      <c r="A34" s="59" t="s">
        <v>189</v>
      </c>
      <c r="B34" s="41">
        <f>SUM(B9:B33)</f>
        <v>80</v>
      </c>
      <c r="C34" s="41">
        <f t="shared" ref="C34:D34" si="2">SUM(C9:C33)</f>
        <v>100</v>
      </c>
      <c r="D34" s="41">
        <f t="shared" si="2"/>
        <v>110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{46553D33-CC23-48A6-BBD2-3010B0DAC2A4}</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{63B798F4-0287-43AC-AB8B-21564589699E}</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{EEC78B12-04ED-4130-A4F8-37D98B5F195D}</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{35CBBE01-7411-4C05-B89A-4DE864185333}</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46553D33-CC23-48A6-BBD2-3010B0DAC2A4}">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63B798F4-0287-43AC-AB8B-21564589699E}">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EEC78B12-04ED-4130-A4F8-37D98B5F195D}">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35CBBE01-7411-4C05-B89A-4DE864185333}">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921CC-4EA6-44C8-9EA5-518A360E6907}">
  <sheetPr codeName="Foglio40"/>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131</v>
      </c>
    </row>
    <row r="2" spans="1:18">
      <c r="A2" s="36" t="s">
        <v>73</v>
      </c>
      <c r="B2" s="37"/>
      <c r="C2" s="37"/>
      <c r="D2" s="38" t="s">
        <v>132</v>
      </c>
    </row>
    <row r="3" spans="1:18">
      <c r="A3" s="36" t="s">
        <v>75</v>
      </c>
      <c r="B3" s="37"/>
      <c r="C3" s="37"/>
      <c r="D3" s="38" t="s">
        <v>133</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0</v>
      </c>
      <c r="Q12" s="64">
        <f ca="1">IF(SUM(M12:INDIRECT(ADDRESS(ROW(M12)+$Q$7,COLUMN(M12),1,1)))&gt;0,1,0)</f>
        <v>0</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0</v>
      </c>
      <c r="Q13" s="64">
        <f ca="1">IF(SUM(M13:INDIRECT(ADDRESS(ROW(M13)+$Q$7,COLUMN(M13),1,1)))&gt;0,1,0)</f>
        <v>0</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1</v>
      </c>
      <c r="Q14" s="64">
        <f ca="1">IF(SUM(M14:INDIRECT(ADDRESS(ROW(M14)+$Q$7,COLUMN(M14),1,1)))&gt;0,1,0)</f>
        <v>1</v>
      </c>
      <c r="R14" s="64">
        <f ca="1">IF(SUM(N14:INDIRECT(ADDRESS(ROW(N14)+$Q$7,COLUMN(N14),1,1)))&gt;0,1,0)</f>
        <v>1</v>
      </c>
    </row>
    <row r="15" spans="1:18">
      <c r="A15" s="40">
        <v>7</v>
      </c>
      <c r="B15" s="41">
        <v>0</v>
      </c>
      <c r="C15" s="41">
        <v>0</v>
      </c>
      <c r="D15" s="41">
        <v>0</v>
      </c>
      <c r="G15" s="63">
        <v>7</v>
      </c>
      <c r="H15" s="64">
        <v>0</v>
      </c>
      <c r="I15" s="64">
        <v>0</v>
      </c>
      <c r="J15" s="64">
        <v>0</v>
      </c>
      <c r="K15" s="61"/>
      <c r="L15" s="64">
        <f t="shared" si="1"/>
        <v>0</v>
      </c>
      <c r="M15" s="64">
        <f t="shared" si="0"/>
        <v>0</v>
      </c>
      <c r="N15" s="64">
        <f t="shared" si="0"/>
        <v>0</v>
      </c>
      <c r="O15" s="72"/>
      <c r="P15" s="64">
        <f ca="1">IF(SUM(L15:INDIRECT(ADDRESS(ROW(L15)+$Q$7,COLUMN(L15),1,1)))&gt;0,1,0)</f>
        <v>1</v>
      </c>
      <c r="Q15" s="64">
        <f ca="1">IF(SUM(M15:INDIRECT(ADDRESS(ROW(M15)+$Q$7,COLUMN(M15),1,1)))&gt;0,1,0)</f>
        <v>1</v>
      </c>
      <c r="R15" s="64">
        <f ca="1">IF(SUM(N15:INDIRECT(ADDRESS(ROW(N15)+$Q$7,COLUMN(N15),1,1)))&gt;0,1,0)</f>
        <v>1</v>
      </c>
    </row>
    <row r="16" spans="1:18">
      <c r="A16" s="40">
        <v>8</v>
      </c>
      <c r="B16" s="41">
        <v>0</v>
      </c>
      <c r="C16" s="41">
        <v>0</v>
      </c>
      <c r="D16" s="41">
        <v>0</v>
      </c>
      <c r="G16" s="63">
        <v>8</v>
      </c>
      <c r="H16" s="64">
        <v>0</v>
      </c>
      <c r="I16" s="64">
        <v>0</v>
      </c>
      <c r="J16" s="64">
        <v>0</v>
      </c>
      <c r="K16" s="61"/>
      <c r="L16" s="64">
        <f t="shared" si="1"/>
        <v>0</v>
      </c>
      <c r="M16" s="64">
        <f t="shared" si="0"/>
        <v>0</v>
      </c>
      <c r="N16" s="64">
        <f t="shared" si="0"/>
        <v>0</v>
      </c>
      <c r="O16" s="72"/>
      <c r="P16" s="64">
        <f ca="1">IF(SUM(L16:INDIRECT(ADDRESS(ROW(L16)+$Q$7,COLUMN(L16),1,1)))&gt;0,1,0)</f>
        <v>1</v>
      </c>
      <c r="Q16" s="64">
        <f ca="1">IF(SUM(M16:INDIRECT(ADDRESS(ROW(M16)+$Q$7,COLUMN(M16),1,1)))&gt;0,1,0)</f>
        <v>1</v>
      </c>
      <c r="R16" s="64">
        <f ca="1">IF(SUM(N16:INDIRECT(ADDRESS(ROW(N16)+$Q$7,COLUMN(N16),1,1)))&gt;0,1,0)</f>
        <v>1</v>
      </c>
    </row>
    <row r="17" spans="1:18">
      <c r="A17" s="40">
        <v>9</v>
      </c>
      <c r="B17" s="41">
        <v>10</v>
      </c>
      <c r="C17" s="41">
        <v>10</v>
      </c>
      <c r="D17" s="41">
        <v>10</v>
      </c>
      <c r="G17" s="63">
        <v>9</v>
      </c>
      <c r="H17" s="64">
        <v>0.2</v>
      </c>
      <c r="I17" s="64">
        <v>0.2</v>
      </c>
      <c r="J17" s="64">
        <v>0.2</v>
      </c>
      <c r="K17" s="61"/>
      <c r="L17" s="64">
        <f t="shared" si="1"/>
        <v>1</v>
      </c>
      <c r="M17" s="64">
        <f t="shared" si="0"/>
        <v>1</v>
      </c>
      <c r="N17" s="64">
        <f t="shared" si="0"/>
        <v>1</v>
      </c>
      <c r="O17" s="72"/>
      <c r="P17" s="64">
        <f ca="1">IF(SUM(L17:INDIRECT(ADDRESS(ROW(L17)+$Q$7,COLUMN(L17),1,1)))&gt;0,1,0)</f>
        <v>1</v>
      </c>
      <c r="Q17" s="64">
        <f ca="1">IF(SUM(M17:INDIRECT(ADDRESS(ROW(M17)+$Q$7,COLUMN(M17),1,1)))&gt;0,1,0)</f>
        <v>1</v>
      </c>
      <c r="R17" s="64">
        <f ca="1">IF(SUM(N17:INDIRECT(ADDRESS(ROW(N17)+$Q$7,COLUMN(N17),1,1)))&gt;0,1,0)</f>
        <v>1</v>
      </c>
    </row>
    <row r="18" spans="1:18">
      <c r="A18" s="40">
        <v>10</v>
      </c>
      <c r="B18" s="41">
        <v>0</v>
      </c>
      <c r="C18" s="41">
        <v>0</v>
      </c>
      <c r="D18" s="41">
        <v>0</v>
      </c>
      <c r="G18" s="63">
        <v>10</v>
      </c>
      <c r="H18" s="64">
        <v>0</v>
      </c>
      <c r="I18" s="64">
        <v>0</v>
      </c>
      <c r="J18" s="64">
        <v>0</v>
      </c>
      <c r="K18" s="61"/>
      <c r="L18" s="64">
        <f t="shared" si="1"/>
        <v>0</v>
      </c>
      <c r="M18" s="64">
        <f t="shared" si="0"/>
        <v>0</v>
      </c>
      <c r="N18" s="64">
        <f t="shared" si="0"/>
        <v>0</v>
      </c>
      <c r="O18" s="72"/>
      <c r="P18" s="64">
        <f ca="1">IF(SUM(L18:INDIRECT(ADDRESS(ROW(L18)+$Q$7,COLUMN(L18),1,1)))&gt;0,1,0)</f>
        <v>0</v>
      </c>
      <c r="Q18" s="64">
        <f ca="1">IF(SUM(M18:INDIRECT(ADDRESS(ROW(M18)+$Q$7,COLUMN(M18),1,1)))&gt;0,1,0)</f>
        <v>0</v>
      </c>
      <c r="R18" s="64">
        <f ca="1">IF(SUM(N18:INDIRECT(ADDRESS(ROW(N18)+$Q$7,COLUMN(N18),1,1)))&gt;0,1,0)</f>
        <v>1</v>
      </c>
    </row>
    <row r="19" spans="1:18">
      <c r="A19" s="40">
        <v>11</v>
      </c>
      <c r="B19" s="41">
        <v>0</v>
      </c>
      <c r="C19" s="41">
        <v>0</v>
      </c>
      <c r="D19" s="41">
        <v>30</v>
      </c>
      <c r="G19" s="63">
        <v>11</v>
      </c>
      <c r="H19" s="64">
        <v>0</v>
      </c>
      <c r="I19" s="64">
        <v>0</v>
      </c>
      <c r="J19" s="64">
        <v>1</v>
      </c>
      <c r="K19" s="61"/>
      <c r="L19" s="64">
        <f t="shared" si="1"/>
        <v>0</v>
      </c>
      <c r="M19" s="64">
        <f t="shared" si="0"/>
        <v>0</v>
      </c>
      <c r="N19" s="64">
        <f t="shared" si="0"/>
        <v>1</v>
      </c>
      <c r="O19" s="72"/>
      <c r="P19" s="64">
        <f ca="1">IF(SUM(L19:INDIRECT(ADDRESS(ROW(L19)+$Q$7,COLUMN(L19),1,1)))&gt;0,1,0)</f>
        <v>0</v>
      </c>
      <c r="Q19" s="64">
        <f ca="1">IF(SUM(M19:INDIRECT(ADDRESS(ROW(M19)+$Q$7,COLUMN(M19),1,1)))&gt;0,1,0)</f>
        <v>0</v>
      </c>
      <c r="R19" s="64">
        <f ca="1">IF(SUM(N19:INDIRECT(ADDRESS(ROW(N19)+$Q$7,COLUMN(N19),1,1)))&gt;0,1,0)</f>
        <v>1</v>
      </c>
    </row>
    <row r="20" spans="1:18">
      <c r="A20" s="40">
        <v>12</v>
      </c>
      <c r="B20" s="41">
        <v>0</v>
      </c>
      <c r="C20" s="41">
        <v>0</v>
      </c>
      <c r="D20" s="41">
        <v>30</v>
      </c>
      <c r="G20" s="63">
        <v>12</v>
      </c>
      <c r="H20" s="64">
        <v>0</v>
      </c>
      <c r="I20" s="64">
        <v>0</v>
      </c>
      <c r="J20" s="64">
        <v>1</v>
      </c>
      <c r="K20" s="61"/>
      <c r="L20" s="64">
        <f t="shared" si="1"/>
        <v>0</v>
      </c>
      <c r="M20" s="64">
        <f t="shared" si="0"/>
        <v>0</v>
      </c>
      <c r="N20" s="64">
        <f t="shared" si="0"/>
        <v>1</v>
      </c>
      <c r="O20" s="72"/>
      <c r="P20" s="64">
        <f ca="1">IF(SUM(L20:INDIRECT(ADDRESS(ROW(L20)+$Q$7,COLUMN(L20),1,1)))&gt;0,1,0)</f>
        <v>0</v>
      </c>
      <c r="Q20" s="64">
        <f ca="1">IF(SUM(M20:INDIRECT(ADDRESS(ROW(M20)+$Q$7,COLUMN(M20),1,1)))&gt;0,1,0)</f>
        <v>0</v>
      </c>
      <c r="R20" s="64">
        <f ca="1">IF(SUM(N20:INDIRECT(ADDRESS(ROW(N20)+$Q$7,COLUMN(N20),1,1)))&gt;0,1,0)</f>
        <v>1</v>
      </c>
    </row>
    <row r="21" spans="1:18">
      <c r="A21" s="40">
        <v>13</v>
      </c>
      <c r="B21" s="41">
        <v>0</v>
      </c>
      <c r="C21" s="41">
        <v>0</v>
      </c>
      <c r="D21" s="41">
        <v>0</v>
      </c>
      <c r="G21" s="63">
        <v>13</v>
      </c>
      <c r="H21" s="64">
        <v>0</v>
      </c>
      <c r="I21" s="64">
        <v>0</v>
      </c>
      <c r="J21" s="64">
        <v>0</v>
      </c>
      <c r="K21" s="61"/>
      <c r="L21" s="64">
        <f t="shared" si="1"/>
        <v>0</v>
      </c>
      <c r="M21" s="64">
        <f t="shared" si="0"/>
        <v>0</v>
      </c>
      <c r="N21" s="64">
        <f t="shared" si="0"/>
        <v>0</v>
      </c>
      <c r="O21" s="72"/>
      <c r="P21" s="64">
        <f ca="1">IF(SUM(L21:INDIRECT(ADDRESS(ROW(L21)+$Q$7,COLUMN(L21),1,1)))&gt;0,1,0)</f>
        <v>0</v>
      </c>
      <c r="Q21" s="64">
        <f ca="1">IF(SUM(M21:INDIRECT(ADDRESS(ROW(M21)+$Q$7,COLUMN(M21),1,1)))&gt;0,1,0)</f>
        <v>0</v>
      </c>
      <c r="R21" s="64">
        <f ca="1">IF(SUM(N21:INDIRECT(ADDRESS(ROW(N21)+$Q$7,COLUMN(N21),1,1)))&gt;0,1,0)</f>
        <v>0</v>
      </c>
    </row>
    <row r="22" spans="1:18">
      <c r="A22" s="40">
        <v>14</v>
      </c>
      <c r="B22" s="41">
        <v>0</v>
      </c>
      <c r="C22" s="41">
        <v>0</v>
      </c>
      <c r="D22" s="41">
        <v>0</v>
      </c>
      <c r="G22" s="63">
        <v>14</v>
      </c>
      <c r="H22" s="64">
        <v>0</v>
      </c>
      <c r="I22" s="64">
        <v>0</v>
      </c>
      <c r="J22" s="64">
        <v>0</v>
      </c>
      <c r="K22" s="61"/>
      <c r="L22" s="64">
        <f t="shared" si="1"/>
        <v>0</v>
      </c>
      <c r="M22" s="64">
        <f t="shared" si="0"/>
        <v>0</v>
      </c>
      <c r="N22" s="64">
        <f t="shared" si="0"/>
        <v>0</v>
      </c>
      <c r="O22" s="72"/>
      <c r="P22" s="64">
        <f ca="1">IF(SUM(L22:INDIRECT(ADDRESS(ROW(L22)+$Q$7,COLUMN(L22),1,1)))&gt;0,1,0)</f>
        <v>0</v>
      </c>
      <c r="Q22" s="64">
        <f ca="1">IF(SUM(M22:INDIRECT(ADDRESS(ROW(M22)+$Q$7,COLUMN(M22),1,1)))&gt;0,1,0)</f>
        <v>0</v>
      </c>
      <c r="R22" s="64">
        <f ca="1">IF(SUM(N22:INDIRECT(ADDRESS(ROW(N22)+$Q$7,COLUMN(N22),1,1)))&gt;0,1,0)</f>
        <v>0</v>
      </c>
    </row>
    <row r="23" spans="1:18">
      <c r="A23" s="40">
        <v>15</v>
      </c>
      <c r="B23" s="41">
        <v>0</v>
      </c>
      <c r="C23" s="41">
        <v>0</v>
      </c>
      <c r="D23" s="41">
        <v>0</v>
      </c>
      <c r="G23" s="63">
        <v>15</v>
      </c>
      <c r="H23" s="64">
        <v>0</v>
      </c>
      <c r="I23" s="64">
        <v>0</v>
      </c>
      <c r="J23" s="64">
        <v>0</v>
      </c>
      <c r="K23" s="61"/>
      <c r="L23" s="64">
        <f t="shared" si="1"/>
        <v>0</v>
      </c>
      <c r="M23" s="64">
        <f t="shared" si="0"/>
        <v>0</v>
      </c>
      <c r="N23" s="64">
        <f t="shared" si="0"/>
        <v>0</v>
      </c>
      <c r="O23" s="72"/>
      <c r="P23" s="64">
        <f ca="1">IF(SUM(L23:INDIRECT(ADDRESS(ROW(L23)+$Q$7,COLUMN(L23),1,1)))&gt;0,1,0)</f>
        <v>0</v>
      </c>
      <c r="Q23" s="64">
        <f ca="1">IF(SUM(M23:INDIRECT(ADDRESS(ROW(M23)+$Q$7,COLUMN(M23),1,1)))&gt;0,1,0)</f>
        <v>1</v>
      </c>
      <c r="R23" s="64">
        <f ca="1">IF(SUM(N23:INDIRECT(ADDRESS(ROW(N23)+$Q$7,COLUMN(N23),1,1)))&gt;0,1,0)</f>
        <v>1</v>
      </c>
    </row>
    <row r="24" spans="1:18">
      <c r="A24" s="40">
        <v>16</v>
      </c>
      <c r="B24" s="41">
        <v>0</v>
      </c>
      <c r="C24" s="41">
        <v>0</v>
      </c>
      <c r="D24" s="41">
        <v>0</v>
      </c>
      <c r="G24" s="63">
        <v>16</v>
      </c>
      <c r="H24" s="64">
        <v>0</v>
      </c>
      <c r="I24" s="64">
        <v>0</v>
      </c>
      <c r="J24" s="64">
        <v>0</v>
      </c>
      <c r="K24" s="61"/>
      <c r="L24" s="64">
        <f t="shared" si="1"/>
        <v>0</v>
      </c>
      <c r="M24" s="64">
        <f t="shared" si="0"/>
        <v>0</v>
      </c>
      <c r="N24" s="64">
        <f t="shared" si="0"/>
        <v>0</v>
      </c>
      <c r="O24" s="72"/>
      <c r="P24" s="64">
        <f ca="1">IF(SUM(L24:INDIRECT(ADDRESS(ROW(L24)+$Q$7,COLUMN(L24),1,1)))&gt;0,1,0)</f>
        <v>0</v>
      </c>
      <c r="Q24" s="64">
        <f ca="1">IF(SUM(M24:INDIRECT(ADDRESS(ROW(M24)+$Q$7,COLUMN(M24),1,1)))&gt;0,1,0)</f>
        <v>1</v>
      </c>
      <c r="R24" s="64">
        <f ca="1">IF(SUM(N24:INDIRECT(ADDRESS(ROW(N24)+$Q$7,COLUMN(N24),1,1)))&gt;0,1,0)</f>
        <v>1</v>
      </c>
    </row>
    <row r="25" spans="1:18">
      <c r="A25" s="40">
        <v>17</v>
      </c>
      <c r="B25" s="41">
        <v>0</v>
      </c>
      <c r="C25" s="41">
        <v>0</v>
      </c>
      <c r="D25" s="41">
        <v>0</v>
      </c>
      <c r="G25" s="63">
        <v>17</v>
      </c>
      <c r="H25" s="64">
        <v>0</v>
      </c>
      <c r="I25" s="64">
        <v>0</v>
      </c>
      <c r="J25" s="64">
        <v>0</v>
      </c>
      <c r="K25" s="61"/>
      <c r="L25" s="64">
        <f t="shared" si="1"/>
        <v>0</v>
      </c>
      <c r="M25" s="64">
        <f t="shared" si="0"/>
        <v>0</v>
      </c>
      <c r="N25" s="64">
        <f t="shared" si="0"/>
        <v>0</v>
      </c>
      <c r="O25" s="72"/>
      <c r="P25" s="64">
        <f ca="1">IF(SUM(L25:INDIRECT(ADDRESS(ROW(L25)+$Q$7,COLUMN(L25),1,1)))&gt;0,1,0)</f>
        <v>0</v>
      </c>
      <c r="Q25" s="64">
        <f ca="1">IF(SUM(M25:INDIRECT(ADDRESS(ROW(M25)+$Q$7,COLUMN(M25),1,1)))&gt;0,1,0)</f>
        <v>1</v>
      </c>
      <c r="R25" s="64">
        <f ca="1">IF(SUM(N25:INDIRECT(ADDRESS(ROW(N25)+$Q$7,COLUMN(N25),1,1)))&gt;0,1,0)</f>
        <v>1</v>
      </c>
    </row>
    <row r="26" spans="1:18">
      <c r="A26" s="40">
        <v>18</v>
      </c>
      <c r="B26" s="41">
        <v>0</v>
      </c>
      <c r="C26" s="41">
        <v>20</v>
      </c>
      <c r="D26" s="41">
        <v>10</v>
      </c>
      <c r="G26" s="63">
        <v>18</v>
      </c>
      <c r="H26" s="64">
        <v>0</v>
      </c>
      <c r="I26" s="64">
        <v>0.7</v>
      </c>
      <c r="J26" s="64">
        <v>0.7</v>
      </c>
      <c r="K26" s="61"/>
      <c r="L26" s="64">
        <f t="shared" si="1"/>
        <v>0</v>
      </c>
      <c r="M26" s="64">
        <f t="shared" si="0"/>
        <v>1</v>
      </c>
      <c r="N26" s="64">
        <f t="shared" si="0"/>
        <v>1</v>
      </c>
      <c r="O26" s="72"/>
      <c r="P26" s="64">
        <f ca="1">IF(SUM(L26:INDIRECT(ADDRESS(ROW(L26)+$Q$7,COLUMN(L26),1,1)))&gt;0,1,0)</f>
        <v>0</v>
      </c>
      <c r="Q26" s="64">
        <f ca="1">IF(SUM(M26:INDIRECT(ADDRESS(ROW(M26)+$Q$7,COLUMN(M26),1,1)))&gt;0,1,0)</f>
        <v>1</v>
      </c>
      <c r="R26" s="64">
        <f ca="1">IF(SUM(N26:INDIRECT(ADDRESS(ROW(N26)+$Q$7,COLUMN(N26),1,1)))&gt;0,1,0)</f>
        <v>1</v>
      </c>
    </row>
    <row r="27" spans="1:18">
      <c r="A27" s="40">
        <v>19</v>
      </c>
      <c r="B27" s="41">
        <v>0</v>
      </c>
      <c r="C27" s="41">
        <v>20</v>
      </c>
      <c r="D27" s="41">
        <v>10</v>
      </c>
      <c r="G27" s="63">
        <v>19</v>
      </c>
      <c r="H27" s="64">
        <v>0</v>
      </c>
      <c r="I27" s="64">
        <v>0.7</v>
      </c>
      <c r="J27" s="64">
        <v>0.7</v>
      </c>
      <c r="K27" s="61"/>
      <c r="L27" s="64">
        <f t="shared" si="1"/>
        <v>0</v>
      </c>
      <c r="M27" s="64">
        <f t="shared" si="0"/>
        <v>1</v>
      </c>
      <c r="N27" s="64">
        <f t="shared" si="0"/>
        <v>1</v>
      </c>
      <c r="O27" s="72"/>
      <c r="P27" s="64">
        <f ca="1">IF(SUM(L27:INDIRECT(ADDRESS(ROW(L27)+$Q$7,COLUMN(L27),1,1)))&gt;0,1,0)</f>
        <v>0</v>
      </c>
      <c r="Q27" s="64">
        <f ca="1">IF(SUM(M27:INDIRECT(ADDRESS(ROW(M27)+$Q$7,COLUMN(M27),1,1)))&gt;0,1,0)</f>
        <v>1</v>
      </c>
      <c r="R27" s="64">
        <f ca="1">IF(SUM(N27:INDIRECT(ADDRESS(ROW(N27)+$Q$7,COLUMN(N27),1,1)))&gt;0,1,0)</f>
        <v>1</v>
      </c>
    </row>
    <row r="28" spans="1:18">
      <c r="A28" s="40">
        <v>20</v>
      </c>
      <c r="B28" s="41">
        <v>0</v>
      </c>
      <c r="C28" s="41">
        <v>0</v>
      </c>
      <c r="D28" s="41">
        <v>0</v>
      </c>
      <c r="G28" s="63">
        <v>20</v>
      </c>
      <c r="H28" s="64">
        <v>0</v>
      </c>
      <c r="I28" s="64">
        <v>0</v>
      </c>
      <c r="J28" s="64">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0">
        <v>21</v>
      </c>
      <c r="B29" s="41">
        <v>0</v>
      </c>
      <c r="C29" s="41">
        <v>0</v>
      </c>
      <c r="D29" s="41">
        <v>0</v>
      </c>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10</v>
      </c>
      <c r="C34" s="41">
        <f t="shared" ref="C34:D34" si="2">SUM(C9:C33)</f>
        <v>50</v>
      </c>
      <c r="D34" s="41">
        <f t="shared" si="2"/>
        <v>90</v>
      </c>
    </row>
  </sheetData>
  <mergeCells count="8">
    <mergeCell ref="A6:E6"/>
    <mergeCell ref="B7:B8"/>
    <mergeCell ref="C7:C8"/>
    <mergeCell ref="D7:D8"/>
    <mergeCell ref="G6:K6"/>
    <mergeCell ref="H7:H8"/>
    <mergeCell ref="I7:I8"/>
    <mergeCell ref="J7:J8"/>
  </mergeCells>
  <conditionalFormatting sqref="B9:D32">
    <cfRule type="dataBar" priority="5">
      <dataBar>
        <cfvo type="min"/>
        <cfvo type="max"/>
        <color rgb="FF63C384"/>
      </dataBar>
      <extLst>
        <ext xmlns:x14="http://schemas.microsoft.com/office/spreadsheetml/2009/9/main" uri="{B025F937-C7B1-47D3-B67F-A62EFF666E3E}">
          <x14:id>{F10D6101-911A-4856-B50F-FC26F6DA1D44}</x14:id>
        </ext>
      </extLst>
    </cfRule>
  </conditionalFormatting>
  <conditionalFormatting sqref="H9:J32">
    <cfRule type="dataBar" priority="4">
      <dataBar>
        <cfvo type="min"/>
        <cfvo type="max"/>
        <color rgb="FF63C384"/>
      </dataBar>
      <extLst>
        <ext xmlns:x14="http://schemas.microsoft.com/office/spreadsheetml/2009/9/main" uri="{B025F937-C7B1-47D3-B67F-A62EFF666E3E}">
          <x14:id>{9B9B7BCC-0A64-42B3-8DF4-2BF3BAD3E476}</x14:id>
        </ext>
      </extLst>
    </cfRule>
  </conditionalFormatting>
  <conditionalFormatting sqref="L9:N32">
    <cfRule type="dataBar" priority="3">
      <dataBar>
        <cfvo type="min"/>
        <cfvo type="max"/>
        <color rgb="FF63C384"/>
      </dataBar>
      <extLst>
        <ext xmlns:x14="http://schemas.microsoft.com/office/spreadsheetml/2009/9/main" uri="{B025F937-C7B1-47D3-B67F-A62EFF666E3E}">
          <x14:id>{F34B67D6-BD46-4CB3-A32A-2231D51C5895}</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{265B7919-4B29-4BC7-BC98-581599C51DC8}</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F10D6101-911A-4856-B50F-FC26F6DA1D44}">
            <x14:dataBar minLength="0" maxLength="100" border="1" negativeBarBorderColorSameAsPositive="0">
              <x14:cfvo type="autoMin"/>
              <x14:cfvo type="autoMax"/>
              <x14:borderColor rgb="FF63C384"/>
              <x14:negativeFillColor rgb="FFFF0000"/>
              <x14:negativeBorderColor rgb="FFFF0000"/>
              <x14:axisColor rgb="FF000000"/>
            </x14:dataBar>
          </x14:cfRule>
          <xm:sqref>B9:D32</xm:sqref>
        </x14:conditionalFormatting>
        <x14:conditionalFormatting xmlns:xm="http://schemas.microsoft.com/office/excel/2006/main">
          <x14:cfRule type="dataBar" id="{9B9B7BCC-0A64-42B3-8DF4-2BF3BAD3E476}">
            <x14:dataBar minLength="0" maxLength="100" border="1" negativeBarBorderColorSameAsPositive="0">
              <x14:cfvo type="autoMin"/>
              <x14:cfvo type="autoMax"/>
              <x14:borderColor rgb="FF63C384"/>
              <x14:negativeFillColor rgb="FFFF0000"/>
              <x14:negativeBorderColor rgb="FFFF0000"/>
              <x14:axisColor rgb="FF000000"/>
            </x14:dataBar>
          </x14:cfRule>
          <xm:sqref>H9:J32</xm:sqref>
        </x14:conditionalFormatting>
        <x14:conditionalFormatting xmlns:xm="http://schemas.microsoft.com/office/excel/2006/main">
          <x14:cfRule type="dataBar" id="{F34B67D6-BD46-4CB3-A32A-2231D51C5895}">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265B7919-4B29-4BC7-BC98-581599C51DC8}">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6A9F0-979A-4988-A8AE-96B924BCB098}">
  <sheetPr codeName="Foglio41"/>
  <dimension ref="A1:R34"/>
  <sheetViews>
    <sheetView workbookViewId="0"/>
  </sheetViews>
  <sheetFormatPr defaultColWidth="8.85546875" defaultRowHeight="15"/>
  <cols>
    <col min="1" max="1" width="5.7109375" style="38" customWidth="1"/>
    <col min="2" max="16384" width="8.85546875" style="38"/>
  </cols>
  <sheetData>
    <row r="1" spans="1:18">
      <c r="A1" s="36" t="s">
        <v>71</v>
      </c>
      <c r="B1" s="37"/>
      <c r="C1" s="37"/>
      <c r="D1" s="38" t="s">
        <v>134</v>
      </c>
    </row>
    <row r="2" spans="1:18">
      <c r="A2" s="36" t="s">
        <v>73</v>
      </c>
      <c r="B2" s="37"/>
      <c r="C2" s="37"/>
      <c r="D2" s="38" t="s">
        <v>135</v>
      </c>
    </row>
    <row r="3" spans="1:18">
      <c r="A3" s="36" t="s">
        <v>75</v>
      </c>
      <c r="B3" s="37"/>
      <c r="C3" s="37"/>
      <c r="D3" s="38" t="s">
        <v>136</v>
      </c>
    </row>
    <row r="4" spans="1:18">
      <c r="A4" s="37"/>
      <c r="B4" s="37"/>
      <c r="C4" s="37"/>
    </row>
    <row r="6" spans="1:18">
      <c r="A6" s="807" t="s">
        <v>191</v>
      </c>
      <c r="B6" s="807"/>
      <c r="C6" s="807"/>
      <c r="D6" s="807"/>
      <c r="E6" s="807"/>
      <c r="G6" s="810" t="s">
        <v>77</v>
      </c>
      <c r="H6" s="810"/>
      <c r="I6" s="810"/>
      <c r="J6" s="810"/>
      <c r="K6" s="810"/>
      <c r="L6" s="65"/>
      <c r="M6" s="66" t="s">
        <v>193</v>
      </c>
      <c r="N6" s="67"/>
      <c r="O6" s="66"/>
      <c r="P6" s="65"/>
      <c r="Q6" s="66" t="s">
        <v>192</v>
      </c>
      <c r="R6" s="67"/>
    </row>
    <row r="7" spans="1:18" ht="32.450000000000003" customHeight="1">
      <c r="B7" s="808" t="s">
        <v>78</v>
      </c>
      <c r="C7" s="808" t="s">
        <v>79</v>
      </c>
      <c r="D7" s="809" t="s">
        <v>80</v>
      </c>
      <c r="G7" s="61"/>
      <c r="H7" s="811" t="s">
        <v>78</v>
      </c>
      <c r="I7" s="811" t="s">
        <v>79</v>
      </c>
      <c r="J7" s="812" t="s">
        <v>80</v>
      </c>
      <c r="K7" s="61"/>
      <c r="P7" s="73" t="s">
        <v>195</v>
      </c>
      <c r="Q7" s="74">
        <v>3</v>
      </c>
    </row>
    <row r="8" spans="1:18">
      <c r="A8" s="40" t="s">
        <v>81</v>
      </c>
      <c r="B8" s="808"/>
      <c r="C8" s="808"/>
      <c r="D8" s="809"/>
      <c r="G8" s="63" t="s">
        <v>81</v>
      </c>
      <c r="H8" s="811"/>
      <c r="I8" s="811"/>
      <c r="J8" s="812"/>
      <c r="K8" s="61"/>
    </row>
    <row r="9" spans="1:18">
      <c r="A9" s="40">
        <v>1</v>
      </c>
      <c r="B9" s="41">
        <v>0</v>
      </c>
      <c r="C9" s="41">
        <v>0</v>
      </c>
      <c r="D9" s="41">
        <v>0</v>
      </c>
      <c r="G9" s="63">
        <v>1</v>
      </c>
      <c r="H9" s="64">
        <v>0</v>
      </c>
      <c r="I9" s="64">
        <v>0</v>
      </c>
      <c r="J9" s="64">
        <v>0</v>
      </c>
      <c r="K9" s="61"/>
      <c r="L9" s="64">
        <f>IF(H9&gt;0,1,0)</f>
        <v>0</v>
      </c>
      <c r="M9" s="64">
        <f t="shared" ref="M9:N32" si="0">IF(I9&gt;0,1,0)</f>
        <v>0</v>
      </c>
      <c r="N9" s="64">
        <f t="shared" si="0"/>
        <v>0</v>
      </c>
      <c r="O9" s="72"/>
      <c r="P9" s="64">
        <f ca="1">IF(SUM(L9:INDIRECT(ADDRESS(ROW(L9)+$Q$7,COLUMN(L9),1,1)))&gt;0,1,0)</f>
        <v>0</v>
      </c>
      <c r="Q9" s="64">
        <f ca="1">IF(SUM(M9:INDIRECT(ADDRESS(ROW(M9)+$Q$7,COLUMN(M9),1,1)))&gt;0,1,0)</f>
        <v>0</v>
      </c>
      <c r="R9" s="64">
        <f ca="1">IF(SUM(N9:INDIRECT(ADDRESS(ROW(N9)+$Q$7,COLUMN(N9),1,1)))&gt;0,1,0)</f>
        <v>0</v>
      </c>
    </row>
    <row r="10" spans="1:18">
      <c r="A10" s="40">
        <v>2</v>
      </c>
      <c r="B10" s="41">
        <v>0</v>
      </c>
      <c r="C10" s="41">
        <v>0</v>
      </c>
      <c r="D10" s="41">
        <v>0</v>
      </c>
      <c r="G10" s="63">
        <v>2</v>
      </c>
      <c r="H10" s="64">
        <v>0</v>
      </c>
      <c r="I10" s="64">
        <v>0</v>
      </c>
      <c r="J10" s="64">
        <v>0</v>
      </c>
      <c r="K10" s="61"/>
      <c r="L10" s="64">
        <f t="shared" ref="L10:L32" si="1">IF(H10&gt;0,1,0)</f>
        <v>0</v>
      </c>
      <c r="M10" s="64">
        <f t="shared" si="0"/>
        <v>0</v>
      </c>
      <c r="N10" s="64">
        <f t="shared" si="0"/>
        <v>0</v>
      </c>
      <c r="O10" s="72"/>
      <c r="P10" s="64">
        <f ca="1">IF(SUM(L10:INDIRECT(ADDRESS(ROW(L10)+$Q$7,COLUMN(L10),1,1)))&gt;0,1,0)</f>
        <v>0</v>
      </c>
      <c r="Q10" s="64">
        <f ca="1">IF(SUM(M10:INDIRECT(ADDRESS(ROW(M10)+$Q$7,COLUMN(M10),1,1)))&gt;0,1,0)</f>
        <v>0</v>
      </c>
      <c r="R10" s="64">
        <f ca="1">IF(SUM(N10:INDIRECT(ADDRESS(ROW(N10)+$Q$7,COLUMN(N10),1,1)))&gt;0,1,0)</f>
        <v>0</v>
      </c>
    </row>
    <row r="11" spans="1:18">
      <c r="A11" s="40">
        <v>3</v>
      </c>
      <c r="B11" s="41">
        <v>0</v>
      </c>
      <c r="C11" s="41">
        <v>0</v>
      </c>
      <c r="D11" s="41">
        <v>0</v>
      </c>
      <c r="G11" s="63">
        <v>3</v>
      </c>
      <c r="H11" s="64">
        <v>0</v>
      </c>
      <c r="I11" s="64">
        <v>0</v>
      </c>
      <c r="J11" s="64">
        <v>0</v>
      </c>
      <c r="K11" s="61"/>
      <c r="L11" s="64">
        <f t="shared" si="1"/>
        <v>0</v>
      </c>
      <c r="M11" s="64">
        <f t="shared" si="0"/>
        <v>0</v>
      </c>
      <c r="N11" s="64">
        <f t="shared" si="0"/>
        <v>0</v>
      </c>
      <c r="O11" s="72"/>
      <c r="P11" s="64">
        <f ca="1">IF(SUM(L11:INDIRECT(ADDRESS(ROW(L11)+$Q$7,COLUMN(L11),1,1)))&gt;0,1,0)</f>
        <v>0</v>
      </c>
      <c r="Q11" s="64">
        <f ca="1">IF(SUM(M11:INDIRECT(ADDRESS(ROW(M11)+$Q$7,COLUMN(M11),1,1)))&gt;0,1,0)</f>
        <v>0</v>
      </c>
      <c r="R11" s="64">
        <f ca="1">IF(SUM(N11:INDIRECT(ADDRESS(ROW(N11)+$Q$7,COLUMN(N11),1,1)))&gt;0,1,0)</f>
        <v>0</v>
      </c>
    </row>
    <row r="12" spans="1:18">
      <c r="A12" s="40">
        <v>4</v>
      </c>
      <c r="B12" s="41">
        <v>0</v>
      </c>
      <c r="C12" s="41">
        <v>0</v>
      </c>
      <c r="D12" s="41">
        <v>0</v>
      </c>
      <c r="G12" s="63">
        <v>4</v>
      </c>
      <c r="H12" s="64">
        <v>0</v>
      </c>
      <c r="I12" s="64">
        <v>0</v>
      </c>
      <c r="J12" s="64">
        <v>0</v>
      </c>
      <c r="K12" s="61"/>
      <c r="L12" s="64">
        <f t="shared" si="1"/>
        <v>0</v>
      </c>
      <c r="M12" s="64">
        <f t="shared" si="0"/>
        <v>0</v>
      </c>
      <c r="N12" s="64">
        <f t="shared" si="0"/>
        <v>0</v>
      </c>
      <c r="O12" s="72"/>
      <c r="P12" s="64">
        <f ca="1">IF(SUM(L12:INDIRECT(ADDRESS(ROW(L12)+$Q$7,COLUMN(L12),1,1)))&gt;0,1,0)</f>
        <v>0</v>
      </c>
      <c r="Q12" s="64">
        <f ca="1">IF(SUM(M12:INDIRECT(ADDRESS(ROW(M12)+$Q$7,COLUMN(M12),1,1)))&gt;0,1,0)</f>
        <v>0</v>
      </c>
      <c r="R12" s="64">
        <f ca="1">IF(SUM(N12:INDIRECT(ADDRESS(ROW(N12)+$Q$7,COLUMN(N12),1,1)))&gt;0,1,0)</f>
        <v>0</v>
      </c>
    </row>
    <row r="13" spans="1:18">
      <c r="A13" s="40">
        <v>5</v>
      </c>
      <c r="B13" s="41">
        <v>0</v>
      </c>
      <c r="C13" s="41">
        <v>0</v>
      </c>
      <c r="D13" s="41">
        <v>0</v>
      </c>
      <c r="G13" s="63">
        <v>5</v>
      </c>
      <c r="H13" s="64">
        <v>0</v>
      </c>
      <c r="I13" s="64">
        <v>0</v>
      </c>
      <c r="J13" s="64">
        <v>0</v>
      </c>
      <c r="K13" s="61"/>
      <c r="L13" s="64">
        <f t="shared" si="1"/>
        <v>0</v>
      </c>
      <c r="M13" s="64">
        <f t="shared" si="0"/>
        <v>0</v>
      </c>
      <c r="N13" s="64">
        <f t="shared" si="0"/>
        <v>0</v>
      </c>
      <c r="O13" s="72"/>
      <c r="P13" s="64">
        <f ca="1">IF(SUM(L13:INDIRECT(ADDRESS(ROW(L13)+$Q$7,COLUMN(L13),1,1)))&gt;0,1,0)</f>
        <v>0</v>
      </c>
      <c r="Q13" s="64">
        <f ca="1">IF(SUM(M13:INDIRECT(ADDRESS(ROW(M13)+$Q$7,COLUMN(M13),1,1)))&gt;0,1,0)</f>
        <v>0</v>
      </c>
      <c r="R13" s="64">
        <f ca="1">IF(SUM(N13:INDIRECT(ADDRESS(ROW(N13)+$Q$7,COLUMN(N13),1,1)))&gt;0,1,0)</f>
        <v>0</v>
      </c>
    </row>
    <row r="14" spans="1:18">
      <c r="A14" s="40">
        <v>6</v>
      </c>
      <c r="B14" s="41">
        <v>0</v>
      </c>
      <c r="C14" s="41">
        <v>0</v>
      </c>
      <c r="D14" s="41">
        <v>0</v>
      </c>
      <c r="G14" s="63">
        <v>6</v>
      </c>
      <c r="H14" s="64">
        <v>0</v>
      </c>
      <c r="I14" s="64">
        <v>0</v>
      </c>
      <c r="J14" s="64">
        <v>0</v>
      </c>
      <c r="K14" s="61"/>
      <c r="L14" s="64">
        <f t="shared" si="1"/>
        <v>0</v>
      </c>
      <c r="M14" s="64">
        <f t="shared" si="0"/>
        <v>0</v>
      </c>
      <c r="N14" s="64">
        <f t="shared" si="0"/>
        <v>0</v>
      </c>
      <c r="O14" s="72"/>
      <c r="P14" s="64">
        <f ca="1">IF(SUM(L14:INDIRECT(ADDRESS(ROW(L14)+$Q$7,COLUMN(L14),1,1)))&gt;0,1,0)</f>
        <v>1</v>
      </c>
      <c r="Q14" s="64">
        <f ca="1">IF(SUM(M14:INDIRECT(ADDRESS(ROW(M14)+$Q$7,COLUMN(M14),1,1)))&gt;0,1,0)</f>
        <v>0</v>
      </c>
      <c r="R14" s="64">
        <f ca="1">IF(SUM(N14:INDIRECT(ADDRESS(ROW(N14)+$Q$7,COLUMN(N14),1,1)))&gt;0,1,0)</f>
        <v>0</v>
      </c>
    </row>
    <row r="15" spans="1:18">
      <c r="A15" s="40">
        <v>7</v>
      </c>
      <c r="B15" s="41">
        <v>0</v>
      </c>
      <c r="C15" s="41">
        <v>0</v>
      </c>
      <c r="D15" s="41">
        <v>0</v>
      </c>
      <c r="G15" s="63">
        <v>7</v>
      </c>
      <c r="H15" s="64">
        <v>0</v>
      </c>
      <c r="I15" s="64">
        <v>0</v>
      </c>
      <c r="J15" s="64">
        <v>0</v>
      </c>
      <c r="K15" s="61"/>
      <c r="L15" s="64">
        <f t="shared" si="1"/>
        <v>0</v>
      </c>
      <c r="M15" s="64">
        <f t="shared" si="0"/>
        <v>0</v>
      </c>
      <c r="N15" s="64">
        <f t="shared" si="0"/>
        <v>0</v>
      </c>
      <c r="O15" s="72"/>
      <c r="P15" s="64">
        <f ca="1">IF(SUM(L15:INDIRECT(ADDRESS(ROW(L15)+$Q$7,COLUMN(L15),1,1)))&gt;0,1,0)</f>
        <v>1</v>
      </c>
      <c r="Q15" s="64">
        <f ca="1">IF(SUM(M15:INDIRECT(ADDRESS(ROW(M15)+$Q$7,COLUMN(M15),1,1)))&gt;0,1,0)</f>
        <v>0</v>
      </c>
      <c r="R15" s="64">
        <f ca="1">IF(SUM(N15:INDIRECT(ADDRESS(ROW(N15)+$Q$7,COLUMN(N15),1,1)))&gt;0,1,0)</f>
        <v>0</v>
      </c>
    </row>
    <row r="16" spans="1:18">
      <c r="A16" s="40">
        <v>8</v>
      </c>
      <c r="B16" s="41">
        <v>0</v>
      </c>
      <c r="C16" s="41">
        <v>0</v>
      </c>
      <c r="D16" s="41">
        <v>0</v>
      </c>
      <c r="G16" s="63">
        <v>8</v>
      </c>
      <c r="H16" s="64">
        <v>0</v>
      </c>
      <c r="I16" s="64">
        <v>0</v>
      </c>
      <c r="J16" s="64">
        <v>0</v>
      </c>
      <c r="K16" s="61"/>
      <c r="L16" s="64">
        <f t="shared" si="1"/>
        <v>0</v>
      </c>
      <c r="M16" s="64">
        <f t="shared" si="0"/>
        <v>0</v>
      </c>
      <c r="N16" s="64">
        <f t="shared" si="0"/>
        <v>0</v>
      </c>
      <c r="O16" s="72"/>
      <c r="P16" s="64">
        <f ca="1">IF(SUM(L16:INDIRECT(ADDRESS(ROW(L16)+$Q$7,COLUMN(L16),1,1)))&gt;0,1,0)</f>
        <v>1</v>
      </c>
      <c r="Q16" s="64">
        <f ca="1">IF(SUM(M16:INDIRECT(ADDRESS(ROW(M16)+$Q$7,COLUMN(M16),1,1)))&gt;0,1,0)</f>
        <v>0</v>
      </c>
      <c r="R16" s="64">
        <f ca="1">IF(SUM(N16:INDIRECT(ADDRESS(ROW(N16)+$Q$7,COLUMN(N16),1,1)))&gt;0,1,0)</f>
        <v>0</v>
      </c>
    </row>
    <row r="17" spans="1:18">
      <c r="A17" s="40">
        <v>9</v>
      </c>
      <c r="B17" s="41">
        <v>2</v>
      </c>
      <c r="C17" s="41">
        <v>0</v>
      </c>
      <c r="D17" s="41">
        <v>0</v>
      </c>
      <c r="G17" s="63">
        <v>9</v>
      </c>
      <c r="H17" s="64">
        <v>0.5</v>
      </c>
      <c r="I17" s="64">
        <v>0</v>
      </c>
      <c r="J17" s="64">
        <v>0</v>
      </c>
      <c r="K17" s="61"/>
      <c r="L17" s="64">
        <f t="shared" si="1"/>
        <v>1</v>
      </c>
      <c r="M17" s="64">
        <f t="shared" si="0"/>
        <v>0</v>
      </c>
      <c r="N17" s="64">
        <f t="shared" si="0"/>
        <v>0</v>
      </c>
      <c r="O17" s="72"/>
      <c r="P17" s="64">
        <f ca="1">IF(SUM(L17:INDIRECT(ADDRESS(ROW(L17)+$Q$7,COLUMN(L17),1,1)))&gt;0,1,0)</f>
        <v>1</v>
      </c>
      <c r="Q17" s="64">
        <f ca="1">IF(SUM(M17:INDIRECT(ADDRESS(ROW(M17)+$Q$7,COLUMN(M17),1,1)))&gt;0,1,0)</f>
        <v>0</v>
      </c>
      <c r="R17" s="64">
        <f ca="1">IF(SUM(N17:INDIRECT(ADDRESS(ROW(N17)+$Q$7,COLUMN(N17),1,1)))&gt;0,1,0)</f>
        <v>0</v>
      </c>
    </row>
    <row r="18" spans="1:18">
      <c r="A18" s="40">
        <v>10</v>
      </c>
      <c r="B18" s="41">
        <v>2</v>
      </c>
      <c r="C18" s="41">
        <v>0</v>
      </c>
      <c r="D18" s="41">
        <v>0</v>
      </c>
      <c r="G18" s="63">
        <v>10</v>
      </c>
      <c r="H18" s="64">
        <v>1</v>
      </c>
      <c r="I18" s="64">
        <v>0</v>
      </c>
      <c r="J18" s="64">
        <v>0</v>
      </c>
      <c r="K18" s="61"/>
      <c r="L18" s="64">
        <f t="shared" si="1"/>
        <v>1</v>
      </c>
      <c r="M18" s="64">
        <f t="shared" si="0"/>
        <v>0</v>
      </c>
      <c r="N18" s="64">
        <f t="shared" si="0"/>
        <v>0</v>
      </c>
      <c r="O18" s="72"/>
      <c r="P18" s="64">
        <f ca="1">IF(SUM(L18:INDIRECT(ADDRESS(ROW(L18)+$Q$7,COLUMN(L18),1,1)))&gt;0,1,0)</f>
        <v>1</v>
      </c>
      <c r="Q18" s="64">
        <f ca="1">IF(SUM(M18:INDIRECT(ADDRESS(ROW(M18)+$Q$7,COLUMN(M18),1,1)))&gt;0,1,0)</f>
        <v>0</v>
      </c>
      <c r="R18" s="64">
        <f ca="1">IF(SUM(N18:INDIRECT(ADDRESS(ROW(N18)+$Q$7,COLUMN(N18),1,1)))&gt;0,1,0)</f>
        <v>0</v>
      </c>
    </row>
    <row r="19" spans="1:18">
      <c r="A19" s="40">
        <v>11</v>
      </c>
      <c r="B19" s="41">
        <v>2</v>
      </c>
      <c r="C19" s="41">
        <v>0</v>
      </c>
      <c r="D19" s="41">
        <v>0</v>
      </c>
      <c r="G19" s="63">
        <v>11</v>
      </c>
      <c r="H19" s="64">
        <v>1</v>
      </c>
      <c r="I19" s="64">
        <v>0</v>
      </c>
      <c r="J19" s="64">
        <v>0</v>
      </c>
      <c r="K19" s="61"/>
      <c r="L19" s="64">
        <f t="shared" si="1"/>
        <v>1</v>
      </c>
      <c r="M19" s="64">
        <f t="shared" si="0"/>
        <v>0</v>
      </c>
      <c r="N19" s="64">
        <f t="shared" si="0"/>
        <v>0</v>
      </c>
      <c r="O19" s="72"/>
      <c r="P19" s="64">
        <f ca="1">IF(SUM(L19:INDIRECT(ADDRESS(ROW(L19)+$Q$7,COLUMN(L19),1,1)))&gt;0,1,0)</f>
        <v>1</v>
      </c>
      <c r="Q19" s="64">
        <f ca="1">IF(SUM(M19:INDIRECT(ADDRESS(ROW(M19)+$Q$7,COLUMN(M19),1,1)))&gt;0,1,0)</f>
        <v>0</v>
      </c>
      <c r="R19" s="64">
        <f ca="1">IF(SUM(N19:INDIRECT(ADDRESS(ROW(N19)+$Q$7,COLUMN(N19),1,1)))&gt;0,1,0)</f>
        <v>0</v>
      </c>
    </row>
    <row r="20" spans="1:18">
      <c r="A20" s="40">
        <v>12</v>
      </c>
      <c r="B20" s="41">
        <v>5</v>
      </c>
      <c r="C20" s="41">
        <v>0</v>
      </c>
      <c r="D20" s="41">
        <v>0</v>
      </c>
      <c r="G20" s="63">
        <v>12</v>
      </c>
      <c r="H20" s="64">
        <v>1</v>
      </c>
      <c r="I20" s="64">
        <v>0</v>
      </c>
      <c r="J20" s="64">
        <v>0</v>
      </c>
      <c r="K20" s="61"/>
      <c r="L20" s="64">
        <f t="shared" si="1"/>
        <v>1</v>
      </c>
      <c r="M20" s="64">
        <f t="shared" si="0"/>
        <v>0</v>
      </c>
      <c r="N20" s="64">
        <f t="shared" si="0"/>
        <v>0</v>
      </c>
      <c r="O20" s="72"/>
      <c r="P20" s="64">
        <f ca="1">IF(SUM(L20:INDIRECT(ADDRESS(ROW(L20)+$Q$7,COLUMN(L20),1,1)))&gt;0,1,0)</f>
        <v>1</v>
      </c>
      <c r="Q20" s="64">
        <f ca="1">IF(SUM(M20:INDIRECT(ADDRESS(ROW(M20)+$Q$7,COLUMN(M20),1,1)))&gt;0,1,0)</f>
        <v>0</v>
      </c>
      <c r="R20" s="64">
        <f ca="1">IF(SUM(N20:INDIRECT(ADDRESS(ROW(N20)+$Q$7,COLUMN(N20),1,1)))&gt;0,1,0)</f>
        <v>0</v>
      </c>
    </row>
    <row r="21" spans="1:18">
      <c r="A21" s="40">
        <v>13</v>
      </c>
      <c r="B21" s="41">
        <v>10</v>
      </c>
      <c r="C21" s="41">
        <v>0</v>
      </c>
      <c r="D21" s="41">
        <v>0</v>
      </c>
      <c r="G21" s="63">
        <v>13</v>
      </c>
      <c r="H21" s="64">
        <v>0.5</v>
      </c>
      <c r="I21" s="64">
        <v>0</v>
      </c>
      <c r="J21" s="64">
        <v>0</v>
      </c>
      <c r="K21" s="61"/>
      <c r="L21" s="64">
        <f t="shared" si="1"/>
        <v>1</v>
      </c>
      <c r="M21" s="64">
        <f t="shared" si="0"/>
        <v>0</v>
      </c>
      <c r="N21" s="64">
        <f t="shared" si="0"/>
        <v>0</v>
      </c>
      <c r="O21" s="72"/>
      <c r="P21" s="64">
        <f ca="1">IF(SUM(L21:INDIRECT(ADDRESS(ROW(L21)+$Q$7,COLUMN(L21),1,1)))&gt;0,1,0)</f>
        <v>1</v>
      </c>
      <c r="Q21" s="64">
        <f ca="1">IF(SUM(M21:INDIRECT(ADDRESS(ROW(M21)+$Q$7,COLUMN(M21),1,1)))&gt;0,1,0)</f>
        <v>0</v>
      </c>
      <c r="R21" s="64">
        <f ca="1">IF(SUM(N21:INDIRECT(ADDRESS(ROW(N21)+$Q$7,COLUMN(N21),1,1)))&gt;0,1,0)</f>
        <v>0</v>
      </c>
    </row>
    <row r="22" spans="1:18">
      <c r="A22" s="40">
        <v>14</v>
      </c>
      <c r="B22" s="41">
        <v>5</v>
      </c>
      <c r="C22" s="41">
        <v>0</v>
      </c>
      <c r="D22" s="41">
        <v>0</v>
      </c>
      <c r="G22" s="63">
        <v>14</v>
      </c>
      <c r="H22" s="64">
        <v>1</v>
      </c>
      <c r="I22" s="64">
        <v>0</v>
      </c>
      <c r="J22" s="64">
        <v>0</v>
      </c>
      <c r="K22" s="61"/>
      <c r="L22" s="64">
        <f t="shared" si="1"/>
        <v>1</v>
      </c>
      <c r="M22" s="64">
        <f t="shared" si="0"/>
        <v>0</v>
      </c>
      <c r="N22" s="64">
        <f t="shared" si="0"/>
        <v>0</v>
      </c>
      <c r="O22" s="72"/>
      <c r="P22" s="64">
        <f ca="1">IF(SUM(L22:INDIRECT(ADDRESS(ROW(L22)+$Q$7,COLUMN(L22),1,1)))&gt;0,1,0)</f>
        <v>1</v>
      </c>
      <c r="Q22" s="64">
        <f ca="1">IF(SUM(M22:INDIRECT(ADDRESS(ROW(M22)+$Q$7,COLUMN(M22),1,1)))&gt;0,1,0)</f>
        <v>0</v>
      </c>
      <c r="R22" s="64">
        <f ca="1">IF(SUM(N22:INDIRECT(ADDRESS(ROW(N22)+$Q$7,COLUMN(N22),1,1)))&gt;0,1,0)</f>
        <v>0</v>
      </c>
    </row>
    <row r="23" spans="1:18">
      <c r="A23" s="40">
        <v>15</v>
      </c>
      <c r="B23" s="41">
        <v>2</v>
      </c>
      <c r="C23" s="41">
        <v>0</v>
      </c>
      <c r="D23" s="41">
        <v>0</v>
      </c>
      <c r="G23" s="63">
        <v>15</v>
      </c>
      <c r="H23" s="64">
        <v>1</v>
      </c>
      <c r="I23" s="64">
        <v>0</v>
      </c>
      <c r="J23" s="64">
        <v>0</v>
      </c>
      <c r="K23" s="61"/>
      <c r="L23" s="64">
        <f t="shared" si="1"/>
        <v>1</v>
      </c>
      <c r="M23" s="64">
        <f t="shared" si="0"/>
        <v>0</v>
      </c>
      <c r="N23" s="64">
        <f t="shared" si="0"/>
        <v>0</v>
      </c>
      <c r="O23" s="72"/>
      <c r="P23" s="64">
        <f ca="1">IF(SUM(L23:INDIRECT(ADDRESS(ROW(L23)+$Q$7,COLUMN(L23),1,1)))&gt;0,1,0)</f>
        <v>1</v>
      </c>
      <c r="Q23" s="64">
        <f ca="1">IF(SUM(M23:INDIRECT(ADDRESS(ROW(M23)+$Q$7,COLUMN(M23),1,1)))&gt;0,1,0)</f>
        <v>0</v>
      </c>
      <c r="R23" s="64">
        <f ca="1">IF(SUM(N23:INDIRECT(ADDRESS(ROW(N23)+$Q$7,COLUMN(N23),1,1)))&gt;0,1,0)</f>
        <v>0</v>
      </c>
    </row>
    <row r="24" spans="1:18">
      <c r="A24" s="40">
        <v>16</v>
      </c>
      <c r="B24" s="41">
        <v>2</v>
      </c>
      <c r="C24" s="41">
        <v>0</v>
      </c>
      <c r="D24" s="41">
        <v>0</v>
      </c>
      <c r="G24" s="63">
        <v>16</v>
      </c>
      <c r="H24" s="64">
        <v>1</v>
      </c>
      <c r="I24" s="64">
        <v>0</v>
      </c>
      <c r="J24" s="64">
        <v>0</v>
      </c>
      <c r="K24" s="61"/>
      <c r="L24" s="64">
        <f t="shared" si="1"/>
        <v>1</v>
      </c>
      <c r="M24" s="64">
        <f t="shared" si="0"/>
        <v>0</v>
      </c>
      <c r="N24" s="64">
        <f t="shared" si="0"/>
        <v>0</v>
      </c>
      <c r="O24" s="72"/>
      <c r="P24" s="64">
        <f ca="1">IF(SUM(L24:INDIRECT(ADDRESS(ROW(L24)+$Q$7,COLUMN(L24),1,1)))&gt;0,1,0)</f>
        <v>1</v>
      </c>
      <c r="Q24" s="64">
        <f ca="1">IF(SUM(M24:INDIRECT(ADDRESS(ROW(M24)+$Q$7,COLUMN(M24),1,1)))&gt;0,1,0)</f>
        <v>0</v>
      </c>
      <c r="R24" s="64">
        <f ca="1">IF(SUM(N24:INDIRECT(ADDRESS(ROW(N24)+$Q$7,COLUMN(N24),1,1)))&gt;0,1,0)</f>
        <v>0</v>
      </c>
    </row>
    <row r="25" spans="1:18">
      <c r="A25" s="40">
        <v>17</v>
      </c>
      <c r="B25" s="41">
        <v>30</v>
      </c>
      <c r="C25" s="41">
        <v>0</v>
      </c>
      <c r="D25" s="41">
        <v>0</v>
      </c>
      <c r="G25" s="63">
        <v>17</v>
      </c>
      <c r="H25" s="64">
        <v>1</v>
      </c>
      <c r="I25" s="64">
        <v>0</v>
      </c>
      <c r="J25" s="64">
        <v>0</v>
      </c>
      <c r="K25" s="61"/>
      <c r="L25" s="64">
        <f t="shared" si="1"/>
        <v>1</v>
      </c>
      <c r="M25" s="64">
        <f t="shared" si="0"/>
        <v>0</v>
      </c>
      <c r="N25" s="64">
        <f t="shared" si="0"/>
        <v>0</v>
      </c>
      <c r="O25" s="72"/>
      <c r="P25" s="64">
        <f ca="1">IF(SUM(L25:INDIRECT(ADDRESS(ROW(L25)+$Q$7,COLUMN(L25),1,1)))&gt;0,1,0)</f>
        <v>1</v>
      </c>
      <c r="Q25" s="64">
        <f ca="1">IF(SUM(M25:INDIRECT(ADDRESS(ROW(M25)+$Q$7,COLUMN(M25),1,1)))&gt;0,1,0)</f>
        <v>0</v>
      </c>
      <c r="R25" s="64">
        <f ca="1">IF(SUM(N25:INDIRECT(ADDRESS(ROW(N25)+$Q$7,COLUMN(N25),1,1)))&gt;0,1,0)</f>
        <v>0</v>
      </c>
    </row>
    <row r="26" spans="1:18">
      <c r="A26" s="40">
        <v>18</v>
      </c>
      <c r="B26" s="41">
        <v>40</v>
      </c>
      <c r="C26" s="41">
        <v>0</v>
      </c>
      <c r="D26" s="41">
        <v>0</v>
      </c>
      <c r="G26" s="63">
        <v>18</v>
      </c>
      <c r="H26" s="64">
        <v>0.5</v>
      </c>
      <c r="I26" s="64">
        <v>0</v>
      </c>
      <c r="J26" s="64">
        <v>0</v>
      </c>
      <c r="K26" s="61"/>
      <c r="L26" s="64">
        <f t="shared" si="1"/>
        <v>1</v>
      </c>
      <c r="M26" s="64">
        <f t="shared" si="0"/>
        <v>0</v>
      </c>
      <c r="N26" s="64">
        <f t="shared" si="0"/>
        <v>0</v>
      </c>
      <c r="O26" s="72"/>
      <c r="P26" s="64">
        <f ca="1">IF(SUM(L26:INDIRECT(ADDRESS(ROW(L26)+$Q$7,COLUMN(L26),1,1)))&gt;0,1,0)</f>
        <v>1</v>
      </c>
      <c r="Q26" s="64">
        <f ca="1">IF(SUM(M26:INDIRECT(ADDRESS(ROW(M26)+$Q$7,COLUMN(M26),1,1)))&gt;0,1,0)</f>
        <v>0</v>
      </c>
      <c r="R26" s="64">
        <f ca="1">IF(SUM(N26:INDIRECT(ADDRESS(ROW(N26)+$Q$7,COLUMN(N26),1,1)))&gt;0,1,0)</f>
        <v>0</v>
      </c>
    </row>
    <row r="27" spans="1:18">
      <c r="A27" s="40">
        <v>19</v>
      </c>
      <c r="B27" s="41">
        <v>0</v>
      </c>
      <c r="C27" s="41">
        <v>0</v>
      </c>
      <c r="D27" s="41">
        <v>0</v>
      </c>
      <c r="G27" s="63">
        <v>19</v>
      </c>
      <c r="H27" s="64">
        <v>0</v>
      </c>
      <c r="I27" s="64">
        <v>0</v>
      </c>
      <c r="J27" s="64">
        <v>0</v>
      </c>
      <c r="K27" s="61"/>
      <c r="L27" s="64">
        <f t="shared" si="1"/>
        <v>0</v>
      </c>
      <c r="M27" s="64">
        <f t="shared" si="0"/>
        <v>0</v>
      </c>
      <c r="N27" s="64">
        <f t="shared" si="0"/>
        <v>0</v>
      </c>
      <c r="O27" s="72"/>
      <c r="P27" s="64">
        <f ca="1">IF(SUM(L27:INDIRECT(ADDRESS(ROW(L27)+$Q$7,COLUMN(L27),1,1)))&gt;0,1,0)</f>
        <v>0</v>
      </c>
      <c r="Q27" s="64">
        <f ca="1">IF(SUM(M27:INDIRECT(ADDRESS(ROW(M27)+$Q$7,COLUMN(M27),1,1)))&gt;0,1,0)</f>
        <v>0</v>
      </c>
      <c r="R27" s="64">
        <f ca="1">IF(SUM(N27:INDIRECT(ADDRESS(ROW(N27)+$Q$7,COLUMN(N27),1,1)))&gt;0,1,0)</f>
        <v>0</v>
      </c>
    </row>
    <row r="28" spans="1:18">
      <c r="A28" s="40">
        <v>20</v>
      </c>
      <c r="B28" s="41">
        <v>0</v>
      </c>
      <c r="C28" s="41">
        <v>0</v>
      </c>
      <c r="D28" s="41">
        <v>0</v>
      </c>
      <c r="G28" s="63">
        <v>20</v>
      </c>
      <c r="H28" s="64">
        <v>0</v>
      </c>
      <c r="I28" s="64">
        <v>0</v>
      </c>
      <c r="J28" s="64">
        <v>0</v>
      </c>
      <c r="K28" s="61"/>
      <c r="L28" s="64">
        <f t="shared" si="1"/>
        <v>0</v>
      </c>
      <c r="M28" s="64">
        <f t="shared" si="0"/>
        <v>0</v>
      </c>
      <c r="N28" s="64">
        <f t="shared" si="0"/>
        <v>0</v>
      </c>
      <c r="O28" s="72"/>
      <c r="P28" s="64">
        <f ca="1">IF(SUM(L28:INDIRECT(ADDRESS(ROW(L28)+$Q$7,COLUMN(L28),1,1)))&gt;0,1,0)</f>
        <v>0</v>
      </c>
      <c r="Q28" s="64">
        <f ca="1">IF(SUM(M28:INDIRECT(ADDRESS(ROW(M28)+$Q$7,COLUMN(M28),1,1)))&gt;0,1,0)</f>
        <v>0</v>
      </c>
      <c r="R28" s="64">
        <f ca="1">IF(SUM(N28:INDIRECT(ADDRESS(ROW(N28)+$Q$7,COLUMN(N28),1,1)))&gt;0,1,0)</f>
        <v>0</v>
      </c>
    </row>
    <row r="29" spans="1:18">
      <c r="A29" s="40">
        <v>21</v>
      </c>
      <c r="B29" s="41">
        <v>0</v>
      </c>
      <c r="C29" s="41">
        <v>0</v>
      </c>
      <c r="D29" s="41">
        <v>0</v>
      </c>
      <c r="G29" s="63">
        <v>21</v>
      </c>
      <c r="H29" s="64">
        <v>0</v>
      </c>
      <c r="I29" s="64">
        <v>0</v>
      </c>
      <c r="J29" s="64">
        <v>0</v>
      </c>
      <c r="K29" s="61"/>
      <c r="L29" s="64">
        <f t="shared" si="1"/>
        <v>0</v>
      </c>
      <c r="M29" s="64">
        <f t="shared" si="0"/>
        <v>0</v>
      </c>
      <c r="N29" s="64">
        <f t="shared" si="0"/>
        <v>0</v>
      </c>
      <c r="O29" s="72"/>
      <c r="P29" s="64">
        <f ca="1">IF(SUM(L29:INDIRECT(ADDRESS(ROW(L29)+$Q$7,COLUMN(L29),1,1)))&gt;0,1,0)</f>
        <v>0</v>
      </c>
      <c r="Q29" s="64">
        <f ca="1">IF(SUM(M29:INDIRECT(ADDRESS(ROW(M29)+$Q$7,COLUMN(M29),1,1)))&gt;0,1,0)</f>
        <v>0</v>
      </c>
      <c r="R29" s="64">
        <f ca="1">IF(SUM(N29:INDIRECT(ADDRESS(ROW(N29)+$Q$7,COLUMN(N29),1,1)))&gt;0,1,0)</f>
        <v>0</v>
      </c>
    </row>
    <row r="30" spans="1:18">
      <c r="A30" s="40">
        <v>22</v>
      </c>
      <c r="B30" s="41">
        <v>0</v>
      </c>
      <c r="C30" s="41">
        <v>0</v>
      </c>
      <c r="D30" s="41">
        <v>0</v>
      </c>
      <c r="G30" s="63">
        <v>22</v>
      </c>
      <c r="H30" s="64">
        <v>0</v>
      </c>
      <c r="I30" s="64">
        <v>0</v>
      </c>
      <c r="J30" s="64">
        <v>0</v>
      </c>
      <c r="K30" s="61"/>
      <c r="L30" s="64">
        <f t="shared" si="1"/>
        <v>0</v>
      </c>
      <c r="M30" s="64">
        <f t="shared" si="0"/>
        <v>0</v>
      </c>
      <c r="N30" s="64">
        <f t="shared" si="0"/>
        <v>0</v>
      </c>
      <c r="O30" s="72"/>
      <c r="P30" s="64">
        <f ca="1">IF(SUM(L30:INDIRECT(ADDRESS(ROW(L30)+$Q$7,COLUMN(L30),1,1)))&gt;0,1,0)</f>
        <v>0</v>
      </c>
      <c r="Q30" s="64">
        <f ca="1">IF(SUM(M30:INDIRECT(ADDRESS(ROW(M30)+$Q$7,COLUMN(M30),1,1)))&gt;0,1,0)</f>
        <v>0</v>
      </c>
      <c r="R30" s="64">
        <f ca="1">IF(SUM(N30:INDIRECT(ADDRESS(ROW(N30)+$Q$7,COLUMN(N30),1,1)))&gt;0,1,0)</f>
        <v>0</v>
      </c>
    </row>
    <row r="31" spans="1:18">
      <c r="A31" s="40">
        <v>23</v>
      </c>
      <c r="B31" s="41">
        <v>0</v>
      </c>
      <c r="C31" s="41">
        <v>0</v>
      </c>
      <c r="D31" s="41">
        <v>0</v>
      </c>
      <c r="G31" s="63">
        <v>23</v>
      </c>
      <c r="H31" s="64">
        <v>0</v>
      </c>
      <c r="I31" s="64">
        <v>0</v>
      </c>
      <c r="J31" s="64">
        <v>0</v>
      </c>
      <c r="K31" s="61"/>
      <c r="L31" s="64">
        <f t="shared" si="1"/>
        <v>0</v>
      </c>
      <c r="M31" s="64">
        <f t="shared" si="0"/>
        <v>0</v>
      </c>
      <c r="N31" s="64">
        <f t="shared" si="0"/>
        <v>0</v>
      </c>
      <c r="O31" s="72"/>
      <c r="P31" s="64">
        <f ca="1">IF(SUM(L31:INDIRECT(ADDRESS(ROW(L31)+$Q$7,COLUMN(L31),1,1)))&gt;0,1,0)</f>
        <v>0</v>
      </c>
      <c r="Q31" s="64">
        <f ca="1">IF(SUM(M31:INDIRECT(ADDRESS(ROW(M31)+$Q$7,COLUMN(M31),1,1)))&gt;0,1,0)</f>
        <v>0</v>
      </c>
      <c r="R31" s="64">
        <f ca="1">IF(SUM(N31:INDIRECT(ADDRESS(ROW(N31)+$Q$7,COLUMN(N31),1,1)))&gt;0,1,0)</f>
        <v>0</v>
      </c>
    </row>
    <row r="32" spans="1:18">
      <c r="A32" s="40">
        <v>24</v>
      </c>
      <c r="B32" s="41">
        <v>0</v>
      </c>
      <c r="C32" s="41">
        <v>0</v>
      </c>
      <c r="D32" s="41">
        <v>0</v>
      </c>
      <c r="G32" s="63">
        <v>24</v>
      </c>
      <c r="H32" s="64">
        <v>0</v>
      </c>
      <c r="I32" s="64">
        <v>0</v>
      </c>
      <c r="J32" s="64">
        <v>0</v>
      </c>
      <c r="K32" s="61"/>
      <c r="L32" s="64">
        <f t="shared" si="1"/>
        <v>0</v>
      </c>
      <c r="M32" s="64">
        <f t="shared" si="0"/>
        <v>0</v>
      </c>
      <c r="N32" s="64">
        <f t="shared" si="0"/>
        <v>0</v>
      </c>
      <c r="O32" s="72"/>
      <c r="P32" s="64">
        <f ca="1">IF(SUM(L32:INDIRECT(ADDRESS(ROW(L32)+$Q$7,COLUMN(L32),1,1)))&gt;0,1,0)</f>
        <v>0</v>
      </c>
      <c r="Q32" s="64">
        <f ca="1">IF(SUM(M32:INDIRECT(ADDRESS(ROW(M32)+$Q$7,COLUMN(M32),1,1)))&gt;0,1,0)</f>
        <v>0</v>
      </c>
      <c r="R32" s="64">
        <f ca="1">IF(SUM(N32:INDIRECT(ADDRESS(ROW(N32)+$Q$7,COLUMN(N32),1,1)))&gt;0,1,0)</f>
        <v>0</v>
      </c>
    </row>
    <row r="34" spans="1:4">
      <c r="A34" s="59" t="s">
        <v>189</v>
      </c>
      <c r="B34" s="41">
        <f>SUM(B9:B33)</f>
        <v>100</v>
      </c>
      <c r="C34" s="41">
        <f t="shared" ref="C34:D34" si="2">SUM(C9:C33)</f>
        <v>0</v>
      </c>
      <c r="D34" s="41">
        <f t="shared" si="2"/>
        <v>0</v>
      </c>
    </row>
  </sheetData>
  <mergeCells count="8">
    <mergeCell ref="A6:E6"/>
    <mergeCell ref="B7:B8"/>
    <mergeCell ref="C7:C8"/>
    <mergeCell ref="D7:D8"/>
    <mergeCell ref="G6:K6"/>
    <mergeCell ref="H7:H8"/>
    <mergeCell ref="I7:I8"/>
    <mergeCell ref="J7:J8"/>
  </mergeCells>
  <conditionalFormatting sqref="B9:B32">
    <cfRule type="dataBar" priority="5">
      <dataBar>
        <cfvo type="min"/>
        <cfvo type="max"/>
        <color rgb="FF63C384"/>
      </dataBar>
      <extLst>
        <ext xmlns:x14="http://schemas.microsoft.com/office/spreadsheetml/2009/9/main" uri="{B025F937-C7B1-47D3-B67F-A62EFF666E3E}">
          <x14:id>{0C3AE018-9AC0-4312-B897-622D03147443}</x14:id>
        </ext>
      </extLst>
    </cfRule>
  </conditionalFormatting>
  <conditionalFormatting sqref="C9:D32">
    <cfRule type="dataBar" priority="6">
      <dataBar>
        <cfvo type="min"/>
        <cfvo type="max"/>
        <color rgb="FF63C384"/>
      </dataBar>
      <extLst>
        <ext xmlns:x14="http://schemas.microsoft.com/office/spreadsheetml/2009/9/main" uri="{B025F937-C7B1-47D3-B67F-A62EFF666E3E}">
          <x14:id>{CBBD7CD4-A36B-496F-856D-B3FD5A24D7EF}</x14:id>
        </ext>
      </extLst>
    </cfRule>
  </conditionalFormatting>
  <conditionalFormatting sqref="H9:H32">
    <cfRule type="dataBar" priority="3">
      <dataBar>
        <cfvo type="min"/>
        <cfvo type="max"/>
        <color rgb="FF63C384"/>
      </dataBar>
      <extLst>
        <ext xmlns:x14="http://schemas.microsoft.com/office/spreadsheetml/2009/9/main" uri="{B025F937-C7B1-47D3-B67F-A62EFF666E3E}">
          <x14:id>{287BFB16-2088-4FBC-97BF-68F1F3F42F47}</x14:id>
        </ext>
      </extLst>
    </cfRule>
  </conditionalFormatting>
  <conditionalFormatting sqref="I9:J32">
    <cfRule type="dataBar" priority="4">
      <dataBar>
        <cfvo type="min"/>
        <cfvo type="max"/>
        <color rgb="FF63C384"/>
      </dataBar>
      <extLst>
        <ext xmlns:x14="http://schemas.microsoft.com/office/spreadsheetml/2009/9/main" uri="{B025F937-C7B1-47D3-B67F-A62EFF666E3E}">
          <x14:id>{DA8486AD-0822-4900-92A8-1F2EB2690A18}</x14:id>
        </ext>
      </extLst>
    </cfRule>
  </conditionalFormatting>
  <conditionalFormatting sqref="L9:N32">
    <cfRule type="dataBar" priority="2">
      <dataBar>
        <cfvo type="min"/>
        <cfvo type="max"/>
        <color rgb="FF63C384"/>
      </dataBar>
      <extLst>
        <ext xmlns:x14="http://schemas.microsoft.com/office/spreadsheetml/2009/9/main" uri="{B025F937-C7B1-47D3-B67F-A62EFF666E3E}">
          <x14:id>{07BEA3A7-16D7-47C3-A771-56184735729C}</x14:id>
        </ext>
      </extLst>
    </cfRule>
  </conditionalFormatting>
  <conditionalFormatting sqref="P9:R32">
    <cfRule type="dataBar" priority="1">
      <dataBar>
        <cfvo type="min"/>
        <cfvo type="max"/>
        <color rgb="FF63C384"/>
      </dataBar>
      <extLst>
        <ext xmlns:x14="http://schemas.microsoft.com/office/spreadsheetml/2009/9/main" uri="{B025F937-C7B1-47D3-B67F-A62EFF666E3E}">
          <x14:id>{3F3A2422-573B-4BF6-99AB-0F0B63FFF212}</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C3AE018-9AC0-4312-B897-622D03147443}">
            <x14:dataBar minLength="0" maxLength="100" border="1" negativeBarBorderColorSameAsPositive="0">
              <x14:cfvo type="autoMin"/>
              <x14:cfvo type="autoMax"/>
              <x14:borderColor rgb="FF63C384"/>
              <x14:negativeFillColor rgb="FFFF0000"/>
              <x14:negativeBorderColor rgb="FFFF0000"/>
              <x14:axisColor rgb="FF000000"/>
            </x14:dataBar>
          </x14:cfRule>
          <xm:sqref>B9:B32</xm:sqref>
        </x14:conditionalFormatting>
        <x14:conditionalFormatting xmlns:xm="http://schemas.microsoft.com/office/excel/2006/main">
          <x14:cfRule type="dataBar" id="{CBBD7CD4-A36B-496F-856D-B3FD5A24D7EF}">
            <x14:dataBar minLength="0" maxLength="100" border="1" negativeBarBorderColorSameAsPositive="0">
              <x14:cfvo type="autoMin"/>
              <x14:cfvo type="autoMax"/>
              <x14:borderColor rgb="FF63C384"/>
              <x14:negativeFillColor rgb="FFFF0000"/>
              <x14:negativeBorderColor rgb="FFFF0000"/>
              <x14:axisColor rgb="FF000000"/>
            </x14:dataBar>
          </x14:cfRule>
          <xm:sqref>C9:D32</xm:sqref>
        </x14:conditionalFormatting>
        <x14:conditionalFormatting xmlns:xm="http://schemas.microsoft.com/office/excel/2006/main">
          <x14:cfRule type="dataBar" id="{287BFB16-2088-4FBC-97BF-68F1F3F42F47}">
            <x14:dataBar minLength="0" maxLength="100" border="1" negativeBarBorderColorSameAsPositive="0">
              <x14:cfvo type="autoMin"/>
              <x14:cfvo type="autoMax"/>
              <x14:borderColor rgb="FF63C384"/>
              <x14:negativeFillColor rgb="FFFF0000"/>
              <x14:negativeBorderColor rgb="FFFF0000"/>
              <x14:axisColor rgb="FF000000"/>
            </x14:dataBar>
          </x14:cfRule>
          <xm:sqref>H9:H32</xm:sqref>
        </x14:conditionalFormatting>
        <x14:conditionalFormatting xmlns:xm="http://schemas.microsoft.com/office/excel/2006/main">
          <x14:cfRule type="dataBar" id="{DA8486AD-0822-4900-92A8-1F2EB2690A18}">
            <x14:dataBar minLength="0" maxLength="100" border="1" negativeBarBorderColorSameAsPositive="0">
              <x14:cfvo type="autoMin"/>
              <x14:cfvo type="autoMax"/>
              <x14:borderColor rgb="FF63C384"/>
              <x14:negativeFillColor rgb="FFFF0000"/>
              <x14:negativeBorderColor rgb="FFFF0000"/>
              <x14:axisColor rgb="FF000000"/>
            </x14:dataBar>
          </x14:cfRule>
          <xm:sqref>I9:J32</xm:sqref>
        </x14:conditionalFormatting>
        <x14:conditionalFormatting xmlns:xm="http://schemas.microsoft.com/office/excel/2006/main">
          <x14:cfRule type="dataBar" id="{07BEA3A7-16D7-47C3-A771-56184735729C}">
            <x14:dataBar minLength="0" maxLength="100" border="1" negativeBarBorderColorSameAsPositive="0">
              <x14:cfvo type="autoMin"/>
              <x14:cfvo type="autoMax"/>
              <x14:borderColor rgb="FF63C384"/>
              <x14:negativeFillColor rgb="FFFF0000"/>
              <x14:negativeBorderColor rgb="FFFF0000"/>
              <x14:axisColor rgb="FF000000"/>
            </x14:dataBar>
          </x14:cfRule>
          <xm:sqref>L9:N32</xm:sqref>
        </x14:conditionalFormatting>
        <x14:conditionalFormatting xmlns:xm="http://schemas.microsoft.com/office/excel/2006/main">
          <x14:cfRule type="dataBar" id="{3F3A2422-573B-4BF6-99AB-0F0B63FFF212}">
            <x14:dataBar minLength="0" maxLength="100" border="1" negativeBarBorderColorSameAsPositive="0">
              <x14:cfvo type="autoMin"/>
              <x14:cfvo type="autoMax"/>
              <x14:borderColor rgb="FF63C384"/>
              <x14:negativeFillColor rgb="FFFF0000"/>
              <x14:negativeBorderColor rgb="FFFF0000"/>
              <x14:axisColor rgb="FF000000"/>
            </x14:dataBar>
          </x14:cfRule>
          <xm:sqref>P9:R32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BEC9499F5F5546990B87F97E8DBF8E" ma:contentTypeVersion="14" ma:contentTypeDescription="Create a new document." ma:contentTypeScope="" ma:versionID="3fa81cfd2f116aff9597ecd4d3f94924">
  <xsd:schema xmlns:xsd="http://www.w3.org/2001/XMLSchema" xmlns:xs="http://www.w3.org/2001/XMLSchema" xmlns:p="http://schemas.microsoft.com/office/2006/metadata/properties" xmlns:ns1="9a01329a-3003-4c7f-80f1-eaac2fa18022" xmlns:ns3="14179449-b62a-4ed4-a42d-60d9442ef417" targetNamespace="http://schemas.microsoft.com/office/2006/metadata/properties" ma:root="true" ma:fieldsID="409d1ebfdd470dd78820ae540c57d492" ns1:_="" ns3:_="">
    <xsd:import namespace="9a01329a-3003-4c7f-80f1-eaac2fa18022"/>
    <xsd:import namespace="14179449-b62a-4ed4-a42d-60d9442ef417"/>
    <xsd:element name="properties">
      <xsd:complexType>
        <xsd:sequence>
          <xsd:element name="documentManagement">
            <xsd:complexType>
              <xsd:all>
                <xsd:element ref="ns1:NR"/>
                <xsd:element ref="ns1:Task"/>
                <xsd:element ref="ns1:Status"/>
                <xsd:element ref="ns1:Description0" minOccurs="0"/>
                <xsd:element ref="ns1:MediaServiceMetadata" minOccurs="0"/>
                <xsd:element ref="ns1:MediaServiceFastMetadata" minOccurs="0"/>
                <xsd:element ref="ns1:MediaServiceAutoTags" minOccurs="0"/>
                <xsd:element ref="ns1:MediaServiceOCR" minOccurs="0"/>
                <xsd:element ref="ns1:_Flow_SignoffStatus" minOccurs="0"/>
                <xsd:element ref="ns3:SharedWithUsers" minOccurs="0"/>
                <xsd:element ref="ns3:SharedWithDetails" minOccurs="0"/>
                <xsd:element ref="ns1:MediaServiceDateTaken" minOccurs="0"/>
                <xsd:element ref="ns1:MediaServiceGenerationTime" minOccurs="0"/>
                <xsd:element ref="ns1: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01329a-3003-4c7f-80f1-eaac2fa18022" elementFormDefault="qualified">
    <xsd:import namespace="http://schemas.microsoft.com/office/2006/documentManagement/types"/>
    <xsd:import namespace="http://schemas.microsoft.com/office/infopath/2007/PartnerControls"/>
    <xsd:element name="NR" ma:index="0" ma:displayName="NR" ma:decimals="0" ma:description="Number of the document in database" ma:format="Dropdown" ma:indexed="true" ma:internalName="NR" ma:percentage="FALSE">
      <xsd:simpleType>
        <xsd:restriction base="dms:Number"/>
      </xsd:simpleType>
    </xsd:element>
    <xsd:element name="Task" ma:index="1" ma:displayName="Task" ma:description="Task targeted by the document" ma:format="Dropdown" ma:internalName="Task">
      <xsd:simpleType>
        <xsd:restriction base="dms:Choice">
          <xsd:enumeration value="T1.1 - Project management and coordination (M1-M24) / CSTB"/>
          <xsd:enumeration value="T1.2 - Technical coordination (M1-M24) / CSTB"/>
          <xsd:enumeration value="T1.3 -  IP management (M1-24) / CSTB"/>
          <xsd:enumeration value="T1.4 - Common EASME activities (M1-M24) / CSTB"/>
          <xsd:enumeration value="T2.1 - Qualification / certification scheme of experts (M2-M24) /ENBEE"/>
          <xsd:enumeration value="T2.2 - Review, test and validation of the qualifications (M12-M23) / ENBEE"/>
          <xsd:enumeration value="T2.3 -  Possible Roll-out of the CEN-CE scheme / qualification and training of experts (M6-M23) / ENBEE"/>
          <xsd:enumeration value="T3.1 - Common structure and templates for training materials development (M1-M6) / CSTB"/>
          <xsd:enumeration value="T3.2 - Design of HVAC systems (sizing) (M1-M14) / SLR"/>
          <xsd:enumeration value="T3.3 - Energy calculation (M1-M14) / FSB"/>
          <xsd:enumeration value="T3.4 - Inspecting and measured energy (M1-M14) / SLR"/>
          <xsd:enumeration value="T3.5 - Economical calculation (M1-M14) / ENBEE"/>
          <xsd:enumeration value="T3.6 - Holistic approach of HVAC skills (M1-M14) /CSTB"/>
          <xsd:enumeration value="T4.1 - Dissemination activities / REHVA"/>
          <xsd:enumeration value="T4.2 - Communication activities / REHVA"/>
        </xsd:restriction>
      </xsd:simpleType>
    </xsd:element>
    <xsd:element name="Status" ma:index="3" ma:displayName="Status" ma:format="Dropdown" ma:internalName="Status">
      <xsd:simpleType>
        <xsd:restriction base="dms:Choice">
          <xsd:enumeration value="Administrative"/>
          <xsd:enumeration value="Deliverable"/>
          <xsd:enumeration value="Meetings"/>
          <xsd:enumeration value="Others"/>
          <xsd:enumeration value="Communication"/>
        </xsd:restriction>
      </xsd:simpleType>
    </xsd:element>
    <xsd:element name="Description0" ma:index="4" nillable="true" ma:displayName="Description" ma:format="Dropdown" ma:internalName="Description0">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_Flow_SignoffStatus" ma:index="16" nillable="true" ma:displayName="Sign-off status" ma:internalName="_x0024_Resources_x003a_core_x002c_Signoff_Status_x003b_">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179449-b62a-4ed4-a42d-60d9442ef41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5"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R xmlns="9a01329a-3003-4c7f-80f1-eaac2fa18022">143</NR>
    <Status xmlns="9a01329a-3003-4c7f-80f1-eaac2fa18022">Deliverable</Status>
    <Description0 xmlns="9a01329a-3003-4c7f-80f1-eaac2fa18022" xsi:nil="true"/>
    <_Flow_SignoffStatus xmlns="9a01329a-3003-4c7f-80f1-eaac2fa18022" xsi:nil="true"/>
    <Task xmlns="9a01329a-3003-4c7f-80f1-eaac2fa18022">T3.2 - Design of HVAC systems (sizing) (M1-M14) / SLR</Task>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FE4C6C-F037-43AD-B384-6278589F17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01329a-3003-4c7f-80f1-eaac2fa18022"/>
    <ds:schemaRef ds:uri="14179449-b62a-4ed4-a42d-60d9442ef4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5E0B39-2ADD-4031-8174-FF880143BFCE}">
  <ds:schemaRefs>
    <ds:schemaRef ds:uri="http://schemas.microsoft.com/office/2006/documentManagement/types"/>
    <ds:schemaRef ds:uri="http://schemas.openxmlformats.org/package/2006/metadata/core-properties"/>
    <ds:schemaRef ds:uri="http://purl.org/dc/elements/1.1/"/>
    <ds:schemaRef ds:uri="9a01329a-3003-4c7f-80f1-eaac2fa18022"/>
    <ds:schemaRef ds:uri="14179449-b62a-4ed4-a42d-60d9442ef417"/>
    <ds:schemaRef ds:uri="http://purl.org/dc/term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817182AB-571A-421E-BFA5-1ECE02B1C8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53</vt:i4>
      </vt:variant>
    </vt:vector>
  </HeadingPairs>
  <TitlesOfParts>
    <vt:vector size="53" baseType="lpstr">
      <vt:lpstr>INFO</vt:lpstr>
      <vt:lpstr>Explanation</vt:lpstr>
      <vt:lpstr>Data_tables</vt:lpstr>
      <vt:lpstr>Method_input</vt:lpstr>
      <vt:lpstr>Method_calculation</vt:lpstr>
      <vt:lpstr>Method_output</vt:lpstr>
      <vt:lpstr>Other_files-&gt;</vt:lpstr>
      <vt:lpstr>UK_SBEM</vt:lpstr>
      <vt:lpstr>A_B_C_Comparison</vt:lpstr>
      <vt:lpstr>A_B_C_Comparison_2</vt:lpstr>
      <vt:lpstr>A_B_C_Comparison 3</vt:lpstr>
      <vt:lpstr>Needs_others</vt:lpstr>
      <vt:lpstr>Symbols</vt:lpstr>
      <vt:lpstr>UK_SAP</vt:lpstr>
      <vt:lpstr>SAP_Database</vt:lpstr>
      <vt:lpstr>Foglio1</vt:lpstr>
      <vt:lpstr>Heat losses</vt:lpstr>
      <vt:lpstr>Tcold</vt:lpstr>
      <vt:lpstr>Mass loss</vt:lpstr>
      <vt:lpstr>Heat capacity</vt:lpstr>
      <vt:lpstr>Annex_B</vt:lpstr>
      <vt:lpstr>Lists_&amp;_data</vt:lpstr>
      <vt:lpstr>EN_Issues</vt:lpstr>
      <vt:lpstr>&lt;-OK | Archive-&gt;</vt:lpstr>
      <vt:lpstr>Spalma</vt:lpstr>
      <vt:lpstr>Profili_utilizzo_acs</vt:lpstr>
      <vt:lpstr>RES_SINGLE</vt:lpstr>
      <vt:lpstr>RES_APPBLOCK</vt:lpstr>
      <vt:lpstr>RES_ELDER</vt:lpstr>
      <vt:lpstr>RES_COLL</vt:lpstr>
      <vt:lpstr>RES_MOBIL</vt:lpstr>
      <vt:lpstr>RES_HOL</vt:lpstr>
      <vt:lpstr>EDUC_univ</vt:lpstr>
      <vt:lpstr>EDUC_second_rientri</vt:lpstr>
      <vt:lpstr>EDUC_second_matt</vt:lpstr>
      <vt:lpstr>EDUC_primarie_lunga</vt:lpstr>
      <vt:lpstr>EDUC_primarie_corta</vt:lpstr>
      <vt:lpstr>OFF</vt:lpstr>
      <vt:lpstr>OFF_settimana_lunga</vt:lpstr>
      <vt:lpstr>Sample_profile_1</vt:lpstr>
      <vt:lpstr>HOSP_DEG</vt:lpstr>
      <vt:lpstr>HOSP_DAY</vt:lpstr>
      <vt:lpstr>HOTEL</vt:lpstr>
      <vt:lpstr>HOTEL_LAV</vt:lpstr>
      <vt:lpstr>HOTEL_SAU</vt:lpstr>
      <vt:lpstr>REST</vt:lpstr>
      <vt:lpstr>BAR</vt:lpstr>
      <vt:lpstr>SPORT</vt:lpstr>
      <vt:lpstr>vendite dettaglio</vt:lpstr>
      <vt:lpstr>Vendite_grosse</vt:lpstr>
      <vt:lpstr>AMUSM</vt:lpstr>
      <vt:lpstr>REL</vt:lpstr>
      <vt:lpstr>INDUS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XLS EN 12831-3</dc:title>
  <dc:creator>Laurent socal</dc:creator>
  <cp:lastModifiedBy>Laurent socal</cp:lastModifiedBy>
  <cp:lastPrinted>2023-05-11T16:46:49Z</cp:lastPrinted>
  <dcterms:created xsi:type="dcterms:W3CDTF">2019-03-05T08:02:34Z</dcterms:created>
  <dcterms:modified xsi:type="dcterms:W3CDTF">2023-09-22T13:09:20Z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0x010100DBBEC9499F5F5546990B87F97E8DBF8E</vt:lpwstr>
  </property>
</Properties>
</file>