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4380" windowHeight="9360" firstSheet="1" activeTab="1"/>
  </bookViews>
  <sheets>
    <sheet name="Tabelle1" sheetId="1" state="hidden" r:id="rId1"/>
    <sheet name="INFO" sheetId="4" r:id="rId2"/>
    <sheet name="Calculation, Results" sheetId="2" r:id="rId3"/>
    <sheet name="Input data" sheetId="3" r:id="rId4"/>
    <sheet name="Feuil2" sheetId="5" r:id="rId5"/>
    <sheet name="Feuil3" sheetId="6" r:id="rId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2" l="1"/>
  <c r="F44" i="2"/>
  <c r="F43" i="2"/>
  <c r="F42"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E45" i="2"/>
  <c r="E44" i="2"/>
  <c r="E43" i="2"/>
  <c r="E42"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6" i="2"/>
  <c r="I34" i="2"/>
  <c r="I33" i="2"/>
  <c r="I27" i="2"/>
  <c r="I21" i="2"/>
  <c r="I18" i="2"/>
  <c r="I13" i="2"/>
  <c r="I36" i="2"/>
  <c r="I32" i="2"/>
  <c r="I28" i="2"/>
  <c r="I19" i="2"/>
  <c r="I11" i="2"/>
  <c r="I10" i="2"/>
  <c r="I31" i="2"/>
  <c r="I25" i="2"/>
  <c r="I16" i="2"/>
  <c r="I9" i="2"/>
  <c r="I35" i="2"/>
  <c r="I26" i="2"/>
  <c r="I24" i="2"/>
  <c r="I20" i="2"/>
  <c r="I17" i="2"/>
  <c r="I12" i="2"/>
  <c r="I8" i="2"/>
  <c r="I30" i="2"/>
  <c r="I23" i="2"/>
  <c r="I15" i="2"/>
  <c r="I7" i="2"/>
  <c r="I29" i="2"/>
  <c r="I22" i="2"/>
  <c r="I14" i="2"/>
  <c r="I6" i="2"/>
  <c r="C30" i="2" l="1"/>
  <c r="C31" i="2" s="1"/>
  <c r="C32" i="2" s="1"/>
  <c r="C33" i="2" s="1"/>
  <c r="C34" i="2" s="1"/>
  <c r="C35" i="2" s="1"/>
  <c r="C36" i="2" s="1"/>
  <c r="C23" i="2"/>
  <c r="C24" i="2" s="1"/>
  <c r="C25" i="2" s="1"/>
  <c r="C26" i="2" s="1"/>
  <c r="C27" i="2" s="1"/>
  <c r="C28" i="2" s="1"/>
  <c r="B23" i="2"/>
  <c r="B24" i="2" s="1"/>
  <c r="B25" i="2" s="1"/>
  <c r="B26" i="2" s="1"/>
  <c r="B27" i="2" s="1"/>
  <c r="B28" i="2" s="1"/>
  <c r="B29" i="2" s="1"/>
  <c r="B30" i="2" s="1"/>
  <c r="B31" i="2" s="1"/>
  <c r="B32" i="2" s="1"/>
  <c r="B33" i="2" s="1"/>
  <c r="B34" i="2" s="1"/>
  <c r="B35" i="2" s="1"/>
  <c r="B36" i="2" s="1"/>
  <c r="B7" i="2"/>
  <c r="B8" i="2" s="1"/>
  <c r="B9" i="2" s="1"/>
  <c r="B10" i="2" s="1"/>
  <c r="B11" i="2" s="1"/>
  <c r="B12" i="2" s="1"/>
  <c r="B13" i="2" s="1"/>
  <c r="B14" i="2" s="1"/>
  <c r="B15" i="2" s="1"/>
  <c r="B16" i="2" s="1"/>
  <c r="B17" i="2" s="1"/>
  <c r="B18" i="2" s="1"/>
  <c r="B19" i="2" s="1"/>
  <c r="B20" i="2" s="1"/>
  <c r="B21" i="2" s="1"/>
  <c r="C15" i="2"/>
  <c r="C16" i="2" s="1"/>
  <c r="C17" i="2" s="1"/>
  <c r="C18" i="2" s="1"/>
  <c r="C19" i="2" s="1"/>
  <c r="C20" i="2" s="1"/>
  <c r="C21" i="2" s="1"/>
  <c r="C7" i="2"/>
  <c r="C8" i="2" s="1"/>
  <c r="C9" i="2" s="1"/>
  <c r="C10" i="2" s="1"/>
  <c r="C11" i="2" s="1"/>
  <c r="C12" i="2" s="1"/>
  <c r="C13" i="2" s="1"/>
  <c r="G45" i="2"/>
  <c r="H45" i="2" s="1"/>
  <c r="G44" i="2"/>
  <c r="H44" i="2" s="1"/>
  <c r="G43" i="2"/>
  <c r="H43" i="2" s="1"/>
  <c r="G42" i="2"/>
  <c r="H42" i="2" s="1"/>
  <c r="I42" i="2" s="1"/>
  <c r="K35" i="2"/>
  <c r="K27" i="2"/>
  <c r="K26" i="2"/>
  <c r="K24" i="2"/>
  <c r="K21" i="2"/>
  <c r="K20" i="2"/>
  <c r="K18" i="2"/>
  <c r="K17" i="2"/>
  <c r="K13" i="2"/>
  <c r="K12" i="2"/>
  <c r="K29" i="2"/>
  <c r="K22" i="2"/>
  <c r="K14" i="2"/>
  <c r="I43" i="2" l="1"/>
  <c r="J42" i="2" s="1"/>
  <c r="Q14" i="2"/>
  <c r="Q13" i="2"/>
  <c r="Q21" i="2"/>
  <c r="Q22" i="2"/>
  <c r="Q18" i="2"/>
  <c r="Q12" i="2"/>
  <c r="Q20" i="2"/>
  <c r="Q17" i="2"/>
  <c r="L22" i="2"/>
  <c r="L14" i="2"/>
  <c r="L6" i="2"/>
  <c r="K31" i="2"/>
  <c r="K16" i="2"/>
  <c r="Q16" i="2" s="1"/>
  <c r="K9" i="2"/>
  <c r="Q9" i="2" s="1"/>
  <c r="K8" i="2"/>
  <c r="Q8" i="2" s="1"/>
  <c r="K6" i="2"/>
  <c r="Q6" i="2" s="1"/>
  <c r="H6" i="2"/>
  <c r="H7" i="2"/>
  <c r="H8" i="2"/>
  <c r="R8" i="2" s="1"/>
  <c r="H9" i="2"/>
  <c r="H10" i="2"/>
  <c r="H11" i="2"/>
  <c r="U11" i="2" s="1"/>
  <c r="H13" i="2"/>
  <c r="H14" i="2"/>
  <c r="H15" i="2"/>
  <c r="H16" i="2"/>
  <c r="H18" i="2"/>
  <c r="H19" i="2"/>
  <c r="H21" i="2"/>
  <c r="H22" i="2"/>
  <c r="H23" i="2"/>
  <c r="H24" i="2"/>
  <c r="H25" i="2"/>
  <c r="H27" i="2"/>
  <c r="H28" i="2"/>
  <c r="U28" i="2" s="1"/>
  <c r="H29" i="2"/>
  <c r="H30" i="2"/>
  <c r="H31" i="2"/>
  <c r="H33" i="2"/>
  <c r="H34" i="2"/>
  <c r="H35" i="2"/>
  <c r="H36" i="2"/>
  <c r="J45" i="1"/>
  <c r="G45" i="1"/>
  <c r="H45" i="1"/>
  <c r="I45" i="1"/>
  <c r="F45" i="1"/>
  <c r="Z13" i="2" l="1"/>
  <c r="AA13" i="2" s="1"/>
  <c r="Z21" i="2"/>
  <c r="AA21" i="2" s="1"/>
  <c r="Z16" i="2"/>
  <c r="AA16" i="2" s="1"/>
  <c r="Z18" i="2"/>
  <c r="AA18" i="2" s="1"/>
  <c r="I44" i="2"/>
  <c r="R15" i="2"/>
  <c r="Z15" i="2"/>
  <c r="AA15" i="2" s="1"/>
  <c r="R10" i="2"/>
  <c r="Z10" i="2"/>
  <c r="AA10" i="2" s="1"/>
  <c r="R34" i="2"/>
  <c r="Z34" i="2"/>
  <c r="AA34" i="2" s="1"/>
  <c r="Z8" i="2"/>
  <c r="AA8" i="2" s="1"/>
  <c r="R19" i="2"/>
  <c r="Z19" i="2"/>
  <c r="AA19" i="2" s="1"/>
  <c r="R33" i="2"/>
  <c r="Z33" i="2"/>
  <c r="AA33" i="2" s="1"/>
  <c r="W28" i="2"/>
  <c r="X22" i="2" s="1"/>
  <c r="V22" i="2"/>
  <c r="R23" i="2"/>
  <c r="Z23" i="2"/>
  <c r="AA23" i="2" s="1"/>
  <c r="R36" i="2"/>
  <c r="Z36" i="2"/>
  <c r="AA36" i="2" s="1"/>
  <c r="R7" i="2"/>
  <c r="Z7" i="2"/>
  <c r="AA7" i="2" s="1"/>
  <c r="Z9" i="2"/>
  <c r="AA9" i="2" s="1"/>
  <c r="R30" i="2"/>
  <c r="Z30" i="2"/>
  <c r="AA30" i="2" s="1"/>
  <c r="W11" i="2"/>
  <c r="X6" i="2" s="1"/>
  <c r="V6" i="2"/>
  <c r="N29" i="2"/>
  <c r="P29" i="2" s="1"/>
  <c r="H17" i="2"/>
  <c r="R18" i="2"/>
  <c r="H12" i="2"/>
  <c r="R13" i="2"/>
  <c r="H26" i="2"/>
  <c r="N22" i="2"/>
  <c r="P22" i="2" s="1"/>
  <c r="Z22" i="2" s="1"/>
  <c r="AA22" i="2" s="1"/>
  <c r="H20" i="2"/>
  <c r="R21" i="2"/>
  <c r="N6" i="2"/>
  <c r="P6" i="2" s="1"/>
  <c r="R6" i="2" s="1"/>
  <c r="N14" i="2"/>
  <c r="P14" i="2" s="1"/>
  <c r="R14" i="2" s="1"/>
  <c r="H32" i="2"/>
  <c r="J48" i="1"/>
  <c r="I48" i="1"/>
  <c r="H48" i="1"/>
  <c r="G48" i="1"/>
  <c r="F48" i="1"/>
  <c r="J47" i="1"/>
  <c r="I47" i="1"/>
  <c r="H47" i="1"/>
  <c r="G47" i="1"/>
  <c r="F47" i="1"/>
  <c r="J46" i="1"/>
  <c r="I46" i="1"/>
  <c r="H46" i="1"/>
  <c r="G46" i="1"/>
  <c r="F46" i="1"/>
  <c r="Q24" i="2" l="1"/>
  <c r="R22" i="2"/>
  <c r="Z14" i="2"/>
  <c r="AA14" i="2" s="1"/>
  <c r="Z6" i="2"/>
  <c r="AA6" i="2" s="1"/>
  <c r="R32" i="2"/>
  <c r="Z32" i="2"/>
  <c r="AA32" i="2" s="1"/>
  <c r="R12" i="2"/>
  <c r="Z12" i="2"/>
  <c r="AA12" i="2" s="1"/>
  <c r="R17" i="2"/>
  <c r="Z17" i="2"/>
  <c r="AA17" i="2" s="1"/>
  <c r="R20" i="2"/>
  <c r="Z20" i="2"/>
  <c r="AA20" i="2" s="1"/>
  <c r="AB14" i="2" l="1"/>
  <c r="O43" i="2" s="1"/>
  <c r="Q26" i="2"/>
  <c r="Z24" i="2"/>
  <c r="AA24" i="2" s="1"/>
  <c r="R24" i="2"/>
  <c r="S6" i="2"/>
  <c r="T6" i="2" s="1"/>
  <c r="Y6" i="2" s="1"/>
  <c r="K28" i="2" s="1"/>
  <c r="Q27" i="2" l="1"/>
  <c r="R26" i="2"/>
  <c r="Z26" i="2"/>
  <c r="AA26" i="2" s="1"/>
  <c r="R27" i="2" l="1"/>
  <c r="Z27" i="2"/>
  <c r="AA27" i="2" s="1"/>
  <c r="I45" i="2"/>
  <c r="J44" i="2" s="1"/>
  <c r="K42" i="2" s="1"/>
  <c r="K25" i="2"/>
  <c r="Q25" i="2" s="1"/>
  <c r="Z25" i="2" s="1"/>
  <c r="AA25" i="2" s="1"/>
  <c r="Q29" i="2"/>
  <c r="Q28" i="2"/>
  <c r="Z28" i="2" s="1"/>
  <c r="AA28" i="2" s="1"/>
  <c r="AB22" i="2" l="1"/>
  <c r="O44" i="2" s="1"/>
  <c r="Q31" i="2"/>
  <c r="Z31" i="2" s="1"/>
  <c r="AA31" i="2" s="1"/>
  <c r="Z29" i="2"/>
  <c r="AA29" i="2" s="1"/>
  <c r="R29" i="2"/>
  <c r="Q35" i="2" l="1"/>
  <c r="R35" i="2" l="1"/>
  <c r="S22" i="2" s="1"/>
  <c r="T22" i="2" s="1"/>
  <c r="Y22" i="2" s="1"/>
  <c r="K11" i="2" s="1"/>
  <c r="Q11" i="2" s="1"/>
  <c r="Z11" i="2" s="1"/>
  <c r="AA11" i="2" s="1"/>
  <c r="Z35" i="2"/>
  <c r="AA35" i="2" s="1"/>
  <c r="AB6" i="2" l="1"/>
  <c r="O42" i="2" s="1"/>
  <c r="AC6" i="2"/>
  <c r="P42" i="2" s="1"/>
  <c r="AC22" i="2"/>
  <c r="P44" i="2" s="1"/>
  <c r="AD6" i="2"/>
  <c r="Q42" i="2" s="1"/>
  <c r="AB29" i="2"/>
  <c r="O45" i="2" s="1"/>
</calcChain>
</file>

<file path=xl/comments1.xml><?xml version="1.0" encoding="utf-8"?>
<comments xmlns="http://schemas.openxmlformats.org/spreadsheetml/2006/main">
  <authors>
    <author>Jens Rosenkranz</author>
  </authors>
  <commentList>
    <comment ref="J3" authorId="0">
      <text>
        <r>
          <rPr>
            <b/>
            <sz val="8"/>
            <color indexed="81"/>
            <rFont val="Segoe UI"/>
            <family val="2"/>
          </rPr>
          <t>Jens Rosenkranz:</t>
        </r>
        <r>
          <rPr>
            <sz val="8"/>
            <color indexed="81"/>
            <rFont val="Segoe UI"/>
            <family val="2"/>
          </rPr>
          <t xml:space="preserve">
Default value from national or informative annex</t>
        </r>
      </text>
    </comment>
    <comment ref="O6" authorId="0">
      <text>
        <r>
          <rPr>
            <b/>
            <sz val="8"/>
            <color indexed="81"/>
            <rFont val="Segoe UI"/>
            <family val="2"/>
          </rPr>
          <t>Jens Rosenkranz:</t>
        </r>
        <r>
          <rPr>
            <sz val="8"/>
            <color indexed="81"/>
            <rFont val="Segoe UI"/>
            <family val="2"/>
          </rPr>
          <t xml:space="preserve">
Default value from national or informative annex</t>
        </r>
      </text>
    </comment>
    <comment ref="P6" authorId="0">
      <text>
        <r>
          <rPr>
            <b/>
            <sz val="8"/>
            <color indexed="81"/>
            <rFont val="Segoe UI"/>
            <family val="2"/>
          </rPr>
          <t>Jens Rosenkranz:</t>
        </r>
        <r>
          <rPr>
            <sz val="8"/>
            <color indexed="81"/>
            <rFont val="Segoe UI"/>
            <family val="2"/>
          </rPr>
          <t xml:space="preserve">
U_equiv,k = a/(b + (c1 + B')^n1 + (c2 + z)^n2 + U_k^n3)</t>
        </r>
      </text>
    </comment>
    <comment ref="Q6"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7" authorId="0">
      <text>
        <r>
          <rPr>
            <b/>
            <sz val="8"/>
            <color indexed="81"/>
            <rFont val="Segoe UI"/>
            <family val="2"/>
          </rPr>
          <t>Jens Rosenkranz:</t>
        </r>
        <r>
          <rPr>
            <sz val="8"/>
            <color indexed="81"/>
            <rFont val="Segoe UI"/>
            <family val="2"/>
          </rPr>
          <t xml:space="preserve">
Default value from national or informative annex</t>
        </r>
      </text>
    </comment>
    <comment ref="Q8"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9"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10" authorId="0">
      <text>
        <r>
          <rPr>
            <b/>
            <sz val="8"/>
            <color indexed="81"/>
            <rFont val="Segoe UI"/>
            <family val="2"/>
          </rPr>
          <t>Jens Rosenkranz:</t>
        </r>
        <r>
          <rPr>
            <sz val="8"/>
            <color indexed="81"/>
            <rFont val="Segoe UI"/>
            <family val="2"/>
          </rPr>
          <t xml:space="preserve">
Default value from national or informative annex</t>
        </r>
      </text>
    </comment>
    <comment ref="Q11"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12"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13"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O14" authorId="0">
      <text>
        <r>
          <rPr>
            <b/>
            <sz val="8"/>
            <color indexed="81"/>
            <rFont val="Segoe UI"/>
            <family val="2"/>
          </rPr>
          <t>Jens Rosenkranz:</t>
        </r>
        <r>
          <rPr>
            <sz val="8"/>
            <color indexed="81"/>
            <rFont val="Segoe UI"/>
            <family val="2"/>
          </rPr>
          <t xml:space="preserve">
Default value from national or informative annex</t>
        </r>
      </text>
    </comment>
    <comment ref="P14" authorId="0">
      <text>
        <r>
          <rPr>
            <b/>
            <sz val="8"/>
            <color indexed="81"/>
            <rFont val="Segoe UI"/>
            <family val="2"/>
          </rPr>
          <t>Jens Rosenkranz:</t>
        </r>
        <r>
          <rPr>
            <sz val="8"/>
            <color indexed="81"/>
            <rFont val="Segoe UI"/>
            <family val="2"/>
          </rPr>
          <t xml:space="preserve">
U_equiv,k = a/(b + (c1 + B')^n1 + (c2 + z)^n2 + U_k^n3)</t>
        </r>
      </text>
    </comment>
    <comment ref="Q14"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15" authorId="0">
      <text>
        <r>
          <rPr>
            <b/>
            <sz val="8"/>
            <color indexed="81"/>
            <rFont val="Segoe UI"/>
            <family val="2"/>
          </rPr>
          <t>Jens Rosenkranz:</t>
        </r>
        <r>
          <rPr>
            <sz val="8"/>
            <color indexed="81"/>
            <rFont val="Segoe UI"/>
            <family val="2"/>
          </rPr>
          <t xml:space="preserve">
Default value from national or informative annex</t>
        </r>
      </text>
    </comment>
    <comment ref="Q16"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17"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18"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19" authorId="0">
      <text>
        <r>
          <rPr>
            <b/>
            <sz val="8"/>
            <color indexed="81"/>
            <rFont val="Segoe UI"/>
            <family val="2"/>
          </rPr>
          <t>Jens Rosenkranz:</t>
        </r>
        <r>
          <rPr>
            <sz val="8"/>
            <color indexed="81"/>
            <rFont val="Segoe UI"/>
            <family val="2"/>
          </rPr>
          <t xml:space="preserve">
Default value from national or informative annex</t>
        </r>
      </text>
    </comment>
    <comment ref="Q20"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21"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O22" authorId="0">
      <text>
        <r>
          <rPr>
            <b/>
            <sz val="8"/>
            <color indexed="81"/>
            <rFont val="Segoe UI"/>
            <family val="2"/>
          </rPr>
          <t>Jens Rosenkranz:</t>
        </r>
        <r>
          <rPr>
            <sz val="8"/>
            <color indexed="81"/>
            <rFont val="Segoe UI"/>
            <family val="2"/>
          </rPr>
          <t xml:space="preserve">
Default value from national or informative annex</t>
        </r>
      </text>
    </comment>
    <comment ref="P22" authorId="0">
      <text>
        <r>
          <rPr>
            <b/>
            <sz val="8"/>
            <color indexed="81"/>
            <rFont val="Segoe UI"/>
            <family val="2"/>
          </rPr>
          <t>Jens Rosenkranz:</t>
        </r>
        <r>
          <rPr>
            <sz val="8"/>
            <color indexed="81"/>
            <rFont val="Segoe UI"/>
            <family val="2"/>
          </rPr>
          <t xml:space="preserve">
U_equiv,k = a/(b + (c1 + B')^n1 + (c2 + z)^n2 + U_k^n3)</t>
        </r>
      </text>
    </comment>
    <comment ref="Q22"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23" authorId="0">
      <text>
        <r>
          <rPr>
            <b/>
            <sz val="8"/>
            <color indexed="81"/>
            <rFont val="Segoe UI"/>
            <family val="2"/>
          </rPr>
          <t>Jens Rosenkranz:</t>
        </r>
        <r>
          <rPr>
            <sz val="8"/>
            <color indexed="81"/>
            <rFont val="Segoe UI"/>
            <family val="2"/>
          </rPr>
          <t xml:space="preserve">
Default value from national or informative annex</t>
        </r>
      </text>
    </comment>
    <comment ref="Q24"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25"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26"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27"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28"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O29" authorId="0">
      <text>
        <r>
          <rPr>
            <b/>
            <sz val="8"/>
            <color indexed="81"/>
            <rFont val="Segoe UI"/>
            <family val="2"/>
          </rPr>
          <t>Jens Rosenkranz:</t>
        </r>
        <r>
          <rPr>
            <sz val="8"/>
            <color indexed="81"/>
            <rFont val="Segoe UI"/>
            <family val="2"/>
          </rPr>
          <t xml:space="preserve">
Default value from national or informative annex</t>
        </r>
      </text>
    </comment>
    <comment ref="P29" authorId="0">
      <text>
        <r>
          <rPr>
            <b/>
            <sz val="8"/>
            <color indexed="81"/>
            <rFont val="Segoe UI"/>
            <family val="2"/>
          </rPr>
          <t>Jens Rosenkranz:</t>
        </r>
        <r>
          <rPr>
            <sz val="8"/>
            <color indexed="81"/>
            <rFont val="Segoe UI"/>
            <family val="2"/>
          </rPr>
          <t xml:space="preserve">
U_equiv,k = a/(b + (c1 + B')^n1 + (c2 + z)^n2 + U_k^n3)</t>
        </r>
      </text>
    </comment>
    <comment ref="Q29"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30" authorId="0">
      <text>
        <r>
          <rPr>
            <b/>
            <sz val="8"/>
            <color indexed="81"/>
            <rFont val="Segoe UI"/>
            <family val="2"/>
          </rPr>
          <t>Jens Rosenkranz:</t>
        </r>
        <r>
          <rPr>
            <sz val="8"/>
            <color indexed="81"/>
            <rFont val="Segoe UI"/>
            <family val="2"/>
          </rPr>
          <t xml:space="preserve">
Default value from national or informative annex</t>
        </r>
      </text>
    </comment>
    <comment ref="Q31" authorId="0">
      <text>
        <r>
          <rPr>
            <b/>
            <sz val="8"/>
            <color indexed="81"/>
            <rFont val="Segoe UI"/>
            <family val="2"/>
          </rPr>
          <t>Jens Rosenkranz:</t>
        </r>
        <r>
          <rPr>
            <sz val="8"/>
            <color indexed="81"/>
            <rFont val="Segoe UI"/>
            <family val="2"/>
          </rPr>
          <t xml:space="preserve">
Calculated with general formula for temperature adjustment factor:
f_ix = (θ*_int,i - θ_x)/(θ_int,i - θ_e)</t>
        </r>
      </text>
    </comment>
    <comment ref="Q32" authorId="0">
      <text>
        <r>
          <rPr>
            <b/>
            <sz val="8"/>
            <color indexed="81"/>
            <rFont val="Segoe UI"/>
            <family val="2"/>
          </rPr>
          <t>Jens Rosenkranz:</t>
        </r>
        <r>
          <rPr>
            <sz val="8"/>
            <color indexed="81"/>
            <rFont val="Segoe UI"/>
            <family val="2"/>
          </rPr>
          <t xml:space="preserve">
Default value from national or informative annex</t>
        </r>
      </text>
    </comment>
    <comment ref="Q33" authorId="0">
      <text>
        <r>
          <rPr>
            <b/>
            <sz val="8"/>
            <color indexed="81"/>
            <rFont val="Segoe UI"/>
            <family val="2"/>
          </rPr>
          <t>Jens Rosenkranz:</t>
        </r>
        <r>
          <rPr>
            <sz val="8"/>
            <color indexed="81"/>
            <rFont val="Segoe UI"/>
            <family val="2"/>
          </rPr>
          <t xml:space="preserve">
Default value from national or informative annex</t>
        </r>
      </text>
    </comment>
    <comment ref="Q34" authorId="0">
      <text>
        <r>
          <rPr>
            <b/>
            <sz val="8"/>
            <color indexed="81"/>
            <rFont val="Segoe UI"/>
            <family val="2"/>
          </rPr>
          <t>Jens Rosenkranz:</t>
        </r>
        <r>
          <rPr>
            <sz val="8"/>
            <color indexed="81"/>
            <rFont val="Segoe UI"/>
            <family val="2"/>
          </rPr>
          <t xml:space="preserve">
Default value from national or informative annex</t>
        </r>
      </text>
    </comment>
    <comment ref="Q35" authorId="0">
      <text>
        <r>
          <rPr>
            <b/>
            <sz val="8"/>
            <color indexed="81"/>
            <rFont val="Segoe UI"/>
            <family val="2"/>
          </rPr>
          <t>Jens Rosenkranz:</t>
        </r>
        <r>
          <rPr>
            <sz val="8"/>
            <color indexed="81"/>
            <rFont val="Segoe UI"/>
            <family val="2"/>
          </rPr>
          <t xml:space="preserve">
no adjustment required, but general formula for temperature adjustment factor can still be applied:
f_ix = (θ*_int,i - θ_x)/(θ_int,i - θ_e)</t>
        </r>
      </text>
    </comment>
    <comment ref="Q36" authorId="0">
      <text>
        <r>
          <rPr>
            <b/>
            <sz val="8"/>
            <color indexed="81"/>
            <rFont val="Segoe UI"/>
            <family val="2"/>
          </rPr>
          <t>Jens Rosenkranz:</t>
        </r>
        <r>
          <rPr>
            <sz val="8"/>
            <color indexed="81"/>
            <rFont val="Segoe UI"/>
            <family val="2"/>
          </rPr>
          <t xml:space="preserve">
Default value from national or informative annex</t>
        </r>
      </text>
    </comment>
  </commentList>
</comments>
</file>

<file path=xl/comments2.xml><?xml version="1.0" encoding="utf-8"?>
<comments xmlns="http://schemas.openxmlformats.org/spreadsheetml/2006/main">
  <authors>
    <author>Jens Rosenkranz</author>
  </authors>
  <commentList>
    <comment ref="H5" authorId="0">
      <text>
        <r>
          <rPr>
            <b/>
            <sz val="8"/>
            <color indexed="81"/>
            <rFont val="Segoe UI"/>
            <family val="2"/>
          </rPr>
          <t>Jens Rosenkranz:</t>
        </r>
        <r>
          <rPr>
            <sz val="8"/>
            <color indexed="81"/>
            <rFont val="Segoe UI"/>
            <family val="2"/>
          </rPr>
          <t xml:space="preserve">
Further distinction possible (reference sites etc.)</t>
        </r>
      </text>
    </comment>
  </commentList>
</comments>
</file>

<file path=xl/sharedStrings.xml><?xml version="1.0" encoding="utf-8"?>
<sst xmlns="http://schemas.openxmlformats.org/spreadsheetml/2006/main" count="526" uniqueCount="151">
  <si>
    <t>θ_int,i</t>
  </si>
  <si>
    <t>BE</t>
  </si>
  <si>
    <t>n_min</t>
  </si>
  <si>
    <t>°C</t>
  </si>
  <si>
    <t>1/h</t>
  </si>
  <si>
    <t xml:space="preserve">
</t>
  </si>
  <si>
    <t>Room</t>
  </si>
  <si>
    <t>i</t>
  </si>
  <si>
    <t>BE2 | Room 1</t>
  </si>
  <si>
    <t>k</t>
  </si>
  <si>
    <t>Heated space</t>
  </si>
  <si>
    <t>Building element</t>
  </si>
  <si>
    <t>Floor</t>
  </si>
  <si>
    <t>Ceiling</t>
  </si>
  <si>
    <t>Ext Wall N</t>
  </si>
  <si>
    <t>Int Wall S 1</t>
  </si>
  <si>
    <t>Int Wall S 2</t>
  </si>
  <si>
    <t>Ext Wall E</t>
  </si>
  <si>
    <t>Ext Window E</t>
  </si>
  <si>
    <t>Int Wall W</t>
  </si>
  <si>
    <t>W/m²K</t>
  </si>
  <si>
    <t>U_k</t>
  </si>
  <si>
    <t>Area</t>
  </si>
  <si>
    <t>A_k</t>
  </si>
  <si>
    <t>Thermal transmittance</t>
  </si>
  <si>
    <t>m</t>
  </si>
  <si>
    <t>Adjacent space</t>
  </si>
  <si>
    <t>Ground</t>
  </si>
  <si>
    <t>Unheated space</t>
  </si>
  <si>
    <t>Exterior</t>
  </si>
  <si>
    <t>BE2</t>
  </si>
  <si>
    <t>BE/z</t>
  </si>
  <si>
    <t>BE1</t>
  </si>
  <si>
    <t>Int Wall N</t>
  </si>
  <si>
    <t>Ext Wall S</t>
  </si>
  <si>
    <t>Ext Window S</t>
  </si>
  <si>
    <t>Int Wall E</t>
  </si>
  <si>
    <t>Ext Wall W</t>
  </si>
  <si>
    <t>Ext Window W</t>
  </si>
  <si>
    <t>Int Wall S</t>
  </si>
  <si>
    <t>Int Window S 1</t>
  </si>
  <si>
    <t>Int Window S 2</t>
  </si>
  <si>
    <t>-</t>
  </si>
  <si>
    <t>Temperature adjustment factor</t>
  </si>
  <si>
    <t>f_ix</t>
  </si>
  <si>
    <t>Index</t>
  </si>
  <si>
    <t>ig</t>
  </si>
  <si>
    <t>iae</t>
  </si>
  <si>
    <t>ie</t>
  </si>
  <si>
    <t>iaBE</t>
  </si>
  <si>
    <t>ia</t>
  </si>
  <si>
    <t>Ventilation type</t>
  </si>
  <si>
    <t>Natural ventilation, air-tight building</t>
  </si>
  <si>
    <t>m²</t>
  </si>
  <si>
    <t>Internal design temperature</t>
  </si>
  <si>
    <t>Temperature of adjacent space</t>
  </si>
  <si>
    <t>θ_a</t>
  </si>
  <si>
    <t>θ_me</t>
  </si>
  <si>
    <t>θ_e</t>
  </si>
  <si>
    <t>Depth of water table below floor slab</t>
  </si>
  <si>
    <t>&gt; 1</t>
  </si>
  <si>
    <t>Exposed periphery (floors)</t>
  </si>
  <si>
    <t>P</t>
  </si>
  <si>
    <t>H_ue</t>
  </si>
  <si>
    <t>W/K</t>
  </si>
  <si>
    <t>Thermal bridges</t>
  </si>
  <si>
    <t>ΔU_TB</t>
  </si>
  <si>
    <t>Heat transfer coefficient from BE directly or indirectly to exterior</t>
  </si>
  <si>
    <t>Depth below ground level (floors, basement walls)</t>
  </si>
  <si>
    <t>z</t>
  </si>
  <si>
    <t>Geometric parameter floor slab</t>
  </si>
  <si>
    <t>B'</t>
  </si>
  <si>
    <t>Influence of ground water and annual temperature variation</t>
  </si>
  <si>
    <t>f_GW,k * f_θann</t>
  </si>
  <si>
    <t>Equivalent U-value (floors, basement walls)</t>
  </si>
  <si>
    <t>U_equiv,k</t>
  </si>
  <si>
    <t>Heat transfer coefficient between adjoining rooms and BE</t>
  </si>
  <si>
    <t>H_ju</t>
  </si>
  <si>
    <t>W</t>
  </si>
  <si>
    <t>BE1 | Room1</t>
  </si>
  <si>
    <t>BE1 | Room2</t>
  </si>
  <si>
    <t>BE2 | Room1</t>
  </si>
  <si>
    <t>BE2 | Room2</t>
  </si>
  <si>
    <t>H_ju * θ_j</t>
  </si>
  <si>
    <t>H_ue * θ_e</t>
  </si>
  <si>
    <t>Internal temperature of BE (looked upon as unheated BE)</t>
  </si>
  <si>
    <t>θ_u</t>
  </si>
  <si>
    <t>Annual mean external temperature</t>
  </si>
  <si>
    <t>External design temperature</t>
  </si>
  <si>
    <t>θ_x,min</t>
  </si>
  <si>
    <t>Transmission heat loss coefficient from i to x</t>
  </si>
  <si>
    <t>Building entity</t>
  </si>
  <si>
    <t>Ventilation zone</t>
  </si>
  <si>
    <t>Minimum air flow rate of the heated space i</t>
  </si>
  <si>
    <t>n_min,i</t>
  </si>
  <si>
    <t>Internal volume of i</t>
  </si>
  <si>
    <t>V_i</t>
  </si>
  <si>
    <t>m³</t>
  </si>
  <si>
    <t>Minimum air flow of i</t>
  </si>
  <si>
    <t>q_v,min,i</t>
  </si>
  <si>
    <t>m³/h</t>
  </si>
  <si>
    <t>Φ_v,i</t>
  </si>
  <si>
    <t>ρ * c_w</t>
  </si>
  <si>
    <t>Wh/m³K</t>
  </si>
  <si>
    <t>Temperature- and volume-specific thermal capacity of air</t>
  </si>
  <si>
    <t>Φ_v,z</t>
  </si>
  <si>
    <t>Φ_v,build</t>
  </si>
  <si>
    <t>Transmission heat loss</t>
  </si>
  <si>
    <t>Φ_HL,i</t>
  </si>
  <si>
    <t>Φ_HL,BE</t>
  </si>
  <si>
    <t>Φ_HL,build</t>
  </si>
  <si>
    <t>Additional heating-up capacities</t>
  </si>
  <si>
    <t>none</t>
  </si>
  <si>
    <t>Design heat load</t>
  </si>
  <si>
    <t>Design transmission heat loss</t>
  </si>
  <si>
    <t>Design ventilation heat loss</t>
  </si>
  <si>
    <t>Φ_T,i</t>
  </si>
  <si>
    <t>Φ_T,z</t>
  </si>
  <si>
    <t>Φ_T,build</t>
  </si>
  <si>
    <t>H_T,ix</t>
  </si>
  <si>
    <t>Φ_T,ix</t>
  </si>
  <si>
    <t>External walls</t>
  </si>
  <si>
    <t>Internal walls between rooms of one BE</t>
  </si>
  <si>
    <t>Windows</t>
  </si>
  <si>
    <t>Internal walls between BEs, floors</t>
  </si>
  <si>
    <t>U</t>
  </si>
  <si>
    <t>Ventilation</t>
  </si>
  <si>
    <t>Transmission</t>
  </si>
  <si>
    <t>Total</t>
  </si>
  <si>
    <t>acb</t>
  </si>
  <si>
    <t>Input / project specifications</t>
  </si>
  <si>
    <t>Calculated data: interim/end results</t>
  </si>
  <si>
    <t>unheated (winter garden, glazed balkony, etc.)</t>
  </si>
  <si>
    <t>Building entity / Ventilation zone</t>
  </si>
  <si>
    <t>Minimum temperature of unoccupied spaces / building entities</t>
  </si>
  <si>
    <t>Repeated occurrence of input data</t>
  </si>
  <si>
    <t>Repeated occurrence of calculated data</t>
  </si>
  <si>
    <t>DISCLAIMER:</t>
  </si>
  <si>
    <r>
      <t>·</t>
    </r>
    <r>
      <rPr>
        <sz val="7"/>
        <color theme="1"/>
        <rFont val="Times New Roman"/>
        <family val="1"/>
      </rPr>
      <t xml:space="preserve">        </t>
    </r>
    <r>
      <rPr>
        <sz val="10"/>
        <color theme="1"/>
        <rFont val="Arial"/>
        <family val="2"/>
      </rPr>
      <t xml:space="preserve">This spreadsheet has been developed in the framework of the preparation and revision of the set of EN or ISO standards on the energy performance of buildings, to support the European "Energy Performance of Buildings Directive" recast (EPBD-recast, directive 2010/31/EU). </t>
    </r>
  </si>
  <si>
    <r>
      <t>·</t>
    </r>
    <r>
      <rPr>
        <sz val="7"/>
        <color theme="1"/>
        <rFont val="Times New Roman"/>
        <family val="1"/>
      </rPr>
      <t xml:space="preserve">        </t>
    </r>
    <r>
      <rPr>
        <sz val="10"/>
        <color theme="1"/>
        <rFont val="Arial"/>
        <family val="2"/>
      </rPr>
      <t>It is meant for use by  CEN and ISO technical committee(s) and the working group(s) working on the preparation or revision of the EPB-standard to which this spreadsheet applies. The spreadsheet supports checking  that all equations in the developed standard are consistent and can be linked with other relevant standards. It is not meant to perform a full or partial energy performance calculation.</t>
    </r>
  </si>
  <si>
    <r>
      <t>·</t>
    </r>
    <r>
      <rPr>
        <sz val="7"/>
        <color theme="1"/>
        <rFont val="Times New Roman"/>
        <family val="1"/>
      </rPr>
      <t xml:space="preserve">        </t>
    </r>
    <r>
      <rPr>
        <sz val="10"/>
        <color theme="1"/>
        <rFont val="Arial"/>
        <family val="2"/>
      </rPr>
      <t>The spreadsheet supports the expert user of the standards, in particular those who want to review the content of the standard and those who want to translate the standard to a software, to understand the correct interpretation of the equations and calculation steps in the standard.</t>
    </r>
  </si>
  <si>
    <r>
      <t>·</t>
    </r>
    <r>
      <rPr>
        <sz val="7"/>
        <color theme="1"/>
        <rFont val="Times New Roman"/>
        <family val="1"/>
      </rPr>
      <t xml:space="preserve">        </t>
    </r>
    <r>
      <rPr>
        <sz val="10"/>
        <color theme="1"/>
        <rFont val="Arial"/>
        <family val="2"/>
      </rPr>
      <t>Although it has been developed with care, neither the technical committee(s), nor the working group(s) and experts related to the EPB- standard to which this spreadsheet applies warrant that the calculations and procedures in this spreadsheet are free of errors. The technical committees as well as the working groups and their respective members expressly disclaim any liability or responsibility arising from use of this spreadsheet, or any consequences thereof. Any responsibility arising from the use of this spreadsheet lies with the user.</t>
    </r>
  </si>
  <si>
    <t>DRAFT VERSION:</t>
  </si>
  <si>
    <r>
      <t>·</t>
    </r>
    <r>
      <rPr>
        <sz val="7"/>
        <color theme="1"/>
        <rFont val="Times New Roman"/>
        <family val="1"/>
      </rPr>
      <t xml:space="preserve">        </t>
    </r>
    <r>
      <rPr>
        <sz val="10"/>
        <color theme="1"/>
        <rFont val="Arial"/>
        <family val="2"/>
      </rPr>
      <t>As long as the associated EPB standard or any of the other EPB standards to which it is directly linked are in a draft stage, this spreadsheet is also a draft version only.</t>
    </r>
  </si>
  <si>
    <t xml:space="preserve">WARNINGS: </t>
  </si>
  <si>
    <r>
      <t>·</t>
    </r>
    <r>
      <rPr>
        <sz val="7"/>
        <color theme="1"/>
        <rFont val="Times New Roman"/>
        <family val="1"/>
      </rPr>
      <t xml:space="preserve">        </t>
    </r>
    <r>
      <rPr>
        <sz val="10"/>
        <color theme="1"/>
        <rFont val="Arial"/>
        <family val="2"/>
      </rPr>
      <t xml:space="preserve">Note that the spreadsheet may not allow testing all calculation options that are possible according to the standard to which it applies. This remark applies in particular but not only to limitations on the number instances of a variable that can be considered. </t>
    </r>
  </si>
  <si>
    <r>
      <t>·</t>
    </r>
    <r>
      <rPr>
        <sz val="7"/>
        <color theme="1"/>
        <rFont val="Times New Roman"/>
        <family val="1"/>
      </rPr>
      <t xml:space="preserve">        </t>
    </r>
    <r>
      <rPr>
        <sz val="10"/>
        <color theme="1"/>
        <rFont val="Arial"/>
        <family val="2"/>
      </rPr>
      <t>In case of differences, the standard should be regarded as the reference, not the spreadsheet. However, during the standard's drafting phase, shortcomings in the draft standard may have been detected and dealt with in the spreadsheets (ideally, such differences are marked).</t>
    </r>
  </si>
  <si>
    <r>
      <t>·</t>
    </r>
    <r>
      <rPr>
        <sz val="7"/>
        <color theme="1"/>
        <rFont val="Times New Roman"/>
        <family val="1"/>
      </rPr>
      <t xml:space="preserve">        </t>
    </r>
    <r>
      <rPr>
        <sz val="10"/>
        <color theme="1"/>
        <rFont val="Arial"/>
        <family val="2"/>
      </rPr>
      <t xml:space="preserve">Note also that these spreadsheets are purely intended for testing and demonstration and therefore not aiming to be user friendly or to be protected against wrong or improper use. </t>
    </r>
  </si>
  <si>
    <t>TERMS OF USE:</t>
  </si>
  <si>
    <r>
      <t>·</t>
    </r>
    <r>
      <rPr>
        <sz val="7"/>
        <color theme="1"/>
        <rFont val="Times New Roman"/>
        <family val="1"/>
      </rPr>
      <t xml:space="preserve">        </t>
    </r>
    <r>
      <rPr>
        <sz val="10"/>
        <color theme="1"/>
        <rFont val="Arial"/>
        <family val="2"/>
      </rPr>
      <t>The user is not allowed to redistribute a modified version of this spreadsheet.</t>
    </r>
  </si>
  <si>
    <r>
      <t>·</t>
    </r>
    <r>
      <rPr>
        <sz val="7"/>
        <color theme="1"/>
        <rFont val="Times New Roman"/>
        <family val="1"/>
      </rPr>
      <t xml:space="preserve">        </t>
    </r>
    <r>
      <rPr>
        <sz val="10"/>
        <color theme="1"/>
        <rFont val="Arial"/>
        <family val="2"/>
      </rPr>
      <t>The author(s) would appreciate your feed back on the spreadsheet via the comment sheets for the associated draft standard to be prepared by the national standards bodies during enquiry of the draft standard(s),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</si>
</sst>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theme="1"/>
      <name val="Arial Narrow"/>
      <family val="2"/>
    </font>
    <font>
      <sz val="8"/>
      <color theme="1"/>
      <name val="Arial Narrow"/>
      <family val="2"/>
    </font>
    <font>
      <sz val="10"/>
      <color theme="0"/>
      <name val="Arial Narrow"/>
      <family val="2"/>
    </font>
    <font>
      <sz val="10"/>
      <name val="Arial Narrow"/>
      <family val="2"/>
    </font>
    <font>
      <sz val="8"/>
      <color indexed="81"/>
      <name val="Segoe UI"/>
      <family val="2"/>
    </font>
    <font>
      <b/>
      <sz val="8"/>
      <color indexed="81"/>
      <name val="Segoe UI"/>
      <family val="2"/>
    </font>
    <font>
      <i/>
      <sz val="10"/>
      <color theme="0"/>
      <name val="Arial Narrow"/>
      <family val="2"/>
    </font>
    <font>
      <b/>
      <sz val="14"/>
      <color theme="0"/>
      <name val="Arial Narrow"/>
      <family val="2"/>
    </font>
    <font>
      <sz val="10"/>
      <color theme="1"/>
      <name val="Arial"/>
      <family val="2"/>
    </font>
    <font>
      <b/>
      <sz val="10"/>
      <color theme="1"/>
      <name val="Arial"/>
      <family val="2"/>
    </font>
    <font>
      <sz val="10"/>
      <color theme="1"/>
      <name val="Symbol"/>
      <family val="1"/>
      <charset val="2"/>
    </font>
    <font>
      <sz val="7"/>
      <color theme="1"/>
      <name val="Times New Roman"/>
      <family val="1"/>
    </font>
  </fonts>
  <fills count="9">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4"/>
        <bgColor indexed="64"/>
      </patternFill>
    </fill>
    <fill>
      <patternFill patternType="solid">
        <fgColor theme="7" tint="-0.249977111117893"/>
        <bgColor indexed="64"/>
      </patternFill>
    </fill>
    <fill>
      <patternFill patternType="solid">
        <fgColor theme="9"/>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5">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Alignment="1">
      <alignment horizontal="left" vertical="center" wrapText="1"/>
    </xf>
    <xf numFmtId="0" fontId="2" fillId="4" borderId="1" xfId="0" applyFont="1" applyFill="1" applyBorder="1" applyAlignment="1">
      <alignment horizontal="center" vertical="center" textRotation="90"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2" fillId="4" borderId="1"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2" fontId="2" fillId="6" borderId="2" xfId="0" applyNumberFormat="1" applyFont="1" applyFill="1" applyBorder="1" applyAlignment="1">
      <alignment horizontal="center" vertical="center" wrapText="1"/>
    </xf>
    <xf numFmtId="164" fontId="3" fillId="5" borderId="2" xfId="0" applyNumberFormat="1" applyFont="1" applyFill="1" applyBorder="1" applyAlignment="1">
      <alignment horizontal="center" vertical="center" wrapText="1"/>
    </xf>
    <xf numFmtId="164" fontId="3" fillId="0" borderId="2"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5"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2" fontId="2" fillId="8" borderId="2" xfId="0" applyNumberFormat="1" applyFont="1" applyFill="1" applyBorder="1" applyAlignment="1">
      <alignment horizontal="center" vertical="center" wrapText="1"/>
    </xf>
    <xf numFmtId="2" fontId="0" fillId="0" borderId="2" xfId="0" applyNumberFormat="1" applyFont="1" applyFill="1" applyBorder="1" applyAlignment="1">
      <alignment horizontal="center" vertical="center" wrapText="1"/>
    </xf>
    <xf numFmtId="2" fontId="0" fillId="0" borderId="1" xfId="0" applyNumberFormat="1" applyFont="1" applyFill="1" applyBorder="1" applyAlignment="1">
      <alignment horizontal="center" vertical="center" wrapText="1"/>
    </xf>
    <xf numFmtId="0" fontId="2" fillId="4" borderId="7" xfId="0" applyFont="1" applyFill="1" applyBorder="1" applyAlignment="1">
      <alignment horizontal="center" vertical="center" textRotation="90" wrapText="1"/>
    </xf>
    <xf numFmtId="0" fontId="2" fillId="4" borderId="8" xfId="0" applyFont="1" applyFill="1" applyBorder="1" applyAlignment="1">
      <alignment horizontal="center" vertical="center" textRotation="90" wrapText="1"/>
    </xf>
    <xf numFmtId="0" fontId="2" fillId="4" borderId="11" xfId="0" applyFont="1" applyFill="1" applyBorder="1" applyAlignment="1">
      <alignment horizontal="center" vertical="center" textRotation="90" wrapText="1"/>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0" fillId="0" borderId="8" xfId="0" applyFont="1" applyFill="1" applyBorder="1" applyAlignment="1">
      <alignment horizontal="center" vertical="center" wrapText="1"/>
    </xf>
    <xf numFmtId="2" fontId="2" fillId="0" borderId="8" xfId="0" applyNumberFormat="1" applyFont="1" applyFill="1" applyBorder="1" applyAlignment="1">
      <alignment horizontal="center" vertical="center" wrapText="1"/>
    </xf>
    <xf numFmtId="2" fontId="2" fillId="8" borderId="8" xfId="0" applyNumberFormat="1" applyFont="1" applyFill="1" applyBorder="1" applyAlignment="1">
      <alignment horizontal="center" vertical="center" wrapText="1"/>
    </xf>
    <xf numFmtId="2" fontId="2" fillId="8" borderId="22" xfId="0" applyNumberFormat="1" applyFont="1" applyFill="1" applyBorder="1" applyAlignment="1">
      <alignment horizontal="center" vertical="center" wrapText="1"/>
    </xf>
    <xf numFmtId="2" fontId="2" fillId="8" borderId="24" xfId="0" applyNumberFormat="1" applyFont="1" applyFill="1" applyBorder="1" applyAlignment="1">
      <alignment horizontal="center" vertical="center" wrapText="1"/>
    </xf>
    <xf numFmtId="2" fontId="0" fillId="0" borderId="14" xfId="0" applyNumberFormat="1"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6" xfId="0" applyFont="1" applyFill="1" applyBorder="1" applyAlignment="1">
      <alignment horizontal="left" vertical="center" wrapText="1"/>
    </xf>
    <xf numFmtId="0" fontId="0" fillId="0" borderId="16" xfId="0" applyFont="1" applyFill="1" applyBorder="1" applyAlignment="1">
      <alignment horizontal="center" vertical="center" wrapText="1"/>
    </xf>
    <xf numFmtId="2" fontId="0" fillId="0" borderId="26" xfId="0" applyNumberFormat="1" applyFont="1" applyFill="1" applyBorder="1" applyAlignment="1">
      <alignment horizontal="center" vertical="center" wrapText="1"/>
    </xf>
    <xf numFmtId="2" fontId="2" fillId="8" borderId="26" xfId="0" applyNumberFormat="1" applyFont="1" applyFill="1" applyBorder="1" applyAlignment="1">
      <alignment horizontal="center" vertical="center" wrapText="1"/>
    </xf>
    <xf numFmtId="2" fontId="2" fillId="8" borderId="27" xfId="0" applyNumberFormat="1" applyFont="1" applyFill="1" applyBorder="1" applyAlignment="1">
      <alignment horizontal="center" vertical="center" wrapText="1"/>
    </xf>
    <xf numFmtId="2" fontId="0" fillId="0" borderId="31" xfId="0" applyNumberFormat="1" applyFont="1" applyFill="1" applyBorder="1" applyAlignment="1">
      <alignment horizontal="center" vertical="center" wrapText="1"/>
    </xf>
    <xf numFmtId="2" fontId="0" fillId="0" borderId="32" xfId="0" applyNumberFormat="1" applyFont="1" applyFill="1" applyBorder="1" applyAlignment="1">
      <alignment horizontal="center" vertical="center" wrapText="1"/>
    </xf>
    <xf numFmtId="2" fontId="2" fillId="8" borderId="33" xfId="0" applyNumberFormat="1" applyFont="1" applyFill="1" applyBorder="1" applyAlignment="1">
      <alignment horizontal="center" vertical="center" wrapText="1"/>
    </xf>
    <xf numFmtId="2" fontId="0" fillId="0" borderId="34" xfId="0" applyNumberFormat="1" applyFont="1" applyFill="1" applyBorder="1" applyAlignment="1">
      <alignment horizontal="center" vertical="center" wrapText="1"/>
    </xf>
    <xf numFmtId="2" fontId="2" fillId="8" borderId="7" xfId="0" applyNumberFormat="1" applyFont="1" applyFill="1" applyBorder="1" applyAlignment="1">
      <alignment horizontal="center" vertical="center" wrapText="1"/>
    </xf>
    <xf numFmtId="2" fontId="2" fillId="8" borderId="35" xfId="0" applyNumberFormat="1" applyFont="1" applyFill="1" applyBorder="1" applyAlignment="1">
      <alignment horizontal="center" vertical="center" wrapText="1"/>
    </xf>
    <xf numFmtId="2" fontId="2" fillId="8" borderId="25" xfId="0" applyNumberFormat="1" applyFont="1" applyFill="1" applyBorder="1" applyAlignment="1">
      <alignment horizontal="center" vertical="center" wrapText="1"/>
    </xf>
    <xf numFmtId="2" fontId="2" fillId="8" borderId="9" xfId="0" applyNumberFormat="1" applyFont="1" applyFill="1" applyBorder="1" applyAlignment="1">
      <alignment horizontal="center" vertical="center" wrapText="1"/>
    </xf>
    <xf numFmtId="2" fontId="2" fillId="8" borderId="3" xfId="0" applyNumberFormat="1" applyFont="1" applyFill="1" applyBorder="1" applyAlignment="1">
      <alignment horizontal="center" vertical="center" wrapText="1"/>
    </xf>
    <xf numFmtId="2" fontId="2" fillId="8" borderId="36" xfId="0" applyNumberFormat="1" applyFont="1" applyFill="1" applyBorder="1" applyAlignment="1">
      <alignment horizontal="center" vertical="center" wrapText="1"/>
    </xf>
    <xf numFmtId="2" fontId="2" fillId="6" borderId="8" xfId="0" applyNumberFormat="1" applyFont="1" applyFill="1" applyBorder="1" applyAlignment="1">
      <alignment horizontal="center" vertical="center" wrapText="1"/>
    </xf>
    <xf numFmtId="2" fontId="2" fillId="6" borderId="22" xfId="0" applyNumberFormat="1" applyFont="1" applyFill="1" applyBorder="1" applyAlignment="1">
      <alignment horizontal="center" vertical="center" wrapText="1"/>
    </xf>
    <xf numFmtId="2" fontId="2" fillId="6" borderId="14" xfId="0" applyNumberFormat="1" applyFont="1" applyFill="1" applyBorder="1" applyAlignment="1">
      <alignment horizontal="center" vertical="center" wrapText="1"/>
    </xf>
    <xf numFmtId="2" fontId="0" fillId="0" borderId="24" xfId="0" applyNumberFormat="1" applyFont="1" applyFill="1" applyBorder="1" applyAlignment="1">
      <alignment horizontal="center" vertical="center" wrapText="1"/>
    </xf>
    <xf numFmtId="164" fontId="6" fillId="8" borderId="26" xfId="0" applyNumberFormat="1" applyFont="1" applyFill="1" applyBorder="1" applyAlignment="1">
      <alignment horizontal="center" vertical="center" wrapText="1"/>
    </xf>
    <xf numFmtId="2" fontId="0" fillId="0" borderId="16" xfId="0" applyNumberFormat="1" applyFont="1" applyFill="1" applyBorder="1" applyAlignment="1">
      <alignment horizontal="center" vertical="center" wrapText="1"/>
    </xf>
    <xf numFmtId="2" fontId="2" fillId="6" borderId="26" xfId="0" applyNumberFormat="1" applyFont="1" applyFill="1" applyBorder="1" applyAlignment="1">
      <alignment horizontal="center" vertical="center" wrapText="1"/>
    </xf>
    <xf numFmtId="2" fontId="0" fillId="0" borderId="27" xfId="0" applyNumberFormat="1" applyFont="1" applyFill="1" applyBorder="1" applyAlignment="1">
      <alignment horizontal="center" vertical="center" wrapText="1"/>
    </xf>
    <xf numFmtId="164" fontId="3" fillId="0" borderId="16" xfId="0" applyNumberFormat="1" applyFont="1" applyFill="1" applyBorder="1" applyAlignment="1">
      <alignment horizontal="center" vertical="center" wrapText="1"/>
    </xf>
    <xf numFmtId="2" fontId="2" fillId="6" borderId="20" xfId="0" applyNumberFormat="1" applyFont="1" applyFill="1" applyBorder="1" applyAlignment="1">
      <alignment horizontal="center" vertical="center" wrapText="1"/>
    </xf>
    <xf numFmtId="2" fontId="0" fillId="0" borderId="33" xfId="0" applyNumberFormat="1" applyFont="1" applyFill="1" applyBorder="1" applyAlignment="1">
      <alignment horizontal="center" vertical="center" wrapText="1"/>
    </xf>
    <xf numFmtId="2" fontId="2" fillId="6" borderId="34" xfId="0" applyNumberFormat="1" applyFont="1" applyFill="1" applyBorder="1" applyAlignment="1">
      <alignment horizontal="center" vertical="center" wrapText="1"/>
    </xf>
    <xf numFmtId="2" fontId="0" fillId="0" borderId="30" xfId="0" applyNumberFormat="1" applyFont="1" applyFill="1" applyBorder="1" applyAlignment="1">
      <alignment horizontal="center" vertical="center" wrapText="1"/>
    </xf>
    <xf numFmtId="2" fontId="2" fillId="6" borderId="7" xfId="0" applyNumberFormat="1" applyFont="1" applyFill="1" applyBorder="1" applyAlignment="1">
      <alignment horizontal="center" vertical="center" wrapText="1"/>
    </xf>
    <xf numFmtId="2" fontId="2" fillId="6" borderId="35" xfId="0" applyNumberFormat="1" applyFont="1" applyFill="1" applyBorder="1" applyAlignment="1">
      <alignment horizontal="center" vertical="center" wrapText="1"/>
    </xf>
    <xf numFmtId="2" fontId="2" fillId="6" borderId="25" xfId="0" applyNumberFormat="1" applyFont="1" applyFill="1" applyBorder="1" applyAlignment="1">
      <alignment horizontal="center" vertical="center" wrapText="1"/>
    </xf>
    <xf numFmtId="2" fontId="2" fillId="6" borderId="9" xfId="0" applyNumberFormat="1" applyFont="1" applyFill="1" applyBorder="1" applyAlignment="1">
      <alignment horizontal="center" vertical="center" wrapText="1"/>
    </xf>
    <xf numFmtId="2" fontId="2" fillId="6" borderId="3" xfId="0" applyNumberFormat="1" applyFont="1" applyFill="1" applyBorder="1" applyAlignment="1">
      <alignment horizontal="center" vertical="center" wrapText="1"/>
    </xf>
    <xf numFmtId="2" fontId="2" fillId="6" borderId="36" xfId="0" applyNumberFormat="1" applyFont="1" applyFill="1" applyBorder="1" applyAlignment="1">
      <alignment horizontal="center" vertical="center" wrapText="1"/>
    </xf>
    <xf numFmtId="2" fontId="2" fillId="6" borderId="24" xfId="0" applyNumberFormat="1" applyFont="1" applyFill="1" applyBorder="1" applyAlignment="1">
      <alignment horizontal="center" vertical="center" wrapText="1"/>
    </xf>
    <xf numFmtId="2" fontId="2" fillId="6" borderId="27" xfId="0" applyNumberFormat="1" applyFont="1" applyFill="1" applyBorder="1" applyAlignment="1">
      <alignment horizontal="center" vertical="center" wrapText="1"/>
    </xf>
    <xf numFmtId="0" fontId="2" fillId="4" borderId="14" xfId="0" applyFont="1" applyFill="1" applyBorder="1" applyAlignment="1">
      <alignment horizontal="center" vertical="center" textRotation="90" wrapText="1"/>
    </xf>
    <xf numFmtId="0" fontId="0" fillId="0" borderId="41" xfId="0" applyFont="1" applyBorder="1" applyAlignment="1">
      <alignment horizontal="center" vertical="center" wrapText="1"/>
    </xf>
    <xf numFmtId="0" fontId="0" fillId="0" borderId="42" xfId="0" applyFont="1" applyBorder="1" applyAlignment="1">
      <alignment horizontal="center" vertical="center" wrapText="1"/>
    </xf>
    <xf numFmtId="0" fontId="0" fillId="0" borderId="43" xfId="0" applyFont="1" applyBorder="1" applyAlignment="1">
      <alignment horizontal="left" vertical="center" wrapText="1"/>
    </xf>
    <xf numFmtId="0" fontId="3" fillId="5" borderId="8"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0" fillId="5" borderId="8" xfId="0" applyFont="1" applyFill="1" applyBorder="1" applyAlignment="1">
      <alignment horizontal="center" vertical="center" wrapText="1"/>
    </xf>
    <xf numFmtId="164" fontId="2" fillId="8" borderId="8" xfId="0" applyNumberFormat="1" applyFont="1" applyFill="1" applyBorder="1" applyAlignment="1">
      <alignment horizontal="center" vertical="center" wrapText="1"/>
    </xf>
    <xf numFmtId="1" fontId="2" fillId="8" borderId="22" xfId="0" applyNumberFormat="1" applyFont="1" applyFill="1" applyBorder="1" applyAlignment="1">
      <alignment horizontal="center" vertical="center" wrapText="1"/>
    </xf>
    <xf numFmtId="0" fontId="0" fillId="5" borderId="16" xfId="0" applyFont="1" applyFill="1" applyBorder="1" applyAlignment="1">
      <alignment horizontal="center" vertical="center" wrapText="1"/>
    </xf>
    <xf numFmtId="164" fontId="2" fillId="8" borderId="26" xfId="0" applyNumberFormat="1" applyFont="1" applyFill="1" applyBorder="1" applyAlignment="1">
      <alignment horizontal="center" vertical="center" wrapText="1"/>
    </xf>
    <xf numFmtId="1" fontId="2" fillId="8" borderId="27" xfId="0" applyNumberFormat="1" applyFont="1" applyFill="1" applyBorder="1" applyAlignment="1">
      <alignment horizontal="center" vertical="center" wrapText="1"/>
    </xf>
    <xf numFmtId="164" fontId="2" fillId="6" borderId="8" xfId="0" applyNumberFormat="1" applyFont="1" applyFill="1" applyBorder="1" applyAlignment="1">
      <alignment horizontal="center" vertical="center" wrapText="1"/>
    </xf>
    <xf numFmtId="1" fontId="2" fillId="6" borderId="22" xfId="0" applyNumberFormat="1" applyFont="1" applyFill="1" applyBorder="1" applyAlignment="1">
      <alignment horizontal="center" vertical="center" wrapText="1"/>
    </xf>
    <xf numFmtId="164" fontId="2" fillId="6" borderId="26" xfId="0" applyNumberFormat="1" applyFont="1" applyFill="1" applyBorder="1" applyAlignment="1">
      <alignment horizontal="center" vertical="center" wrapText="1"/>
    </xf>
    <xf numFmtId="1" fontId="2" fillId="6" borderId="27" xfId="0" applyNumberFormat="1" applyFont="1" applyFill="1" applyBorder="1" applyAlignment="1">
      <alignment horizontal="center" vertical="center" wrapText="1"/>
    </xf>
    <xf numFmtId="0" fontId="2" fillId="4" borderId="22" xfId="0" applyFont="1" applyFill="1" applyBorder="1" applyAlignment="1">
      <alignment horizontal="center" vertical="center" textRotation="90" wrapText="1"/>
    </xf>
    <xf numFmtId="0" fontId="0" fillId="0" borderId="22"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29"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30" xfId="0" applyFont="1" applyFill="1" applyBorder="1" applyAlignment="1">
      <alignment horizontal="left" vertical="center" wrapText="1"/>
    </xf>
    <xf numFmtId="0" fontId="0" fillId="5" borderId="8" xfId="0" applyFont="1" applyFill="1" applyBorder="1" applyAlignment="1">
      <alignment horizontal="left" vertical="center" wrapText="1"/>
    </xf>
    <xf numFmtId="0" fontId="0" fillId="5" borderId="16" xfId="0" applyFont="1" applyFill="1" applyBorder="1" applyAlignment="1">
      <alignment horizontal="left" vertical="center" wrapText="1"/>
    </xf>
    <xf numFmtId="1" fontId="2" fillId="8" borderId="20" xfId="0" applyNumberFormat="1" applyFont="1" applyFill="1" applyBorder="1" applyAlignment="1">
      <alignment horizontal="center" vertical="center" wrapText="1"/>
    </xf>
    <xf numFmtId="1" fontId="2" fillId="6" borderId="20" xfId="0" applyNumberFormat="1" applyFont="1" applyFill="1" applyBorder="1" applyAlignment="1">
      <alignment horizontal="center" vertical="center" wrapText="1"/>
    </xf>
    <xf numFmtId="2" fontId="0" fillId="0" borderId="0" xfId="0" applyNumberFormat="1" applyFont="1" applyFill="1" applyBorder="1" applyAlignment="1">
      <alignment horizontal="center" vertical="center" wrapText="1"/>
    </xf>
    <xf numFmtId="0" fontId="0" fillId="5" borderId="5"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8" borderId="5" xfId="0" applyFont="1" applyFill="1" applyBorder="1" applyAlignment="1">
      <alignment horizontal="left" vertical="center" wrapText="1"/>
    </xf>
    <xf numFmtId="0" fontId="2"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8" borderId="5" xfId="0" applyFont="1" applyFill="1" applyBorder="1" applyAlignment="1">
      <alignment horizontal="left" vertical="center" wrapText="1"/>
    </xf>
    <xf numFmtId="164" fontId="3" fillId="5" borderId="8" xfId="0" applyNumberFormat="1" applyFont="1" applyFill="1" applyBorder="1" applyAlignment="1">
      <alignment horizontal="center" vertical="center" wrapText="1"/>
    </xf>
    <xf numFmtId="0" fontId="0" fillId="5" borderId="26" xfId="0" applyFont="1" applyFill="1" applyBorder="1" applyAlignment="1">
      <alignment horizontal="center" vertical="center" wrapText="1"/>
    </xf>
    <xf numFmtId="164" fontId="3" fillId="5" borderId="26" xfId="0" applyNumberFormat="1" applyFont="1" applyFill="1" applyBorder="1" applyAlignment="1">
      <alignment horizontal="center" vertical="center" wrapText="1"/>
    </xf>
    <xf numFmtId="0" fontId="0" fillId="0" borderId="37" xfId="0" applyFont="1" applyBorder="1" applyAlignment="1">
      <alignment horizontal="left" vertical="center" wrapText="1"/>
    </xf>
    <xf numFmtId="0" fontId="0" fillId="0" borderId="10" xfId="0" applyFont="1" applyBorder="1" applyAlignment="1">
      <alignment horizontal="left" vertical="center" wrapText="1"/>
    </xf>
    <xf numFmtId="0" fontId="0" fillId="0" borderId="22" xfId="0" applyFont="1" applyBorder="1" applyAlignment="1">
      <alignment horizontal="left" vertical="center" wrapText="1"/>
    </xf>
    <xf numFmtId="0" fontId="0" fillId="5" borderId="38" xfId="0" applyFont="1" applyFill="1" applyBorder="1" applyAlignment="1">
      <alignment horizontal="left" vertical="center" wrapText="1"/>
    </xf>
    <xf numFmtId="0" fontId="0" fillId="0" borderId="14" xfId="0" applyFont="1" applyBorder="1" applyAlignment="1">
      <alignment horizontal="left" vertical="center" wrapText="1"/>
    </xf>
    <xf numFmtId="0" fontId="2" fillId="6" borderId="38" xfId="0" applyFont="1" applyFill="1" applyBorder="1" applyAlignment="1">
      <alignment horizontal="left" vertical="center" wrapText="1"/>
    </xf>
    <xf numFmtId="0" fontId="2" fillId="8" borderId="38" xfId="0" applyFont="1" applyFill="1" applyBorder="1" applyAlignment="1">
      <alignment horizontal="left" vertical="center" wrapText="1"/>
    </xf>
    <xf numFmtId="0" fontId="2" fillId="7" borderId="38" xfId="0" applyFont="1" applyFill="1" applyBorder="1" applyAlignment="1">
      <alignment horizontal="left" vertical="center" wrapText="1"/>
    </xf>
    <xf numFmtId="0" fontId="6" fillId="6" borderId="38" xfId="0" applyFont="1" applyFill="1" applyBorder="1" applyAlignment="1">
      <alignment horizontal="left" vertical="center" wrapText="1"/>
    </xf>
    <xf numFmtId="0" fontId="6" fillId="8"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18" xfId="0" applyFont="1" applyFill="1" applyBorder="1" applyAlignment="1">
      <alignment horizontal="left" vertical="center" wrapText="1"/>
    </xf>
    <xf numFmtId="0" fontId="9" fillId="0" borderId="0" xfId="0" applyFont="1" applyAlignment="1">
      <alignment vertical="center"/>
    </xf>
    <xf numFmtId="0" fontId="10" fillId="0" borderId="0" xfId="0" applyFont="1" applyAlignment="1">
      <alignment horizontal="left" vertical="center" indent="5"/>
    </xf>
    <xf numFmtId="0" fontId="8" fillId="0" borderId="0" xfId="0" applyFont="1" applyAlignment="1">
      <alignment vertical="center"/>
    </xf>
    <xf numFmtId="0" fontId="10" fillId="0" borderId="0" xfId="0" applyFont="1" applyAlignment="1">
      <alignment horizontal="left" vertical="center" indent="2"/>
    </xf>
    <xf numFmtId="0" fontId="0" fillId="0" borderId="14" xfId="0" applyFont="1" applyBorder="1" applyAlignment="1">
      <alignment horizontal="left" vertical="center" wrapText="1"/>
    </xf>
    <xf numFmtId="0" fontId="0" fillId="0" borderId="20" xfId="0" applyFont="1" applyBorder="1" applyAlignment="1">
      <alignment horizontal="left" vertical="center" wrapText="1"/>
    </xf>
    <xf numFmtId="0" fontId="7" fillId="4" borderId="44" xfId="0" applyFont="1" applyFill="1" applyBorder="1" applyAlignment="1">
      <alignment horizontal="center" vertical="center" wrapText="1"/>
    </xf>
    <xf numFmtId="0" fontId="7" fillId="4" borderId="45" xfId="0" applyFont="1" applyFill="1" applyBorder="1" applyAlignment="1">
      <alignment horizontal="center" vertical="center" wrapText="1"/>
    </xf>
    <xf numFmtId="0" fontId="7" fillId="4" borderId="46"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1" fontId="2" fillId="8" borderId="28" xfId="0" applyNumberFormat="1" applyFont="1" applyFill="1" applyBorder="1" applyAlignment="1">
      <alignment horizontal="center" vertical="center" wrapText="1"/>
    </xf>
    <xf numFmtId="1" fontId="2" fillId="8" borderId="29" xfId="0" applyNumberFormat="1" applyFont="1" applyFill="1" applyBorder="1" applyAlignment="1">
      <alignment horizontal="center" vertical="center" wrapText="1"/>
    </xf>
    <xf numFmtId="1" fontId="2" fillId="8" borderId="30" xfId="0" applyNumberFormat="1" applyFont="1" applyFill="1" applyBorder="1" applyAlignment="1">
      <alignment horizontal="center" vertical="center" wrapText="1"/>
    </xf>
    <xf numFmtId="1" fontId="2" fillId="6" borderId="28" xfId="0" applyNumberFormat="1" applyFont="1" applyFill="1" applyBorder="1" applyAlignment="1">
      <alignment horizontal="center" vertical="center" wrapText="1"/>
    </xf>
    <xf numFmtId="1" fontId="2" fillId="6" borderId="29" xfId="0" applyNumberFormat="1" applyFont="1" applyFill="1" applyBorder="1" applyAlignment="1">
      <alignment horizontal="center" vertical="center" wrapText="1"/>
    </xf>
    <xf numFmtId="1" fontId="2" fillId="6" borderId="30" xfId="0" applyNumberFormat="1" applyFont="1" applyFill="1" applyBorder="1" applyAlignment="1">
      <alignment horizontal="center" vertical="center" wrapText="1"/>
    </xf>
    <xf numFmtId="1" fontId="2" fillId="8" borderId="37" xfId="0" applyNumberFormat="1" applyFont="1" applyFill="1" applyBorder="1" applyAlignment="1">
      <alignment horizontal="center" vertical="center" wrapText="1"/>
    </xf>
    <xf numFmtId="1" fontId="2" fillId="8" borderId="38" xfId="0" applyNumberFormat="1" applyFont="1" applyFill="1" applyBorder="1" applyAlignment="1">
      <alignment horizontal="center" vertical="center" wrapText="1"/>
    </xf>
    <xf numFmtId="1" fontId="2" fillId="8" borderId="39" xfId="0" applyNumberFormat="1" applyFont="1" applyFill="1" applyBorder="1" applyAlignment="1">
      <alignment horizontal="center" vertical="center" wrapText="1"/>
    </xf>
    <xf numFmtId="164" fontId="2" fillId="6" borderId="31" xfId="0" applyNumberFormat="1" applyFont="1" applyFill="1" applyBorder="1" applyAlignment="1">
      <alignment horizontal="center" vertical="center" wrapText="1"/>
    </xf>
    <xf numFmtId="164" fontId="2" fillId="6" borderId="32" xfId="0" applyNumberFormat="1" applyFont="1" applyFill="1" applyBorder="1" applyAlignment="1">
      <alignment horizontal="center" vertical="center" wrapText="1"/>
    </xf>
    <xf numFmtId="164" fontId="2" fillId="6" borderId="34" xfId="0" applyNumberFormat="1" applyFont="1" applyFill="1" applyBorder="1" applyAlignment="1">
      <alignment horizontal="center" vertical="center" wrapText="1"/>
    </xf>
    <xf numFmtId="1" fontId="2" fillId="7" borderId="28" xfId="0" applyNumberFormat="1" applyFont="1" applyFill="1" applyBorder="1" applyAlignment="1">
      <alignment horizontal="center" vertical="center" wrapText="1"/>
    </xf>
    <xf numFmtId="1" fontId="2" fillId="7" borderId="29" xfId="0" applyNumberFormat="1" applyFont="1" applyFill="1" applyBorder="1" applyAlignment="1">
      <alignment horizontal="center" vertical="center" wrapText="1"/>
    </xf>
    <xf numFmtId="1" fontId="2" fillId="7" borderId="30" xfId="0" applyNumberFormat="1" applyFont="1" applyFill="1" applyBorder="1" applyAlignment="1">
      <alignment horizontal="center" vertical="center" wrapText="1"/>
    </xf>
    <xf numFmtId="2" fontId="2" fillId="8" borderId="28" xfId="0" applyNumberFormat="1" applyFont="1" applyFill="1" applyBorder="1" applyAlignment="1">
      <alignment horizontal="center" vertical="center" wrapText="1"/>
    </xf>
    <xf numFmtId="2" fontId="2" fillId="8" borderId="29" xfId="0" applyNumberFormat="1" applyFont="1" applyFill="1" applyBorder="1" applyAlignment="1">
      <alignment horizontal="center" vertical="center" wrapText="1"/>
    </xf>
    <xf numFmtId="2" fontId="2" fillId="8" borderId="30" xfId="0" applyNumberFormat="1" applyFont="1" applyFill="1" applyBorder="1" applyAlignment="1">
      <alignment horizontal="center" vertical="center" wrapText="1"/>
    </xf>
    <xf numFmtId="2" fontId="2" fillId="6" borderId="28" xfId="0" applyNumberFormat="1" applyFont="1" applyFill="1" applyBorder="1" applyAlignment="1">
      <alignment horizontal="center" vertical="center" wrapText="1"/>
    </xf>
    <xf numFmtId="2" fontId="2" fillId="6" borderId="29" xfId="0" applyNumberFormat="1" applyFont="1" applyFill="1" applyBorder="1" applyAlignment="1">
      <alignment horizontal="center" vertical="center" wrapText="1"/>
    </xf>
    <xf numFmtId="2" fontId="2" fillId="6" borderId="30" xfId="0" applyNumberFormat="1" applyFont="1" applyFill="1" applyBorder="1" applyAlignment="1">
      <alignment horizontal="center" vertical="center" wrapText="1"/>
    </xf>
    <xf numFmtId="0" fontId="0" fillId="5" borderId="7" xfId="0" applyFont="1" applyFill="1" applyBorder="1" applyAlignment="1">
      <alignment horizontal="left" vertical="center" wrapText="1"/>
    </xf>
    <xf numFmtId="0" fontId="0" fillId="5" borderId="15" xfId="0" applyFont="1" applyFill="1" applyBorder="1" applyAlignment="1">
      <alignment horizontal="left" vertical="center" wrapText="1"/>
    </xf>
    <xf numFmtId="0" fontId="2" fillId="4" borderId="8"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0" xfId="0" applyFont="1" applyFill="1" applyBorder="1" applyAlignment="1">
      <alignment horizontal="center" vertical="center" wrapText="1"/>
    </xf>
    <xf numFmtId="1" fontId="2" fillId="6" borderId="31" xfId="0" applyNumberFormat="1" applyFont="1" applyFill="1" applyBorder="1" applyAlignment="1">
      <alignment horizontal="center" vertical="center" wrapText="1"/>
    </xf>
    <xf numFmtId="1" fontId="2" fillId="6" borderId="34" xfId="0" applyNumberFormat="1" applyFont="1" applyFill="1" applyBorder="1" applyAlignment="1">
      <alignment horizontal="center" vertical="center" wrapText="1"/>
    </xf>
    <xf numFmtId="1" fontId="2" fillId="7" borderId="31" xfId="0" applyNumberFormat="1" applyFont="1" applyFill="1" applyBorder="1" applyAlignment="1">
      <alignment horizontal="center" vertical="center" wrapText="1"/>
    </xf>
    <xf numFmtId="1" fontId="2" fillId="7" borderId="32" xfId="0" applyNumberFormat="1" applyFont="1" applyFill="1" applyBorder="1" applyAlignment="1">
      <alignment horizontal="center" vertical="center" wrapText="1"/>
    </xf>
    <xf numFmtId="1" fontId="2" fillId="7" borderId="34" xfId="0" applyNumberFormat="1"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9" xfId="0" applyFont="1" applyFill="1" applyBorder="1" applyAlignment="1">
      <alignment horizontal="center" vertical="center" textRotation="90" wrapText="1"/>
    </xf>
    <xf numFmtId="0" fontId="2" fillId="4" borderId="10" xfId="0" applyFont="1" applyFill="1" applyBorder="1" applyAlignment="1">
      <alignment horizontal="center" vertical="center" textRotation="90" wrapText="1"/>
    </xf>
    <xf numFmtId="0" fontId="2" fillId="4" borderId="40" xfId="0" applyFont="1" applyFill="1" applyBorder="1" applyAlignment="1">
      <alignment horizontal="center" vertical="center" textRotation="90" wrapText="1"/>
    </xf>
    <xf numFmtId="0" fontId="2" fillId="4" borderId="2" xfId="0" applyFont="1" applyFill="1" applyBorder="1" applyAlignment="1">
      <alignment horizontal="center" vertical="center" textRotation="90" wrapText="1"/>
    </xf>
    <xf numFmtId="0" fontId="2" fillId="4" borderId="1"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2" fillId="4" borderId="21" xfId="0" applyFont="1" applyFill="1" applyBorder="1" applyAlignment="1">
      <alignment horizontal="center" vertical="center" textRotation="90" wrapText="1"/>
    </xf>
    <xf numFmtId="0" fontId="2" fillId="4" borderId="35" xfId="0" applyFont="1" applyFill="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161924</xdr:colOff>
      <xdr:row>5</xdr:row>
      <xdr:rowOff>0</xdr:rowOff>
    </xdr:from>
    <xdr:to>
      <xdr:col>39</xdr:col>
      <xdr:colOff>0</xdr:colOff>
      <xdr:row>28</xdr:row>
      <xdr:rowOff>0</xdr:rowOff>
    </xdr:to>
    <xdr:sp macro="" textlink="">
      <xdr:nvSpPr>
        <xdr:cNvPr id="2" name="Rechteck 1"/>
        <xdr:cNvSpPr/>
      </xdr:nvSpPr>
      <xdr:spPr>
        <a:xfrm>
          <a:off x="323849" y="323850"/>
          <a:ext cx="5667376" cy="372427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800">
            <a:latin typeface="Arial Narrow" panose="020B0606020202030204" pitchFamily="34" charset="0"/>
          </a:endParaRPr>
        </a:p>
      </xdr:txBody>
    </xdr:sp>
    <xdr:clientData/>
  </xdr:twoCellAnchor>
  <xdr:twoCellAnchor>
    <xdr:from>
      <xdr:col>17</xdr:col>
      <xdr:colOff>0</xdr:colOff>
      <xdr:row>16</xdr:row>
      <xdr:rowOff>0</xdr:rowOff>
    </xdr:from>
    <xdr:to>
      <xdr:col>22</xdr:col>
      <xdr:colOff>0</xdr:colOff>
      <xdr:row>27</xdr:row>
      <xdr:rowOff>114300</xdr:rowOff>
    </xdr:to>
    <xdr:sp macro="" textlink="">
      <xdr:nvSpPr>
        <xdr:cNvPr id="10" name="Rechteck 9"/>
        <xdr:cNvSpPr/>
      </xdr:nvSpPr>
      <xdr:spPr>
        <a:xfrm>
          <a:off x="2505075" y="2105025"/>
          <a:ext cx="809625" cy="1895475"/>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800">
              <a:solidFill>
                <a:sysClr val="windowText" lastClr="000000"/>
              </a:solidFill>
              <a:latin typeface="Arial Narrow" panose="020B0606020202030204" pitchFamily="34" charset="0"/>
            </a:rPr>
            <a:t>Shared hallway (unheated)</a:t>
          </a:r>
        </a:p>
      </xdr:txBody>
    </xdr:sp>
    <xdr:clientData/>
  </xdr:twoCellAnchor>
  <xdr:twoCellAnchor>
    <xdr:from>
      <xdr:col>4</xdr:col>
      <xdr:colOff>0</xdr:colOff>
      <xdr:row>30</xdr:row>
      <xdr:rowOff>98905</xdr:rowOff>
    </xdr:from>
    <xdr:to>
      <xdr:col>16</xdr:col>
      <xdr:colOff>85725</xdr:colOff>
      <xdr:row>30</xdr:row>
      <xdr:rowOff>98906</xdr:rowOff>
    </xdr:to>
    <xdr:cxnSp macro="">
      <xdr:nvCxnSpPr>
        <xdr:cNvPr id="12" name="Gerade Verbindung mit Pfeil 11"/>
        <xdr:cNvCxnSpPr/>
      </xdr:nvCxnSpPr>
      <xdr:spPr>
        <a:xfrm>
          <a:off x="662609" y="4571514"/>
          <a:ext cx="2139812" cy="1"/>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85725</xdr:colOff>
      <xdr:row>30</xdr:row>
      <xdr:rowOff>98906</xdr:rowOff>
    </xdr:from>
    <xdr:to>
      <xdr:col>22</xdr:col>
      <xdr:colOff>82826</xdr:colOff>
      <xdr:row>30</xdr:row>
      <xdr:rowOff>98906</xdr:rowOff>
    </xdr:to>
    <xdr:cxnSp macro="">
      <xdr:nvCxnSpPr>
        <xdr:cNvPr id="14" name="Gerade Verbindung mit Pfeil 13"/>
        <xdr:cNvCxnSpPr/>
      </xdr:nvCxnSpPr>
      <xdr:spPr>
        <a:xfrm>
          <a:off x="2802421" y="4571515"/>
          <a:ext cx="991014" cy="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82826</xdr:colOff>
      <xdr:row>30</xdr:row>
      <xdr:rowOff>98905</xdr:rowOff>
    </xdr:from>
    <xdr:to>
      <xdr:col>39</xdr:col>
      <xdr:colOff>0</xdr:colOff>
      <xdr:row>30</xdr:row>
      <xdr:rowOff>98906</xdr:rowOff>
    </xdr:to>
    <xdr:cxnSp macro="">
      <xdr:nvCxnSpPr>
        <xdr:cNvPr id="16" name="Gerade Verbindung mit Pfeil 15"/>
        <xdr:cNvCxnSpPr/>
      </xdr:nvCxnSpPr>
      <xdr:spPr>
        <a:xfrm>
          <a:off x="3793435" y="4571514"/>
          <a:ext cx="2733261" cy="1"/>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5</xdr:row>
      <xdr:rowOff>0</xdr:rowOff>
    </xdr:from>
    <xdr:to>
      <xdr:col>43</xdr:col>
      <xdr:colOff>0</xdr:colOff>
      <xdr:row>15</xdr:row>
      <xdr:rowOff>85725</xdr:rowOff>
    </xdr:to>
    <xdr:cxnSp macro="">
      <xdr:nvCxnSpPr>
        <xdr:cNvPr id="22" name="Gerade Verbindung mit Pfeil 21"/>
        <xdr:cNvCxnSpPr/>
      </xdr:nvCxnSpPr>
      <xdr:spPr>
        <a:xfrm>
          <a:off x="6715125" y="323850"/>
          <a:ext cx="0" cy="1704975"/>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15</xdr:row>
      <xdr:rowOff>85725</xdr:rowOff>
    </xdr:from>
    <xdr:to>
      <xdr:col>43</xdr:col>
      <xdr:colOff>0</xdr:colOff>
      <xdr:row>23</xdr:row>
      <xdr:rowOff>85725</xdr:rowOff>
    </xdr:to>
    <xdr:cxnSp macro="">
      <xdr:nvCxnSpPr>
        <xdr:cNvPr id="26" name="Gerade Verbindung mit Pfeil 25"/>
        <xdr:cNvCxnSpPr/>
      </xdr:nvCxnSpPr>
      <xdr:spPr>
        <a:xfrm>
          <a:off x="6715125" y="2028825"/>
          <a:ext cx="0" cy="129540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23</xdr:row>
      <xdr:rowOff>85725</xdr:rowOff>
    </xdr:from>
    <xdr:to>
      <xdr:col>43</xdr:col>
      <xdr:colOff>0</xdr:colOff>
      <xdr:row>28</xdr:row>
      <xdr:rowOff>0</xdr:rowOff>
    </xdr:to>
    <xdr:cxnSp macro="">
      <xdr:nvCxnSpPr>
        <xdr:cNvPr id="29" name="Gerade Verbindung mit Pfeil 28"/>
        <xdr:cNvCxnSpPr/>
      </xdr:nvCxnSpPr>
      <xdr:spPr>
        <a:xfrm>
          <a:off x="6715125" y="3324225"/>
          <a:ext cx="0" cy="72390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9525</xdr:colOff>
      <xdr:row>30</xdr:row>
      <xdr:rowOff>0</xdr:rowOff>
    </xdr:from>
    <xdr:ext cx="352425" cy="190428"/>
    <xdr:sp macro="" textlink="">
      <xdr:nvSpPr>
        <xdr:cNvPr id="32" name="Rechteck 31"/>
        <xdr:cNvSpPr/>
      </xdr:nvSpPr>
      <xdr:spPr>
        <a:xfrm>
          <a:off x="1543050" y="4857750"/>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5,0</a:t>
          </a:r>
        </a:p>
      </xdr:txBody>
    </xdr:sp>
    <xdr:clientData/>
  </xdr:oneCellAnchor>
  <xdr:oneCellAnchor>
    <xdr:from>
      <xdr:col>18</xdr:col>
      <xdr:colOff>38100</xdr:colOff>
      <xdr:row>30</xdr:row>
      <xdr:rowOff>0</xdr:rowOff>
    </xdr:from>
    <xdr:ext cx="352425" cy="190428"/>
    <xdr:sp macro="" textlink="">
      <xdr:nvSpPr>
        <xdr:cNvPr id="33" name="Rechteck 32"/>
        <xdr:cNvSpPr/>
      </xdr:nvSpPr>
      <xdr:spPr>
        <a:xfrm>
          <a:off x="3028950" y="4857750"/>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2,0</a:t>
          </a:r>
        </a:p>
      </xdr:txBody>
    </xdr:sp>
    <xdr:clientData/>
  </xdr:oneCellAnchor>
  <xdr:oneCellAnchor>
    <xdr:from>
      <xdr:col>29</xdr:col>
      <xdr:colOff>142875</xdr:colOff>
      <xdr:row>30</xdr:row>
      <xdr:rowOff>0</xdr:rowOff>
    </xdr:from>
    <xdr:ext cx="352425" cy="190428"/>
    <xdr:sp macro="" textlink="">
      <xdr:nvSpPr>
        <xdr:cNvPr id="34" name="Rechteck 33"/>
        <xdr:cNvSpPr/>
      </xdr:nvSpPr>
      <xdr:spPr>
        <a:xfrm>
          <a:off x="4914900" y="4857750"/>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6,0</a:t>
          </a:r>
        </a:p>
      </xdr:txBody>
    </xdr:sp>
    <xdr:clientData/>
  </xdr:oneCellAnchor>
  <xdr:oneCellAnchor>
    <xdr:from>
      <xdr:col>42</xdr:col>
      <xdr:colOff>9525</xdr:colOff>
      <xdr:row>25</xdr:row>
      <xdr:rowOff>0</xdr:rowOff>
    </xdr:from>
    <xdr:ext cx="352425" cy="190428"/>
    <xdr:sp macro="" textlink="">
      <xdr:nvSpPr>
        <xdr:cNvPr id="35" name="Rechteck 34"/>
        <xdr:cNvSpPr/>
      </xdr:nvSpPr>
      <xdr:spPr>
        <a:xfrm>
          <a:off x="6886575" y="4048125"/>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1,5</a:t>
          </a:r>
        </a:p>
      </xdr:txBody>
    </xdr:sp>
    <xdr:clientData/>
  </xdr:oneCellAnchor>
  <xdr:oneCellAnchor>
    <xdr:from>
      <xdr:col>42</xdr:col>
      <xdr:colOff>9525</xdr:colOff>
      <xdr:row>19</xdr:row>
      <xdr:rowOff>0</xdr:rowOff>
    </xdr:from>
    <xdr:ext cx="352425" cy="190428"/>
    <xdr:sp macro="" textlink="">
      <xdr:nvSpPr>
        <xdr:cNvPr id="36" name="Rechteck 35"/>
        <xdr:cNvSpPr/>
      </xdr:nvSpPr>
      <xdr:spPr>
        <a:xfrm>
          <a:off x="6886575" y="3076575"/>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3,5</a:t>
          </a:r>
        </a:p>
      </xdr:txBody>
    </xdr:sp>
    <xdr:clientData/>
  </xdr:oneCellAnchor>
  <xdr:oneCellAnchor>
    <xdr:from>
      <xdr:col>42</xdr:col>
      <xdr:colOff>9525</xdr:colOff>
      <xdr:row>9</xdr:row>
      <xdr:rowOff>95250</xdr:rowOff>
    </xdr:from>
    <xdr:ext cx="352425" cy="190428"/>
    <xdr:sp macro="" textlink="">
      <xdr:nvSpPr>
        <xdr:cNvPr id="37" name="Rechteck 36"/>
        <xdr:cNvSpPr/>
      </xdr:nvSpPr>
      <xdr:spPr>
        <a:xfrm>
          <a:off x="6886575" y="1552575"/>
          <a:ext cx="352425"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4,0</a:t>
          </a:r>
        </a:p>
      </xdr:txBody>
    </xdr:sp>
    <xdr:clientData/>
  </xdr:oneCellAnchor>
  <xdr:twoCellAnchor>
    <xdr:from>
      <xdr:col>6</xdr:col>
      <xdr:colOff>0</xdr:colOff>
      <xdr:row>26</xdr:row>
      <xdr:rowOff>0</xdr:rowOff>
    </xdr:from>
    <xdr:to>
      <xdr:col>15</xdr:col>
      <xdr:colOff>0</xdr:colOff>
      <xdr:row>27</xdr:row>
      <xdr:rowOff>114301</xdr:rowOff>
    </xdr:to>
    <xdr:sp macro="" textlink="">
      <xdr:nvSpPr>
        <xdr:cNvPr id="38" name="Rechteck 37"/>
        <xdr:cNvSpPr/>
      </xdr:nvSpPr>
      <xdr:spPr>
        <a:xfrm>
          <a:off x="990600" y="4210050"/>
          <a:ext cx="1514475" cy="2762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4</xdr:col>
      <xdr:colOff>47624</xdr:colOff>
      <xdr:row>19</xdr:row>
      <xdr:rowOff>10211</xdr:rowOff>
    </xdr:from>
    <xdr:to>
      <xdr:col>5</xdr:col>
      <xdr:colOff>180974</xdr:colOff>
      <xdr:row>23</xdr:row>
      <xdr:rowOff>3</xdr:rowOff>
    </xdr:to>
    <xdr:sp macro="" textlink="">
      <xdr:nvSpPr>
        <xdr:cNvPr id="40" name="Rechteck 39"/>
        <xdr:cNvSpPr/>
      </xdr:nvSpPr>
      <xdr:spPr>
        <a:xfrm rot="5400000">
          <a:off x="524216" y="3257894"/>
          <a:ext cx="637492" cy="2952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4</xdr:col>
      <xdr:colOff>47624</xdr:colOff>
      <xdr:row>9</xdr:row>
      <xdr:rowOff>2</xdr:rowOff>
    </xdr:from>
    <xdr:to>
      <xdr:col>5</xdr:col>
      <xdr:colOff>180974</xdr:colOff>
      <xdr:row>13</xdr:row>
      <xdr:rowOff>0</xdr:rowOff>
    </xdr:to>
    <xdr:sp macro="" textlink="">
      <xdr:nvSpPr>
        <xdr:cNvPr id="42" name="Rechteck 41"/>
        <xdr:cNvSpPr/>
      </xdr:nvSpPr>
      <xdr:spPr>
        <a:xfrm rot="5400000">
          <a:off x="519113" y="1633538"/>
          <a:ext cx="647698" cy="2952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34</xdr:col>
      <xdr:colOff>0</xdr:colOff>
      <xdr:row>22</xdr:row>
      <xdr:rowOff>0</xdr:rowOff>
    </xdr:from>
    <xdr:to>
      <xdr:col>38</xdr:col>
      <xdr:colOff>0</xdr:colOff>
      <xdr:row>23</xdr:row>
      <xdr:rowOff>114300</xdr:rowOff>
    </xdr:to>
    <xdr:sp macro="" textlink="">
      <xdr:nvSpPr>
        <xdr:cNvPr id="43" name="Rechteck 42"/>
        <xdr:cNvSpPr/>
      </xdr:nvSpPr>
      <xdr:spPr>
        <a:xfrm>
          <a:off x="5581650" y="3562350"/>
          <a:ext cx="647700" cy="276225"/>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37</xdr:col>
      <xdr:colOff>0</xdr:colOff>
      <xdr:row>9</xdr:row>
      <xdr:rowOff>0</xdr:rowOff>
    </xdr:from>
    <xdr:to>
      <xdr:col>38</xdr:col>
      <xdr:colOff>123825</xdr:colOff>
      <xdr:row>13</xdr:row>
      <xdr:rowOff>2</xdr:rowOff>
    </xdr:to>
    <xdr:sp macro="" textlink="">
      <xdr:nvSpPr>
        <xdr:cNvPr id="44" name="Rechteck 43"/>
        <xdr:cNvSpPr/>
      </xdr:nvSpPr>
      <xdr:spPr>
        <a:xfrm rot="5400000">
          <a:off x="5886449" y="1638301"/>
          <a:ext cx="647702" cy="28575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40</xdr:col>
      <xdr:colOff>0</xdr:colOff>
      <xdr:row>9</xdr:row>
      <xdr:rowOff>0</xdr:rowOff>
    </xdr:from>
    <xdr:to>
      <xdr:col>40</xdr:col>
      <xdr:colOff>0</xdr:colOff>
      <xdr:row>13</xdr:row>
      <xdr:rowOff>0</xdr:rowOff>
    </xdr:to>
    <xdr:cxnSp macro="">
      <xdr:nvCxnSpPr>
        <xdr:cNvPr id="45" name="Gerade Verbindung mit Pfeil 44"/>
        <xdr:cNvCxnSpPr/>
      </xdr:nvCxnSpPr>
      <xdr:spPr>
        <a:xfrm>
          <a:off x="6229350" y="971550"/>
          <a:ext cx="0" cy="64770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19050</xdr:colOff>
      <xdr:row>10</xdr:row>
      <xdr:rowOff>61947</xdr:rowOff>
    </xdr:from>
    <xdr:ext cx="361949" cy="190428"/>
    <xdr:sp macro="" textlink="">
      <xdr:nvSpPr>
        <xdr:cNvPr id="47" name="Rechteck 46"/>
        <xdr:cNvSpPr/>
      </xdr:nvSpPr>
      <xdr:spPr>
        <a:xfrm>
          <a:off x="6410325" y="1681197"/>
          <a:ext cx="361949"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1,5 x 1,6</a:t>
          </a:r>
        </a:p>
      </xdr:txBody>
    </xdr:sp>
    <xdr:clientData/>
  </xdr:oneCellAnchor>
  <xdr:twoCellAnchor>
    <xdr:from>
      <xdr:col>3</xdr:col>
      <xdr:colOff>0</xdr:colOff>
      <xdr:row>9</xdr:row>
      <xdr:rowOff>0</xdr:rowOff>
    </xdr:from>
    <xdr:to>
      <xdr:col>3</xdr:col>
      <xdr:colOff>0</xdr:colOff>
      <xdr:row>13</xdr:row>
      <xdr:rowOff>0</xdr:rowOff>
    </xdr:to>
    <xdr:cxnSp macro="">
      <xdr:nvCxnSpPr>
        <xdr:cNvPr id="49" name="Gerade Verbindung mit Pfeil 48"/>
        <xdr:cNvCxnSpPr/>
      </xdr:nvCxnSpPr>
      <xdr:spPr>
        <a:xfrm>
          <a:off x="485775" y="971550"/>
          <a:ext cx="0" cy="64770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104775</xdr:colOff>
      <xdr:row>10</xdr:row>
      <xdr:rowOff>71472</xdr:rowOff>
    </xdr:from>
    <xdr:ext cx="361949" cy="190428"/>
    <xdr:sp macro="" textlink="">
      <xdr:nvSpPr>
        <xdr:cNvPr id="50" name="Rechteck 49"/>
        <xdr:cNvSpPr/>
      </xdr:nvSpPr>
      <xdr:spPr>
        <a:xfrm>
          <a:off x="266700" y="1690722"/>
          <a:ext cx="361949"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1,5 x 1,6</a:t>
          </a:r>
        </a:p>
      </xdr:txBody>
    </xdr:sp>
    <xdr:clientData/>
  </xdr:oneCellAnchor>
  <xdr:twoCellAnchor>
    <xdr:from>
      <xdr:col>3</xdr:col>
      <xdr:colOff>0</xdr:colOff>
      <xdr:row>19</xdr:row>
      <xdr:rowOff>0</xdr:rowOff>
    </xdr:from>
    <xdr:to>
      <xdr:col>3</xdr:col>
      <xdr:colOff>0</xdr:colOff>
      <xdr:row>23</xdr:row>
      <xdr:rowOff>0</xdr:rowOff>
    </xdr:to>
    <xdr:cxnSp macro="">
      <xdr:nvCxnSpPr>
        <xdr:cNvPr id="51" name="Gerade Verbindung mit Pfeil 50"/>
        <xdr:cNvCxnSpPr/>
      </xdr:nvCxnSpPr>
      <xdr:spPr>
        <a:xfrm>
          <a:off x="485775" y="2590800"/>
          <a:ext cx="0" cy="64770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104775</xdr:colOff>
      <xdr:row>20</xdr:row>
      <xdr:rowOff>71472</xdr:rowOff>
    </xdr:from>
    <xdr:ext cx="361949" cy="190428"/>
    <xdr:sp macro="" textlink="">
      <xdr:nvSpPr>
        <xdr:cNvPr id="52" name="Rechteck 51"/>
        <xdr:cNvSpPr/>
      </xdr:nvSpPr>
      <xdr:spPr>
        <a:xfrm>
          <a:off x="266700" y="3309972"/>
          <a:ext cx="361949"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36000" rIns="0" bIns="36000" rtlCol="0" anchor="ctr" anchorCtr="1">
          <a:spAutoFit/>
        </a:bodyPr>
        <a:lstStyle/>
        <a:p>
          <a:pPr algn="l"/>
          <a:r>
            <a:rPr lang="de-DE" sz="800">
              <a:latin typeface="Arial Narrow" panose="020B0606020202030204" pitchFamily="34" charset="0"/>
            </a:rPr>
            <a:t>1,5 x 1,6</a:t>
          </a:r>
        </a:p>
      </xdr:txBody>
    </xdr:sp>
    <xdr:clientData/>
  </xdr:oneCellAnchor>
  <xdr:twoCellAnchor>
    <xdr:from>
      <xdr:col>6</xdr:col>
      <xdr:colOff>0</xdr:colOff>
      <xdr:row>29</xdr:row>
      <xdr:rowOff>0</xdr:rowOff>
    </xdr:from>
    <xdr:to>
      <xdr:col>15</xdr:col>
      <xdr:colOff>0</xdr:colOff>
      <xdr:row>29</xdr:row>
      <xdr:rowOff>0</xdr:rowOff>
    </xdr:to>
    <xdr:cxnSp macro="">
      <xdr:nvCxnSpPr>
        <xdr:cNvPr id="39" name="Gerade Verbindung mit Pfeil 38"/>
        <xdr:cNvCxnSpPr/>
      </xdr:nvCxnSpPr>
      <xdr:spPr>
        <a:xfrm>
          <a:off x="990600" y="4210050"/>
          <a:ext cx="1514475" cy="0"/>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5954</xdr:colOff>
      <xdr:row>28</xdr:row>
      <xdr:rowOff>57222</xdr:rowOff>
    </xdr:from>
    <xdr:ext cx="397668" cy="190428"/>
    <xdr:sp macro="" textlink="">
      <xdr:nvSpPr>
        <xdr:cNvPr id="41" name="Rechteck 40"/>
        <xdr:cNvSpPr/>
      </xdr:nvSpPr>
      <xdr:spPr>
        <a:xfrm>
          <a:off x="1539479" y="4591122"/>
          <a:ext cx="397668" cy="19042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36000" rIns="0" bIns="36000" rtlCol="0" anchor="ctr" anchorCtr="1">
          <a:spAutoFit/>
        </a:bodyPr>
        <a:lstStyle/>
        <a:p>
          <a:pPr algn="l"/>
          <a:r>
            <a:rPr lang="de-DE" sz="800">
              <a:latin typeface="Arial Narrow" panose="020B0606020202030204" pitchFamily="34" charset="0"/>
            </a:rPr>
            <a:t>3,8</a:t>
          </a:r>
          <a:r>
            <a:rPr lang="de-DE" sz="800" baseline="0">
              <a:latin typeface="Arial Narrow" panose="020B0606020202030204" pitchFamily="34" charset="0"/>
            </a:rPr>
            <a:t> x 2,1</a:t>
          </a:r>
          <a:endParaRPr lang="de-DE" sz="800">
            <a:latin typeface="Arial Narrow" panose="020B0606020202030204" pitchFamily="34" charset="0"/>
          </a:endParaRPr>
        </a:p>
      </xdr:txBody>
    </xdr:sp>
    <xdr:clientData/>
  </xdr:oneCellAnchor>
  <xdr:twoCellAnchor>
    <xdr:from>
      <xdr:col>34</xdr:col>
      <xdr:colOff>0</xdr:colOff>
      <xdr:row>29</xdr:row>
      <xdr:rowOff>0</xdr:rowOff>
    </xdr:from>
    <xdr:to>
      <xdr:col>37</xdr:col>
      <xdr:colOff>165652</xdr:colOff>
      <xdr:row>29</xdr:row>
      <xdr:rowOff>1</xdr:rowOff>
    </xdr:to>
    <xdr:cxnSp macro="">
      <xdr:nvCxnSpPr>
        <xdr:cNvPr id="46" name="Gerade Verbindung mit Pfeil 45"/>
        <xdr:cNvCxnSpPr/>
      </xdr:nvCxnSpPr>
      <xdr:spPr>
        <a:xfrm>
          <a:off x="5698435" y="4306957"/>
          <a:ext cx="662608" cy="1"/>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25256</xdr:colOff>
      <xdr:row>28</xdr:row>
      <xdr:rowOff>44238</xdr:rowOff>
    </xdr:from>
    <xdr:ext cx="289484" cy="235449"/>
    <xdr:sp macro="" textlink="">
      <xdr:nvSpPr>
        <xdr:cNvPr id="48" name="Rechteck 47"/>
        <xdr:cNvSpPr/>
      </xdr:nvSpPr>
      <xdr:spPr>
        <a:xfrm>
          <a:off x="5768831" y="4578138"/>
          <a:ext cx="289484" cy="23544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1">
          <a:spAutoFit/>
        </a:bodyPr>
        <a:lstStyle/>
        <a:p>
          <a:pPr algn="l"/>
          <a:r>
            <a:rPr lang="de-DE" sz="800">
              <a:latin typeface="Arial Narrow" panose="020B0606020202030204" pitchFamily="34" charset="0"/>
            </a:rPr>
            <a:t>1,5 </a:t>
          </a:r>
          <a:r>
            <a:rPr lang="de-DE" sz="800" baseline="0">
              <a:latin typeface="Arial Narrow" panose="020B0606020202030204" pitchFamily="34" charset="0"/>
            </a:rPr>
            <a:t>x 2,1</a:t>
          </a:r>
          <a:endParaRPr lang="de-DE" sz="800">
            <a:latin typeface="Arial Narrow" panose="020B0606020202030204" pitchFamily="34" charset="0"/>
          </a:endParaRPr>
        </a:p>
      </xdr:txBody>
    </xdr:sp>
    <xdr:clientData/>
  </xdr:oneCellAnchor>
  <xdr:oneCellAnchor>
    <xdr:from>
      <xdr:col>4</xdr:col>
      <xdr:colOff>98563</xdr:colOff>
      <xdr:row>5</xdr:row>
      <xdr:rowOff>3729</xdr:rowOff>
    </xdr:from>
    <xdr:ext cx="2892288" cy="158196"/>
    <xdr:sp macro="" textlink="">
      <xdr:nvSpPr>
        <xdr:cNvPr id="53" name="Rechteck 52"/>
        <xdr:cNvSpPr/>
      </xdr:nvSpPr>
      <xdr:spPr>
        <a:xfrm>
          <a:off x="746263" y="813354"/>
          <a:ext cx="2892288" cy="1581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noAutofit/>
        </a:bodyPr>
        <a:lstStyle/>
        <a:p>
          <a:pPr algn="l"/>
          <a:r>
            <a:rPr lang="de-DE" sz="800" b="1">
              <a:solidFill>
                <a:schemeClr val="bg1"/>
              </a:solidFill>
              <a:latin typeface="Arial Narrow" panose="020B0606020202030204" pitchFamily="34" charset="0"/>
            </a:rPr>
            <a:t>Apartment 1, regularly occupied</a:t>
          </a:r>
        </a:p>
      </xdr:txBody>
    </xdr:sp>
    <xdr:clientData/>
  </xdr:oneCellAnchor>
  <xdr:oneCellAnchor>
    <xdr:from>
      <xdr:col>23</xdr:col>
      <xdr:colOff>26090</xdr:colOff>
      <xdr:row>5</xdr:row>
      <xdr:rowOff>3729</xdr:rowOff>
    </xdr:from>
    <xdr:ext cx="2402786" cy="158196"/>
    <xdr:sp macro="" textlink="">
      <xdr:nvSpPr>
        <xdr:cNvPr id="54" name="Rechteck 53"/>
        <xdr:cNvSpPr/>
      </xdr:nvSpPr>
      <xdr:spPr>
        <a:xfrm>
          <a:off x="3826565" y="813354"/>
          <a:ext cx="2402786" cy="1581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noAutofit/>
        </a:bodyPr>
        <a:lstStyle/>
        <a:p>
          <a:pPr algn="l"/>
          <a:r>
            <a:rPr lang="de-DE" sz="800" b="1">
              <a:solidFill>
                <a:schemeClr val="bg1"/>
              </a:solidFill>
              <a:latin typeface="Arial Narrow" panose="020B0606020202030204" pitchFamily="34" charset="0"/>
            </a:rPr>
            <a:t>Apartment 2, regularly occupied</a:t>
          </a:r>
        </a:p>
      </xdr:txBody>
    </xdr:sp>
    <xdr:clientData/>
  </xdr:oneCellAnchor>
  <xdr:twoCellAnchor>
    <xdr:from>
      <xdr:col>1</xdr:col>
      <xdr:colOff>8283</xdr:colOff>
      <xdr:row>1</xdr:row>
      <xdr:rowOff>41413</xdr:rowOff>
    </xdr:from>
    <xdr:to>
      <xdr:col>4</xdr:col>
      <xdr:colOff>8283</xdr:colOff>
      <xdr:row>4</xdr:row>
      <xdr:rowOff>149088</xdr:rowOff>
    </xdr:to>
    <xdr:grpSp>
      <xdr:nvGrpSpPr>
        <xdr:cNvPr id="15" name="Gruppieren 14"/>
        <xdr:cNvGrpSpPr/>
      </xdr:nvGrpSpPr>
      <xdr:grpSpPr>
        <a:xfrm>
          <a:off x="173383" y="174763"/>
          <a:ext cx="495300" cy="495025"/>
          <a:chOff x="3039718" y="240195"/>
          <a:chExt cx="496957" cy="604632"/>
        </a:xfrm>
      </xdr:grpSpPr>
      <xdr:sp macro="" textlink="">
        <xdr:nvSpPr>
          <xdr:cNvPr id="9" name="Kreuz 8"/>
          <xdr:cNvSpPr/>
        </xdr:nvSpPr>
        <xdr:spPr>
          <a:xfrm>
            <a:off x="3039718" y="347870"/>
            <a:ext cx="496957" cy="496957"/>
          </a:xfrm>
          <a:prstGeom prst="plus">
            <a:avLst>
              <a:gd name="adj" fmla="val 4333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800"/>
          </a:p>
        </xdr:txBody>
      </xdr:sp>
      <xdr:sp macro="" textlink="">
        <xdr:nvSpPr>
          <xdr:cNvPr id="11" name="Gleichschenkliges Dreieck 10"/>
          <xdr:cNvSpPr/>
        </xdr:nvSpPr>
        <xdr:spPr>
          <a:xfrm>
            <a:off x="3205370" y="256761"/>
            <a:ext cx="165652" cy="165652"/>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800"/>
          </a:p>
        </xdr:txBody>
      </xdr:sp>
      <xdr:sp macro="" textlink="">
        <xdr:nvSpPr>
          <xdr:cNvPr id="55" name="Rechteck 54"/>
          <xdr:cNvSpPr/>
        </xdr:nvSpPr>
        <xdr:spPr>
          <a:xfrm>
            <a:off x="3304761" y="240195"/>
            <a:ext cx="165653" cy="1656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noAutofit/>
          </a:bodyPr>
          <a:lstStyle/>
          <a:p>
            <a:pPr algn="l"/>
            <a:r>
              <a:rPr lang="de-DE" sz="800" b="1">
                <a:solidFill>
                  <a:sysClr val="windowText" lastClr="000000"/>
                </a:solidFill>
                <a:latin typeface="Arial Narrow" panose="020B0606020202030204" pitchFamily="34" charset="0"/>
              </a:rPr>
              <a:t>N</a:t>
            </a:r>
          </a:p>
        </xdr:txBody>
      </xdr:sp>
    </xdr:grpSp>
    <xdr:clientData/>
  </xdr:twoCellAnchor>
  <xdr:twoCellAnchor>
    <xdr:from>
      <xdr:col>29</xdr:col>
      <xdr:colOff>0</xdr:colOff>
      <xdr:row>22</xdr:row>
      <xdr:rowOff>0</xdr:rowOff>
    </xdr:from>
    <xdr:to>
      <xdr:col>33</xdr:col>
      <xdr:colOff>0</xdr:colOff>
      <xdr:row>23</xdr:row>
      <xdr:rowOff>114300</xdr:rowOff>
    </xdr:to>
    <xdr:sp macro="" textlink="">
      <xdr:nvSpPr>
        <xdr:cNvPr id="56" name="Rechteck 55"/>
        <xdr:cNvSpPr/>
      </xdr:nvSpPr>
      <xdr:spPr>
        <a:xfrm>
          <a:off x="4772025" y="3562350"/>
          <a:ext cx="647700" cy="276225"/>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b="0" i="0" u="none" strike="noStrike">
            <a:solidFill>
              <a:srgbClr val="000000"/>
            </a:solidFill>
            <a:latin typeface="Arial Narrow" panose="020B0606020202030204" pitchFamily="34" charset="0"/>
          </a:endParaRPr>
        </a:p>
      </xdr:txBody>
    </xdr:sp>
    <xdr:clientData/>
  </xdr:twoCellAnchor>
  <xdr:twoCellAnchor>
    <xdr:from>
      <xdr:col>29</xdr:col>
      <xdr:colOff>1</xdr:colOff>
      <xdr:row>28</xdr:row>
      <xdr:rowOff>165651</xdr:rowOff>
    </xdr:from>
    <xdr:to>
      <xdr:col>33</xdr:col>
      <xdr:colOff>0</xdr:colOff>
      <xdr:row>29</xdr:row>
      <xdr:rowOff>0</xdr:rowOff>
    </xdr:to>
    <xdr:cxnSp macro="">
      <xdr:nvCxnSpPr>
        <xdr:cNvPr id="57" name="Gerade Verbindung mit Pfeil 56"/>
        <xdr:cNvCxnSpPr/>
      </xdr:nvCxnSpPr>
      <xdr:spPr>
        <a:xfrm>
          <a:off x="4870175" y="4803912"/>
          <a:ext cx="662608" cy="1"/>
        </a:xfrm>
        <a:prstGeom prst="straightConnector1">
          <a:avLst/>
        </a:prstGeom>
        <a:ln w="3810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30</xdr:col>
      <xdr:colOff>21772</xdr:colOff>
      <xdr:row>28</xdr:row>
      <xdr:rowOff>44236</xdr:rowOff>
    </xdr:from>
    <xdr:ext cx="301186" cy="235449"/>
    <xdr:sp macro="" textlink="">
      <xdr:nvSpPr>
        <xdr:cNvPr id="58" name="Rechteck 57"/>
        <xdr:cNvSpPr/>
      </xdr:nvSpPr>
      <xdr:spPr>
        <a:xfrm>
          <a:off x="4955722" y="4578136"/>
          <a:ext cx="301186" cy="23544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1">
          <a:spAutoFit/>
        </a:bodyPr>
        <a:lstStyle/>
        <a:p>
          <a:pPr algn="l"/>
          <a:r>
            <a:rPr lang="de-DE" sz="800">
              <a:latin typeface="Arial Narrow" panose="020B0606020202030204" pitchFamily="34" charset="0"/>
            </a:rPr>
            <a:t>1,5 </a:t>
          </a:r>
          <a:r>
            <a:rPr lang="de-DE" sz="800" baseline="0">
              <a:latin typeface="Arial Narrow" panose="020B0606020202030204" pitchFamily="34" charset="0"/>
            </a:rPr>
            <a:t>x 1,6</a:t>
          </a:r>
          <a:endParaRPr lang="de-DE" sz="800">
            <a:latin typeface="Arial Narrow" panose="020B0606020202030204" pitchFamily="34" charset="0"/>
          </a:endParaRPr>
        </a:p>
      </xdr:txBody>
    </xdr:sp>
    <xdr:clientData/>
  </xdr:oneCellAnchor>
  <xdr:twoCellAnchor>
    <xdr:from>
      <xdr:col>23</xdr:col>
      <xdr:colOff>0</xdr:colOff>
      <xdr:row>6</xdr:row>
      <xdr:rowOff>0</xdr:rowOff>
    </xdr:from>
    <xdr:to>
      <xdr:col>38</xdr:col>
      <xdr:colOff>0</xdr:colOff>
      <xdr:row>15</xdr:row>
      <xdr:rowOff>0</xdr:rowOff>
    </xdr:to>
    <xdr:sp macro="" textlink="$H$48">
      <xdr:nvSpPr>
        <xdr:cNvPr id="6" name="Rechteck 5"/>
        <xdr:cNvSpPr/>
      </xdr:nvSpPr>
      <xdr:spPr>
        <a:xfrm>
          <a:off x="3400425" y="485775"/>
          <a:ext cx="2428875" cy="1457325"/>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F5764E1-6FD7-4038-A847-3CC934BF6127}" type="TxLink">
            <a:rPr lang="en-US" sz="800" b="0" i="0" u="none" strike="noStrike">
              <a:solidFill>
                <a:srgbClr val="000000"/>
              </a:solidFill>
              <a:latin typeface="Arial Narrow" panose="020B0606020202030204" pitchFamily="34" charset="0"/>
            </a:rPr>
            <a:pPr algn="l"/>
            <a:t>BE2 | Room1
θ_int,i: 20 °C
n_min: 0,5 1/h</a:t>
          </a:fld>
          <a:endParaRPr lang="de-DE" sz="800">
            <a:latin typeface="Arial Narrow" panose="020B0606020202030204" pitchFamily="34" charset="0"/>
          </a:endParaRPr>
        </a:p>
      </xdr:txBody>
    </xdr:sp>
    <xdr:clientData/>
  </xdr:twoCellAnchor>
  <xdr:twoCellAnchor>
    <xdr:from>
      <xdr:col>4</xdr:col>
      <xdr:colOff>161924</xdr:colOff>
      <xdr:row>6</xdr:row>
      <xdr:rowOff>0</xdr:rowOff>
    </xdr:from>
    <xdr:to>
      <xdr:col>22</xdr:col>
      <xdr:colOff>0</xdr:colOff>
      <xdr:row>15</xdr:row>
      <xdr:rowOff>0</xdr:rowOff>
    </xdr:to>
    <xdr:sp macro="" textlink="$F$48">
      <xdr:nvSpPr>
        <xdr:cNvPr id="4" name="Rechteck 3"/>
        <xdr:cNvSpPr/>
      </xdr:nvSpPr>
      <xdr:spPr>
        <a:xfrm>
          <a:off x="485774" y="485775"/>
          <a:ext cx="2752726" cy="145732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9803D9F-0AEB-4911-B8BF-8C417B40E021}" type="TxLink">
            <a:rPr lang="en-US" sz="800" b="0" i="0" u="none" strike="noStrike">
              <a:solidFill>
                <a:srgbClr val="000000"/>
              </a:solidFill>
              <a:latin typeface="Arial Narrow" panose="020B0606020202030204" pitchFamily="34" charset="0"/>
            </a:rPr>
            <a:pPr algn="l"/>
            <a:t>BE1 | Room1
θ_int,i: 18 °C
n_min: 0,5 1/h</a:t>
          </a:fld>
          <a:endParaRPr lang="de-DE" sz="800">
            <a:latin typeface="Arial Narrow" panose="020B0606020202030204" pitchFamily="34" charset="0"/>
          </a:endParaRPr>
        </a:p>
      </xdr:txBody>
    </xdr:sp>
    <xdr:clientData/>
  </xdr:twoCellAnchor>
  <xdr:twoCellAnchor>
    <xdr:from>
      <xdr:col>5</xdr:col>
      <xdr:colOff>0</xdr:colOff>
      <xdr:row>16</xdr:row>
      <xdr:rowOff>0</xdr:rowOff>
    </xdr:from>
    <xdr:to>
      <xdr:col>16</xdr:col>
      <xdr:colOff>0</xdr:colOff>
      <xdr:row>27</xdr:row>
      <xdr:rowOff>0</xdr:rowOff>
    </xdr:to>
    <xdr:sp macro="" textlink="$G$48">
      <xdr:nvSpPr>
        <xdr:cNvPr id="5" name="Rechteck 4"/>
        <xdr:cNvSpPr/>
      </xdr:nvSpPr>
      <xdr:spPr>
        <a:xfrm>
          <a:off x="485775" y="2105025"/>
          <a:ext cx="1781175" cy="17811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5A18468-CC31-4A4E-BDB6-057D7161D214}" type="TxLink">
            <a:rPr lang="en-US" sz="800" b="0" i="0" u="none" strike="noStrike">
              <a:solidFill>
                <a:srgbClr val="000000"/>
              </a:solidFill>
              <a:latin typeface="Arial Narrow" panose="020B0606020202030204" pitchFamily="34" charset="0"/>
            </a:rPr>
            <a:pPr algn="l"/>
            <a:t>BE1 | Room2
θ_int,i: 20 °C
n_min: 0,5 1/h</a:t>
          </a:fld>
          <a:endParaRPr lang="de-DE" sz="800">
            <a:latin typeface="Arial Narrow" panose="020B0606020202030204" pitchFamily="34" charset="0"/>
          </a:endParaRPr>
        </a:p>
      </xdr:txBody>
    </xdr:sp>
    <xdr:clientData/>
  </xdr:twoCellAnchor>
  <xdr:twoCellAnchor>
    <xdr:from>
      <xdr:col>23</xdr:col>
      <xdr:colOff>0</xdr:colOff>
      <xdr:row>16</xdr:row>
      <xdr:rowOff>0</xdr:rowOff>
    </xdr:from>
    <xdr:to>
      <xdr:col>38</xdr:col>
      <xdr:colOff>0</xdr:colOff>
      <xdr:row>23</xdr:row>
      <xdr:rowOff>0</xdr:rowOff>
    </xdr:to>
    <xdr:sp macro="" textlink="$I$48">
      <xdr:nvSpPr>
        <xdr:cNvPr id="7" name="Rechteck 6"/>
        <xdr:cNvSpPr/>
      </xdr:nvSpPr>
      <xdr:spPr>
        <a:xfrm>
          <a:off x="3400425" y="2105025"/>
          <a:ext cx="2428875" cy="1133475"/>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D0E6CBA-5708-4AD0-B368-B8DE1BC485F8}" type="TxLink">
            <a:rPr lang="en-US" sz="800" b="0" i="0" u="none" strike="noStrike">
              <a:solidFill>
                <a:srgbClr val="000000"/>
              </a:solidFill>
              <a:latin typeface="Arial Narrow" panose="020B0606020202030204" pitchFamily="34" charset="0"/>
            </a:rPr>
            <a:pPr algn="l"/>
            <a:t>BE2 | Room2
θ_int,i: 18 °C
n_min: 0,5 1/h</a:t>
          </a:fld>
          <a:endParaRPr lang="de-DE" sz="800">
            <a:latin typeface="Arial Narrow" panose="020B0606020202030204" pitchFamily="34" charset="0"/>
          </a:endParaRPr>
        </a:p>
      </xdr:txBody>
    </xdr:sp>
    <xdr:clientData/>
  </xdr:twoCellAnchor>
  <xdr:twoCellAnchor>
    <xdr:from>
      <xdr:col>23</xdr:col>
      <xdr:colOff>0</xdr:colOff>
      <xdr:row>24</xdr:row>
      <xdr:rowOff>1</xdr:rowOff>
    </xdr:from>
    <xdr:to>
      <xdr:col>38</xdr:col>
      <xdr:colOff>1</xdr:colOff>
      <xdr:row>27</xdr:row>
      <xdr:rowOff>114300</xdr:rowOff>
    </xdr:to>
    <xdr:sp macro="" textlink="$J$48">
      <xdr:nvSpPr>
        <xdr:cNvPr id="8" name="Rechteck 7"/>
        <xdr:cNvSpPr/>
      </xdr:nvSpPr>
      <xdr:spPr>
        <a:xfrm>
          <a:off x="3476625" y="3400426"/>
          <a:ext cx="2428876" cy="600074"/>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DE1E2FD-6844-40BC-9207-DF7A8FABC698}" type="TxLink">
            <a:rPr lang="en-US" sz="800" b="0" i="0" u="none" strike="noStrike">
              <a:solidFill>
                <a:srgbClr val="000000"/>
              </a:solidFill>
              <a:latin typeface="Arial Narrow" panose="020B0606020202030204" pitchFamily="34" charset="0"/>
            </a:rPr>
            <a:pPr algn="l"/>
            <a:t>BE2 | unheated
θ_int,i: unheated (winter garden, glazed balkony, etc.) °C
n_min: 0,5 1/h</a:t>
          </a:fld>
          <a:endParaRPr lang="de-DE" sz="800">
            <a:latin typeface="Arial Narrow" panose="020B0606020202030204" pitchFamily="34" charset="0"/>
          </a:endParaRPr>
        </a:p>
      </xdr:txBody>
    </xdr:sp>
    <xdr:clientData/>
  </xdr:twoCellAnchor>
  <xdr:oneCellAnchor>
    <xdr:from>
      <xdr:col>36</xdr:col>
      <xdr:colOff>47625</xdr:colOff>
      <xdr:row>2</xdr:row>
      <xdr:rowOff>20423</xdr:rowOff>
    </xdr:from>
    <xdr:ext cx="809625" cy="425877"/>
    <xdr:sp macro="" textlink="">
      <xdr:nvSpPr>
        <xdr:cNvPr id="59" name="Rechteck 58"/>
        <xdr:cNvSpPr/>
      </xdr:nvSpPr>
      <xdr:spPr>
        <a:xfrm>
          <a:off x="5953125" y="344273"/>
          <a:ext cx="809625" cy="42587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36000" rIns="0" bIns="36000" rtlCol="0" anchor="ctr" anchorCtr="1">
          <a:spAutoFit/>
        </a:bodyPr>
        <a:lstStyle/>
        <a:p>
          <a:pPr algn="l"/>
          <a:r>
            <a:rPr lang="de-DE" sz="800">
              <a:latin typeface="Arial Narrow" panose="020B0606020202030204" pitchFamily="34" charset="0"/>
            </a:rPr>
            <a:t>Storey</a:t>
          </a:r>
          <a:r>
            <a:rPr lang="de-DE" sz="800" baseline="0">
              <a:latin typeface="Arial Narrow" panose="020B0606020202030204" pitchFamily="34" charset="0"/>
            </a:rPr>
            <a:t> height: 2</a:t>
          </a:r>
          <a:r>
            <a:rPr lang="de-DE" sz="800">
              <a:latin typeface="Arial Narrow" panose="020B0606020202030204" pitchFamily="34" charset="0"/>
            </a:rPr>
            <a:t>,8</a:t>
          </a:r>
        </a:p>
        <a:p>
          <a:pPr algn="l"/>
          <a:r>
            <a:rPr lang="de-DE" sz="800">
              <a:latin typeface="Arial Narrow" panose="020B0606020202030204" pitchFamily="34" charset="0"/>
            </a:rPr>
            <a:t>Internal height: 2,6</a:t>
          </a:r>
        </a:p>
        <a:p>
          <a:pPr algn="l"/>
          <a:r>
            <a:rPr lang="de-DE" sz="800">
              <a:latin typeface="Arial Narrow" panose="020B0606020202030204" pitchFamily="34" charset="0"/>
            </a:rPr>
            <a:t>Wall thickness:</a:t>
          </a:r>
          <a:r>
            <a:rPr lang="de-DE" sz="800" baseline="0">
              <a:latin typeface="Arial Narrow" panose="020B0606020202030204" pitchFamily="34" charset="0"/>
            </a:rPr>
            <a:t> 0,3</a:t>
          </a:r>
          <a:endParaRPr lang="de-DE" sz="800">
            <a:latin typeface="Arial Narrow" panose="020B060602020203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561975</xdr:colOff>
          <xdr:row>6</xdr:row>
          <xdr:rowOff>84026</xdr:rowOff>
        </xdr:from>
        <xdr:to>
          <xdr:col>16</xdr:col>
          <xdr:colOff>406465</xdr:colOff>
          <xdr:row>38</xdr:row>
          <xdr:rowOff>95250</xdr:rowOff>
        </xdr:to>
        <xdr:pic>
          <xdr:nvPicPr>
            <xdr:cNvPr id="2" name="Grafik 1"/>
            <xdr:cNvPicPr>
              <a:picLocks noChangeAspect="1" noChangeArrowheads="1"/>
              <a:extLst>
                <a:ext uri="{84589F7E-364E-4C9E-8A38-B11213B215E9}">
                  <a14:cameraTool cellRange="Tabelle1!$A$1:$AS$32" spid="_x0000_s3083"/>
                </a:ext>
              </a:extLst>
            </xdr:cNvPicPr>
          </xdr:nvPicPr>
          <xdr:blipFill>
            <a:blip xmlns:r="http://schemas.openxmlformats.org/officeDocument/2006/relationships" r:embed="rId1"/>
            <a:srcRect/>
            <a:stretch>
              <a:fillRect/>
            </a:stretch>
          </xdr:blipFill>
          <xdr:spPr bwMode="auto">
            <a:xfrm>
              <a:off x="4943475" y="2227151"/>
              <a:ext cx="7388290" cy="520234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0:K48"/>
  <sheetViews>
    <sheetView showGridLines="0" zoomScaleNormal="100" workbookViewId="0">
      <selection activeCell="J43" sqref="J43"/>
    </sheetView>
  </sheetViews>
  <sheetFormatPr defaultColWidth="2.88671875" defaultRowHeight="10.5" x14ac:dyDescent="0.3"/>
  <cols>
    <col min="1" max="5" width="2.88671875" style="1"/>
    <col min="6" max="9" width="3.109375" style="1" bestFit="1" customWidth="1"/>
    <col min="10" max="16384" width="2.88671875" style="1"/>
  </cols>
  <sheetData>
    <row r="40" spans="5:11" x14ac:dyDescent="0.3">
      <c r="E40" s="1" t="s">
        <v>6</v>
      </c>
      <c r="F40" s="1">
        <v>1</v>
      </c>
      <c r="G40" s="1">
        <v>2</v>
      </c>
      <c r="H40" s="1">
        <v>1</v>
      </c>
      <c r="I40" s="1">
        <v>2</v>
      </c>
    </row>
    <row r="41" spans="5:11" x14ac:dyDescent="0.3">
      <c r="E41" s="1" t="s">
        <v>1</v>
      </c>
      <c r="F41" s="1">
        <v>1</v>
      </c>
      <c r="G41" s="1">
        <v>1</v>
      </c>
      <c r="H41" s="1">
        <v>2</v>
      </c>
      <c r="I41" s="1">
        <v>2</v>
      </c>
      <c r="J41" s="1">
        <v>2</v>
      </c>
    </row>
    <row r="42" spans="5:11" x14ac:dyDescent="0.3">
      <c r="E42" s="1" t="s">
        <v>0</v>
      </c>
      <c r="F42" s="1">
        <v>18</v>
      </c>
      <c r="G42" s="1">
        <v>20</v>
      </c>
      <c r="H42" s="1">
        <v>20</v>
      </c>
      <c r="I42" s="1">
        <v>18</v>
      </c>
      <c r="J42" s="1" t="s">
        <v>132</v>
      </c>
      <c r="K42" s="1" t="s">
        <v>3</v>
      </c>
    </row>
    <row r="43" spans="5:11" x14ac:dyDescent="0.3">
      <c r="E43" s="1" t="s">
        <v>2</v>
      </c>
      <c r="F43" s="1">
        <v>0.5</v>
      </c>
      <c r="G43" s="1">
        <v>0.5</v>
      </c>
      <c r="H43" s="1">
        <v>0.5</v>
      </c>
      <c r="I43" s="1">
        <v>0.5</v>
      </c>
      <c r="J43" s="1">
        <v>0.5</v>
      </c>
      <c r="K43" s="1" t="s">
        <v>4</v>
      </c>
    </row>
    <row r="45" spans="5:11" x14ac:dyDescent="0.3">
      <c r="F45" s="2" t="str">
        <f>$E41&amp;F41&amp;" | "&amp;$E40&amp;F40</f>
        <v>BE1 | Room1</v>
      </c>
      <c r="G45" s="2" t="str">
        <f t="shared" ref="G45:I45" si="0">$E41&amp;G41&amp;" | "&amp;$E40&amp;G40</f>
        <v>BE1 | Room2</v>
      </c>
      <c r="H45" s="2" t="str">
        <f t="shared" si="0"/>
        <v>BE2 | Room1</v>
      </c>
      <c r="I45" s="2" t="str">
        <f t="shared" si="0"/>
        <v>BE2 | Room2</v>
      </c>
      <c r="J45" s="2" t="str">
        <f>$E41&amp;J41&amp;" | unheated"</f>
        <v>BE2 | unheated</v>
      </c>
    </row>
    <row r="46" spans="5:11" x14ac:dyDescent="0.3">
      <c r="F46" s="3" t="str">
        <f t="shared" ref="F46:J47" si="1">$E42&amp;": "&amp;F42&amp;" "&amp;$K42</f>
        <v>θ_int,i: 18 °C</v>
      </c>
      <c r="G46" s="3" t="str">
        <f t="shared" si="1"/>
        <v>θ_int,i: 20 °C</v>
      </c>
      <c r="H46" s="3" t="str">
        <f t="shared" si="1"/>
        <v>θ_int,i: 20 °C</v>
      </c>
      <c r="I46" s="3" t="str">
        <f t="shared" si="1"/>
        <v>θ_int,i: 18 °C</v>
      </c>
      <c r="J46" s="3" t="str">
        <f t="shared" si="1"/>
        <v>θ_int,i: unheated (winter garden, glazed balkony, etc.) °C</v>
      </c>
    </row>
    <row r="47" spans="5:11" x14ac:dyDescent="0.3">
      <c r="F47" s="3" t="str">
        <f t="shared" si="1"/>
        <v>n_min: 0,5 1/h</v>
      </c>
      <c r="G47" s="3" t="str">
        <f t="shared" si="1"/>
        <v>n_min: 0,5 1/h</v>
      </c>
      <c r="H47" s="3" t="str">
        <f t="shared" si="1"/>
        <v>n_min: 0,5 1/h</v>
      </c>
      <c r="I47" s="3" t="str">
        <f t="shared" si="1"/>
        <v>n_min: 0,5 1/h</v>
      </c>
      <c r="J47" s="3" t="str">
        <f t="shared" si="1"/>
        <v>n_min: 0,5 1/h</v>
      </c>
    </row>
    <row r="48" spans="5:11" ht="346.5" x14ac:dyDescent="0.3">
      <c r="E48" s="4" t="s">
        <v>5</v>
      </c>
      <c r="F48" s="4" t="str">
        <f>F45&amp;$E48&amp;F46&amp;$E48&amp;F47</f>
        <v>BE1 | Room1
θ_int,i: 18 °C
n_min: 0,5 1/h</v>
      </c>
      <c r="G48" s="4" t="str">
        <f t="shared" ref="G48:I48" si="2">G45&amp;$E48&amp;G46&amp;$E48&amp;G47</f>
        <v>BE1 | Room2
θ_int,i: 20 °C
n_min: 0,5 1/h</v>
      </c>
      <c r="H48" s="4" t="str">
        <f t="shared" si="2"/>
        <v>BE2 | Room1
θ_int,i: 20 °C
n_min: 0,5 1/h</v>
      </c>
      <c r="I48" s="4" t="str">
        <f t="shared" si="2"/>
        <v>BE2 | Room2
θ_int,i: 18 °C
n_min: 0,5 1/h</v>
      </c>
      <c r="J48" s="4" t="str">
        <f>J45&amp;$E48&amp;J46&amp;$E48&amp;J47</f>
        <v>BE2 | unheated
θ_int,i: unheated (winter garden, glazed balkony, etc.) °C
n_min: 0,5 1/h</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tabSelected="1" workbookViewId="0">
      <selection activeCell="A18" sqref="A18"/>
    </sheetView>
  </sheetViews>
  <sheetFormatPr defaultColWidth="11.5546875" defaultRowHeight="13" x14ac:dyDescent="0.3"/>
  <sheetData>
    <row r="2" spans="1:1" x14ac:dyDescent="0.3">
      <c r="A2" s="132" t="s">
        <v>137</v>
      </c>
    </row>
    <row r="3" spans="1:1" x14ac:dyDescent="0.3">
      <c r="A3" s="133" t="s">
        <v>138</v>
      </c>
    </row>
    <row r="4" spans="1:1" x14ac:dyDescent="0.3">
      <c r="A4" s="133" t="s">
        <v>139</v>
      </c>
    </row>
    <row r="5" spans="1:1" x14ac:dyDescent="0.3">
      <c r="A5" s="133" t="s">
        <v>140</v>
      </c>
    </row>
    <row r="6" spans="1:1" x14ac:dyDescent="0.3">
      <c r="A6" s="133" t="s">
        <v>141</v>
      </c>
    </row>
    <row r="7" spans="1:1" x14ac:dyDescent="0.3">
      <c r="A7" s="134"/>
    </row>
    <row r="8" spans="1:1" x14ac:dyDescent="0.3">
      <c r="A8" s="134" t="s">
        <v>142</v>
      </c>
    </row>
    <row r="9" spans="1:1" x14ac:dyDescent="0.3">
      <c r="A9" s="133" t="s">
        <v>143</v>
      </c>
    </row>
    <row r="10" spans="1:1" x14ac:dyDescent="0.3">
      <c r="A10" s="134"/>
    </row>
    <row r="11" spans="1:1" x14ac:dyDescent="0.3">
      <c r="A11" s="134" t="s">
        <v>144</v>
      </c>
    </row>
    <row r="12" spans="1:1" x14ac:dyDescent="0.3">
      <c r="A12" s="133" t="s">
        <v>145</v>
      </c>
    </row>
    <row r="13" spans="1:1" x14ac:dyDescent="0.3">
      <c r="A13" s="133" t="s">
        <v>146</v>
      </c>
    </row>
    <row r="14" spans="1:1" x14ac:dyDescent="0.3">
      <c r="A14" s="133" t="s">
        <v>147</v>
      </c>
    </row>
    <row r="15" spans="1:1" x14ac:dyDescent="0.3">
      <c r="A15" s="134"/>
    </row>
    <row r="16" spans="1:1" x14ac:dyDescent="0.3">
      <c r="A16" s="134" t="s">
        <v>148</v>
      </c>
    </row>
    <row r="17" spans="1:1" x14ac:dyDescent="0.3">
      <c r="A17" s="133" t="s">
        <v>149</v>
      </c>
    </row>
    <row r="18" spans="1:1" x14ac:dyDescent="0.3">
      <c r="A18" s="135" t="s">
        <v>150</v>
      </c>
    </row>
    <row r="20" spans="1:1" x14ac:dyDescent="0.3">
      <c r="A20" s="134"/>
    </row>
  </sheetData>
  <sheetProtection password="EB27"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53"/>
  <sheetViews>
    <sheetView showGridLines="0" topLeftCell="A16" workbookViewId="0"/>
  </sheetViews>
  <sheetFormatPr defaultColWidth="4.88671875" defaultRowHeight="13" x14ac:dyDescent="0.3"/>
  <cols>
    <col min="1" max="1" width="2.88671875" style="6" customWidth="1"/>
    <col min="2" max="2" width="6.6640625" style="6" bestFit="1" customWidth="1"/>
    <col min="3" max="3" width="16.6640625" style="6" customWidth="1"/>
    <col min="4" max="4" width="11.6640625" style="6" bestFit="1" customWidth="1"/>
    <col min="5" max="5" width="12.88671875" style="7" bestFit="1" customWidth="1"/>
    <col min="6" max="6" width="14" style="6" bestFit="1" customWidth="1"/>
    <col min="7" max="7" width="5.109375" style="6" bestFit="1" customWidth="1"/>
    <col min="8" max="8" width="8.109375" style="6" bestFit="1" customWidth="1"/>
    <col min="9" max="9" width="9.6640625" style="7" bestFit="1" customWidth="1"/>
    <col min="10" max="10" width="10.6640625" style="7" bestFit="1" customWidth="1"/>
    <col min="11" max="11" width="6.109375" style="7" bestFit="1" customWidth="1"/>
    <col min="12" max="12" width="6.6640625" style="6" bestFit="1" customWidth="1"/>
    <col min="13" max="13" width="6.88671875" style="6" bestFit="1" customWidth="1"/>
    <col min="14" max="14" width="14.33203125" style="6" customWidth="1"/>
    <col min="15" max="15" width="13.88671875" style="6" bestFit="1" customWidth="1"/>
    <col min="16" max="16" width="9.33203125" style="6" bestFit="1" customWidth="1"/>
    <col min="17" max="17" width="6.44140625" style="6" bestFit="1" customWidth="1"/>
    <col min="18" max="19" width="6.6640625" style="6" bestFit="1" customWidth="1"/>
    <col min="20" max="20" width="10.33203125" style="6" bestFit="1" customWidth="1"/>
    <col min="21" max="22" width="5.6640625" style="6" bestFit="1" customWidth="1"/>
    <col min="23" max="24" width="7.6640625" style="6" bestFit="1" customWidth="1"/>
    <col min="25" max="26" width="6.88671875" style="6" bestFit="1" customWidth="1"/>
    <col min="27" max="27" width="7.6640625" style="6" bestFit="1" customWidth="1"/>
    <col min="28" max="28" width="5.6640625" style="6" bestFit="1" customWidth="1"/>
    <col min="29" max="29" width="6.6640625" style="6" bestFit="1" customWidth="1"/>
    <col min="30" max="30" width="9" style="6" bestFit="1" customWidth="1"/>
    <col min="31" max="31" width="8" style="6" customWidth="1"/>
    <col min="32" max="33" width="4.88671875" style="6"/>
    <col min="34" max="34" width="32.6640625" style="6" bestFit="1" customWidth="1"/>
    <col min="35" max="16384" width="4.88671875" style="6"/>
  </cols>
  <sheetData>
    <row r="1" spans="2:34" ht="13.5" thickBot="1" x14ac:dyDescent="0.35"/>
    <row r="2" spans="2:34" ht="18.5" thickBot="1" x14ac:dyDescent="0.35">
      <c r="B2" s="138" t="s">
        <v>127</v>
      </c>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40"/>
    </row>
    <row r="3" spans="2:34" s="7" customFormat="1" ht="120" x14ac:dyDescent="0.3">
      <c r="B3" s="25" t="s">
        <v>91</v>
      </c>
      <c r="C3" s="26" t="s">
        <v>10</v>
      </c>
      <c r="D3" s="26" t="s">
        <v>54</v>
      </c>
      <c r="E3" s="26" t="s">
        <v>11</v>
      </c>
      <c r="F3" s="26" t="s">
        <v>26</v>
      </c>
      <c r="G3" s="26" t="s">
        <v>45</v>
      </c>
      <c r="H3" s="26" t="s">
        <v>22</v>
      </c>
      <c r="I3" s="26" t="s">
        <v>24</v>
      </c>
      <c r="J3" s="26" t="s">
        <v>65</v>
      </c>
      <c r="K3" s="26" t="s">
        <v>55</v>
      </c>
      <c r="L3" s="26" t="s">
        <v>61</v>
      </c>
      <c r="M3" s="26" t="s">
        <v>68</v>
      </c>
      <c r="N3" s="26" t="s">
        <v>70</v>
      </c>
      <c r="O3" s="26" t="s">
        <v>72</v>
      </c>
      <c r="P3" s="26" t="s">
        <v>74</v>
      </c>
      <c r="Q3" s="26" t="s">
        <v>43</v>
      </c>
      <c r="R3" s="184" t="s">
        <v>67</v>
      </c>
      <c r="S3" s="185"/>
      <c r="T3" s="27" t="s">
        <v>42</v>
      </c>
      <c r="U3" s="184" t="s">
        <v>76</v>
      </c>
      <c r="V3" s="185"/>
      <c r="W3" s="184" t="s">
        <v>42</v>
      </c>
      <c r="X3" s="185"/>
      <c r="Y3" s="26" t="s">
        <v>85</v>
      </c>
      <c r="Z3" s="26" t="s">
        <v>90</v>
      </c>
      <c r="AA3" s="26" t="s">
        <v>107</v>
      </c>
      <c r="AB3" s="141" t="s">
        <v>114</v>
      </c>
      <c r="AC3" s="142"/>
      <c r="AD3" s="143"/>
    </row>
    <row r="4" spans="2:34" s="7" customFormat="1" ht="26" x14ac:dyDescent="0.3">
      <c r="B4" s="28" t="s">
        <v>31</v>
      </c>
      <c r="C4" s="8" t="s">
        <v>7</v>
      </c>
      <c r="D4" s="8" t="s">
        <v>0</v>
      </c>
      <c r="E4" s="8" t="s">
        <v>9</v>
      </c>
      <c r="F4" s="8" t="s">
        <v>42</v>
      </c>
      <c r="G4" s="8" t="s">
        <v>42</v>
      </c>
      <c r="H4" s="8" t="s">
        <v>23</v>
      </c>
      <c r="I4" s="8" t="s">
        <v>21</v>
      </c>
      <c r="J4" s="8" t="s">
        <v>66</v>
      </c>
      <c r="K4" s="8" t="s">
        <v>56</v>
      </c>
      <c r="L4" s="8" t="s">
        <v>62</v>
      </c>
      <c r="M4" s="8" t="s">
        <v>69</v>
      </c>
      <c r="N4" s="8" t="s">
        <v>71</v>
      </c>
      <c r="O4" s="8" t="s">
        <v>73</v>
      </c>
      <c r="P4" s="8" t="s">
        <v>75</v>
      </c>
      <c r="Q4" s="8" t="s">
        <v>44</v>
      </c>
      <c r="R4" s="182" t="s">
        <v>63</v>
      </c>
      <c r="S4" s="183"/>
      <c r="T4" s="9" t="s">
        <v>84</v>
      </c>
      <c r="U4" s="182" t="s">
        <v>77</v>
      </c>
      <c r="V4" s="183"/>
      <c r="W4" s="182" t="s">
        <v>83</v>
      </c>
      <c r="X4" s="183"/>
      <c r="Y4" s="8" t="s">
        <v>86</v>
      </c>
      <c r="Z4" s="8" t="s">
        <v>119</v>
      </c>
      <c r="AA4" s="8" t="s">
        <v>120</v>
      </c>
      <c r="AB4" s="8" t="s">
        <v>116</v>
      </c>
      <c r="AC4" s="8" t="s">
        <v>117</v>
      </c>
      <c r="AD4" s="29" t="s">
        <v>118</v>
      </c>
    </row>
    <row r="5" spans="2:34" s="7" customFormat="1" ht="13.5" thickBot="1" x14ac:dyDescent="0.35">
      <c r="B5" s="30" t="s">
        <v>42</v>
      </c>
      <c r="C5" s="31" t="s">
        <v>42</v>
      </c>
      <c r="D5" s="31" t="s">
        <v>3</v>
      </c>
      <c r="E5" s="31" t="s">
        <v>42</v>
      </c>
      <c r="F5" s="31" t="s">
        <v>42</v>
      </c>
      <c r="G5" s="31" t="s">
        <v>42</v>
      </c>
      <c r="H5" s="31" t="s">
        <v>53</v>
      </c>
      <c r="I5" s="31" t="s">
        <v>20</v>
      </c>
      <c r="J5" s="31" t="s">
        <v>20</v>
      </c>
      <c r="K5" s="31" t="s">
        <v>3</v>
      </c>
      <c r="L5" s="31" t="s">
        <v>25</v>
      </c>
      <c r="M5" s="31" t="s">
        <v>25</v>
      </c>
      <c r="N5" s="31" t="s">
        <v>25</v>
      </c>
      <c r="O5" s="31" t="s">
        <v>42</v>
      </c>
      <c r="P5" s="31" t="s">
        <v>20</v>
      </c>
      <c r="Q5" s="31" t="s">
        <v>42</v>
      </c>
      <c r="R5" s="180" t="s">
        <v>64</v>
      </c>
      <c r="S5" s="181"/>
      <c r="T5" s="32"/>
      <c r="U5" s="180" t="s">
        <v>64</v>
      </c>
      <c r="V5" s="181"/>
      <c r="W5" s="180" t="s">
        <v>78</v>
      </c>
      <c r="X5" s="181"/>
      <c r="Y5" s="31" t="s">
        <v>3</v>
      </c>
      <c r="Z5" s="31" t="s">
        <v>64</v>
      </c>
      <c r="AA5" s="31" t="s">
        <v>78</v>
      </c>
      <c r="AB5" s="31" t="s">
        <v>78</v>
      </c>
      <c r="AC5" s="31" t="s">
        <v>78</v>
      </c>
      <c r="AD5" s="33" t="s">
        <v>78</v>
      </c>
    </row>
    <row r="6" spans="2:34" x14ac:dyDescent="0.3">
      <c r="B6" s="100" t="s">
        <v>32</v>
      </c>
      <c r="C6" s="101" t="s">
        <v>79</v>
      </c>
      <c r="D6" s="83">
        <f>'Input data'!$D$4</f>
        <v>18</v>
      </c>
      <c r="E6" s="35" t="s">
        <v>12</v>
      </c>
      <c r="F6" s="35" t="s">
        <v>27</v>
      </c>
      <c r="G6" s="34" t="s">
        <v>46</v>
      </c>
      <c r="H6" s="36">
        <f>4*7</f>
        <v>28</v>
      </c>
      <c r="I6" s="85">
        <f>'Input data'!$O$5</f>
        <v>0.7</v>
      </c>
      <c r="J6" s="85">
        <f>'Input data'!$R$5</f>
        <v>0.05</v>
      </c>
      <c r="K6" s="117">
        <f>'Input data'!$G$5</f>
        <v>10</v>
      </c>
      <c r="L6" s="37">
        <f>7+4</f>
        <v>11</v>
      </c>
      <c r="M6" s="37">
        <v>0</v>
      </c>
      <c r="N6" s="38">
        <f>H6/(0.5*L6)</f>
        <v>5.0909090909090908</v>
      </c>
      <c r="O6" s="38">
        <v>1.45</v>
      </c>
      <c r="P6" s="38">
        <f>0.48/(-10.685+(20.64+N6)^0.4791+(25.48+M6)^0.5626+I6^-0.6376)</f>
        <v>0.32171255959347023</v>
      </c>
      <c r="Q6" s="38">
        <f>(D6-K6)/(D6-'Input data'!$H$5)</f>
        <v>0.26666666666666666</v>
      </c>
      <c r="R6" s="39">
        <f>H6*SUM(P6,J6)*Q6*O6</f>
        <v>4.0244079785319702</v>
      </c>
      <c r="S6" s="159">
        <f>SUM(R6:R21)</f>
        <v>64.18993510021464</v>
      </c>
      <c r="T6" s="159">
        <f>S6*'Input data'!$H$5</f>
        <v>-770.27922120257563</v>
      </c>
      <c r="U6" s="48" t="s">
        <v>42</v>
      </c>
      <c r="V6" s="159">
        <f>SUM(U6:U21)</f>
        <v>8.3999999999999986</v>
      </c>
      <c r="W6" s="48" t="s">
        <v>42</v>
      </c>
      <c r="X6" s="159">
        <f>SUM(W6:W21)</f>
        <v>167.99999999999997</v>
      </c>
      <c r="Y6" s="159">
        <f>MAX((T6+X6)/(S6+V6),'Input data'!$J$5)</f>
        <v>10</v>
      </c>
      <c r="Z6" s="52">
        <f>H6*SUM(J6,P6)*O6*Q6</f>
        <v>4.0244079785319711</v>
      </c>
      <c r="AA6" s="55">
        <f>Z6*(D6-'Input data'!$H$5)</f>
        <v>120.73223935595914</v>
      </c>
      <c r="AB6" s="144">
        <f>SUMIFS($AA$6:$AA$36,$C$6:$C$36,C6)</f>
        <v>863.33223935595913</v>
      </c>
      <c r="AC6" s="150">
        <f>SUMIFS($AA$6:$AA$36,$B$6:$B$36,B6,$G$6:$G$36,"ie")+SUMIFS($AA$6:$AA$36,$B$6:$B$36,B6,$G$6:$G$36,"iae")+SUMIFS($AA$6:$AA$36,$B$6:$B$36,B6,$G$6:$G$36,"iaBE")+SUMIFS($AA$6:$AA$36,$B$6:$B$36,B6,$G$6:$G$36,"ig")</f>
        <v>2065.8691072498041</v>
      </c>
      <c r="AD6" s="156">
        <f>SUMIFS($AA$6:$AA$36,$G$6:$G$36,"ie")+SUMIFS($AA$6:$AA$36,$G$6:$G$36,"iae")+SUMIFS($AA$6:$AA$36,$G$6:$G$36,"ig")</f>
        <v>3380.4899480730915</v>
      </c>
    </row>
    <row r="7" spans="2:34" ht="26.5" thickBot="1" x14ac:dyDescent="0.35">
      <c r="B7" s="102" t="str">
        <f>B6</f>
        <v>BE1</v>
      </c>
      <c r="C7" s="103" t="str">
        <f>C6</f>
        <v>BE1 | Room1</v>
      </c>
      <c r="D7" s="15">
        <f>'Input data'!$D$4</f>
        <v>18</v>
      </c>
      <c r="E7" s="14" t="s">
        <v>13</v>
      </c>
      <c r="F7" s="14" t="s">
        <v>28</v>
      </c>
      <c r="G7" s="13" t="s">
        <v>47</v>
      </c>
      <c r="H7" s="12">
        <f>4*7</f>
        <v>28</v>
      </c>
      <c r="I7" s="11">
        <f>'Input data'!$P$5</f>
        <v>0.4</v>
      </c>
      <c r="J7" s="10">
        <f>'Input data'!$R$5</f>
        <v>0.05</v>
      </c>
      <c r="K7" s="18" t="s">
        <v>42</v>
      </c>
      <c r="L7" s="23" t="s">
        <v>42</v>
      </c>
      <c r="M7" s="23" t="s">
        <v>42</v>
      </c>
      <c r="N7" s="23" t="s">
        <v>42</v>
      </c>
      <c r="O7" s="23" t="s">
        <v>42</v>
      </c>
      <c r="P7" s="23" t="s">
        <v>42</v>
      </c>
      <c r="Q7" s="24">
        <v>0.7</v>
      </c>
      <c r="R7" s="40">
        <f>H7*SUM(I7,J7)*Q7</f>
        <v>8.8199999999999985</v>
      </c>
      <c r="S7" s="160"/>
      <c r="T7" s="160"/>
      <c r="U7" s="49" t="s">
        <v>42</v>
      </c>
      <c r="V7" s="160"/>
      <c r="W7" s="49" t="s">
        <v>42</v>
      </c>
      <c r="X7" s="160"/>
      <c r="Y7" s="160"/>
      <c r="Z7" s="53">
        <f>H7*SUM(J7,I7)*Q7</f>
        <v>8.8199999999999985</v>
      </c>
      <c r="AA7" s="56">
        <f>Z7*(D7-'Input data'!$H$5)</f>
        <v>264.59999999999997</v>
      </c>
      <c r="AB7" s="145"/>
      <c r="AC7" s="151"/>
      <c r="AD7" s="157"/>
    </row>
    <row r="8" spans="2:34" x14ac:dyDescent="0.3">
      <c r="B8" s="102" t="str">
        <f t="shared" ref="B8:B21" si="0">B7</f>
        <v>BE1</v>
      </c>
      <c r="C8" s="103" t="str">
        <f t="shared" ref="C8:C13" si="1">C7</f>
        <v>BE1 | Room1</v>
      </c>
      <c r="D8" s="15">
        <f>'Input data'!$D$4</f>
        <v>18</v>
      </c>
      <c r="E8" s="14" t="s">
        <v>14</v>
      </c>
      <c r="F8" s="14" t="s">
        <v>29</v>
      </c>
      <c r="G8" s="13" t="s">
        <v>48</v>
      </c>
      <c r="H8" s="12">
        <f>7*2.8</f>
        <v>19.599999999999998</v>
      </c>
      <c r="I8" s="11">
        <f>'Input data'!$M$5</f>
        <v>0.3</v>
      </c>
      <c r="J8" s="10">
        <f>'Input data'!$R$5</f>
        <v>0.05</v>
      </c>
      <c r="K8" s="17">
        <f>'Input data'!$H$5</f>
        <v>-12</v>
      </c>
      <c r="L8" s="23" t="s">
        <v>42</v>
      </c>
      <c r="M8" s="23" t="s">
        <v>42</v>
      </c>
      <c r="N8" s="23" t="s">
        <v>42</v>
      </c>
      <c r="O8" s="23" t="s">
        <v>42</v>
      </c>
      <c r="P8" s="23" t="s">
        <v>42</v>
      </c>
      <c r="Q8" s="22">
        <f>(D8-K8)/(D8-'Input data'!$H$5)</f>
        <v>1</v>
      </c>
      <c r="R8" s="40">
        <f>H8*SUM(I8,J8)*Q8</f>
        <v>6.8599999999999985</v>
      </c>
      <c r="S8" s="160"/>
      <c r="T8" s="160"/>
      <c r="U8" s="49" t="s">
        <v>42</v>
      </c>
      <c r="V8" s="160"/>
      <c r="W8" s="49" t="s">
        <v>42</v>
      </c>
      <c r="X8" s="160"/>
      <c r="Y8" s="160"/>
      <c r="Z8" s="53">
        <f t="shared" ref="Z8:Z36" si="2">H8*SUM(J8,I8)*Q8</f>
        <v>6.8599999999999985</v>
      </c>
      <c r="AA8" s="56">
        <f>Z8*(D8-'Input data'!$H$5)</f>
        <v>205.79999999999995</v>
      </c>
      <c r="AB8" s="145"/>
      <c r="AC8" s="151"/>
      <c r="AD8" s="157"/>
      <c r="AF8" s="120" t="s">
        <v>129</v>
      </c>
      <c r="AG8" s="121">
        <v>123</v>
      </c>
      <c r="AH8" s="122" t="s">
        <v>130</v>
      </c>
    </row>
    <row r="9" spans="2:34" x14ac:dyDescent="0.3">
      <c r="B9" s="102" t="str">
        <f t="shared" si="0"/>
        <v>BE1</v>
      </c>
      <c r="C9" s="103" t="str">
        <f t="shared" si="1"/>
        <v>BE1 | Room1</v>
      </c>
      <c r="D9" s="15">
        <f>'Input data'!$D$4</f>
        <v>18</v>
      </c>
      <c r="E9" s="14" t="s">
        <v>15</v>
      </c>
      <c r="F9" s="14" t="s">
        <v>80</v>
      </c>
      <c r="G9" s="13" t="s">
        <v>50</v>
      </c>
      <c r="H9" s="12">
        <f>5*2.8</f>
        <v>14</v>
      </c>
      <c r="I9" s="11">
        <f>'Input data'!$N$5</f>
        <v>1.2</v>
      </c>
      <c r="J9" s="10">
        <f>'Input data'!$R$5</f>
        <v>0.05</v>
      </c>
      <c r="K9" s="17">
        <f>$D$14</f>
        <v>20</v>
      </c>
      <c r="L9" s="23" t="s">
        <v>42</v>
      </c>
      <c r="M9" s="23" t="s">
        <v>42</v>
      </c>
      <c r="N9" s="23" t="s">
        <v>42</v>
      </c>
      <c r="O9" s="23" t="s">
        <v>42</v>
      </c>
      <c r="P9" s="23" t="s">
        <v>42</v>
      </c>
      <c r="Q9" s="22">
        <f>(D9-K9)/(D9-'Input data'!$H$5)</f>
        <v>-6.6666666666666666E-2</v>
      </c>
      <c r="R9" s="41" t="s">
        <v>42</v>
      </c>
      <c r="S9" s="160"/>
      <c r="T9" s="160"/>
      <c r="U9" s="49" t="s">
        <v>42</v>
      </c>
      <c r="V9" s="160"/>
      <c r="W9" s="49" t="s">
        <v>42</v>
      </c>
      <c r="X9" s="160"/>
      <c r="Y9" s="160"/>
      <c r="Z9" s="53">
        <f t="shared" si="2"/>
        <v>-1.1666666666666667</v>
      </c>
      <c r="AA9" s="56">
        <f>Z9*(D9-'Input data'!$H$5)</f>
        <v>-35</v>
      </c>
      <c r="AB9" s="145"/>
      <c r="AC9" s="151"/>
      <c r="AD9" s="157"/>
      <c r="AF9" s="123" t="s">
        <v>129</v>
      </c>
      <c r="AG9" s="111">
        <v>124</v>
      </c>
      <c r="AH9" s="124" t="s">
        <v>135</v>
      </c>
    </row>
    <row r="10" spans="2:34" ht="26" x14ac:dyDescent="0.3">
      <c r="B10" s="102" t="str">
        <f t="shared" si="0"/>
        <v>BE1</v>
      </c>
      <c r="C10" s="103" t="str">
        <f t="shared" si="1"/>
        <v>BE1 | Room1</v>
      </c>
      <c r="D10" s="15">
        <f>'Input data'!$D$4</f>
        <v>18</v>
      </c>
      <c r="E10" s="14" t="s">
        <v>16</v>
      </c>
      <c r="F10" s="14" t="s">
        <v>28</v>
      </c>
      <c r="G10" s="13" t="s">
        <v>47</v>
      </c>
      <c r="H10" s="12">
        <f>2*2.8</f>
        <v>5.6</v>
      </c>
      <c r="I10" s="11">
        <f>'Input data'!$O$5</f>
        <v>0.7</v>
      </c>
      <c r="J10" s="10">
        <f>'Input data'!$R$5</f>
        <v>0.05</v>
      </c>
      <c r="K10" s="18" t="s">
        <v>42</v>
      </c>
      <c r="L10" s="23" t="s">
        <v>42</v>
      </c>
      <c r="M10" s="23" t="s">
        <v>42</v>
      </c>
      <c r="N10" s="23" t="s">
        <v>42</v>
      </c>
      <c r="O10" s="23" t="s">
        <v>42</v>
      </c>
      <c r="P10" s="23" t="s">
        <v>42</v>
      </c>
      <c r="Q10" s="24">
        <v>0.4</v>
      </c>
      <c r="R10" s="40">
        <f>H10*SUM(I10,J10)*Q10</f>
        <v>1.6799999999999997</v>
      </c>
      <c r="S10" s="160"/>
      <c r="T10" s="160"/>
      <c r="U10" s="49" t="s">
        <v>42</v>
      </c>
      <c r="V10" s="160"/>
      <c r="W10" s="49" t="s">
        <v>42</v>
      </c>
      <c r="X10" s="160"/>
      <c r="Y10" s="160"/>
      <c r="Z10" s="53">
        <f t="shared" si="2"/>
        <v>1.6799999999999997</v>
      </c>
      <c r="AA10" s="56">
        <f>Z10*(D10-'Input data'!$H$5)</f>
        <v>50.399999999999991</v>
      </c>
      <c r="AB10" s="145"/>
      <c r="AC10" s="151"/>
      <c r="AD10" s="157"/>
      <c r="AF10" s="125" t="s">
        <v>129</v>
      </c>
      <c r="AG10" s="112">
        <v>125</v>
      </c>
      <c r="AH10" s="136" t="s">
        <v>131</v>
      </c>
    </row>
    <row r="11" spans="2:34" x14ac:dyDescent="0.3">
      <c r="B11" s="102" t="str">
        <f t="shared" si="0"/>
        <v>BE1</v>
      </c>
      <c r="C11" s="103" t="str">
        <f t="shared" si="1"/>
        <v>BE1 | Room1</v>
      </c>
      <c r="D11" s="15">
        <f>'Input data'!$D$4</f>
        <v>18</v>
      </c>
      <c r="E11" s="14" t="s">
        <v>36</v>
      </c>
      <c r="F11" s="14" t="s">
        <v>81</v>
      </c>
      <c r="G11" s="13" t="s">
        <v>49</v>
      </c>
      <c r="H11" s="12">
        <f>4*2.8</f>
        <v>11.2</v>
      </c>
      <c r="I11" s="11">
        <f>'Input data'!$O$5</f>
        <v>0.7</v>
      </c>
      <c r="J11" s="10">
        <f>'Input data'!$R$5</f>
        <v>0.05</v>
      </c>
      <c r="K11" s="21">
        <f>Y22</f>
        <v>10</v>
      </c>
      <c r="L11" s="23" t="s">
        <v>42</v>
      </c>
      <c r="M11" s="23" t="s">
        <v>42</v>
      </c>
      <c r="N11" s="23" t="s">
        <v>42</v>
      </c>
      <c r="O11" s="23" t="s">
        <v>42</v>
      </c>
      <c r="P11" s="23" t="s">
        <v>42</v>
      </c>
      <c r="Q11" s="22">
        <f>(D11-K11)/(D11-'Input data'!$H$5)</f>
        <v>0.26666666666666666</v>
      </c>
      <c r="R11" s="41" t="s">
        <v>42</v>
      </c>
      <c r="S11" s="160"/>
      <c r="T11" s="160"/>
      <c r="U11" s="50">
        <f>H11*SUM(I11:J11)</f>
        <v>8.3999999999999986</v>
      </c>
      <c r="V11" s="160"/>
      <c r="W11" s="50">
        <f>U11*D22</f>
        <v>167.99999999999997</v>
      </c>
      <c r="X11" s="160"/>
      <c r="Y11" s="160"/>
      <c r="Z11" s="53">
        <f t="shared" si="2"/>
        <v>2.2399999999999998</v>
      </c>
      <c r="AA11" s="56">
        <f>Z11*(D11-'Input data'!$H$5)</f>
        <v>67.199999999999989</v>
      </c>
      <c r="AB11" s="145"/>
      <c r="AC11" s="151"/>
      <c r="AD11" s="157"/>
      <c r="AF11" s="126" t="s">
        <v>129</v>
      </c>
      <c r="AG11" s="113">
        <v>126</v>
      </c>
      <c r="AH11" s="136"/>
    </row>
    <row r="12" spans="2:34" x14ac:dyDescent="0.3">
      <c r="B12" s="102" t="str">
        <f t="shared" si="0"/>
        <v>BE1</v>
      </c>
      <c r="C12" s="103" t="str">
        <f t="shared" si="1"/>
        <v>BE1 | Room1</v>
      </c>
      <c r="D12" s="15">
        <f>'Input data'!$D$4</f>
        <v>18</v>
      </c>
      <c r="E12" s="14" t="s">
        <v>37</v>
      </c>
      <c r="F12" s="14" t="s">
        <v>29</v>
      </c>
      <c r="G12" s="13" t="s">
        <v>48</v>
      </c>
      <c r="H12" s="12">
        <f>4*2.8-H13</f>
        <v>8.7999999999999989</v>
      </c>
      <c r="I12" s="11">
        <f>'Input data'!$M$5</f>
        <v>0.3</v>
      </c>
      <c r="J12" s="10">
        <f>'Input data'!$R$5</f>
        <v>0.05</v>
      </c>
      <c r="K12" s="17">
        <f>'Input data'!$H$5</f>
        <v>-12</v>
      </c>
      <c r="L12" s="23" t="s">
        <v>42</v>
      </c>
      <c r="M12" s="23" t="s">
        <v>42</v>
      </c>
      <c r="N12" s="23" t="s">
        <v>42</v>
      </c>
      <c r="O12" s="23" t="s">
        <v>42</v>
      </c>
      <c r="P12" s="23" t="s">
        <v>42</v>
      </c>
      <c r="Q12" s="22">
        <f>(D12-K12)/(D12-'Input data'!$H$5)</f>
        <v>1</v>
      </c>
      <c r="R12" s="40">
        <f>H12*SUM(I12,J12)*Q12</f>
        <v>3.0799999999999996</v>
      </c>
      <c r="S12" s="160"/>
      <c r="T12" s="160"/>
      <c r="U12" s="49" t="s">
        <v>42</v>
      </c>
      <c r="V12" s="160"/>
      <c r="W12" s="49" t="s">
        <v>42</v>
      </c>
      <c r="X12" s="160"/>
      <c r="Y12" s="160"/>
      <c r="Z12" s="53">
        <f t="shared" si="2"/>
        <v>3.0799999999999996</v>
      </c>
      <c r="AA12" s="56">
        <f>Z12*(D12-'Input data'!$H$5)</f>
        <v>92.399999999999991</v>
      </c>
      <c r="AB12" s="145"/>
      <c r="AC12" s="151"/>
      <c r="AD12" s="157"/>
      <c r="AF12" s="127" t="s">
        <v>129</v>
      </c>
      <c r="AG12" s="114">
        <v>127</v>
      </c>
      <c r="AH12" s="136"/>
    </row>
    <row r="13" spans="2:34" ht="13.5" thickBot="1" x14ac:dyDescent="0.35">
      <c r="B13" s="102" t="str">
        <f t="shared" si="0"/>
        <v>BE1</v>
      </c>
      <c r="C13" s="104" t="str">
        <f t="shared" si="1"/>
        <v>BE1 | Room1</v>
      </c>
      <c r="D13" s="84">
        <f>'Input data'!$D$4</f>
        <v>18</v>
      </c>
      <c r="E13" s="43" t="s">
        <v>38</v>
      </c>
      <c r="F13" s="43" t="s">
        <v>29</v>
      </c>
      <c r="G13" s="42" t="s">
        <v>48</v>
      </c>
      <c r="H13" s="44">
        <f>1.5*1.6</f>
        <v>2.4000000000000004</v>
      </c>
      <c r="I13" s="88">
        <f>'Input data'!$Q$5</f>
        <v>1.3</v>
      </c>
      <c r="J13" s="118">
        <f>'Input data'!$R$5</f>
        <v>0.05</v>
      </c>
      <c r="K13" s="119">
        <f>'Input data'!$H$5</f>
        <v>-12</v>
      </c>
      <c r="L13" s="45" t="s">
        <v>42</v>
      </c>
      <c r="M13" s="45" t="s">
        <v>42</v>
      </c>
      <c r="N13" s="45" t="s">
        <v>42</v>
      </c>
      <c r="O13" s="45" t="s">
        <v>42</v>
      </c>
      <c r="P13" s="45" t="s">
        <v>42</v>
      </c>
      <c r="Q13" s="46">
        <f>(D13-K13)/(D13-'Input data'!$H$5)</f>
        <v>1</v>
      </c>
      <c r="R13" s="47">
        <f>H13*SUM(I13,J13)*Q13</f>
        <v>3.2400000000000007</v>
      </c>
      <c r="S13" s="160"/>
      <c r="T13" s="160"/>
      <c r="U13" s="51" t="s">
        <v>42</v>
      </c>
      <c r="V13" s="160"/>
      <c r="W13" s="51" t="s">
        <v>42</v>
      </c>
      <c r="X13" s="160"/>
      <c r="Y13" s="160"/>
      <c r="Z13" s="54">
        <f t="shared" si="2"/>
        <v>3.2400000000000007</v>
      </c>
      <c r="AA13" s="57">
        <f>Z13*(D13-'Input data'!$H$5)</f>
        <v>97.200000000000017</v>
      </c>
      <c r="AB13" s="146"/>
      <c r="AC13" s="151"/>
      <c r="AD13" s="157"/>
      <c r="AF13" s="128" t="s">
        <v>129</v>
      </c>
      <c r="AG13" s="115">
        <v>125</v>
      </c>
      <c r="AH13" s="136" t="s">
        <v>136</v>
      </c>
    </row>
    <row r="14" spans="2:34" x14ac:dyDescent="0.3">
      <c r="B14" s="102" t="str">
        <f t="shared" si="0"/>
        <v>BE1</v>
      </c>
      <c r="C14" s="101" t="s">
        <v>80</v>
      </c>
      <c r="D14" s="83">
        <f>'Input data'!$D$5</f>
        <v>20</v>
      </c>
      <c r="E14" s="35" t="s">
        <v>12</v>
      </c>
      <c r="F14" s="35" t="s">
        <v>27</v>
      </c>
      <c r="G14" s="34" t="s">
        <v>46</v>
      </c>
      <c r="H14" s="36">
        <f>5*5</f>
        <v>25</v>
      </c>
      <c r="I14" s="85">
        <f>'Input data'!$O$5</f>
        <v>0.7</v>
      </c>
      <c r="J14" s="85">
        <f>'Input data'!$R$5</f>
        <v>0.05</v>
      </c>
      <c r="K14" s="117">
        <f>'Input data'!$G$5</f>
        <v>10</v>
      </c>
      <c r="L14" s="37">
        <f>5+5</f>
        <v>10</v>
      </c>
      <c r="M14" s="37">
        <v>0</v>
      </c>
      <c r="N14" s="38">
        <f>H14/(0.5*L14)</f>
        <v>5</v>
      </c>
      <c r="O14" s="38">
        <v>1.45</v>
      </c>
      <c r="P14" s="38">
        <f>0.48/(-10.685+(20.64+N14)^0.4791+(25.48+M14)^0.5626+I14^-0.6376)</f>
        <v>0.32345342867267701</v>
      </c>
      <c r="Q14" s="38">
        <f>(D14-K14)/(D14-'Input data'!$H$5)</f>
        <v>0.3125</v>
      </c>
      <c r="R14" s="39">
        <f>H14*SUM(P14,J14)*Q14*O14</f>
        <v>4.2305271216826696</v>
      </c>
      <c r="S14" s="160"/>
      <c r="T14" s="160"/>
      <c r="U14" s="48" t="s">
        <v>42</v>
      </c>
      <c r="V14" s="160"/>
      <c r="W14" s="48" t="s">
        <v>42</v>
      </c>
      <c r="X14" s="160"/>
      <c r="Y14" s="160"/>
      <c r="Z14" s="52">
        <f>H14*SUM(J14,P14)*O14*Q14</f>
        <v>4.2305271216826696</v>
      </c>
      <c r="AA14" s="55">
        <f>Z14*(D14-'Input data'!$H$5)</f>
        <v>135.37686789384543</v>
      </c>
      <c r="AB14" s="144">
        <f>SUMIFS($AA$6:$AA$36,$C$6:$C$36,C14)</f>
        <v>1202.5368678938455</v>
      </c>
      <c r="AC14" s="151"/>
      <c r="AD14" s="157"/>
      <c r="AF14" s="129" t="s">
        <v>129</v>
      </c>
      <c r="AG14" s="116">
        <v>126</v>
      </c>
      <c r="AH14" s="136"/>
    </row>
    <row r="15" spans="2:34" ht="26.5" thickBot="1" x14ac:dyDescent="0.35">
      <c r="B15" s="102" t="str">
        <f t="shared" si="0"/>
        <v>BE1</v>
      </c>
      <c r="C15" s="103" t="str">
        <f>C14</f>
        <v>BE1 | Room2</v>
      </c>
      <c r="D15" s="15">
        <f>'Input data'!$D$5</f>
        <v>20</v>
      </c>
      <c r="E15" s="14" t="s">
        <v>13</v>
      </c>
      <c r="F15" s="14" t="s">
        <v>28</v>
      </c>
      <c r="G15" s="13" t="s">
        <v>47</v>
      </c>
      <c r="H15" s="12">
        <f>5*5</f>
        <v>25</v>
      </c>
      <c r="I15" s="11">
        <f>'Input data'!$P$5</f>
        <v>0.4</v>
      </c>
      <c r="J15" s="10">
        <f>'Input data'!$R$5</f>
        <v>0.05</v>
      </c>
      <c r="K15" s="18" t="s">
        <v>42</v>
      </c>
      <c r="L15" s="23" t="s">
        <v>42</v>
      </c>
      <c r="M15" s="23" t="s">
        <v>42</v>
      </c>
      <c r="N15" s="23" t="s">
        <v>42</v>
      </c>
      <c r="O15" s="23" t="s">
        <v>42</v>
      </c>
      <c r="P15" s="23" t="s">
        <v>42</v>
      </c>
      <c r="Q15" s="24">
        <v>0.7</v>
      </c>
      <c r="R15" s="40">
        <f>H15*SUM(I15,J15)*Q15</f>
        <v>7.8749999999999991</v>
      </c>
      <c r="S15" s="160"/>
      <c r="T15" s="160"/>
      <c r="U15" s="49" t="s">
        <v>42</v>
      </c>
      <c r="V15" s="160"/>
      <c r="W15" s="49" t="s">
        <v>42</v>
      </c>
      <c r="X15" s="160"/>
      <c r="Y15" s="160"/>
      <c r="Z15" s="53">
        <f t="shared" si="2"/>
        <v>7.8749999999999991</v>
      </c>
      <c r="AA15" s="56">
        <f>Z15*(D15-'Input data'!$H$5)</f>
        <v>251.99999999999997</v>
      </c>
      <c r="AB15" s="145"/>
      <c r="AC15" s="151"/>
      <c r="AD15" s="157"/>
      <c r="AF15" s="130" t="s">
        <v>129</v>
      </c>
      <c r="AG15" s="131">
        <v>127</v>
      </c>
      <c r="AH15" s="137"/>
    </row>
    <row r="16" spans="2:34" x14ac:dyDescent="0.3">
      <c r="B16" s="102" t="str">
        <f t="shared" si="0"/>
        <v>BE1</v>
      </c>
      <c r="C16" s="103" t="str">
        <f t="shared" ref="C16:C21" si="3">C15</f>
        <v>BE1 | Room2</v>
      </c>
      <c r="D16" s="15">
        <f>'Input data'!$D$5</f>
        <v>20</v>
      </c>
      <c r="E16" s="14" t="s">
        <v>33</v>
      </c>
      <c r="F16" s="14" t="s">
        <v>79</v>
      </c>
      <c r="G16" s="13" t="s">
        <v>50</v>
      </c>
      <c r="H16" s="12">
        <f>5*2.8</f>
        <v>14</v>
      </c>
      <c r="I16" s="11">
        <f>'Input data'!$N$5</f>
        <v>1.2</v>
      </c>
      <c r="J16" s="10">
        <f>'Input data'!$R$5</f>
        <v>0.05</v>
      </c>
      <c r="K16" s="17">
        <f>$D$6</f>
        <v>18</v>
      </c>
      <c r="L16" s="23" t="s">
        <v>42</v>
      </c>
      <c r="M16" s="23" t="s">
        <v>42</v>
      </c>
      <c r="N16" s="23" t="s">
        <v>42</v>
      </c>
      <c r="O16" s="23" t="s">
        <v>42</v>
      </c>
      <c r="P16" s="23" t="s">
        <v>42</v>
      </c>
      <c r="Q16" s="22">
        <f>(D16-K16)/(D16-'Input data'!$H$5)</f>
        <v>6.25E-2</v>
      </c>
      <c r="R16" s="41" t="s">
        <v>42</v>
      </c>
      <c r="S16" s="160"/>
      <c r="T16" s="160"/>
      <c r="U16" s="49" t="s">
        <v>42</v>
      </c>
      <c r="V16" s="160"/>
      <c r="W16" s="49" t="s">
        <v>42</v>
      </c>
      <c r="X16" s="160"/>
      <c r="Y16" s="160"/>
      <c r="Z16" s="53">
        <f t="shared" si="2"/>
        <v>1.09375</v>
      </c>
      <c r="AA16" s="56">
        <f>Z16*(D16-'Input data'!$H$5)</f>
        <v>35</v>
      </c>
      <c r="AB16" s="145"/>
      <c r="AC16" s="151"/>
      <c r="AD16" s="157"/>
    </row>
    <row r="17" spans="2:30" x14ac:dyDescent="0.3">
      <c r="B17" s="102" t="str">
        <f t="shared" si="0"/>
        <v>BE1</v>
      </c>
      <c r="C17" s="103" t="str">
        <f t="shared" si="3"/>
        <v>BE1 | Room2</v>
      </c>
      <c r="D17" s="15">
        <f>'Input data'!$D$5</f>
        <v>20</v>
      </c>
      <c r="E17" s="14" t="s">
        <v>34</v>
      </c>
      <c r="F17" s="14" t="s">
        <v>29</v>
      </c>
      <c r="G17" s="13" t="s">
        <v>48</v>
      </c>
      <c r="H17" s="12">
        <f>5*2.8-H18</f>
        <v>6.0200000000000005</v>
      </c>
      <c r="I17" s="11">
        <f>'Input data'!$M$5</f>
        <v>0.3</v>
      </c>
      <c r="J17" s="10">
        <f>'Input data'!$R$5</f>
        <v>0.05</v>
      </c>
      <c r="K17" s="17">
        <f>'Input data'!$H$5</f>
        <v>-12</v>
      </c>
      <c r="L17" s="23" t="s">
        <v>42</v>
      </c>
      <c r="M17" s="23" t="s">
        <v>42</v>
      </c>
      <c r="N17" s="23" t="s">
        <v>42</v>
      </c>
      <c r="O17" s="23" t="s">
        <v>42</v>
      </c>
      <c r="P17" s="23" t="s">
        <v>42</v>
      </c>
      <c r="Q17" s="22">
        <f>(D17-K17)/(D17-'Input data'!$H$5)</f>
        <v>1</v>
      </c>
      <c r="R17" s="40">
        <f t="shared" ref="R17:R18" si="4">H17*SUM(I17,J17)*Q17</f>
        <v>2.1070000000000002</v>
      </c>
      <c r="S17" s="160"/>
      <c r="T17" s="160"/>
      <c r="U17" s="49" t="s">
        <v>42</v>
      </c>
      <c r="V17" s="160"/>
      <c r="W17" s="49" t="s">
        <v>42</v>
      </c>
      <c r="X17" s="160"/>
      <c r="Y17" s="160"/>
      <c r="Z17" s="53">
        <f t="shared" si="2"/>
        <v>2.1070000000000002</v>
      </c>
      <c r="AA17" s="56">
        <f>Z17*(D17-'Input data'!$H$5)</f>
        <v>67.424000000000007</v>
      </c>
      <c r="AB17" s="145"/>
      <c r="AC17" s="151"/>
      <c r="AD17" s="157"/>
    </row>
    <row r="18" spans="2:30" x14ac:dyDescent="0.3">
      <c r="B18" s="102" t="str">
        <f t="shared" si="0"/>
        <v>BE1</v>
      </c>
      <c r="C18" s="103" t="str">
        <f t="shared" si="3"/>
        <v>BE1 | Room2</v>
      </c>
      <c r="D18" s="15">
        <f>'Input data'!$D$5</f>
        <v>20</v>
      </c>
      <c r="E18" s="14" t="s">
        <v>35</v>
      </c>
      <c r="F18" s="14" t="s">
        <v>29</v>
      </c>
      <c r="G18" s="13" t="s">
        <v>48</v>
      </c>
      <c r="H18" s="12">
        <f>3.8*2.1</f>
        <v>7.9799999999999995</v>
      </c>
      <c r="I18" s="11">
        <f>'Input data'!$Q$5</f>
        <v>1.3</v>
      </c>
      <c r="J18" s="10">
        <f>'Input data'!$R$5</f>
        <v>0.05</v>
      </c>
      <c r="K18" s="17">
        <f>'Input data'!$H$5</f>
        <v>-12</v>
      </c>
      <c r="L18" s="23" t="s">
        <v>42</v>
      </c>
      <c r="M18" s="23" t="s">
        <v>42</v>
      </c>
      <c r="N18" s="23" t="s">
        <v>42</v>
      </c>
      <c r="O18" s="23" t="s">
        <v>42</v>
      </c>
      <c r="P18" s="23" t="s">
        <v>42</v>
      </c>
      <c r="Q18" s="22">
        <f>(D18-K18)/(D18-'Input data'!$H$5)</f>
        <v>1</v>
      </c>
      <c r="R18" s="40">
        <f t="shared" si="4"/>
        <v>10.773</v>
      </c>
      <c r="S18" s="160"/>
      <c r="T18" s="160"/>
      <c r="U18" s="49" t="s">
        <v>42</v>
      </c>
      <c r="V18" s="160"/>
      <c r="W18" s="49" t="s">
        <v>42</v>
      </c>
      <c r="X18" s="160"/>
      <c r="Y18" s="160"/>
      <c r="Z18" s="53">
        <f t="shared" si="2"/>
        <v>10.773</v>
      </c>
      <c r="AA18" s="56">
        <f>Z18*(D18-'Input data'!$H$5)</f>
        <v>344.73599999999999</v>
      </c>
      <c r="AB18" s="145"/>
      <c r="AC18" s="151"/>
      <c r="AD18" s="157"/>
    </row>
    <row r="19" spans="2:30" ht="26" x14ac:dyDescent="0.3">
      <c r="B19" s="102" t="str">
        <f t="shared" si="0"/>
        <v>BE1</v>
      </c>
      <c r="C19" s="103" t="str">
        <f t="shared" si="3"/>
        <v>BE1 | Room2</v>
      </c>
      <c r="D19" s="15">
        <f>'Input data'!$D$5</f>
        <v>20</v>
      </c>
      <c r="E19" s="14" t="s">
        <v>36</v>
      </c>
      <c r="F19" s="14" t="s">
        <v>28</v>
      </c>
      <c r="G19" s="13" t="s">
        <v>47</v>
      </c>
      <c r="H19" s="12">
        <f>5*2.8</f>
        <v>14</v>
      </c>
      <c r="I19" s="11">
        <f>'Input data'!$O$5</f>
        <v>0.7</v>
      </c>
      <c r="J19" s="10">
        <f>'Input data'!$R$5</f>
        <v>0.05</v>
      </c>
      <c r="K19" s="18" t="s">
        <v>42</v>
      </c>
      <c r="L19" s="23" t="s">
        <v>42</v>
      </c>
      <c r="M19" s="23" t="s">
        <v>42</v>
      </c>
      <c r="N19" s="23" t="s">
        <v>42</v>
      </c>
      <c r="O19" s="23" t="s">
        <v>42</v>
      </c>
      <c r="P19" s="23" t="s">
        <v>42</v>
      </c>
      <c r="Q19" s="24">
        <v>0.4</v>
      </c>
      <c r="R19" s="40">
        <f>H19*SUM(I19,J19)*Q19</f>
        <v>4.2</v>
      </c>
      <c r="S19" s="160"/>
      <c r="T19" s="160"/>
      <c r="U19" s="49" t="s">
        <v>42</v>
      </c>
      <c r="V19" s="160"/>
      <c r="W19" s="49" t="s">
        <v>42</v>
      </c>
      <c r="X19" s="160"/>
      <c r="Y19" s="160"/>
      <c r="Z19" s="53">
        <f t="shared" si="2"/>
        <v>4.2</v>
      </c>
      <c r="AA19" s="56">
        <f>Z19*(D19-'Input data'!$H$5)</f>
        <v>134.4</v>
      </c>
      <c r="AB19" s="145"/>
      <c r="AC19" s="151"/>
      <c r="AD19" s="157"/>
    </row>
    <row r="20" spans="2:30" x14ac:dyDescent="0.3">
      <c r="B20" s="102" t="str">
        <f t="shared" si="0"/>
        <v>BE1</v>
      </c>
      <c r="C20" s="103" t="str">
        <f t="shared" si="3"/>
        <v>BE1 | Room2</v>
      </c>
      <c r="D20" s="15">
        <f>'Input data'!$D$5</f>
        <v>20</v>
      </c>
      <c r="E20" s="14" t="s">
        <v>37</v>
      </c>
      <c r="F20" s="14" t="s">
        <v>29</v>
      </c>
      <c r="G20" s="13" t="s">
        <v>48</v>
      </c>
      <c r="H20" s="12">
        <f>5*2.8-H21</f>
        <v>11.6</v>
      </c>
      <c r="I20" s="11">
        <f>'Input data'!$M$5</f>
        <v>0.3</v>
      </c>
      <c r="J20" s="10">
        <f>'Input data'!$R$5</f>
        <v>0.05</v>
      </c>
      <c r="K20" s="17">
        <f>'Input data'!$H$5</f>
        <v>-12</v>
      </c>
      <c r="L20" s="23" t="s">
        <v>42</v>
      </c>
      <c r="M20" s="23" t="s">
        <v>42</v>
      </c>
      <c r="N20" s="23" t="s">
        <v>42</v>
      </c>
      <c r="O20" s="23" t="s">
        <v>42</v>
      </c>
      <c r="P20" s="23" t="s">
        <v>42</v>
      </c>
      <c r="Q20" s="22">
        <f>(D20-K20)/(D20-'Input data'!$H$5)</f>
        <v>1</v>
      </c>
      <c r="R20" s="40">
        <f t="shared" ref="R20:R21" si="5">H20*SUM(I20,J20)*Q20</f>
        <v>4.0599999999999996</v>
      </c>
      <c r="S20" s="160"/>
      <c r="T20" s="160"/>
      <c r="U20" s="49" t="s">
        <v>42</v>
      </c>
      <c r="V20" s="160"/>
      <c r="W20" s="49" t="s">
        <v>42</v>
      </c>
      <c r="X20" s="160"/>
      <c r="Y20" s="160"/>
      <c r="Z20" s="53">
        <f t="shared" si="2"/>
        <v>4.0599999999999996</v>
      </c>
      <c r="AA20" s="56">
        <f>Z20*(D20-'Input data'!$H$5)</f>
        <v>129.91999999999999</v>
      </c>
      <c r="AB20" s="145"/>
      <c r="AC20" s="151"/>
      <c r="AD20" s="157"/>
    </row>
    <row r="21" spans="2:30" ht="13.5" thickBot="1" x14ac:dyDescent="0.35">
      <c r="B21" s="105" t="str">
        <f t="shared" si="0"/>
        <v>BE1</v>
      </c>
      <c r="C21" s="104" t="str">
        <f t="shared" si="3"/>
        <v>BE1 | Room2</v>
      </c>
      <c r="D21" s="84">
        <f>'Input data'!$D$5</f>
        <v>20</v>
      </c>
      <c r="E21" s="43" t="s">
        <v>38</v>
      </c>
      <c r="F21" s="43" t="s">
        <v>29</v>
      </c>
      <c r="G21" s="42" t="s">
        <v>48</v>
      </c>
      <c r="H21" s="44">
        <f>1.5*1.6</f>
        <v>2.4000000000000004</v>
      </c>
      <c r="I21" s="88">
        <f>'Input data'!$Q$5</f>
        <v>1.3</v>
      </c>
      <c r="J21" s="118">
        <f>'Input data'!$R$5</f>
        <v>0.05</v>
      </c>
      <c r="K21" s="119">
        <f>'Input data'!$H$5</f>
        <v>-12</v>
      </c>
      <c r="L21" s="45" t="s">
        <v>42</v>
      </c>
      <c r="M21" s="45" t="s">
        <v>42</v>
      </c>
      <c r="N21" s="45" t="s">
        <v>42</v>
      </c>
      <c r="O21" s="45" t="s">
        <v>42</v>
      </c>
      <c r="P21" s="45" t="s">
        <v>42</v>
      </c>
      <c r="Q21" s="46">
        <f>(D21-K21)/(D21-'Input data'!$H$5)</f>
        <v>1</v>
      </c>
      <c r="R21" s="47">
        <f t="shared" si="5"/>
        <v>3.2400000000000007</v>
      </c>
      <c r="S21" s="161"/>
      <c r="T21" s="161"/>
      <c r="U21" s="51" t="s">
        <v>42</v>
      </c>
      <c r="V21" s="161"/>
      <c r="W21" s="51" t="s">
        <v>42</v>
      </c>
      <c r="X21" s="161"/>
      <c r="Y21" s="161"/>
      <c r="Z21" s="54">
        <f t="shared" si="2"/>
        <v>3.2400000000000007</v>
      </c>
      <c r="AA21" s="57">
        <f>Z21*(D21-'Input data'!$H$5)</f>
        <v>103.68000000000002</v>
      </c>
      <c r="AB21" s="146"/>
      <c r="AC21" s="152"/>
      <c r="AD21" s="157"/>
    </row>
    <row r="22" spans="2:30" x14ac:dyDescent="0.3">
      <c r="B22" s="100" t="s">
        <v>30</v>
      </c>
      <c r="C22" s="101" t="s">
        <v>81</v>
      </c>
      <c r="D22" s="83">
        <f>'Input data'!$D$6</f>
        <v>20</v>
      </c>
      <c r="E22" s="35" t="s">
        <v>12</v>
      </c>
      <c r="F22" s="35" t="s">
        <v>27</v>
      </c>
      <c r="G22" s="34" t="s">
        <v>46</v>
      </c>
      <c r="H22" s="36">
        <f>4*6</f>
        <v>24</v>
      </c>
      <c r="I22" s="85">
        <f>'Input data'!$O$5</f>
        <v>0.7</v>
      </c>
      <c r="J22" s="85">
        <f>'Input data'!$R$5</f>
        <v>0.05</v>
      </c>
      <c r="K22" s="117">
        <f>'Input data'!$G$5</f>
        <v>10</v>
      </c>
      <c r="L22" s="37">
        <f>4+6</f>
        <v>10</v>
      </c>
      <c r="M22" s="37">
        <v>0</v>
      </c>
      <c r="N22" s="58">
        <f>H22/(0.5*L22)</f>
        <v>4.8</v>
      </c>
      <c r="O22" s="58">
        <v>1.45</v>
      </c>
      <c r="P22" s="58">
        <f>0.48/(-10.685+(20.64+N22)^0.4791+(25.48+M22)^0.5626+I22^-0.6376)</f>
        <v>0.32736214963674937</v>
      </c>
      <c r="Q22" s="58">
        <f>(D22-K22)/(D22-'Input data'!$H$5)</f>
        <v>0.3125</v>
      </c>
      <c r="R22" s="59">
        <f>H22*SUM(P22,J22)*Q22*O22</f>
        <v>4.103813377299649</v>
      </c>
      <c r="S22" s="162">
        <f>SUM(R22:R36)</f>
        <v>44.53510713562293</v>
      </c>
      <c r="T22" s="162">
        <f>S22*'Input data'!$H$5</f>
        <v>-534.42128562747519</v>
      </c>
      <c r="U22" s="48" t="s">
        <v>42</v>
      </c>
      <c r="V22" s="162">
        <f>SUM(U22:U36)</f>
        <v>8.3999999999999986</v>
      </c>
      <c r="W22" s="48" t="s">
        <v>42</v>
      </c>
      <c r="X22" s="162">
        <f>SUM(W22:W36)</f>
        <v>151.19999999999999</v>
      </c>
      <c r="Y22" s="162">
        <f>MAX((T22+X22)/(S22+V22),'Input data'!$J$5)</f>
        <v>10</v>
      </c>
      <c r="Z22" s="71">
        <f>H22*SUM(J22,P22)*O22*Q22</f>
        <v>4.103813377299649</v>
      </c>
      <c r="AA22" s="74">
        <f>Z22*(D22-'Input data'!$H$5)</f>
        <v>131.32202807358877</v>
      </c>
      <c r="AB22" s="147">
        <f>SUMIFS($AA$6:$AA$36,$C$6:$C$36,C22)</f>
        <v>851.28202807358878</v>
      </c>
      <c r="AC22" s="153">
        <f>SUMIFS($AA$6:$AA$36,$B$6:$B$36,B22,$G$6:$G$36,"ie")+SUMIFS($AA$6:$AA$36,$B$6:$B$36,B22,$G$6:$G$36,"iae")+SUMIFS($AA$6:$AA$36,$B$6:$B$36,B22,$G$6:$G$36,"iaBE")+SUMIFS($AA$6:$AA$36,$B$6:$B$36,B22,$G$6:$G$36,"ig")</f>
        <v>1465.8208408232874</v>
      </c>
      <c r="AD22" s="157"/>
    </row>
    <row r="23" spans="2:30" ht="26" x14ac:dyDescent="0.3">
      <c r="B23" s="102" t="str">
        <f>B22</f>
        <v>BE2</v>
      </c>
      <c r="C23" s="103" t="str">
        <f>C22</f>
        <v>BE2 | Room1</v>
      </c>
      <c r="D23" s="15">
        <f>'Input data'!$D$6</f>
        <v>20</v>
      </c>
      <c r="E23" s="14" t="s">
        <v>13</v>
      </c>
      <c r="F23" s="14" t="s">
        <v>28</v>
      </c>
      <c r="G23" s="13" t="s">
        <v>47</v>
      </c>
      <c r="H23" s="12">
        <f>4*6</f>
        <v>24</v>
      </c>
      <c r="I23" s="11">
        <f>'Input data'!$P$5</f>
        <v>0.4</v>
      </c>
      <c r="J23" s="10">
        <f>'Input data'!$R$5</f>
        <v>0.05</v>
      </c>
      <c r="K23" s="19" t="s">
        <v>42</v>
      </c>
      <c r="L23" s="24" t="s">
        <v>42</v>
      </c>
      <c r="M23" s="23" t="s">
        <v>42</v>
      </c>
      <c r="N23" s="23" t="s">
        <v>42</v>
      </c>
      <c r="O23" s="23" t="s">
        <v>42</v>
      </c>
      <c r="P23" s="23" t="s">
        <v>42</v>
      </c>
      <c r="Q23" s="24">
        <v>0.7</v>
      </c>
      <c r="R23" s="60">
        <f>H23*SUM(I23,J23)*Q23</f>
        <v>7.56</v>
      </c>
      <c r="S23" s="163"/>
      <c r="T23" s="163"/>
      <c r="U23" s="68" t="s">
        <v>42</v>
      </c>
      <c r="V23" s="163"/>
      <c r="W23" s="68" t="s">
        <v>42</v>
      </c>
      <c r="X23" s="163"/>
      <c r="Y23" s="163"/>
      <c r="Z23" s="72">
        <f t="shared" si="2"/>
        <v>7.56</v>
      </c>
      <c r="AA23" s="75">
        <f>Z23*(D23-'Input data'!$H$5)</f>
        <v>241.92</v>
      </c>
      <c r="AB23" s="148"/>
      <c r="AC23" s="154"/>
      <c r="AD23" s="157"/>
    </row>
    <row r="24" spans="2:30" x14ac:dyDescent="0.3">
      <c r="B24" s="102" t="str">
        <f t="shared" ref="B24:B36" si="6">B23</f>
        <v>BE2</v>
      </c>
      <c r="C24" s="103" t="str">
        <f t="shared" ref="C24:C28" si="7">C23</f>
        <v>BE2 | Room1</v>
      </c>
      <c r="D24" s="15">
        <f>'Input data'!$D$6</f>
        <v>20</v>
      </c>
      <c r="E24" s="14" t="s">
        <v>14</v>
      </c>
      <c r="F24" s="14" t="s">
        <v>29</v>
      </c>
      <c r="G24" s="13" t="s">
        <v>48</v>
      </c>
      <c r="H24" s="13">
        <f>5*2.8</f>
        <v>14</v>
      </c>
      <c r="I24" s="11">
        <f>'Input data'!$M$5</f>
        <v>0.3</v>
      </c>
      <c r="J24" s="10">
        <f>'Input data'!$R$5</f>
        <v>0.05</v>
      </c>
      <c r="K24" s="17">
        <f>'Input data'!$H$5</f>
        <v>-12</v>
      </c>
      <c r="L24" s="24" t="s">
        <v>42</v>
      </c>
      <c r="M24" s="23" t="s">
        <v>42</v>
      </c>
      <c r="N24" s="23" t="s">
        <v>42</v>
      </c>
      <c r="O24" s="23" t="s">
        <v>42</v>
      </c>
      <c r="P24" s="23" t="s">
        <v>42</v>
      </c>
      <c r="Q24" s="16">
        <f>(D24-K24)/(D24-'Input data'!$H$5)</f>
        <v>1</v>
      </c>
      <c r="R24" s="60">
        <f>H24*SUM(I24,J24)*Q24</f>
        <v>4.8999999999999995</v>
      </c>
      <c r="S24" s="163"/>
      <c r="T24" s="163"/>
      <c r="U24" s="68" t="s">
        <v>42</v>
      </c>
      <c r="V24" s="163"/>
      <c r="W24" s="68" t="s">
        <v>42</v>
      </c>
      <c r="X24" s="163"/>
      <c r="Y24" s="163"/>
      <c r="Z24" s="72">
        <f t="shared" si="2"/>
        <v>4.8999999999999995</v>
      </c>
      <c r="AA24" s="75">
        <f>Z24*(D24-'Input data'!$H$5)</f>
        <v>156.79999999999998</v>
      </c>
      <c r="AB24" s="148"/>
      <c r="AC24" s="154"/>
      <c r="AD24" s="157"/>
    </row>
    <row r="25" spans="2:30" x14ac:dyDescent="0.3">
      <c r="B25" s="102" t="str">
        <f t="shared" si="6"/>
        <v>BE2</v>
      </c>
      <c r="C25" s="103" t="str">
        <f t="shared" si="7"/>
        <v>BE2 | Room1</v>
      </c>
      <c r="D25" s="15">
        <f>'Input data'!$D$6</f>
        <v>20</v>
      </c>
      <c r="E25" s="14" t="s">
        <v>39</v>
      </c>
      <c r="F25" s="14" t="s">
        <v>82</v>
      </c>
      <c r="G25" s="13" t="s">
        <v>50</v>
      </c>
      <c r="H25" s="13">
        <f>5*2.8</f>
        <v>14</v>
      </c>
      <c r="I25" s="11">
        <f>'Input data'!$N$5</f>
        <v>1.2</v>
      </c>
      <c r="J25" s="10">
        <f>'Input data'!$R$5</f>
        <v>0.05</v>
      </c>
      <c r="K25" s="20">
        <f>D29</f>
        <v>18</v>
      </c>
      <c r="L25" s="24" t="s">
        <v>42</v>
      </c>
      <c r="M25" s="23" t="s">
        <v>42</v>
      </c>
      <c r="N25" s="23" t="s">
        <v>42</v>
      </c>
      <c r="O25" s="23" t="s">
        <v>42</v>
      </c>
      <c r="P25" s="23" t="s">
        <v>42</v>
      </c>
      <c r="Q25" s="16">
        <f>(D25-K25)/(D25-'Input data'!$H$5)</f>
        <v>6.25E-2</v>
      </c>
      <c r="R25" s="61" t="s">
        <v>42</v>
      </c>
      <c r="S25" s="163"/>
      <c r="T25" s="163"/>
      <c r="U25" s="68" t="s">
        <v>42</v>
      </c>
      <c r="V25" s="163"/>
      <c r="W25" s="68" t="s">
        <v>42</v>
      </c>
      <c r="X25" s="163"/>
      <c r="Y25" s="163"/>
      <c r="Z25" s="72">
        <f t="shared" si="2"/>
        <v>1.09375</v>
      </c>
      <c r="AA25" s="75">
        <f>Z25*(D25-'Input data'!$H$5)</f>
        <v>35</v>
      </c>
      <c r="AB25" s="148"/>
      <c r="AC25" s="154"/>
      <c r="AD25" s="157"/>
    </row>
    <row r="26" spans="2:30" x14ac:dyDescent="0.3">
      <c r="B26" s="102" t="str">
        <f t="shared" si="6"/>
        <v>BE2</v>
      </c>
      <c r="C26" s="103" t="str">
        <f t="shared" si="7"/>
        <v>BE2 | Room1</v>
      </c>
      <c r="D26" s="15">
        <f>'Input data'!$D$6</f>
        <v>20</v>
      </c>
      <c r="E26" s="14" t="s">
        <v>17</v>
      </c>
      <c r="F26" s="14" t="s">
        <v>29</v>
      </c>
      <c r="G26" s="13" t="s">
        <v>48</v>
      </c>
      <c r="H26" s="13">
        <f>4*2.8-H27</f>
        <v>8.7999999999999989</v>
      </c>
      <c r="I26" s="11">
        <f>'Input data'!$M$5</f>
        <v>0.3</v>
      </c>
      <c r="J26" s="10">
        <f>'Input data'!$R$5</f>
        <v>0.05</v>
      </c>
      <c r="K26" s="17">
        <f>'Input data'!$H$5</f>
        <v>-12</v>
      </c>
      <c r="L26" s="24" t="s">
        <v>42</v>
      </c>
      <c r="M26" s="23" t="s">
        <v>42</v>
      </c>
      <c r="N26" s="23" t="s">
        <v>42</v>
      </c>
      <c r="O26" s="23" t="s">
        <v>42</v>
      </c>
      <c r="P26" s="23" t="s">
        <v>42</v>
      </c>
      <c r="Q26" s="16">
        <f>(D26-K26)/(D26-'Input data'!$H$5)</f>
        <v>1</v>
      </c>
      <c r="R26" s="60">
        <f>H26*SUM(I26,J26)*Q26</f>
        <v>3.0799999999999996</v>
      </c>
      <c r="S26" s="163"/>
      <c r="T26" s="163"/>
      <c r="U26" s="68" t="s">
        <v>42</v>
      </c>
      <c r="V26" s="163"/>
      <c r="W26" s="68" t="s">
        <v>42</v>
      </c>
      <c r="X26" s="163"/>
      <c r="Y26" s="163"/>
      <c r="Z26" s="72">
        <f t="shared" si="2"/>
        <v>3.0799999999999996</v>
      </c>
      <c r="AA26" s="75">
        <f>Z26*(D26-'Input data'!$H$5)</f>
        <v>98.559999999999988</v>
      </c>
      <c r="AB26" s="148"/>
      <c r="AC26" s="154"/>
      <c r="AD26" s="157"/>
    </row>
    <row r="27" spans="2:30" x14ac:dyDescent="0.3">
      <c r="B27" s="102" t="str">
        <f t="shared" si="6"/>
        <v>BE2</v>
      </c>
      <c r="C27" s="103" t="str">
        <f t="shared" si="7"/>
        <v>BE2 | Room1</v>
      </c>
      <c r="D27" s="15">
        <f>'Input data'!$D$6</f>
        <v>20</v>
      </c>
      <c r="E27" s="14" t="s">
        <v>18</v>
      </c>
      <c r="F27" s="14" t="s">
        <v>29</v>
      </c>
      <c r="G27" s="13" t="s">
        <v>48</v>
      </c>
      <c r="H27" s="13">
        <f>1.5*1.6</f>
        <v>2.4000000000000004</v>
      </c>
      <c r="I27" s="11">
        <f>'Input data'!$Q$5</f>
        <v>1.3</v>
      </c>
      <c r="J27" s="10">
        <f>'Input data'!$R$5</f>
        <v>0.05</v>
      </c>
      <c r="K27" s="17">
        <f>'Input data'!$H$5</f>
        <v>-12</v>
      </c>
      <c r="L27" s="24" t="s">
        <v>42</v>
      </c>
      <c r="M27" s="23" t="s">
        <v>42</v>
      </c>
      <c r="N27" s="23" t="s">
        <v>42</v>
      </c>
      <c r="O27" s="23" t="s">
        <v>42</v>
      </c>
      <c r="P27" s="23" t="s">
        <v>42</v>
      </c>
      <c r="Q27" s="16">
        <f>(D27-K27)/(D27-'Input data'!$H$5)</f>
        <v>1</v>
      </c>
      <c r="R27" s="60">
        <f>H27*SUM(I27,J27)*Q27</f>
        <v>3.2400000000000007</v>
      </c>
      <c r="S27" s="163"/>
      <c r="T27" s="163"/>
      <c r="U27" s="68" t="s">
        <v>42</v>
      </c>
      <c r="V27" s="163"/>
      <c r="W27" s="68" t="s">
        <v>42</v>
      </c>
      <c r="X27" s="163"/>
      <c r="Y27" s="163"/>
      <c r="Z27" s="72">
        <f t="shared" si="2"/>
        <v>3.2400000000000007</v>
      </c>
      <c r="AA27" s="75">
        <f>Z27*(D27-'Input data'!$H$5)</f>
        <v>103.68000000000002</v>
      </c>
      <c r="AB27" s="148"/>
      <c r="AC27" s="154"/>
      <c r="AD27" s="157"/>
    </row>
    <row r="28" spans="2:30" ht="13.5" thickBot="1" x14ac:dyDescent="0.35">
      <c r="B28" s="102" t="str">
        <f t="shared" si="6"/>
        <v>BE2</v>
      </c>
      <c r="C28" s="104" t="str">
        <f t="shared" si="7"/>
        <v>BE2 | Room1</v>
      </c>
      <c r="D28" s="84">
        <f>'Input data'!$D$6</f>
        <v>20</v>
      </c>
      <c r="E28" s="43" t="s">
        <v>19</v>
      </c>
      <c r="F28" s="43" t="s">
        <v>79</v>
      </c>
      <c r="G28" s="42" t="s">
        <v>49</v>
      </c>
      <c r="H28" s="42">
        <f>4*2.8</f>
        <v>11.2</v>
      </c>
      <c r="I28" s="88">
        <f>'Input data'!$O$5</f>
        <v>0.7</v>
      </c>
      <c r="J28" s="118">
        <f>'Input data'!$R$5</f>
        <v>0.05</v>
      </c>
      <c r="K28" s="62">
        <f>Y6</f>
        <v>10</v>
      </c>
      <c r="L28" s="63" t="s">
        <v>42</v>
      </c>
      <c r="M28" s="45" t="s">
        <v>42</v>
      </c>
      <c r="N28" s="45" t="s">
        <v>42</v>
      </c>
      <c r="O28" s="45" t="s">
        <v>42</v>
      </c>
      <c r="P28" s="45" t="s">
        <v>42</v>
      </c>
      <c r="Q28" s="64">
        <f>(D28-K28)/(D28-'Input data'!$H$5)</f>
        <v>0.3125</v>
      </c>
      <c r="R28" s="65" t="s">
        <v>42</v>
      </c>
      <c r="S28" s="163"/>
      <c r="T28" s="163"/>
      <c r="U28" s="69">
        <f>H28*SUM(I28:J28)</f>
        <v>8.3999999999999986</v>
      </c>
      <c r="V28" s="163"/>
      <c r="W28" s="69">
        <f>U28*D6</f>
        <v>151.19999999999999</v>
      </c>
      <c r="X28" s="163"/>
      <c r="Y28" s="163"/>
      <c r="Z28" s="73">
        <f t="shared" si="2"/>
        <v>2.6249999999999996</v>
      </c>
      <c r="AA28" s="76">
        <f>Z28*(D28-'Input data'!$H$5)</f>
        <v>83.999999999999986</v>
      </c>
      <c r="AB28" s="149"/>
      <c r="AC28" s="154"/>
      <c r="AD28" s="157"/>
    </row>
    <row r="29" spans="2:30" x14ac:dyDescent="0.3">
      <c r="B29" s="102" t="str">
        <f t="shared" si="6"/>
        <v>BE2</v>
      </c>
      <c r="C29" s="101" t="s">
        <v>82</v>
      </c>
      <c r="D29" s="83">
        <f>'Input data'!$D$7</f>
        <v>18</v>
      </c>
      <c r="E29" s="35" t="s">
        <v>12</v>
      </c>
      <c r="F29" s="35" t="s">
        <v>27</v>
      </c>
      <c r="G29" s="34" t="s">
        <v>46</v>
      </c>
      <c r="H29" s="34">
        <f>3.5*6</f>
        <v>21</v>
      </c>
      <c r="I29" s="85">
        <f>'Input data'!$O$5</f>
        <v>0.7</v>
      </c>
      <c r="J29" s="85">
        <f>'Input data'!$R$5</f>
        <v>0.05</v>
      </c>
      <c r="K29" s="117">
        <f>'Input data'!$G$5</f>
        <v>10</v>
      </c>
      <c r="L29" s="37">
        <v>3.5</v>
      </c>
      <c r="M29" s="37">
        <v>0</v>
      </c>
      <c r="N29" s="58">
        <f>H29/(0.5*L29)</f>
        <v>12</v>
      </c>
      <c r="O29" s="58">
        <v>1.45</v>
      </c>
      <c r="P29" s="58">
        <f>0.48/(-10.685+(20.64+N29)^0.4791+(25.48+M29)^0.5626+I29^-0.6376)</f>
        <v>0.23254849240434539</v>
      </c>
      <c r="Q29" s="58">
        <f>(D29-K29)/(D29-'Input data'!$H$5)</f>
        <v>0.26666666666666666</v>
      </c>
      <c r="R29" s="59">
        <f>H29*SUM(P29,J29)*Q29*O29</f>
        <v>2.2942937583232847</v>
      </c>
      <c r="S29" s="163"/>
      <c r="T29" s="163"/>
      <c r="U29" s="48" t="s">
        <v>42</v>
      </c>
      <c r="V29" s="163"/>
      <c r="W29" s="48" t="s">
        <v>42</v>
      </c>
      <c r="X29" s="163"/>
      <c r="Y29" s="163"/>
      <c r="Z29" s="71">
        <f>H29*SUM(J29,P29)*O29*Q29</f>
        <v>2.2942937583232847</v>
      </c>
      <c r="AA29" s="59">
        <f>Z29*(D29-'Input data'!$H$5)</f>
        <v>68.828812749698542</v>
      </c>
      <c r="AB29" s="147">
        <f>SUMIFS($AA$6:$AA$36,$C$6:$C$36,C29)</f>
        <v>607.53881274969854</v>
      </c>
      <c r="AC29" s="154"/>
      <c r="AD29" s="157"/>
    </row>
    <row r="30" spans="2:30" ht="26" x14ac:dyDescent="0.3">
      <c r="B30" s="102" t="str">
        <f t="shared" si="6"/>
        <v>BE2</v>
      </c>
      <c r="C30" s="103" t="str">
        <f>C29</f>
        <v>BE2 | Room2</v>
      </c>
      <c r="D30" s="15">
        <f>'Input data'!$D$7</f>
        <v>18</v>
      </c>
      <c r="E30" s="14" t="s">
        <v>13</v>
      </c>
      <c r="F30" s="14" t="s">
        <v>28</v>
      </c>
      <c r="G30" s="13" t="s">
        <v>47</v>
      </c>
      <c r="H30" s="13">
        <f>3.5*6</f>
        <v>21</v>
      </c>
      <c r="I30" s="11">
        <f>'Input data'!$P$5</f>
        <v>0.4</v>
      </c>
      <c r="J30" s="10">
        <f>'Input data'!$R$5</f>
        <v>0.05</v>
      </c>
      <c r="K30" s="19" t="s">
        <v>42</v>
      </c>
      <c r="L30" s="24" t="s">
        <v>42</v>
      </c>
      <c r="M30" s="23" t="s">
        <v>42</v>
      </c>
      <c r="N30" s="23" t="s">
        <v>42</v>
      </c>
      <c r="O30" s="23" t="s">
        <v>42</v>
      </c>
      <c r="P30" s="23" t="s">
        <v>42</v>
      </c>
      <c r="Q30" s="24">
        <v>0.7</v>
      </c>
      <c r="R30" s="60">
        <f>H30*SUM(I30,J30)*Q30</f>
        <v>6.6150000000000002</v>
      </c>
      <c r="S30" s="163"/>
      <c r="T30" s="163"/>
      <c r="U30" s="68" t="s">
        <v>42</v>
      </c>
      <c r="V30" s="163"/>
      <c r="W30" s="68" t="s">
        <v>42</v>
      </c>
      <c r="X30" s="163"/>
      <c r="Y30" s="163"/>
      <c r="Z30" s="72">
        <f t="shared" si="2"/>
        <v>6.6150000000000002</v>
      </c>
      <c r="AA30" s="77">
        <f>Z30*(D30-'Input data'!$H$5)</f>
        <v>198.45000000000002</v>
      </c>
      <c r="AB30" s="148"/>
      <c r="AC30" s="154"/>
      <c r="AD30" s="157"/>
    </row>
    <row r="31" spans="2:30" x14ac:dyDescent="0.3">
      <c r="B31" s="102" t="str">
        <f t="shared" si="6"/>
        <v>BE2</v>
      </c>
      <c r="C31" s="103" t="str">
        <f t="shared" ref="C31:C36" si="8">C30</f>
        <v>BE2 | Room2</v>
      </c>
      <c r="D31" s="15">
        <f>'Input data'!$D$7</f>
        <v>18</v>
      </c>
      <c r="E31" s="14" t="s">
        <v>33</v>
      </c>
      <c r="F31" s="14" t="s">
        <v>8</v>
      </c>
      <c r="G31" s="13" t="s">
        <v>50</v>
      </c>
      <c r="H31" s="13">
        <f>6*2.8</f>
        <v>16.799999999999997</v>
      </c>
      <c r="I31" s="11">
        <f>'Input data'!$N$5</f>
        <v>1.2</v>
      </c>
      <c r="J31" s="10">
        <f>'Input data'!$R$5</f>
        <v>0.05</v>
      </c>
      <c r="K31" s="20">
        <f>$D$22</f>
        <v>20</v>
      </c>
      <c r="L31" s="24" t="s">
        <v>42</v>
      </c>
      <c r="M31" s="23" t="s">
        <v>42</v>
      </c>
      <c r="N31" s="23" t="s">
        <v>42</v>
      </c>
      <c r="O31" s="23" t="s">
        <v>42</v>
      </c>
      <c r="P31" s="23" t="s">
        <v>42</v>
      </c>
      <c r="Q31" s="16">
        <f>(D31-K31)/(D31-'Input data'!$H$5)</f>
        <v>-6.6666666666666666E-2</v>
      </c>
      <c r="R31" s="61" t="s">
        <v>42</v>
      </c>
      <c r="S31" s="163"/>
      <c r="T31" s="163"/>
      <c r="U31" s="68" t="s">
        <v>42</v>
      </c>
      <c r="V31" s="163"/>
      <c r="W31" s="68" t="s">
        <v>42</v>
      </c>
      <c r="X31" s="163"/>
      <c r="Y31" s="163"/>
      <c r="Z31" s="72">
        <f t="shared" si="2"/>
        <v>-1.3999999999999997</v>
      </c>
      <c r="AA31" s="77">
        <f>Z31*(D31-'Input data'!$H$5)</f>
        <v>-41.999999999999993</v>
      </c>
      <c r="AB31" s="148"/>
      <c r="AC31" s="154"/>
      <c r="AD31" s="157"/>
    </row>
    <row r="32" spans="2:30" ht="26" x14ac:dyDescent="0.3">
      <c r="B32" s="102" t="str">
        <f t="shared" si="6"/>
        <v>BE2</v>
      </c>
      <c r="C32" s="103" t="str">
        <f t="shared" si="8"/>
        <v>BE2 | Room2</v>
      </c>
      <c r="D32" s="15">
        <f>'Input data'!$D$7</f>
        <v>18</v>
      </c>
      <c r="E32" s="14" t="s">
        <v>39</v>
      </c>
      <c r="F32" s="14" t="s">
        <v>28</v>
      </c>
      <c r="G32" s="13" t="s">
        <v>47</v>
      </c>
      <c r="H32" s="13">
        <f>6*2.8-SUM(H33:H34)</f>
        <v>11.249999999999996</v>
      </c>
      <c r="I32" s="11">
        <f>'Input data'!$O$5</f>
        <v>0.7</v>
      </c>
      <c r="J32" s="10">
        <f>'Input data'!$R$5</f>
        <v>0.05</v>
      </c>
      <c r="K32" s="19" t="s">
        <v>42</v>
      </c>
      <c r="L32" s="24" t="s">
        <v>42</v>
      </c>
      <c r="M32" s="23" t="s">
        <v>42</v>
      </c>
      <c r="N32" s="23" t="s">
        <v>42</v>
      </c>
      <c r="O32" s="23" t="s">
        <v>42</v>
      </c>
      <c r="P32" s="23" t="s">
        <v>42</v>
      </c>
      <c r="Q32" s="24">
        <v>0.4</v>
      </c>
      <c r="R32" s="60">
        <f t="shared" ref="R32:R34" si="9">H32*SUM(I32,J32)*Q32</f>
        <v>3.3749999999999987</v>
      </c>
      <c r="S32" s="163"/>
      <c r="T32" s="163"/>
      <c r="U32" s="68" t="s">
        <v>42</v>
      </c>
      <c r="V32" s="163"/>
      <c r="W32" s="68" t="s">
        <v>42</v>
      </c>
      <c r="X32" s="163"/>
      <c r="Y32" s="163"/>
      <c r="Z32" s="72">
        <f t="shared" si="2"/>
        <v>3.3749999999999987</v>
      </c>
      <c r="AA32" s="77">
        <f>Z32*(D32-'Input data'!$H$5)</f>
        <v>101.24999999999996</v>
      </c>
      <c r="AB32" s="148"/>
      <c r="AC32" s="154"/>
      <c r="AD32" s="157"/>
    </row>
    <row r="33" spans="2:30" ht="26" x14ac:dyDescent="0.3">
      <c r="B33" s="102" t="str">
        <f t="shared" si="6"/>
        <v>BE2</v>
      </c>
      <c r="C33" s="103" t="str">
        <f t="shared" si="8"/>
        <v>BE2 | Room2</v>
      </c>
      <c r="D33" s="15">
        <f>'Input data'!$D$7</f>
        <v>18</v>
      </c>
      <c r="E33" s="14" t="s">
        <v>40</v>
      </c>
      <c r="F33" s="14" t="s">
        <v>28</v>
      </c>
      <c r="G33" s="13" t="s">
        <v>47</v>
      </c>
      <c r="H33" s="13">
        <f>1.5*2.1</f>
        <v>3.1500000000000004</v>
      </c>
      <c r="I33" s="11">
        <f>'Input data'!$Q$5</f>
        <v>1.3</v>
      </c>
      <c r="J33" s="10">
        <f>'Input data'!$R$5</f>
        <v>0.05</v>
      </c>
      <c r="K33" s="19" t="s">
        <v>42</v>
      </c>
      <c r="L33" s="24" t="s">
        <v>42</v>
      </c>
      <c r="M33" s="23" t="s">
        <v>42</v>
      </c>
      <c r="N33" s="23" t="s">
        <v>42</v>
      </c>
      <c r="O33" s="23" t="s">
        <v>42</v>
      </c>
      <c r="P33" s="23" t="s">
        <v>42</v>
      </c>
      <c r="Q33" s="24">
        <v>0.4</v>
      </c>
      <c r="R33" s="60">
        <f t="shared" si="9"/>
        <v>1.7010000000000003</v>
      </c>
      <c r="S33" s="163"/>
      <c r="T33" s="163"/>
      <c r="U33" s="68" t="s">
        <v>42</v>
      </c>
      <c r="V33" s="163"/>
      <c r="W33" s="68" t="s">
        <v>42</v>
      </c>
      <c r="X33" s="163"/>
      <c r="Y33" s="163"/>
      <c r="Z33" s="72">
        <f t="shared" si="2"/>
        <v>1.7010000000000003</v>
      </c>
      <c r="AA33" s="77">
        <f>Z33*(D33-'Input data'!$H$5)</f>
        <v>51.030000000000008</v>
      </c>
      <c r="AB33" s="148"/>
      <c r="AC33" s="154"/>
      <c r="AD33" s="157"/>
    </row>
    <row r="34" spans="2:30" ht="26" x14ac:dyDescent="0.3">
      <c r="B34" s="102" t="str">
        <f t="shared" si="6"/>
        <v>BE2</v>
      </c>
      <c r="C34" s="103" t="str">
        <f t="shared" si="8"/>
        <v>BE2 | Room2</v>
      </c>
      <c r="D34" s="15">
        <f>'Input data'!$D$7</f>
        <v>18</v>
      </c>
      <c r="E34" s="14" t="s">
        <v>41</v>
      </c>
      <c r="F34" s="14" t="s">
        <v>28</v>
      </c>
      <c r="G34" s="13" t="s">
        <v>47</v>
      </c>
      <c r="H34" s="13">
        <f>1.5*1.6</f>
        <v>2.4000000000000004</v>
      </c>
      <c r="I34" s="11">
        <f>'Input data'!$Q$5</f>
        <v>1.3</v>
      </c>
      <c r="J34" s="10">
        <f>'Input data'!$R$5</f>
        <v>0.05</v>
      </c>
      <c r="K34" s="19" t="s">
        <v>42</v>
      </c>
      <c r="L34" s="24" t="s">
        <v>42</v>
      </c>
      <c r="M34" s="23" t="s">
        <v>42</v>
      </c>
      <c r="N34" s="23" t="s">
        <v>42</v>
      </c>
      <c r="O34" s="23" t="s">
        <v>42</v>
      </c>
      <c r="P34" s="23" t="s">
        <v>42</v>
      </c>
      <c r="Q34" s="24">
        <v>0.4</v>
      </c>
      <c r="R34" s="60">
        <f t="shared" si="9"/>
        <v>1.2960000000000003</v>
      </c>
      <c r="S34" s="163"/>
      <c r="T34" s="163"/>
      <c r="U34" s="68" t="s">
        <v>42</v>
      </c>
      <c r="V34" s="163"/>
      <c r="W34" s="68" t="s">
        <v>42</v>
      </c>
      <c r="X34" s="163"/>
      <c r="Y34" s="163"/>
      <c r="Z34" s="72">
        <f t="shared" si="2"/>
        <v>1.2960000000000003</v>
      </c>
      <c r="AA34" s="77">
        <f>Z34*(D34-'Input data'!$H$5)</f>
        <v>38.88000000000001</v>
      </c>
      <c r="AB34" s="148"/>
      <c r="AC34" s="154"/>
      <c r="AD34" s="157"/>
    </row>
    <row r="35" spans="2:30" x14ac:dyDescent="0.3">
      <c r="B35" s="102" t="str">
        <f t="shared" si="6"/>
        <v>BE2</v>
      </c>
      <c r="C35" s="103" t="str">
        <f t="shared" si="8"/>
        <v>BE2 | Room2</v>
      </c>
      <c r="D35" s="15">
        <f>'Input data'!$D$7</f>
        <v>18</v>
      </c>
      <c r="E35" s="14" t="s">
        <v>17</v>
      </c>
      <c r="F35" s="14" t="s">
        <v>29</v>
      </c>
      <c r="G35" s="13" t="s">
        <v>48</v>
      </c>
      <c r="H35" s="13">
        <f>3.5*2.8</f>
        <v>9.7999999999999989</v>
      </c>
      <c r="I35" s="11">
        <f>'Input data'!$M$5</f>
        <v>0.3</v>
      </c>
      <c r="J35" s="10">
        <f>'Input data'!$R$5</f>
        <v>0.05</v>
      </c>
      <c r="K35" s="17">
        <f>'Input data'!$H$5</f>
        <v>-12</v>
      </c>
      <c r="L35" s="24" t="s">
        <v>42</v>
      </c>
      <c r="M35" s="23" t="s">
        <v>42</v>
      </c>
      <c r="N35" s="23" t="s">
        <v>42</v>
      </c>
      <c r="O35" s="23" t="s">
        <v>42</v>
      </c>
      <c r="P35" s="23" t="s">
        <v>42</v>
      </c>
      <c r="Q35" s="16">
        <f>(D35-K35)/(D35-'Input data'!$H$5)</f>
        <v>1</v>
      </c>
      <c r="R35" s="60">
        <f>H35*SUM(I35,J35)*Q35</f>
        <v>3.4299999999999993</v>
      </c>
      <c r="S35" s="163"/>
      <c r="T35" s="163"/>
      <c r="U35" s="68" t="s">
        <v>42</v>
      </c>
      <c r="V35" s="163"/>
      <c r="W35" s="68" t="s">
        <v>42</v>
      </c>
      <c r="X35" s="163"/>
      <c r="Y35" s="163"/>
      <c r="Z35" s="72">
        <f t="shared" si="2"/>
        <v>3.4299999999999993</v>
      </c>
      <c r="AA35" s="77">
        <f>Z35*(D35-'Input data'!$H$5)</f>
        <v>102.89999999999998</v>
      </c>
      <c r="AB35" s="148"/>
      <c r="AC35" s="154"/>
      <c r="AD35" s="157"/>
    </row>
    <row r="36" spans="2:30" ht="26.5" thickBot="1" x14ac:dyDescent="0.35">
      <c r="B36" s="105" t="str">
        <f t="shared" si="6"/>
        <v>BE2</v>
      </c>
      <c r="C36" s="104" t="str">
        <f t="shared" si="8"/>
        <v>BE2 | Room2</v>
      </c>
      <c r="D36" s="84">
        <f>'Input data'!$D$7</f>
        <v>18</v>
      </c>
      <c r="E36" s="43" t="s">
        <v>19</v>
      </c>
      <c r="F36" s="43" t="s">
        <v>28</v>
      </c>
      <c r="G36" s="42" t="s">
        <v>47</v>
      </c>
      <c r="H36" s="42">
        <f>3.5*2.8</f>
        <v>9.7999999999999989</v>
      </c>
      <c r="I36" s="88">
        <f>'Input data'!$O$5</f>
        <v>0.7</v>
      </c>
      <c r="J36" s="118">
        <f>'Input data'!$R$5</f>
        <v>0.05</v>
      </c>
      <c r="K36" s="66" t="s">
        <v>42</v>
      </c>
      <c r="L36" s="63" t="s">
        <v>42</v>
      </c>
      <c r="M36" s="45" t="s">
        <v>42</v>
      </c>
      <c r="N36" s="45" t="s">
        <v>42</v>
      </c>
      <c r="O36" s="45" t="s">
        <v>42</v>
      </c>
      <c r="P36" s="45" t="s">
        <v>42</v>
      </c>
      <c r="Q36" s="63">
        <v>0.4</v>
      </c>
      <c r="R36" s="67">
        <f>H36*SUM(I36,J36)*Q36</f>
        <v>2.94</v>
      </c>
      <c r="S36" s="164"/>
      <c r="T36" s="164"/>
      <c r="U36" s="70" t="s">
        <v>42</v>
      </c>
      <c r="V36" s="164"/>
      <c r="W36" s="70" t="s">
        <v>42</v>
      </c>
      <c r="X36" s="164"/>
      <c r="Y36" s="164"/>
      <c r="Z36" s="73">
        <f t="shared" si="2"/>
        <v>2.94</v>
      </c>
      <c r="AA36" s="78">
        <f>Z36*(D36-'Input data'!$H$5)</f>
        <v>88.2</v>
      </c>
      <c r="AB36" s="149"/>
      <c r="AC36" s="155"/>
      <c r="AD36" s="158"/>
    </row>
    <row r="37" spans="2:30" ht="13.5" thickBot="1" x14ac:dyDescent="0.35">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spans="2:30" ht="18.5" thickBot="1" x14ac:dyDescent="0.35">
      <c r="B38" s="138" t="s">
        <v>126</v>
      </c>
      <c r="C38" s="139"/>
      <c r="D38" s="139"/>
      <c r="E38" s="139"/>
      <c r="F38" s="139"/>
      <c r="G38" s="139"/>
      <c r="H38" s="139"/>
      <c r="I38" s="139"/>
      <c r="J38" s="139"/>
      <c r="K38" s="140"/>
      <c r="M38" s="138" t="s">
        <v>128</v>
      </c>
      <c r="N38" s="139"/>
      <c r="O38" s="139"/>
      <c r="P38" s="139"/>
      <c r="Q38" s="140"/>
    </row>
    <row r="39" spans="2:30" ht="80.25" customHeight="1" x14ac:dyDescent="0.3">
      <c r="B39" s="25" t="s">
        <v>92</v>
      </c>
      <c r="C39" s="26" t="s">
        <v>51</v>
      </c>
      <c r="D39" s="26" t="s">
        <v>10</v>
      </c>
      <c r="E39" s="26" t="s">
        <v>54</v>
      </c>
      <c r="F39" s="26" t="s">
        <v>93</v>
      </c>
      <c r="G39" s="26" t="s">
        <v>95</v>
      </c>
      <c r="H39" s="26" t="s">
        <v>98</v>
      </c>
      <c r="I39" s="141" t="s">
        <v>115</v>
      </c>
      <c r="J39" s="142"/>
      <c r="K39" s="143"/>
      <c r="M39" s="25" t="s">
        <v>92</v>
      </c>
      <c r="N39" s="26" t="s">
        <v>10</v>
      </c>
      <c r="O39" s="167" t="s">
        <v>113</v>
      </c>
      <c r="P39" s="167"/>
      <c r="Q39" s="168"/>
    </row>
    <row r="40" spans="2:30" ht="26" x14ac:dyDescent="0.3">
      <c r="B40" s="28" t="s">
        <v>69</v>
      </c>
      <c r="C40" s="8" t="s">
        <v>42</v>
      </c>
      <c r="D40" s="8" t="s">
        <v>7</v>
      </c>
      <c r="E40" s="8" t="s">
        <v>0</v>
      </c>
      <c r="F40" s="8" t="s">
        <v>94</v>
      </c>
      <c r="G40" s="8" t="s">
        <v>96</v>
      </c>
      <c r="H40" s="8" t="s">
        <v>99</v>
      </c>
      <c r="I40" s="8" t="s">
        <v>101</v>
      </c>
      <c r="J40" s="8" t="s">
        <v>105</v>
      </c>
      <c r="K40" s="29" t="s">
        <v>106</v>
      </c>
      <c r="M40" s="28" t="s">
        <v>69</v>
      </c>
      <c r="N40" s="8" t="s">
        <v>7</v>
      </c>
      <c r="O40" s="8" t="s">
        <v>108</v>
      </c>
      <c r="P40" s="8" t="s">
        <v>109</v>
      </c>
      <c r="Q40" s="29" t="s">
        <v>110</v>
      </c>
    </row>
    <row r="41" spans="2:30" ht="13.5" thickBot="1" x14ac:dyDescent="0.35">
      <c r="B41" s="30" t="s">
        <v>42</v>
      </c>
      <c r="C41" s="31" t="s">
        <v>42</v>
      </c>
      <c r="D41" s="31" t="s">
        <v>42</v>
      </c>
      <c r="E41" s="31" t="s">
        <v>3</v>
      </c>
      <c r="F41" s="31" t="s">
        <v>4</v>
      </c>
      <c r="G41" s="31" t="s">
        <v>97</v>
      </c>
      <c r="H41" s="31" t="s">
        <v>100</v>
      </c>
      <c r="I41" s="31" t="s">
        <v>78</v>
      </c>
      <c r="J41" s="31" t="s">
        <v>78</v>
      </c>
      <c r="K41" s="33" t="s">
        <v>78</v>
      </c>
      <c r="M41" s="30" t="s">
        <v>42</v>
      </c>
      <c r="N41" s="31" t="s">
        <v>42</v>
      </c>
      <c r="O41" s="169" t="s">
        <v>78</v>
      </c>
      <c r="P41" s="169"/>
      <c r="Q41" s="170"/>
    </row>
    <row r="42" spans="2:30" ht="26" x14ac:dyDescent="0.3">
      <c r="B42" s="178" t="s">
        <v>32</v>
      </c>
      <c r="C42" s="176" t="s">
        <v>52</v>
      </c>
      <c r="D42" s="98" t="s">
        <v>79</v>
      </c>
      <c r="E42" s="85">
        <f>'Input data'!$D$4</f>
        <v>18</v>
      </c>
      <c r="F42" s="85">
        <f>'Input data'!$E$4</f>
        <v>0.5</v>
      </c>
      <c r="G42" s="86">
        <f>6.55*3.55*2.6</f>
        <v>60.456499999999998</v>
      </c>
      <c r="H42" s="86">
        <f>G42*F42</f>
        <v>30.228249999999999</v>
      </c>
      <c r="I42" s="87">
        <f>'Input data'!$K$5*H42*(E42-'Input data'!$H$5)</f>
        <v>308.32815000000005</v>
      </c>
      <c r="J42" s="144">
        <f>0.5*SUM(I42:I43)</f>
        <v>300.57215500000007</v>
      </c>
      <c r="K42" s="156">
        <f>SUM(J42:J45)</f>
        <v>552.13756000000012</v>
      </c>
      <c r="M42" s="165" t="s">
        <v>32</v>
      </c>
      <c r="N42" s="106" t="s">
        <v>79</v>
      </c>
      <c r="O42" s="87">
        <f>AB6+I42</f>
        <v>1171.6603893559591</v>
      </c>
      <c r="P42" s="150">
        <f>AC6+J42</f>
        <v>2366.4412622498039</v>
      </c>
      <c r="Q42" s="173">
        <f>AD6+K42</f>
        <v>3932.6275080730916</v>
      </c>
    </row>
    <row r="43" spans="2:30" ht="26.5" thickBot="1" x14ac:dyDescent="0.35">
      <c r="B43" s="179"/>
      <c r="C43" s="177"/>
      <c r="D43" s="99" t="s">
        <v>80</v>
      </c>
      <c r="E43" s="88">
        <f>'Input data'!$D$5</f>
        <v>20</v>
      </c>
      <c r="F43" s="88">
        <f>'Input data'!$E$5</f>
        <v>0.5</v>
      </c>
      <c r="G43" s="89">
        <f>4.55*4.55*2.6</f>
        <v>53.826499999999996</v>
      </c>
      <c r="H43" s="89">
        <f t="shared" ref="H43:H45" si="10">G43*F43</f>
        <v>26.913249999999998</v>
      </c>
      <c r="I43" s="90">
        <f>'Input data'!$K$5*H43*(E43-'Input data'!$H$5)</f>
        <v>292.81616000000002</v>
      </c>
      <c r="J43" s="146"/>
      <c r="K43" s="157"/>
      <c r="M43" s="166"/>
      <c r="N43" s="107" t="s">
        <v>80</v>
      </c>
      <c r="O43" s="108">
        <f>AB14+I43</f>
        <v>1495.3530278938456</v>
      </c>
      <c r="P43" s="152"/>
      <c r="Q43" s="174"/>
    </row>
    <row r="44" spans="2:30" ht="26" x14ac:dyDescent="0.3">
      <c r="B44" s="178" t="s">
        <v>30</v>
      </c>
      <c r="C44" s="176" t="s">
        <v>52</v>
      </c>
      <c r="D44" s="98" t="s">
        <v>81</v>
      </c>
      <c r="E44" s="85">
        <f>'Input data'!$D$6</f>
        <v>20</v>
      </c>
      <c r="F44" s="85">
        <f>'Input data'!$E$6</f>
        <v>0.5</v>
      </c>
      <c r="G44" s="91">
        <f>5.55*3.55*2.6</f>
        <v>51.226499999999994</v>
      </c>
      <c r="H44" s="91">
        <f t="shared" si="10"/>
        <v>25.613249999999997</v>
      </c>
      <c r="I44" s="92">
        <f>'Input data'!$K$5*H44*(E44-'Input data'!$H$5)</f>
        <v>278.67215999999996</v>
      </c>
      <c r="J44" s="147">
        <f>0.5*SUM(I44:I45)</f>
        <v>251.565405</v>
      </c>
      <c r="K44" s="157"/>
      <c r="M44" s="165" t="s">
        <v>30</v>
      </c>
      <c r="N44" s="106" t="s">
        <v>81</v>
      </c>
      <c r="O44" s="92">
        <f>AB22+I44</f>
        <v>1129.9541880735887</v>
      </c>
      <c r="P44" s="171">
        <f>AC22+J44</f>
        <v>1717.3862458232875</v>
      </c>
      <c r="Q44" s="174"/>
    </row>
    <row r="45" spans="2:30" ht="26.5" thickBot="1" x14ac:dyDescent="0.35">
      <c r="B45" s="179"/>
      <c r="C45" s="177"/>
      <c r="D45" s="99" t="s">
        <v>82</v>
      </c>
      <c r="E45" s="88">
        <f>'Input data'!$D$7</f>
        <v>18</v>
      </c>
      <c r="F45" s="88">
        <f>'Input data'!$E$7</f>
        <v>0.5</v>
      </c>
      <c r="G45" s="93">
        <f>5.55*3.05*2.6</f>
        <v>44.011499999999998</v>
      </c>
      <c r="H45" s="93">
        <f t="shared" si="10"/>
        <v>22.005749999999999</v>
      </c>
      <c r="I45" s="94">
        <f>'Input data'!$K$5*H45*(E45-'Input data'!$H$5)</f>
        <v>224.45865000000001</v>
      </c>
      <c r="J45" s="149"/>
      <c r="K45" s="158"/>
      <c r="M45" s="166"/>
      <c r="N45" s="107" t="s">
        <v>82</v>
      </c>
      <c r="O45" s="109">
        <f>AB29+I45</f>
        <v>831.99746274969857</v>
      </c>
      <c r="P45" s="172"/>
      <c r="Q45" s="175"/>
    </row>
    <row r="47" spans="2:30" x14ac:dyDescent="0.3">
      <c r="E47" s="6"/>
    </row>
    <row r="48" spans="2:30" x14ac:dyDescent="0.3">
      <c r="E48" s="6"/>
    </row>
    <row r="49" spans="5:5" x14ac:dyDescent="0.3">
      <c r="E49" s="6"/>
    </row>
    <row r="50" spans="5:5" x14ac:dyDescent="0.3">
      <c r="E50" s="6"/>
    </row>
    <row r="51" spans="5:5" x14ac:dyDescent="0.3">
      <c r="E51" s="6"/>
    </row>
    <row r="52" spans="5:5" x14ac:dyDescent="0.3">
      <c r="E52" s="6"/>
    </row>
    <row r="53" spans="5:5" x14ac:dyDescent="0.3">
      <c r="E53" s="6"/>
    </row>
  </sheetData>
  <mergeCells count="47">
    <mergeCell ref="R5:S5"/>
    <mergeCell ref="R4:S4"/>
    <mergeCell ref="R3:S3"/>
    <mergeCell ref="S6:S21"/>
    <mergeCell ref="S22:S36"/>
    <mergeCell ref="W5:X5"/>
    <mergeCell ref="W4:X4"/>
    <mergeCell ref="W3:X3"/>
    <mergeCell ref="V6:V21"/>
    <mergeCell ref="V22:V36"/>
    <mergeCell ref="U3:V3"/>
    <mergeCell ref="U4:V4"/>
    <mergeCell ref="U5:V5"/>
    <mergeCell ref="Y6:Y21"/>
    <mergeCell ref="B42:B43"/>
    <mergeCell ref="C42:C43"/>
    <mergeCell ref="I39:K39"/>
    <mergeCell ref="X6:X21"/>
    <mergeCell ref="X22:X36"/>
    <mergeCell ref="M42:M43"/>
    <mergeCell ref="C44:C45"/>
    <mergeCell ref="B44:B45"/>
    <mergeCell ref="J42:J43"/>
    <mergeCell ref="J44:J45"/>
    <mergeCell ref="K42:K45"/>
    <mergeCell ref="M44:M45"/>
    <mergeCell ref="O39:Q39"/>
    <mergeCell ref="O41:Q41"/>
    <mergeCell ref="P42:P43"/>
    <mergeCell ref="P44:P45"/>
    <mergeCell ref="Q42:Q45"/>
    <mergeCell ref="AH10:AH12"/>
    <mergeCell ref="AH13:AH15"/>
    <mergeCell ref="B38:K38"/>
    <mergeCell ref="B2:AD2"/>
    <mergeCell ref="M38:Q38"/>
    <mergeCell ref="AB3:AD3"/>
    <mergeCell ref="AB6:AB13"/>
    <mergeCell ref="AB14:AB21"/>
    <mergeCell ref="AB22:AB28"/>
    <mergeCell ref="AB29:AB36"/>
    <mergeCell ref="AC6:AC21"/>
    <mergeCell ref="AC22:AC36"/>
    <mergeCell ref="AD6:AD36"/>
    <mergeCell ref="T6:T21"/>
    <mergeCell ref="T22:T36"/>
    <mergeCell ref="Y22:Y36"/>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
  <sheetViews>
    <sheetView workbookViewId="0">
      <selection activeCell="E2" sqref="E2"/>
    </sheetView>
  </sheetViews>
  <sheetFormatPr defaultColWidth="11.5546875" defaultRowHeight="13" x14ac:dyDescent="0.3"/>
  <cols>
    <col min="2" max="2" width="28.6640625" bestFit="1" customWidth="1"/>
  </cols>
  <sheetData>
    <row r="1" spans="1:18" ht="56.25" customHeight="1" x14ac:dyDescent="0.3">
      <c r="A1" s="25" t="s">
        <v>133</v>
      </c>
      <c r="B1" s="26" t="s">
        <v>51</v>
      </c>
      <c r="C1" s="26" t="s">
        <v>10</v>
      </c>
      <c r="D1" s="26" t="s">
        <v>54</v>
      </c>
      <c r="E1" s="95" t="s">
        <v>93</v>
      </c>
      <c r="G1" s="193" t="s">
        <v>87</v>
      </c>
      <c r="H1" s="186" t="s">
        <v>88</v>
      </c>
      <c r="I1" s="186" t="s">
        <v>59</v>
      </c>
      <c r="J1" s="186" t="s">
        <v>134</v>
      </c>
      <c r="K1" s="186" t="s">
        <v>104</v>
      </c>
      <c r="L1" s="186" t="s">
        <v>111</v>
      </c>
      <c r="M1" s="167" t="s">
        <v>24</v>
      </c>
      <c r="N1" s="167"/>
      <c r="O1" s="167"/>
      <c r="P1" s="167"/>
      <c r="Q1" s="167"/>
      <c r="R1" s="168"/>
    </row>
    <row r="2" spans="1:18" ht="62" x14ac:dyDescent="0.3">
      <c r="A2" s="28" t="s">
        <v>31</v>
      </c>
      <c r="B2" s="8" t="s">
        <v>42</v>
      </c>
      <c r="C2" s="8" t="s">
        <v>7</v>
      </c>
      <c r="D2" s="8" t="s">
        <v>0</v>
      </c>
      <c r="E2" s="29" t="s">
        <v>94</v>
      </c>
      <c r="G2" s="194"/>
      <c r="H2" s="187"/>
      <c r="I2" s="187"/>
      <c r="J2" s="187"/>
      <c r="K2" s="187"/>
      <c r="L2" s="187"/>
      <c r="M2" s="5" t="s">
        <v>121</v>
      </c>
      <c r="N2" s="5" t="s">
        <v>122</v>
      </c>
      <c r="O2" s="5" t="s">
        <v>124</v>
      </c>
      <c r="P2" s="5" t="s">
        <v>13</v>
      </c>
      <c r="Q2" s="5" t="s">
        <v>123</v>
      </c>
      <c r="R2" s="79" t="s">
        <v>65</v>
      </c>
    </row>
    <row r="3" spans="1:18" ht="13.5" thickBot="1" x14ac:dyDescent="0.35">
      <c r="A3" s="30" t="s">
        <v>42</v>
      </c>
      <c r="B3" s="31" t="s">
        <v>42</v>
      </c>
      <c r="C3" s="31" t="s">
        <v>42</v>
      </c>
      <c r="D3" s="31" t="s">
        <v>3</v>
      </c>
      <c r="E3" s="33" t="s">
        <v>4</v>
      </c>
      <c r="G3" s="28" t="s">
        <v>57</v>
      </c>
      <c r="H3" s="8" t="s">
        <v>58</v>
      </c>
      <c r="I3" s="8" t="s">
        <v>69</v>
      </c>
      <c r="J3" s="8" t="s">
        <v>89</v>
      </c>
      <c r="K3" s="8" t="s">
        <v>102</v>
      </c>
      <c r="L3" s="8" t="s">
        <v>42</v>
      </c>
      <c r="M3" s="188" t="s">
        <v>125</v>
      </c>
      <c r="N3" s="188"/>
      <c r="O3" s="188"/>
      <c r="P3" s="188"/>
      <c r="Q3" s="188"/>
      <c r="R3" s="29" t="s">
        <v>66</v>
      </c>
    </row>
    <row r="4" spans="1:18" ht="26.5" thickBot="1" x14ac:dyDescent="0.35">
      <c r="A4" s="189" t="s">
        <v>32</v>
      </c>
      <c r="B4" s="191" t="s">
        <v>52</v>
      </c>
      <c r="C4" s="35" t="s">
        <v>79</v>
      </c>
      <c r="D4" s="36">
        <v>18</v>
      </c>
      <c r="E4" s="96">
        <v>0.5</v>
      </c>
      <c r="G4" s="30" t="s">
        <v>3</v>
      </c>
      <c r="H4" s="31" t="s">
        <v>3</v>
      </c>
      <c r="I4" s="31" t="s">
        <v>25</v>
      </c>
      <c r="J4" s="31" t="s">
        <v>3</v>
      </c>
      <c r="K4" s="31" t="s">
        <v>103</v>
      </c>
      <c r="L4" s="31" t="s">
        <v>42</v>
      </c>
      <c r="M4" s="169" t="s">
        <v>20</v>
      </c>
      <c r="N4" s="169"/>
      <c r="O4" s="169"/>
      <c r="P4" s="169"/>
      <c r="Q4" s="169"/>
      <c r="R4" s="170"/>
    </row>
    <row r="5" spans="1:18" ht="26.5" thickBot="1" x14ac:dyDescent="0.35">
      <c r="A5" s="190"/>
      <c r="B5" s="192"/>
      <c r="C5" s="43" t="s">
        <v>80</v>
      </c>
      <c r="D5" s="44">
        <v>20</v>
      </c>
      <c r="E5" s="97">
        <v>0.5</v>
      </c>
      <c r="G5" s="80">
        <v>10</v>
      </c>
      <c r="H5" s="81">
        <v>-12</v>
      </c>
      <c r="I5" s="81" t="s">
        <v>60</v>
      </c>
      <c r="J5" s="81">
        <v>10</v>
      </c>
      <c r="K5" s="81">
        <v>0.34</v>
      </c>
      <c r="L5" s="81" t="s">
        <v>112</v>
      </c>
      <c r="M5" s="81">
        <v>0.3</v>
      </c>
      <c r="N5" s="81">
        <v>1.2</v>
      </c>
      <c r="O5" s="81">
        <v>0.7</v>
      </c>
      <c r="P5" s="81">
        <v>0.4</v>
      </c>
      <c r="Q5" s="81">
        <v>1.3</v>
      </c>
      <c r="R5" s="82">
        <v>0.05</v>
      </c>
    </row>
    <row r="6" spans="1:18" ht="26" x14ac:dyDescent="0.3">
      <c r="A6" s="189" t="s">
        <v>30</v>
      </c>
      <c r="B6" s="191" t="s">
        <v>52</v>
      </c>
      <c r="C6" s="35" t="s">
        <v>81</v>
      </c>
      <c r="D6" s="36">
        <v>20</v>
      </c>
      <c r="E6" s="96">
        <v>0.5</v>
      </c>
    </row>
    <row r="7" spans="1:18" ht="26.5" thickBot="1" x14ac:dyDescent="0.35">
      <c r="A7" s="190"/>
      <c r="B7" s="192"/>
      <c r="C7" s="43" t="s">
        <v>82</v>
      </c>
      <c r="D7" s="44">
        <v>18</v>
      </c>
      <c r="E7" s="97">
        <v>0.5</v>
      </c>
    </row>
  </sheetData>
  <mergeCells count="13">
    <mergeCell ref="H1:H2"/>
    <mergeCell ref="A6:A7"/>
    <mergeCell ref="B6:B7"/>
    <mergeCell ref="A4:A5"/>
    <mergeCell ref="B4:B5"/>
    <mergeCell ref="G1:G2"/>
    <mergeCell ref="M4:R4"/>
    <mergeCell ref="I1:I2"/>
    <mergeCell ref="J1:J2"/>
    <mergeCell ref="K1:K2"/>
    <mergeCell ref="L1:L2"/>
    <mergeCell ref="M1:R1"/>
    <mergeCell ref="M3:Q3"/>
  </mergeCells>
  <pageMargins left="0.7" right="0.7" top="0.78740157499999996" bottom="0.78740157499999996"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546875" defaultRowHeight="13"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5546875" defaultRowHeight="13"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Tabelle1</vt:lpstr>
      <vt:lpstr>INFO</vt:lpstr>
      <vt:lpstr>Calculation, Results</vt:lpstr>
      <vt:lpstr>Input data</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Rosenkranz</dc:creator>
  <cp:lastModifiedBy>Karin Klaris</cp:lastModifiedBy>
  <dcterms:created xsi:type="dcterms:W3CDTF">2014-02-28T16:07:05Z</dcterms:created>
  <dcterms:modified xsi:type="dcterms:W3CDTF">2015-03-19T11:36:39Z</dcterms:modified>
</cp:coreProperties>
</file>